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filterPrivacy="1" showInkAnnotation="0" autoCompressPictures="0"/>
  <xr:revisionPtr revIDLastSave="0" documentId="13_ncr:1_{97C66882-DA76-D440-A7B5-20EDECCFD70D}" xr6:coauthVersionLast="45" xr6:coauthVersionMax="45" xr10:uidLastSave="{00000000-0000-0000-0000-000000000000}"/>
  <bookViews>
    <workbookView xWindow="0" yWindow="460" windowWidth="38400" windowHeight="21140" tabRatio="699" xr2:uid="{00000000-000D-0000-FFFF-FFFF00000000}"/>
  </bookViews>
  <sheets>
    <sheet name="All" sheetId="25" r:id="rId1"/>
    <sheet name="pivot" sheetId="26" r:id="rId2"/>
    <sheet name="databases" sheetId="27" r:id="rId3"/>
    <sheet name="双柏" sheetId="1" r:id="rId4"/>
    <sheet name="新平" sheetId="3" r:id="rId5"/>
    <sheet name="景东" sheetId="5" r:id="rId6"/>
    <sheet name="楚雄" sheetId="7" r:id="rId7"/>
    <sheet name="镇沅" sheetId="8" r:id="rId8"/>
    <sheet name="南华" sheetId="10" r:id="rId9"/>
    <sheet name="Sheet1" sheetId="4" r:id="rId10"/>
    <sheet name="Sheet2" sheetId="6" r:id="rId11"/>
    <sheet name="sample_database" sheetId="13" r:id="rId12"/>
    <sheet name="护林员数据库_ranger_database" sheetId="18" r:id="rId13"/>
    <sheet name="ranger_database_2016" sheetId="20" r:id="rId14"/>
    <sheet name="Update_from_YIFIP" sheetId="21" r:id="rId15"/>
    <sheet name="Export_to_ArcGIS" sheetId="24" r:id="rId16"/>
    <sheet name="Metadata" sheetId="23" r:id="rId17"/>
  </sheets>
  <definedNames>
    <definedName name="_xlnm._FilterDatabase" localSheetId="0" hidden="1">All!$A$1:$AT$506</definedName>
    <definedName name="_xlnm._FilterDatabase" localSheetId="15" hidden="1">Export_to_ArcGIS!$A$1:$H$1</definedName>
    <definedName name="_xlnm._FilterDatabase" localSheetId="16" hidden="1">Metadata!$A$1:$D$1</definedName>
    <definedName name="_xlnm._FilterDatabase" localSheetId="13" hidden="1">ranger_database_2016!$A$1:$H$147</definedName>
    <definedName name="_xlnm._FilterDatabase" localSheetId="11" hidden="1">sample_database!$B$1:$AY$1</definedName>
    <definedName name="_xlnm._FilterDatabase" localSheetId="14" hidden="1">Update_from_YIFIP!$A$1:$AD$1</definedName>
    <definedName name="_xlnm._FilterDatabase" localSheetId="12" hidden="1">护林员数据库_ranger_database!$A$1:$H$126</definedName>
    <definedName name="_xlnm.Print_Area" localSheetId="8">南华!$2:$30</definedName>
    <definedName name="_xlnm.Print_Area" localSheetId="3">双柏!$A$1:$AL$155</definedName>
    <definedName name="_xlnm.Print_Area" localSheetId="4">新平!$A$1:$AL$124</definedName>
    <definedName name="_xlnm.Print_Area" localSheetId="5">景东!$A$1:$AL$99</definedName>
    <definedName name="_xlnm.Print_Area" localSheetId="6">楚雄!$A$1:$AL$40</definedName>
    <definedName name="_xlnm.Print_Area" localSheetId="7">镇沅!$A$1:$AL$63</definedName>
    <definedName name="_xlnm.Print_Titles" localSheetId="8">南华!$1:$1</definedName>
    <definedName name="_xlnm.Print_Titles" localSheetId="3">双柏!$1:$1</definedName>
    <definedName name="_xlnm.Print_Titles" localSheetId="4">新平!$1:$1</definedName>
    <definedName name="_xlnm.Print_Titles" localSheetId="5">景东!$1:$1</definedName>
    <definedName name="_xlnm.Print_Titles" localSheetId="6">楚雄!$1:$1</definedName>
    <definedName name="_xlnm.Print_Titles" localSheetId="7">镇沅!$1:$1</definedName>
    <definedName name="查询来自_Excel_Files" localSheetId="14" hidden="1">Update_from_YIFIP!#REF!</definedName>
  </definedNames>
  <calcPr calcId="191029"/>
  <pivotCaches>
    <pivotCache cacheId="0" r:id="rId18"/>
  </pivotCache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506" i="25" l="1"/>
  <c r="D389" i="25"/>
  <c r="D390" i="25"/>
  <c r="B452" i="25" l="1"/>
  <c r="B451" i="25"/>
  <c r="B450" i="25"/>
  <c r="B449" i="25"/>
  <c r="B468" i="25"/>
  <c r="B467" i="25"/>
  <c r="B466" i="25"/>
  <c r="B465" i="25"/>
  <c r="B464" i="25"/>
  <c r="B470" i="25"/>
  <c r="B469" i="25"/>
  <c r="B506" i="25"/>
  <c r="B331" i="25"/>
  <c r="B330" i="25"/>
  <c r="B329" i="25"/>
  <c r="B328" i="25"/>
  <c r="B327" i="25"/>
  <c r="B336" i="25"/>
  <c r="B335" i="25"/>
  <c r="B334" i="25"/>
  <c r="B333" i="25"/>
  <c r="B332" i="25"/>
  <c r="B346" i="25"/>
  <c r="B345" i="25"/>
  <c r="B344" i="25"/>
  <c r="B343" i="25"/>
  <c r="B342" i="25"/>
  <c r="B341" i="25"/>
  <c r="B340" i="25"/>
  <c r="B339" i="25"/>
  <c r="B338" i="25"/>
  <c r="B337" i="25"/>
  <c r="B412" i="25"/>
  <c r="B411" i="25"/>
  <c r="B410" i="25"/>
  <c r="B409" i="25"/>
  <c r="B408" i="25"/>
  <c r="B322" i="25"/>
  <c r="B325" i="25"/>
  <c r="B324" i="25"/>
  <c r="B323" i="25"/>
  <c r="B326" i="25"/>
  <c r="B355" i="25"/>
  <c r="B354" i="25"/>
  <c r="B353" i="25"/>
  <c r="B352" i="25"/>
  <c r="B351" i="25"/>
  <c r="B400" i="25"/>
  <c r="B399" i="25"/>
  <c r="B398" i="25"/>
  <c r="B397" i="25"/>
  <c r="B396" i="25"/>
  <c r="B395" i="25"/>
  <c r="B394" i="25"/>
  <c r="B393" i="25"/>
  <c r="B392" i="25"/>
  <c r="B391" i="25"/>
  <c r="B366" i="25"/>
  <c r="B365" i="25"/>
  <c r="B364" i="25"/>
  <c r="B363" i="25"/>
  <c r="B417" i="25"/>
  <c r="B416" i="25"/>
  <c r="B415" i="25"/>
  <c r="B414" i="25"/>
  <c r="B413" i="25"/>
  <c r="B390" i="25"/>
  <c r="B389" i="25"/>
  <c r="B184" i="25"/>
  <c r="B183" i="25"/>
  <c r="B228" i="25"/>
  <c r="B227" i="25"/>
  <c r="B226" i="25"/>
  <c r="B225" i="25"/>
  <c r="B224" i="25"/>
  <c r="B233" i="25"/>
  <c r="B232" i="25"/>
  <c r="B231" i="25"/>
  <c r="B251" i="25"/>
  <c r="B242" i="25"/>
  <c r="B259" i="25"/>
  <c r="B258" i="25"/>
  <c r="B257" i="25"/>
  <c r="B256" i="25"/>
  <c r="B280" i="25"/>
  <c r="B279" i="25"/>
  <c r="B278" i="25"/>
  <c r="B176" i="25"/>
  <c r="B175" i="25"/>
  <c r="B174" i="25"/>
  <c r="B173" i="25"/>
  <c r="B197" i="25"/>
  <c r="B196" i="25"/>
  <c r="B195" i="25"/>
  <c r="B194" i="25"/>
  <c r="B213" i="25"/>
  <c r="B212" i="25"/>
  <c r="B211" i="25"/>
  <c r="B210" i="25"/>
  <c r="B223" i="25"/>
  <c r="B222" i="25"/>
  <c r="B221" i="25"/>
  <c r="B209" i="25"/>
  <c r="B208" i="25"/>
  <c r="B207" i="25"/>
  <c r="B206" i="25"/>
  <c r="B304" i="25"/>
  <c r="B303" i="25"/>
  <c r="B172" i="25"/>
  <c r="B171" i="25"/>
  <c r="B170" i="25"/>
  <c r="B169" i="25"/>
  <c r="B160" i="25"/>
  <c r="B159" i="25"/>
  <c r="B143" i="25"/>
  <c r="B158" i="25"/>
  <c r="B167" i="25"/>
  <c r="B166" i="25"/>
  <c r="B151" i="25"/>
  <c r="B100" i="25"/>
  <c r="B99" i="25"/>
  <c r="B43" i="25"/>
  <c r="B42" i="25"/>
  <c r="B41" i="25"/>
  <c r="B15" i="25"/>
  <c r="B454" i="25"/>
  <c r="B453" i="25"/>
  <c r="B268" i="25"/>
  <c r="B267" i="25"/>
  <c r="B266" i="25"/>
  <c r="B265" i="25"/>
  <c r="B264" i="25"/>
  <c r="B180" i="25"/>
  <c r="B179" i="25"/>
  <c r="B178" i="25"/>
  <c r="B177" i="25"/>
  <c r="B61" i="25"/>
  <c r="B60" i="25"/>
  <c r="B59" i="25"/>
  <c r="B58" i="25"/>
  <c r="B57" i="25"/>
  <c r="B56" i="25"/>
  <c r="B55" i="25"/>
  <c r="B54" i="25"/>
  <c r="B134" i="25"/>
  <c r="B133" i="25"/>
  <c r="B125" i="25"/>
  <c r="B124" i="25"/>
  <c r="B123" i="25"/>
  <c r="B122" i="25"/>
  <c r="B500" i="25"/>
  <c r="B362" i="25"/>
  <c r="B350" i="25"/>
  <c r="B349" i="25"/>
  <c r="B348" i="25"/>
  <c r="B347" i="25"/>
  <c r="B383" i="25"/>
  <c r="B382" i="25"/>
  <c r="B381" i="25"/>
  <c r="B380" i="25"/>
  <c r="B379" i="25"/>
  <c r="B378" i="25"/>
  <c r="B377" i="25"/>
  <c r="B376" i="25"/>
  <c r="B375" i="25"/>
  <c r="B374" i="25"/>
  <c r="B373" i="25"/>
  <c r="B372" i="25"/>
  <c r="B371" i="25"/>
  <c r="B440" i="25"/>
  <c r="B439" i="25"/>
  <c r="B438" i="25"/>
  <c r="B437" i="25"/>
  <c r="B388" i="25"/>
  <c r="B387" i="25"/>
  <c r="B386" i="25"/>
  <c r="B385" i="25"/>
  <c r="B384" i="25"/>
  <c r="B427" i="25"/>
  <c r="B426" i="25"/>
  <c r="B425" i="25"/>
  <c r="B424" i="25"/>
  <c r="B423" i="25"/>
  <c r="B422" i="25"/>
  <c r="B421" i="25"/>
  <c r="B420" i="25"/>
  <c r="B419" i="25"/>
  <c r="B418" i="25"/>
  <c r="B361" i="25"/>
  <c r="B360" i="25"/>
  <c r="B359" i="25"/>
  <c r="B407" i="25"/>
  <c r="B406" i="25"/>
  <c r="B405" i="25"/>
  <c r="B404" i="25"/>
  <c r="B403" i="25"/>
  <c r="B402" i="25"/>
  <c r="B401" i="25"/>
  <c r="B205" i="25"/>
  <c r="B204" i="25"/>
  <c r="B203" i="25"/>
  <c r="B202" i="25"/>
  <c r="B436" i="25"/>
  <c r="B435" i="25"/>
  <c r="B434" i="25"/>
  <c r="B433" i="25"/>
  <c r="B444" i="25"/>
  <c r="B443" i="25"/>
  <c r="B442" i="25"/>
  <c r="B441" i="25"/>
  <c r="B358" i="25"/>
  <c r="B357" i="25"/>
  <c r="B356" i="25"/>
  <c r="B432" i="25"/>
  <c r="B431" i="25"/>
  <c r="B430" i="25"/>
  <c r="B429" i="25"/>
  <c r="B428" i="25"/>
  <c r="B492" i="25"/>
  <c r="B491" i="25"/>
  <c r="B490" i="25"/>
  <c r="B68" i="25"/>
  <c r="B67" i="25"/>
  <c r="B110" i="25"/>
  <c r="B109" i="25"/>
  <c r="B108" i="25"/>
  <c r="B127" i="25"/>
  <c r="B126" i="25"/>
  <c r="B84" i="25"/>
  <c r="B83" i="25"/>
  <c r="B82" i="25"/>
  <c r="B81" i="25"/>
  <c r="B75" i="25"/>
  <c r="B74" i="25"/>
  <c r="B132" i="25"/>
  <c r="B131" i="25"/>
  <c r="B130" i="25"/>
  <c r="B129" i="25"/>
  <c r="B128" i="25"/>
  <c r="B302" i="25"/>
  <c r="B121" i="25"/>
  <c r="B120" i="25"/>
  <c r="B119" i="25"/>
  <c r="B118" i="25"/>
  <c r="B117" i="25"/>
  <c r="B138" i="25"/>
  <c r="B137" i="25"/>
  <c r="B136" i="25"/>
  <c r="B135" i="25"/>
  <c r="B80" i="25"/>
  <c r="B79" i="25"/>
  <c r="B78" i="25"/>
  <c r="B77" i="25"/>
  <c r="B76" i="25"/>
  <c r="B53" i="25"/>
  <c r="B52" i="25"/>
  <c r="B51" i="25"/>
  <c r="B50" i="25"/>
  <c r="B116" i="25"/>
  <c r="B115" i="25"/>
  <c r="B114" i="25"/>
  <c r="B113" i="25"/>
  <c r="B112" i="25"/>
  <c r="B66" i="25"/>
  <c r="B65" i="25"/>
  <c r="B64" i="25"/>
  <c r="B63" i="25"/>
  <c r="B62" i="25"/>
  <c r="B104" i="25"/>
  <c r="B103" i="25"/>
  <c r="B102" i="25"/>
  <c r="B101" i="25"/>
  <c r="B92" i="25"/>
  <c r="B91" i="25"/>
  <c r="B90" i="25"/>
  <c r="B89" i="25"/>
  <c r="B88" i="25"/>
  <c r="B87" i="25"/>
  <c r="B86" i="25"/>
  <c r="B85" i="25"/>
  <c r="B107" i="25"/>
  <c r="B106" i="25"/>
  <c r="B105" i="25"/>
  <c r="B98" i="25"/>
  <c r="B97" i="25"/>
  <c r="B48" i="25"/>
  <c r="B47" i="25"/>
  <c r="B46" i="25"/>
  <c r="B45" i="25"/>
  <c r="B44" i="25"/>
  <c r="B111" i="25"/>
  <c r="B49" i="25"/>
  <c r="B73" i="25"/>
  <c r="B72" i="25"/>
  <c r="B71" i="25"/>
  <c r="B70" i="25"/>
  <c r="B69" i="25"/>
  <c r="B447" i="25"/>
  <c r="B472" i="25"/>
  <c r="B471" i="25"/>
  <c r="B446" i="25"/>
  <c r="B445" i="25"/>
  <c r="B459" i="25"/>
  <c r="B458" i="25"/>
  <c r="B457" i="25"/>
  <c r="B456" i="25"/>
  <c r="B455" i="25"/>
  <c r="B463" i="25"/>
  <c r="B462" i="25"/>
  <c r="B461" i="25"/>
  <c r="B460" i="25"/>
  <c r="B488" i="25"/>
  <c r="B487" i="25"/>
  <c r="B494" i="25"/>
  <c r="B448" i="25"/>
  <c r="B489" i="25"/>
  <c r="B495" i="25"/>
  <c r="B499" i="25"/>
  <c r="B498" i="25"/>
  <c r="B497" i="25"/>
  <c r="B496" i="25"/>
  <c r="B14" i="25"/>
  <c r="B13" i="25"/>
  <c r="B12" i="25"/>
  <c r="B35" i="25"/>
  <c r="B34" i="25"/>
  <c r="B33" i="25"/>
  <c r="B32" i="25"/>
  <c r="B31" i="25"/>
  <c r="B40" i="25"/>
  <c r="B39" i="25"/>
  <c r="B38" i="25"/>
  <c r="B37" i="25"/>
  <c r="B36" i="25"/>
  <c r="B478" i="25"/>
  <c r="B477" i="25"/>
  <c r="B476" i="25"/>
  <c r="B475" i="25"/>
  <c r="B474" i="25"/>
  <c r="B473" i="25"/>
  <c r="B486" i="25"/>
  <c r="B485" i="25"/>
  <c r="B484" i="25"/>
  <c r="B483" i="25"/>
  <c r="B482" i="25"/>
  <c r="B481" i="25"/>
  <c r="B480" i="25"/>
  <c r="B479" i="25"/>
  <c r="B493" i="25"/>
  <c r="B156" i="25"/>
  <c r="B142" i="25"/>
  <c r="B154" i="25"/>
  <c r="B165" i="25"/>
  <c r="B163" i="25"/>
  <c r="B162" i="25"/>
  <c r="B164" i="25"/>
  <c r="B150" i="25"/>
  <c r="B139" i="25"/>
  <c r="B141" i="25"/>
  <c r="B140" i="25"/>
  <c r="B146" i="25"/>
  <c r="B155" i="25"/>
  <c r="B153" i="25"/>
  <c r="B145" i="25"/>
  <c r="B144" i="25"/>
  <c r="B152" i="25"/>
  <c r="B157" i="25"/>
  <c r="B148" i="25"/>
  <c r="B147" i="25"/>
  <c r="B149" i="25"/>
  <c r="B161" i="25"/>
  <c r="B20" i="25"/>
  <c r="B19" i="25"/>
  <c r="B18" i="25"/>
  <c r="B17" i="25"/>
  <c r="B16" i="25"/>
  <c r="B25" i="25"/>
  <c r="B24" i="25"/>
  <c r="B23" i="25"/>
  <c r="B22" i="25"/>
  <c r="B21" i="25"/>
  <c r="B5" i="25"/>
  <c r="B4" i="25"/>
  <c r="B3" i="25"/>
  <c r="B2" i="25"/>
  <c r="B11" i="25"/>
  <c r="B30" i="25"/>
  <c r="B29" i="25"/>
  <c r="B28" i="25"/>
  <c r="B27" i="25"/>
  <c r="B26" i="25"/>
  <c r="B218" i="25"/>
  <c r="B217" i="25"/>
  <c r="B216" i="25"/>
  <c r="B215" i="25"/>
  <c r="B214" i="25"/>
  <c r="B271" i="25"/>
  <c r="B270" i="25"/>
  <c r="B269" i="25"/>
  <c r="B282" i="25"/>
  <c r="B281" i="25"/>
  <c r="B284" i="25"/>
  <c r="B283" i="25"/>
  <c r="B193" i="25"/>
  <c r="B220" i="25"/>
  <c r="B321" i="25"/>
  <c r="B320" i="25"/>
  <c r="B319" i="25"/>
  <c r="B318" i="25"/>
  <c r="B317" i="25"/>
  <c r="B312" i="25"/>
  <c r="B311" i="25"/>
  <c r="B310" i="25"/>
  <c r="B309" i="25"/>
  <c r="B263" i="25"/>
  <c r="B262" i="25"/>
  <c r="B261" i="25"/>
  <c r="B260" i="25"/>
  <c r="B275" i="25"/>
  <c r="B274" i="25"/>
  <c r="B273" i="25"/>
  <c r="B272" i="25"/>
  <c r="B308" i="25"/>
  <c r="B307" i="25"/>
  <c r="B306" i="25"/>
  <c r="B305" i="25"/>
  <c r="B219" i="25"/>
  <c r="B297" i="25"/>
  <c r="B296" i="25"/>
  <c r="B295" i="25"/>
  <c r="B294" i="25"/>
  <c r="B293" i="25"/>
  <c r="B230" i="25"/>
  <c r="B229" i="25"/>
  <c r="B277" i="25"/>
  <c r="B276" i="25"/>
  <c r="B301" i="25"/>
  <c r="B300" i="25"/>
  <c r="B299" i="25"/>
  <c r="B298" i="25"/>
  <c r="B316" i="25"/>
  <c r="B315" i="25"/>
  <c r="B314" i="25"/>
  <c r="B313" i="25"/>
  <c r="B192" i="25"/>
  <c r="B191" i="25"/>
  <c r="B190" i="25"/>
  <c r="B182" i="25"/>
  <c r="B181" i="25"/>
  <c r="B288" i="25"/>
  <c r="B287" i="25"/>
  <c r="B286" i="25"/>
  <c r="B285" i="25"/>
  <c r="B246" i="25"/>
  <c r="B245" i="25"/>
  <c r="B250" i="25"/>
  <c r="B241" i="25"/>
  <c r="B240" i="25"/>
  <c r="B292" i="25"/>
  <c r="B291" i="25"/>
  <c r="B290" i="25"/>
  <c r="B289" i="25"/>
  <c r="B189" i="25"/>
  <c r="B188" i="25"/>
  <c r="B187" i="25"/>
  <c r="B186" i="25"/>
  <c r="B185" i="25"/>
  <c r="B244" i="25"/>
  <c r="B249" i="25"/>
  <c r="B248" i="25"/>
  <c r="B247" i="25"/>
  <c r="B243" i="25"/>
  <c r="B255" i="25"/>
  <c r="B254" i="25"/>
  <c r="B253" i="25"/>
  <c r="B252" i="25"/>
  <c r="B239" i="25"/>
  <c r="B238" i="25"/>
  <c r="B237" i="25"/>
  <c r="B236" i="25"/>
  <c r="B235" i="25"/>
  <c r="B234" i="25"/>
  <c r="B505" i="25"/>
  <c r="B504" i="25"/>
  <c r="B503" i="25"/>
  <c r="B502" i="25"/>
  <c r="B501" i="25"/>
  <c r="B201" i="25"/>
  <c r="B200" i="25"/>
  <c r="B199" i="25"/>
  <c r="B198" i="25"/>
  <c r="B8" i="25"/>
  <c r="B7" i="25"/>
  <c r="B6" i="25"/>
  <c r="B370" i="25"/>
  <c r="B369" i="25"/>
  <c r="B368" i="25"/>
  <c r="B367" i="25"/>
  <c r="B9" i="25"/>
  <c r="B10" i="25"/>
  <c r="B96" i="25"/>
  <c r="B95" i="25"/>
  <c r="B94" i="25"/>
  <c r="B93" i="25"/>
  <c r="B168" i="25"/>
  <c r="AT452" i="25" l="1"/>
  <c r="AS452" i="25"/>
  <c r="AR452" i="25"/>
  <c r="AQ452" i="25"/>
  <c r="AO452" i="25"/>
  <c r="AN452" i="25"/>
  <c r="AM452" i="25"/>
  <c r="AL452" i="25"/>
  <c r="AK452" i="25"/>
  <c r="AJ452" i="25"/>
  <c r="AI452" i="25"/>
  <c r="AH452" i="25"/>
  <c r="AG452" i="25"/>
  <c r="AF452" i="25"/>
  <c r="AE452" i="25"/>
  <c r="AD452" i="25"/>
  <c r="AC452" i="25"/>
  <c r="AB452" i="25"/>
  <c r="AA452" i="25"/>
  <c r="Z452" i="25"/>
  <c r="Y452" i="25"/>
  <c r="X452" i="25"/>
  <c r="W452" i="25"/>
  <c r="V452" i="25"/>
  <c r="U452" i="25"/>
  <c r="T452" i="25"/>
  <c r="S452" i="25"/>
  <c r="R452" i="25"/>
  <c r="Q452" i="25"/>
  <c r="P452" i="25"/>
  <c r="O452" i="25"/>
  <c r="N452" i="25"/>
  <c r="M452" i="25"/>
  <c r="L452" i="25"/>
  <c r="K452" i="25"/>
  <c r="J452" i="25"/>
  <c r="H452" i="25"/>
  <c r="G452" i="25"/>
  <c r="C452" i="25"/>
  <c r="D452" i="25" s="1"/>
  <c r="F452" i="25"/>
  <c r="AT451" i="25"/>
  <c r="AS451" i="25"/>
  <c r="AR451" i="25"/>
  <c r="AQ451" i="25"/>
  <c r="AO451" i="25"/>
  <c r="AN451" i="25"/>
  <c r="AM451" i="25"/>
  <c r="AL451" i="25"/>
  <c r="AK451" i="25"/>
  <c r="AJ451" i="25"/>
  <c r="AI451" i="25"/>
  <c r="AH451" i="25"/>
  <c r="AG451" i="25"/>
  <c r="AF451" i="25"/>
  <c r="AE451" i="25"/>
  <c r="AD451" i="25"/>
  <c r="AC451" i="25"/>
  <c r="AB451" i="25"/>
  <c r="AA451" i="25"/>
  <c r="Z451" i="25"/>
  <c r="Y451" i="25"/>
  <c r="X451" i="25"/>
  <c r="W451" i="25"/>
  <c r="V451" i="25"/>
  <c r="U451" i="25"/>
  <c r="T451" i="25"/>
  <c r="S451" i="25"/>
  <c r="R451" i="25"/>
  <c r="Q451" i="25"/>
  <c r="P451" i="25"/>
  <c r="O451" i="25"/>
  <c r="N451" i="25"/>
  <c r="M451" i="25"/>
  <c r="L451" i="25"/>
  <c r="K451" i="25"/>
  <c r="J451" i="25"/>
  <c r="H451" i="25"/>
  <c r="G451" i="25"/>
  <c r="C451" i="25"/>
  <c r="D451" i="25" s="1"/>
  <c r="F451" i="25"/>
  <c r="AT450" i="25"/>
  <c r="AS450" i="25"/>
  <c r="AR450" i="25"/>
  <c r="AQ450" i="25"/>
  <c r="AO450" i="25"/>
  <c r="AN450" i="25"/>
  <c r="AM450" i="25"/>
  <c r="AL450" i="25"/>
  <c r="AK450" i="25"/>
  <c r="AJ450" i="25"/>
  <c r="AI450" i="25"/>
  <c r="AH450" i="25"/>
  <c r="AG450" i="25"/>
  <c r="AF450" i="25"/>
  <c r="AE450" i="25"/>
  <c r="AD450" i="25"/>
  <c r="AC450" i="25"/>
  <c r="AB450" i="25"/>
  <c r="AA450" i="25"/>
  <c r="Z450" i="25"/>
  <c r="Y450" i="25"/>
  <c r="X450" i="25"/>
  <c r="W450" i="25"/>
  <c r="V450" i="25"/>
  <c r="U450" i="25"/>
  <c r="T450" i="25"/>
  <c r="S450" i="25"/>
  <c r="R450" i="25"/>
  <c r="Q450" i="25"/>
  <c r="P450" i="25"/>
  <c r="O450" i="25"/>
  <c r="N450" i="25"/>
  <c r="M450" i="25"/>
  <c r="L450" i="25"/>
  <c r="K450" i="25"/>
  <c r="J450" i="25"/>
  <c r="H450" i="25"/>
  <c r="G450" i="25"/>
  <c r="C450" i="25"/>
  <c r="D450" i="25" s="1"/>
  <c r="F450" i="25"/>
  <c r="AT449" i="25"/>
  <c r="AS449" i="25"/>
  <c r="AR449" i="25"/>
  <c r="AQ449" i="25"/>
  <c r="AO449" i="25"/>
  <c r="AN449" i="25"/>
  <c r="AM449" i="25"/>
  <c r="AL449" i="25"/>
  <c r="AK449" i="25"/>
  <c r="AJ449" i="25"/>
  <c r="AI449" i="25"/>
  <c r="AH449" i="25"/>
  <c r="AG449" i="25"/>
  <c r="AF449" i="25"/>
  <c r="AE449" i="25"/>
  <c r="AD449" i="25"/>
  <c r="AC449" i="25"/>
  <c r="AB449" i="25"/>
  <c r="AA449" i="25"/>
  <c r="Z449" i="25"/>
  <c r="Y449" i="25"/>
  <c r="X449" i="25"/>
  <c r="W449" i="25"/>
  <c r="V449" i="25"/>
  <c r="U449" i="25"/>
  <c r="T449" i="25"/>
  <c r="S449" i="25"/>
  <c r="R449" i="25"/>
  <c r="Q449" i="25"/>
  <c r="P449" i="25"/>
  <c r="O449" i="25"/>
  <c r="N449" i="25"/>
  <c r="M449" i="25"/>
  <c r="L449" i="25"/>
  <c r="K449" i="25"/>
  <c r="J449" i="25"/>
  <c r="H449" i="25"/>
  <c r="G449" i="25"/>
  <c r="C449" i="25"/>
  <c r="D449" i="25" s="1"/>
  <c r="F449" i="25"/>
  <c r="AT478" i="25"/>
  <c r="AS478" i="25"/>
  <c r="AQ478" i="25"/>
  <c r="AO478" i="25"/>
  <c r="AN478" i="25"/>
  <c r="AM478" i="25"/>
  <c r="AL478" i="25"/>
  <c r="AK478" i="25"/>
  <c r="AJ478" i="25"/>
  <c r="AI478" i="25"/>
  <c r="AH478" i="25"/>
  <c r="AG478" i="25"/>
  <c r="AF478" i="25"/>
  <c r="AE478" i="25"/>
  <c r="AD478" i="25"/>
  <c r="AC478" i="25"/>
  <c r="AB478" i="25"/>
  <c r="AA478" i="25"/>
  <c r="Z478" i="25"/>
  <c r="Y478" i="25"/>
  <c r="X478" i="25"/>
  <c r="W478" i="25"/>
  <c r="V478" i="25"/>
  <c r="U478" i="25"/>
  <c r="T478" i="25"/>
  <c r="S478" i="25"/>
  <c r="R478" i="25"/>
  <c r="Q478" i="25"/>
  <c r="P478" i="25"/>
  <c r="O478" i="25"/>
  <c r="N478" i="25"/>
  <c r="M478" i="25"/>
  <c r="L478" i="25"/>
  <c r="K478" i="25"/>
  <c r="J478" i="25"/>
  <c r="H478" i="25"/>
  <c r="G478" i="25"/>
  <c r="C478" i="25"/>
  <c r="D478" i="25" s="1"/>
  <c r="F478" i="25"/>
  <c r="AT477" i="25"/>
  <c r="AS477" i="25"/>
  <c r="AR477" i="25"/>
  <c r="AQ477" i="25"/>
  <c r="AO477" i="25"/>
  <c r="AN477" i="25"/>
  <c r="AM477" i="25"/>
  <c r="AL477" i="25"/>
  <c r="AK477" i="25"/>
  <c r="AJ477" i="25"/>
  <c r="AI477" i="25"/>
  <c r="AH477" i="25"/>
  <c r="AG477" i="25"/>
  <c r="AF477" i="25"/>
  <c r="AE477" i="25"/>
  <c r="AD477" i="25"/>
  <c r="AC477" i="25"/>
  <c r="AB477" i="25"/>
  <c r="AA477" i="25"/>
  <c r="Z477" i="25"/>
  <c r="Y477" i="25"/>
  <c r="X477" i="25"/>
  <c r="W477" i="25"/>
  <c r="V477" i="25"/>
  <c r="U477" i="25"/>
  <c r="T477" i="25"/>
  <c r="S477" i="25"/>
  <c r="R477" i="25"/>
  <c r="Q477" i="25"/>
  <c r="P477" i="25"/>
  <c r="O477" i="25"/>
  <c r="N477" i="25"/>
  <c r="M477" i="25"/>
  <c r="L477" i="25"/>
  <c r="K477" i="25"/>
  <c r="J477" i="25"/>
  <c r="H477" i="25"/>
  <c r="G477" i="25"/>
  <c r="C477" i="25"/>
  <c r="D477" i="25" s="1"/>
  <c r="F477" i="25"/>
  <c r="AT476" i="25"/>
  <c r="AS476" i="25"/>
  <c r="AQ476" i="25"/>
  <c r="AO476" i="25"/>
  <c r="AN476" i="25"/>
  <c r="AM476" i="25"/>
  <c r="AL476" i="25"/>
  <c r="AK476" i="25"/>
  <c r="AJ476" i="25"/>
  <c r="AI476" i="25"/>
  <c r="AH476" i="25"/>
  <c r="AG476" i="25"/>
  <c r="AF476" i="25"/>
  <c r="AE476" i="25"/>
  <c r="AD476" i="25"/>
  <c r="AC476" i="25"/>
  <c r="AB476" i="25"/>
  <c r="AA476" i="25"/>
  <c r="Z476" i="25"/>
  <c r="Y476" i="25"/>
  <c r="X476" i="25"/>
  <c r="W476" i="25"/>
  <c r="V476" i="25"/>
  <c r="U476" i="25"/>
  <c r="T476" i="25"/>
  <c r="S476" i="25"/>
  <c r="R476" i="25"/>
  <c r="Q476" i="25"/>
  <c r="P476" i="25"/>
  <c r="O476" i="25"/>
  <c r="N476" i="25"/>
  <c r="M476" i="25"/>
  <c r="L476" i="25"/>
  <c r="K476" i="25"/>
  <c r="J476" i="25"/>
  <c r="H476" i="25"/>
  <c r="G476" i="25"/>
  <c r="C476" i="25"/>
  <c r="D476" i="25" s="1"/>
  <c r="F476" i="25"/>
  <c r="AT475" i="25"/>
  <c r="AS475" i="25"/>
  <c r="AQ475" i="25"/>
  <c r="AO475" i="25"/>
  <c r="AN475" i="25"/>
  <c r="AM475" i="25"/>
  <c r="AL475" i="25"/>
  <c r="AK475" i="25"/>
  <c r="AJ475" i="25"/>
  <c r="AI475" i="25"/>
  <c r="AH475" i="25"/>
  <c r="AG475" i="25"/>
  <c r="AF475" i="25"/>
  <c r="AE475" i="25"/>
  <c r="AD475" i="25"/>
  <c r="AC475" i="25"/>
  <c r="AB475" i="25"/>
  <c r="AA475" i="25"/>
  <c r="Z475" i="25"/>
  <c r="Y475" i="25"/>
  <c r="X475" i="25"/>
  <c r="W475" i="25"/>
  <c r="V475" i="25"/>
  <c r="U475" i="25"/>
  <c r="T475" i="25"/>
  <c r="S475" i="25"/>
  <c r="R475" i="25"/>
  <c r="Q475" i="25"/>
  <c r="P475" i="25"/>
  <c r="O475" i="25"/>
  <c r="N475" i="25"/>
  <c r="M475" i="25"/>
  <c r="L475" i="25"/>
  <c r="K475" i="25"/>
  <c r="J475" i="25"/>
  <c r="H475" i="25"/>
  <c r="G475" i="25"/>
  <c r="C475" i="25"/>
  <c r="D475" i="25" s="1"/>
  <c r="F475" i="25"/>
  <c r="AT474" i="25"/>
  <c r="AS474" i="25"/>
  <c r="AQ474" i="25"/>
  <c r="AO474" i="25"/>
  <c r="AN474" i="25"/>
  <c r="AM474" i="25"/>
  <c r="AL474" i="25"/>
  <c r="AK474" i="25"/>
  <c r="AJ474" i="25"/>
  <c r="AI474" i="25"/>
  <c r="AH474" i="25"/>
  <c r="AG474" i="25"/>
  <c r="AF474" i="25"/>
  <c r="AE474" i="25"/>
  <c r="AD474" i="25"/>
  <c r="AC474" i="25"/>
  <c r="AB474" i="25"/>
  <c r="AA474" i="25"/>
  <c r="Z474" i="25"/>
  <c r="Y474" i="25"/>
  <c r="X474" i="25"/>
  <c r="W474" i="25"/>
  <c r="V474" i="25"/>
  <c r="U474" i="25"/>
  <c r="T474" i="25"/>
  <c r="S474" i="25"/>
  <c r="R474" i="25"/>
  <c r="Q474" i="25"/>
  <c r="P474" i="25"/>
  <c r="O474" i="25"/>
  <c r="N474" i="25"/>
  <c r="M474" i="25"/>
  <c r="L474" i="25"/>
  <c r="K474" i="25"/>
  <c r="J474" i="25"/>
  <c r="H474" i="25"/>
  <c r="G474" i="25"/>
  <c r="C474" i="25"/>
  <c r="D474" i="25" s="1"/>
  <c r="F474" i="25"/>
  <c r="AT473" i="25"/>
  <c r="AS473" i="25"/>
  <c r="AQ473" i="25"/>
  <c r="AO473" i="25"/>
  <c r="AN473" i="25"/>
  <c r="AM473" i="25"/>
  <c r="AL473" i="25"/>
  <c r="AK473" i="25"/>
  <c r="AJ473" i="25"/>
  <c r="AI473" i="25"/>
  <c r="AH473" i="25"/>
  <c r="AG473" i="25"/>
  <c r="AF473" i="25"/>
  <c r="AE473" i="25"/>
  <c r="AD473" i="25"/>
  <c r="AC473" i="25"/>
  <c r="AB473" i="25"/>
  <c r="AA473" i="25"/>
  <c r="Z473" i="25"/>
  <c r="Y473" i="25"/>
  <c r="X473" i="25"/>
  <c r="W473" i="25"/>
  <c r="V473" i="25"/>
  <c r="U473" i="25"/>
  <c r="T473" i="25"/>
  <c r="S473" i="25"/>
  <c r="R473" i="25"/>
  <c r="Q473" i="25"/>
  <c r="P473" i="25"/>
  <c r="O473" i="25"/>
  <c r="N473" i="25"/>
  <c r="M473" i="25"/>
  <c r="L473" i="25"/>
  <c r="K473" i="25"/>
  <c r="J473" i="25"/>
  <c r="H473" i="25"/>
  <c r="G473" i="25"/>
  <c r="C473" i="25"/>
  <c r="D473" i="25" s="1"/>
  <c r="F473" i="25"/>
  <c r="AT499" i="25"/>
  <c r="AS499" i="25"/>
  <c r="AR499" i="25"/>
  <c r="AQ499" i="25"/>
  <c r="AO499" i="25"/>
  <c r="AN499" i="25"/>
  <c r="AM499" i="25"/>
  <c r="AL499" i="25"/>
  <c r="AK499" i="25"/>
  <c r="AJ499" i="25"/>
  <c r="AI499" i="25"/>
  <c r="AH499" i="25"/>
  <c r="AG499" i="25"/>
  <c r="AF499" i="25"/>
  <c r="AE499" i="25"/>
  <c r="AD499" i="25"/>
  <c r="AC499" i="25"/>
  <c r="AB499" i="25"/>
  <c r="AA499" i="25"/>
  <c r="Z499" i="25"/>
  <c r="Y499" i="25"/>
  <c r="X499" i="25"/>
  <c r="W499" i="25"/>
  <c r="V499" i="25"/>
  <c r="U499" i="25"/>
  <c r="T499" i="25"/>
  <c r="S499" i="25"/>
  <c r="R499" i="25"/>
  <c r="Q499" i="25"/>
  <c r="P499" i="25"/>
  <c r="O499" i="25"/>
  <c r="N499" i="25"/>
  <c r="M499" i="25"/>
  <c r="L499" i="25"/>
  <c r="K499" i="25"/>
  <c r="J499" i="25"/>
  <c r="H499" i="25"/>
  <c r="G499" i="25"/>
  <c r="C499" i="25"/>
  <c r="D499" i="25" s="1"/>
  <c r="F499" i="25"/>
  <c r="AT498" i="25"/>
  <c r="AS498" i="25"/>
  <c r="AR498" i="25"/>
  <c r="AQ498" i="25"/>
  <c r="AO498" i="25"/>
  <c r="AN498" i="25"/>
  <c r="AM498" i="25"/>
  <c r="AL498" i="25"/>
  <c r="AK498" i="25"/>
  <c r="AJ498" i="25"/>
  <c r="AI498" i="25"/>
  <c r="AH498" i="25"/>
  <c r="AG498" i="25"/>
  <c r="AF498" i="25"/>
  <c r="AE498" i="25"/>
  <c r="AD498" i="25"/>
  <c r="AC498" i="25"/>
  <c r="AB498" i="25"/>
  <c r="AA498" i="25"/>
  <c r="Z498" i="25"/>
  <c r="Y498" i="25"/>
  <c r="X498" i="25"/>
  <c r="W498" i="25"/>
  <c r="V498" i="25"/>
  <c r="U498" i="25"/>
  <c r="T498" i="25"/>
  <c r="S498" i="25"/>
  <c r="R498" i="25"/>
  <c r="Q498" i="25"/>
  <c r="P498" i="25"/>
  <c r="O498" i="25"/>
  <c r="N498" i="25"/>
  <c r="M498" i="25"/>
  <c r="L498" i="25"/>
  <c r="K498" i="25"/>
  <c r="J498" i="25"/>
  <c r="H498" i="25"/>
  <c r="G498" i="25"/>
  <c r="C498" i="25"/>
  <c r="D498" i="25" s="1"/>
  <c r="F498" i="25"/>
  <c r="AT497" i="25"/>
  <c r="AS497" i="25"/>
  <c r="AR497" i="25"/>
  <c r="AQ497" i="25"/>
  <c r="AO497" i="25"/>
  <c r="AN497" i="25"/>
  <c r="AM497" i="25"/>
  <c r="AL497" i="25"/>
  <c r="AK497" i="25"/>
  <c r="AJ497" i="25"/>
  <c r="AI497" i="25"/>
  <c r="AH497" i="25"/>
  <c r="AG497" i="25"/>
  <c r="AF497" i="25"/>
  <c r="AE497" i="25"/>
  <c r="AD497" i="25"/>
  <c r="AC497" i="25"/>
  <c r="AB497" i="25"/>
  <c r="AA497" i="25"/>
  <c r="Z497" i="25"/>
  <c r="Y497" i="25"/>
  <c r="X497" i="25"/>
  <c r="W497" i="25"/>
  <c r="V497" i="25"/>
  <c r="U497" i="25"/>
  <c r="T497" i="25"/>
  <c r="S497" i="25"/>
  <c r="R497" i="25"/>
  <c r="Q497" i="25"/>
  <c r="P497" i="25"/>
  <c r="O497" i="25"/>
  <c r="N497" i="25"/>
  <c r="M497" i="25"/>
  <c r="L497" i="25"/>
  <c r="K497" i="25"/>
  <c r="J497" i="25"/>
  <c r="H497" i="25"/>
  <c r="G497" i="25"/>
  <c r="C497" i="25"/>
  <c r="D497" i="25" s="1"/>
  <c r="F497" i="25"/>
  <c r="AT496" i="25"/>
  <c r="AS496" i="25"/>
  <c r="AR496" i="25"/>
  <c r="AQ496" i="25"/>
  <c r="AO496" i="25"/>
  <c r="AN496" i="25"/>
  <c r="AM496" i="25"/>
  <c r="AL496" i="25"/>
  <c r="AK496" i="25"/>
  <c r="AJ496" i="25"/>
  <c r="AI496" i="25"/>
  <c r="AH496" i="25"/>
  <c r="AG496" i="25"/>
  <c r="AF496" i="25"/>
  <c r="AE496" i="25"/>
  <c r="AD496" i="25"/>
  <c r="AC496" i="25"/>
  <c r="AB496" i="25"/>
  <c r="AA496" i="25"/>
  <c r="Z496" i="25"/>
  <c r="Y496" i="25"/>
  <c r="X496" i="25"/>
  <c r="W496" i="25"/>
  <c r="V496" i="25"/>
  <c r="U496" i="25"/>
  <c r="T496" i="25"/>
  <c r="S496" i="25"/>
  <c r="R496" i="25"/>
  <c r="Q496" i="25"/>
  <c r="P496" i="25"/>
  <c r="O496" i="25"/>
  <c r="N496" i="25"/>
  <c r="M496" i="25"/>
  <c r="L496" i="25"/>
  <c r="K496" i="25"/>
  <c r="J496" i="25"/>
  <c r="H496" i="25"/>
  <c r="G496" i="25"/>
  <c r="C496" i="25"/>
  <c r="D496" i="25" s="1"/>
  <c r="F496" i="25"/>
  <c r="AT486" i="25"/>
  <c r="AS486" i="25"/>
  <c r="AQ486" i="25"/>
  <c r="AO486" i="25"/>
  <c r="AN486" i="25"/>
  <c r="AM486" i="25"/>
  <c r="AL486" i="25"/>
  <c r="AK486" i="25"/>
  <c r="AJ486" i="25"/>
  <c r="AI486" i="25"/>
  <c r="AH486" i="25"/>
  <c r="AG486" i="25"/>
  <c r="AF486" i="25"/>
  <c r="AE486" i="25"/>
  <c r="AD486" i="25"/>
  <c r="AC486" i="25"/>
  <c r="AB486" i="25"/>
  <c r="AA486" i="25"/>
  <c r="Z486" i="25"/>
  <c r="Y486" i="25"/>
  <c r="X486" i="25"/>
  <c r="W486" i="25"/>
  <c r="V486" i="25"/>
  <c r="U486" i="25"/>
  <c r="T486" i="25"/>
  <c r="S486" i="25"/>
  <c r="R486" i="25"/>
  <c r="Q486" i="25"/>
  <c r="P486" i="25"/>
  <c r="O486" i="25"/>
  <c r="N486" i="25"/>
  <c r="M486" i="25"/>
  <c r="L486" i="25"/>
  <c r="K486" i="25"/>
  <c r="J486" i="25"/>
  <c r="H486" i="25"/>
  <c r="G486" i="25"/>
  <c r="C486" i="25"/>
  <c r="D486" i="25" s="1"/>
  <c r="F486" i="25"/>
  <c r="AT485" i="25"/>
  <c r="AS485" i="25"/>
  <c r="AQ485" i="25"/>
  <c r="AO485" i="25"/>
  <c r="AN485" i="25"/>
  <c r="AM485" i="25"/>
  <c r="AL485" i="25"/>
  <c r="AK485" i="25"/>
  <c r="AJ485" i="25"/>
  <c r="AI485" i="25"/>
  <c r="AH485" i="25"/>
  <c r="AG485" i="25"/>
  <c r="AF485" i="25"/>
  <c r="AE485" i="25"/>
  <c r="AD485" i="25"/>
  <c r="AC485" i="25"/>
  <c r="AB485" i="25"/>
  <c r="AA485" i="25"/>
  <c r="Z485" i="25"/>
  <c r="Y485" i="25"/>
  <c r="X485" i="25"/>
  <c r="W485" i="25"/>
  <c r="V485" i="25"/>
  <c r="U485" i="25"/>
  <c r="T485" i="25"/>
  <c r="S485" i="25"/>
  <c r="R485" i="25"/>
  <c r="Q485" i="25"/>
  <c r="P485" i="25"/>
  <c r="O485" i="25"/>
  <c r="N485" i="25"/>
  <c r="M485" i="25"/>
  <c r="L485" i="25"/>
  <c r="K485" i="25"/>
  <c r="J485" i="25"/>
  <c r="H485" i="25"/>
  <c r="G485" i="25"/>
  <c r="C485" i="25"/>
  <c r="D485" i="25" s="1"/>
  <c r="F485" i="25"/>
  <c r="AT484" i="25"/>
  <c r="AS484" i="25"/>
  <c r="AQ484" i="25"/>
  <c r="AO484" i="25"/>
  <c r="AN484" i="25"/>
  <c r="AM484" i="25"/>
  <c r="AL484" i="25"/>
  <c r="AK484" i="25"/>
  <c r="AJ484" i="25"/>
  <c r="AI484" i="25"/>
  <c r="AH484" i="25"/>
  <c r="AG484" i="25"/>
  <c r="AF484" i="25"/>
  <c r="AE484" i="25"/>
  <c r="AD484" i="25"/>
  <c r="AC484" i="25"/>
  <c r="AB484" i="25"/>
  <c r="AA484" i="25"/>
  <c r="Z484" i="25"/>
  <c r="Y484" i="25"/>
  <c r="X484" i="25"/>
  <c r="W484" i="25"/>
  <c r="V484" i="25"/>
  <c r="U484" i="25"/>
  <c r="T484" i="25"/>
  <c r="S484" i="25"/>
  <c r="R484" i="25"/>
  <c r="Q484" i="25"/>
  <c r="P484" i="25"/>
  <c r="O484" i="25"/>
  <c r="N484" i="25"/>
  <c r="M484" i="25"/>
  <c r="L484" i="25"/>
  <c r="K484" i="25"/>
  <c r="J484" i="25"/>
  <c r="H484" i="25"/>
  <c r="G484" i="25"/>
  <c r="C484" i="25"/>
  <c r="D484" i="25" s="1"/>
  <c r="F484" i="25"/>
  <c r="AT483" i="25"/>
  <c r="AS483" i="25"/>
  <c r="AQ483" i="25"/>
  <c r="AO483" i="25"/>
  <c r="AN483" i="25"/>
  <c r="AM483" i="25"/>
  <c r="AL483" i="25"/>
  <c r="AK483" i="25"/>
  <c r="AJ483" i="25"/>
  <c r="AI483" i="25"/>
  <c r="AH483" i="25"/>
  <c r="AG483" i="25"/>
  <c r="AF483" i="25"/>
  <c r="AE483" i="25"/>
  <c r="AD483" i="25"/>
  <c r="AC483" i="25"/>
  <c r="AB483" i="25"/>
  <c r="AA483" i="25"/>
  <c r="Z483" i="25"/>
  <c r="Y483" i="25"/>
  <c r="X483" i="25"/>
  <c r="W483" i="25"/>
  <c r="V483" i="25"/>
  <c r="U483" i="25"/>
  <c r="T483" i="25"/>
  <c r="S483" i="25"/>
  <c r="R483" i="25"/>
  <c r="Q483" i="25"/>
  <c r="P483" i="25"/>
  <c r="O483" i="25"/>
  <c r="N483" i="25"/>
  <c r="M483" i="25"/>
  <c r="L483" i="25"/>
  <c r="K483" i="25"/>
  <c r="J483" i="25"/>
  <c r="H483" i="25"/>
  <c r="G483" i="25"/>
  <c r="C483" i="25"/>
  <c r="D483" i="25" s="1"/>
  <c r="F483" i="25"/>
  <c r="AT482" i="25"/>
  <c r="AS482" i="25"/>
  <c r="AQ482" i="25"/>
  <c r="AO482" i="25"/>
  <c r="AN482" i="25"/>
  <c r="AM482" i="25"/>
  <c r="AL482" i="25"/>
  <c r="AK482" i="25"/>
  <c r="AJ482" i="25"/>
  <c r="AI482" i="25"/>
  <c r="AH482" i="25"/>
  <c r="AG482" i="25"/>
  <c r="AF482" i="25"/>
  <c r="AE482" i="25"/>
  <c r="AD482" i="25"/>
  <c r="AC482" i="25"/>
  <c r="AB482" i="25"/>
  <c r="AA482" i="25"/>
  <c r="Z482" i="25"/>
  <c r="Y482" i="25"/>
  <c r="X482" i="25"/>
  <c r="W482" i="25"/>
  <c r="V482" i="25"/>
  <c r="U482" i="25"/>
  <c r="T482" i="25"/>
  <c r="S482" i="25"/>
  <c r="R482" i="25"/>
  <c r="Q482" i="25"/>
  <c r="P482" i="25"/>
  <c r="O482" i="25"/>
  <c r="N482" i="25"/>
  <c r="M482" i="25"/>
  <c r="L482" i="25"/>
  <c r="K482" i="25"/>
  <c r="J482" i="25"/>
  <c r="H482" i="25"/>
  <c r="G482" i="25"/>
  <c r="C482" i="25"/>
  <c r="D482" i="25" s="1"/>
  <c r="F482" i="25"/>
  <c r="AT481" i="25"/>
  <c r="AS481" i="25"/>
  <c r="AQ481" i="25"/>
  <c r="AO481" i="25"/>
  <c r="AN481" i="25"/>
  <c r="AM481" i="25"/>
  <c r="AL481" i="25"/>
  <c r="AK481" i="25"/>
  <c r="AJ481" i="25"/>
  <c r="AI481" i="25"/>
  <c r="AH481" i="25"/>
  <c r="AG481" i="25"/>
  <c r="AF481" i="25"/>
  <c r="AE481" i="25"/>
  <c r="AD481" i="25"/>
  <c r="AC481" i="25"/>
  <c r="AB481" i="25"/>
  <c r="AA481" i="25"/>
  <c r="Z481" i="25"/>
  <c r="Y481" i="25"/>
  <c r="X481" i="25"/>
  <c r="W481" i="25"/>
  <c r="V481" i="25"/>
  <c r="U481" i="25"/>
  <c r="T481" i="25"/>
  <c r="S481" i="25"/>
  <c r="R481" i="25"/>
  <c r="Q481" i="25"/>
  <c r="P481" i="25"/>
  <c r="O481" i="25"/>
  <c r="N481" i="25"/>
  <c r="M481" i="25"/>
  <c r="L481" i="25"/>
  <c r="K481" i="25"/>
  <c r="J481" i="25"/>
  <c r="H481" i="25"/>
  <c r="G481" i="25"/>
  <c r="C481" i="25"/>
  <c r="D481" i="25" s="1"/>
  <c r="F481" i="25"/>
  <c r="AT480" i="25"/>
  <c r="AS480" i="25"/>
  <c r="AQ480" i="25"/>
  <c r="AO480" i="25"/>
  <c r="AN480" i="25"/>
  <c r="AM480" i="25"/>
  <c r="AL480" i="25"/>
  <c r="AK480" i="25"/>
  <c r="AJ480" i="25"/>
  <c r="AI480" i="25"/>
  <c r="AH480" i="25"/>
  <c r="AG480" i="25"/>
  <c r="AF480" i="25"/>
  <c r="AE480" i="25"/>
  <c r="AD480" i="25"/>
  <c r="AC480" i="25"/>
  <c r="AB480" i="25"/>
  <c r="AA480" i="25"/>
  <c r="Z480" i="25"/>
  <c r="Y480" i="25"/>
  <c r="X480" i="25"/>
  <c r="W480" i="25"/>
  <c r="V480" i="25"/>
  <c r="U480" i="25"/>
  <c r="T480" i="25"/>
  <c r="S480" i="25"/>
  <c r="R480" i="25"/>
  <c r="Q480" i="25"/>
  <c r="P480" i="25"/>
  <c r="O480" i="25"/>
  <c r="N480" i="25"/>
  <c r="M480" i="25"/>
  <c r="L480" i="25"/>
  <c r="K480" i="25"/>
  <c r="J480" i="25"/>
  <c r="H480" i="25"/>
  <c r="G480" i="25"/>
  <c r="C480" i="25"/>
  <c r="D480" i="25" s="1"/>
  <c r="F480" i="25"/>
  <c r="AT479" i="25"/>
  <c r="AS479" i="25"/>
  <c r="AR479" i="25"/>
  <c r="AQ479" i="25"/>
  <c r="AO479" i="25"/>
  <c r="AN479" i="25"/>
  <c r="AM479" i="25"/>
  <c r="AL479" i="25"/>
  <c r="AK479" i="25"/>
  <c r="AJ479" i="25"/>
  <c r="AI479" i="25"/>
  <c r="AH479" i="25"/>
  <c r="AG479" i="25"/>
  <c r="AF479" i="25"/>
  <c r="AE479" i="25"/>
  <c r="AD479" i="25"/>
  <c r="AC479" i="25"/>
  <c r="AB479" i="25"/>
  <c r="AA479" i="25"/>
  <c r="Z479" i="25"/>
  <c r="Y479" i="25"/>
  <c r="X479" i="25"/>
  <c r="W479" i="25"/>
  <c r="V479" i="25"/>
  <c r="U479" i="25"/>
  <c r="T479" i="25"/>
  <c r="S479" i="25"/>
  <c r="R479" i="25"/>
  <c r="Q479" i="25"/>
  <c r="P479" i="25"/>
  <c r="O479" i="25"/>
  <c r="N479" i="25"/>
  <c r="M479" i="25"/>
  <c r="L479" i="25"/>
  <c r="K479" i="25"/>
  <c r="J479" i="25"/>
  <c r="H479" i="25"/>
  <c r="G479" i="25"/>
  <c r="C479" i="25"/>
  <c r="D479" i="25" s="1"/>
  <c r="F479" i="25"/>
  <c r="AT489" i="25"/>
  <c r="AS489" i="25"/>
  <c r="AR489" i="25"/>
  <c r="AQ489" i="25"/>
  <c r="AO489" i="25"/>
  <c r="AN489" i="25"/>
  <c r="AM489" i="25"/>
  <c r="AL489" i="25"/>
  <c r="AK489" i="25"/>
  <c r="AJ489" i="25"/>
  <c r="AI489" i="25"/>
  <c r="AH489" i="25"/>
  <c r="AG489" i="25"/>
  <c r="AF489" i="25"/>
  <c r="AE489" i="25"/>
  <c r="AD489" i="25"/>
  <c r="AC489" i="25"/>
  <c r="AB489" i="25"/>
  <c r="AA489" i="25"/>
  <c r="Z489" i="25"/>
  <c r="Y489" i="25"/>
  <c r="X489" i="25"/>
  <c r="W489" i="25"/>
  <c r="V489" i="25"/>
  <c r="U489" i="25"/>
  <c r="T489" i="25"/>
  <c r="S489" i="25"/>
  <c r="R489" i="25"/>
  <c r="Q489" i="25"/>
  <c r="P489" i="25"/>
  <c r="O489" i="25"/>
  <c r="N489" i="25"/>
  <c r="M489" i="25"/>
  <c r="L489" i="25"/>
  <c r="K489" i="25"/>
  <c r="J489" i="25"/>
  <c r="H489" i="25"/>
  <c r="G489" i="25"/>
  <c r="C489" i="25"/>
  <c r="D489" i="25" s="1"/>
  <c r="F489" i="25"/>
  <c r="AT492" i="25"/>
  <c r="AS492" i="25"/>
  <c r="AQ492" i="25"/>
  <c r="AO492" i="25"/>
  <c r="AN492" i="25"/>
  <c r="AM492" i="25"/>
  <c r="AL492" i="25"/>
  <c r="AK492" i="25"/>
  <c r="AJ492" i="25"/>
  <c r="AI492" i="25"/>
  <c r="AH492" i="25"/>
  <c r="AG492" i="25"/>
  <c r="AF492" i="25"/>
  <c r="AE492" i="25"/>
  <c r="AD492" i="25"/>
  <c r="AC492" i="25"/>
  <c r="AB492" i="25"/>
  <c r="AA492" i="25"/>
  <c r="Z492" i="25"/>
  <c r="Y492" i="25"/>
  <c r="X492" i="25"/>
  <c r="W492" i="25"/>
  <c r="V492" i="25"/>
  <c r="U492" i="25"/>
  <c r="T492" i="25"/>
  <c r="S492" i="25"/>
  <c r="R492" i="25"/>
  <c r="Q492" i="25"/>
  <c r="P492" i="25"/>
  <c r="O492" i="25"/>
  <c r="N492" i="25"/>
  <c r="M492" i="25"/>
  <c r="L492" i="25"/>
  <c r="K492" i="25"/>
  <c r="J492" i="25"/>
  <c r="H492" i="25"/>
  <c r="G492" i="25"/>
  <c r="C492" i="25"/>
  <c r="D492" i="25" s="1"/>
  <c r="F492" i="25"/>
  <c r="AT491" i="25"/>
  <c r="AS491" i="25"/>
  <c r="AR491" i="25"/>
  <c r="AQ491" i="25"/>
  <c r="AO491" i="25"/>
  <c r="AN491" i="25"/>
  <c r="AM491" i="25"/>
  <c r="AL491" i="25"/>
  <c r="AK491" i="25"/>
  <c r="AJ491" i="25"/>
  <c r="AI491" i="25"/>
  <c r="AH491" i="25"/>
  <c r="AG491" i="25"/>
  <c r="AF491" i="25"/>
  <c r="AE491" i="25"/>
  <c r="AD491" i="25"/>
  <c r="AC491" i="25"/>
  <c r="AB491" i="25"/>
  <c r="AA491" i="25"/>
  <c r="Z491" i="25"/>
  <c r="Y491" i="25"/>
  <c r="X491" i="25"/>
  <c r="W491" i="25"/>
  <c r="V491" i="25"/>
  <c r="U491" i="25"/>
  <c r="T491" i="25"/>
  <c r="S491" i="25"/>
  <c r="R491" i="25"/>
  <c r="Q491" i="25"/>
  <c r="P491" i="25"/>
  <c r="O491" i="25"/>
  <c r="N491" i="25"/>
  <c r="M491" i="25"/>
  <c r="L491" i="25"/>
  <c r="K491" i="25"/>
  <c r="J491" i="25"/>
  <c r="H491" i="25"/>
  <c r="G491" i="25"/>
  <c r="C491" i="25"/>
  <c r="D491" i="25" s="1"/>
  <c r="F491" i="25"/>
  <c r="AT490" i="25"/>
  <c r="AS490" i="25"/>
  <c r="AR490" i="25"/>
  <c r="AQ490" i="25"/>
  <c r="AO490" i="25"/>
  <c r="AN490" i="25"/>
  <c r="AM490" i="25"/>
  <c r="AL490" i="25"/>
  <c r="AK490" i="25"/>
  <c r="AJ490" i="25"/>
  <c r="AI490" i="25"/>
  <c r="AH490" i="25"/>
  <c r="AG490" i="25"/>
  <c r="AF490" i="25"/>
  <c r="AE490" i="25"/>
  <c r="AD490" i="25"/>
  <c r="AC490" i="25"/>
  <c r="AB490" i="25"/>
  <c r="AA490" i="25"/>
  <c r="Z490" i="25"/>
  <c r="Y490" i="25"/>
  <c r="X490" i="25"/>
  <c r="W490" i="25"/>
  <c r="V490" i="25"/>
  <c r="U490" i="25"/>
  <c r="T490" i="25"/>
  <c r="S490" i="25"/>
  <c r="R490" i="25"/>
  <c r="Q490" i="25"/>
  <c r="P490" i="25"/>
  <c r="O490" i="25"/>
  <c r="N490" i="25"/>
  <c r="M490" i="25"/>
  <c r="L490" i="25"/>
  <c r="K490" i="25"/>
  <c r="J490" i="25"/>
  <c r="H490" i="25"/>
  <c r="G490" i="25"/>
  <c r="C490" i="25"/>
  <c r="D490" i="25" s="1"/>
  <c r="F490" i="25"/>
  <c r="AT488" i="25"/>
  <c r="AS488" i="25"/>
  <c r="AR488" i="25"/>
  <c r="AQ488" i="25"/>
  <c r="AO488" i="25"/>
  <c r="AN488" i="25"/>
  <c r="AM488" i="25"/>
  <c r="AL488" i="25"/>
  <c r="AK488" i="25"/>
  <c r="AJ488" i="25"/>
  <c r="AI488" i="25"/>
  <c r="AH488" i="25"/>
  <c r="AG488" i="25"/>
  <c r="AF488" i="25"/>
  <c r="AE488" i="25"/>
  <c r="AD488" i="25"/>
  <c r="AC488" i="25"/>
  <c r="AB488" i="25"/>
  <c r="AA488" i="25"/>
  <c r="Z488" i="25"/>
  <c r="Y488" i="25"/>
  <c r="X488" i="25"/>
  <c r="W488" i="25"/>
  <c r="V488" i="25"/>
  <c r="U488" i="25"/>
  <c r="T488" i="25"/>
  <c r="S488" i="25"/>
  <c r="R488" i="25"/>
  <c r="Q488" i="25"/>
  <c r="P488" i="25"/>
  <c r="O488" i="25"/>
  <c r="N488" i="25"/>
  <c r="M488" i="25"/>
  <c r="L488" i="25"/>
  <c r="K488" i="25"/>
  <c r="J488" i="25"/>
  <c r="H488" i="25"/>
  <c r="G488" i="25"/>
  <c r="C488" i="25"/>
  <c r="D488" i="25" s="1"/>
  <c r="F488" i="25"/>
  <c r="AT487" i="25"/>
  <c r="AS487" i="25"/>
  <c r="AR487" i="25"/>
  <c r="AQ487" i="25"/>
  <c r="AO487" i="25"/>
  <c r="AN487" i="25"/>
  <c r="AM487" i="25"/>
  <c r="AL487" i="25"/>
  <c r="AK487" i="25"/>
  <c r="AJ487" i="25"/>
  <c r="AI487" i="25"/>
  <c r="AH487" i="25"/>
  <c r="AG487" i="25"/>
  <c r="AF487" i="25"/>
  <c r="AE487" i="25"/>
  <c r="AD487" i="25"/>
  <c r="AC487" i="25"/>
  <c r="AB487" i="25"/>
  <c r="AA487" i="25"/>
  <c r="Z487" i="25"/>
  <c r="Y487" i="25"/>
  <c r="X487" i="25"/>
  <c r="W487" i="25"/>
  <c r="V487" i="25"/>
  <c r="U487" i="25"/>
  <c r="T487" i="25"/>
  <c r="S487" i="25"/>
  <c r="R487" i="25"/>
  <c r="Q487" i="25"/>
  <c r="P487" i="25"/>
  <c r="O487" i="25"/>
  <c r="N487" i="25"/>
  <c r="M487" i="25"/>
  <c r="L487" i="25"/>
  <c r="K487" i="25"/>
  <c r="J487" i="25"/>
  <c r="H487" i="25"/>
  <c r="G487" i="25"/>
  <c r="C487" i="25"/>
  <c r="D487" i="25" s="1"/>
  <c r="F487" i="25"/>
  <c r="AT493" i="25"/>
  <c r="AS493" i="25"/>
  <c r="AR493" i="25"/>
  <c r="AQ493" i="25"/>
  <c r="AO493" i="25"/>
  <c r="AN493" i="25"/>
  <c r="AM493" i="25"/>
  <c r="AL493" i="25"/>
  <c r="AK493" i="25"/>
  <c r="AJ493" i="25"/>
  <c r="AI493" i="25"/>
  <c r="AH493" i="25"/>
  <c r="AG493" i="25"/>
  <c r="AF493" i="25"/>
  <c r="AE493" i="25"/>
  <c r="AD493" i="25"/>
  <c r="AC493" i="25"/>
  <c r="AB493" i="25"/>
  <c r="AA493" i="25"/>
  <c r="Z493" i="25"/>
  <c r="Y493" i="25"/>
  <c r="X493" i="25"/>
  <c r="W493" i="25"/>
  <c r="V493" i="25"/>
  <c r="U493" i="25"/>
  <c r="T493" i="25"/>
  <c r="S493" i="25"/>
  <c r="R493" i="25"/>
  <c r="Q493" i="25"/>
  <c r="P493" i="25"/>
  <c r="O493" i="25"/>
  <c r="N493" i="25"/>
  <c r="M493" i="25"/>
  <c r="L493" i="25"/>
  <c r="K493" i="25"/>
  <c r="J493" i="25"/>
  <c r="H493" i="25"/>
  <c r="G493" i="25"/>
  <c r="C493" i="25"/>
  <c r="D493" i="25" s="1"/>
  <c r="F493" i="25"/>
  <c r="AT494" i="25"/>
  <c r="AS494" i="25"/>
  <c r="AR494" i="25"/>
  <c r="AQ494" i="25"/>
  <c r="AO494" i="25"/>
  <c r="AN494" i="25"/>
  <c r="AM494" i="25"/>
  <c r="AL494" i="25"/>
  <c r="AK494" i="25"/>
  <c r="AJ494" i="25"/>
  <c r="AI494" i="25"/>
  <c r="AH494" i="25"/>
  <c r="AG494" i="25"/>
  <c r="AF494" i="25"/>
  <c r="AE494" i="25"/>
  <c r="AD494" i="25"/>
  <c r="AC494" i="25"/>
  <c r="AB494" i="25"/>
  <c r="AA494" i="25"/>
  <c r="Z494" i="25"/>
  <c r="Y494" i="25"/>
  <c r="X494" i="25"/>
  <c r="W494" i="25"/>
  <c r="V494" i="25"/>
  <c r="U494" i="25"/>
  <c r="T494" i="25"/>
  <c r="S494" i="25"/>
  <c r="R494" i="25"/>
  <c r="Q494" i="25"/>
  <c r="P494" i="25"/>
  <c r="O494" i="25"/>
  <c r="N494" i="25"/>
  <c r="M494" i="25"/>
  <c r="L494" i="25"/>
  <c r="K494" i="25"/>
  <c r="J494" i="25"/>
  <c r="H494" i="25"/>
  <c r="G494" i="25"/>
  <c r="C494" i="25"/>
  <c r="D494" i="25" s="1"/>
  <c r="F494" i="25"/>
  <c r="AT454" i="25"/>
  <c r="AS454" i="25"/>
  <c r="AR454" i="25"/>
  <c r="AQ454" i="25"/>
  <c r="AO454" i="25"/>
  <c r="AN454" i="25"/>
  <c r="AM454" i="25"/>
  <c r="AL454" i="25"/>
  <c r="AK454" i="25"/>
  <c r="AJ454" i="25"/>
  <c r="AI454" i="25"/>
  <c r="AH454" i="25"/>
  <c r="AG454" i="25"/>
  <c r="AF454" i="25"/>
  <c r="AE454" i="25"/>
  <c r="AD454" i="25"/>
  <c r="AC454" i="25"/>
  <c r="AB454" i="25"/>
  <c r="AA454" i="25"/>
  <c r="Z454" i="25"/>
  <c r="Y454" i="25"/>
  <c r="X454" i="25"/>
  <c r="W454" i="25"/>
  <c r="V454" i="25"/>
  <c r="U454" i="25"/>
  <c r="T454" i="25"/>
  <c r="S454" i="25"/>
  <c r="R454" i="25"/>
  <c r="Q454" i="25"/>
  <c r="P454" i="25"/>
  <c r="O454" i="25"/>
  <c r="N454" i="25"/>
  <c r="M454" i="25"/>
  <c r="L454" i="25"/>
  <c r="K454" i="25"/>
  <c r="J454" i="25"/>
  <c r="H454" i="25"/>
  <c r="G454" i="25"/>
  <c r="C454" i="25"/>
  <c r="D454" i="25" s="1"/>
  <c r="F454" i="25"/>
  <c r="AT453" i="25"/>
  <c r="AS453" i="25"/>
  <c r="AR453" i="25"/>
  <c r="AQ453" i="25"/>
  <c r="AO453" i="25"/>
  <c r="AN453" i="25"/>
  <c r="AM453" i="25"/>
  <c r="AL453" i="25"/>
  <c r="AK453" i="25"/>
  <c r="AJ453" i="25"/>
  <c r="AI453" i="25"/>
  <c r="AH453" i="25"/>
  <c r="AG453" i="25"/>
  <c r="AF453" i="25"/>
  <c r="AE453" i="25"/>
  <c r="AD453" i="25"/>
  <c r="AC453" i="25"/>
  <c r="AB453" i="25"/>
  <c r="AA453" i="25"/>
  <c r="Z453" i="25"/>
  <c r="Y453" i="25"/>
  <c r="X453" i="25"/>
  <c r="W453" i="25"/>
  <c r="V453" i="25"/>
  <c r="U453" i="25"/>
  <c r="T453" i="25"/>
  <c r="S453" i="25"/>
  <c r="R453" i="25"/>
  <c r="Q453" i="25"/>
  <c r="P453" i="25"/>
  <c r="O453" i="25"/>
  <c r="N453" i="25"/>
  <c r="M453" i="25"/>
  <c r="L453" i="25"/>
  <c r="K453" i="25"/>
  <c r="J453" i="25"/>
  <c r="H453" i="25"/>
  <c r="G453" i="25"/>
  <c r="C453" i="25"/>
  <c r="D453" i="25" s="1"/>
  <c r="F453" i="25"/>
  <c r="AT463" i="25"/>
  <c r="AS463" i="25"/>
  <c r="AR463" i="25"/>
  <c r="AQ463" i="25"/>
  <c r="AO463" i="25"/>
  <c r="AN463" i="25"/>
  <c r="AM463" i="25"/>
  <c r="AL463" i="25"/>
  <c r="AK463" i="25"/>
  <c r="AJ463" i="25"/>
  <c r="AI463" i="25"/>
  <c r="AH463" i="25"/>
  <c r="AG463" i="25"/>
  <c r="AF463" i="25"/>
  <c r="AE463" i="25"/>
  <c r="AD463" i="25"/>
  <c r="AC463" i="25"/>
  <c r="AB463" i="25"/>
  <c r="AA463" i="25"/>
  <c r="Z463" i="25"/>
  <c r="Y463" i="25"/>
  <c r="X463" i="25"/>
  <c r="W463" i="25"/>
  <c r="V463" i="25"/>
  <c r="U463" i="25"/>
  <c r="T463" i="25"/>
  <c r="S463" i="25"/>
  <c r="R463" i="25"/>
  <c r="Q463" i="25"/>
  <c r="P463" i="25"/>
  <c r="O463" i="25"/>
  <c r="N463" i="25"/>
  <c r="M463" i="25"/>
  <c r="L463" i="25"/>
  <c r="K463" i="25"/>
  <c r="J463" i="25"/>
  <c r="H463" i="25"/>
  <c r="G463" i="25"/>
  <c r="C463" i="25"/>
  <c r="D463" i="25" s="1"/>
  <c r="F463" i="25"/>
  <c r="AT462" i="25"/>
  <c r="AS462" i="25"/>
  <c r="AR462" i="25"/>
  <c r="AQ462" i="25"/>
  <c r="AO462" i="25"/>
  <c r="AN462" i="25"/>
  <c r="AM462" i="25"/>
  <c r="AL462" i="25"/>
  <c r="AK462" i="25"/>
  <c r="AJ462" i="25"/>
  <c r="AI462" i="25"/>
  <c r="AH462" i="25"/>
  <c r="AG462" i="25"/>
  <c r="AF462" i="25"/>
  <c r="AE462" i="25"/>
  <c r="AD462" i="25"/>
  <c r="AC462" i="25"/>
  <c r="AB462" i="25"/>
  <c r="AA462" i="25"/>
  <c r="Z462" i="25"/>
  <c r="Y462" i="25"/>
  <c r="X462" i="25"/>
  <c r="W462" i="25"/>
  <c r="V462" i="25"/>
  <c r="U462" i="25"/>
  <c r="T462" i="25"/>
  <c r="S462" i="25"/>
  <c r="R462" i="25"/>
  <c r="Q462" i="25"/>
  <c r="P462" i="25"/>
  <c r="O462" i="25"/>
  <c r="N462" i="25"/>
  <c r="M462" i="25"/>
  <c r="L462" i="25"/>
  <c r="K462" i="25"/>
  <c r="J462" i="25"/>
  <c r="H462" i="25"/>
  <c r="G462" i="25"/>
  <c r="C462" i="25"/>
  <c r="D462" i="25" s="1"/>
  <c r="F462" i="25"/>
  <c r="AT461" i="25"/>
  <c r="AS461" i="25"/>
  <c r="AR461" i="25"/>
  <c r="AQ461" i="25"/>
  <c r="AO461" i="25"/>
  <c r="AN461" i="25"/>
  <c r="AM461" i="25"/>
  <c r="AL461" i="25"/>
  <c r="AK461" i="25"/>
  <c r="AJ461" i="25"/>
  <c r="AI461" i="25"/>
  <c r="AH461" i="25"/>
  <c r="AG461" i="25"/>
  <c r="AF461" i="25"/>
  <c r="AE461" i="25"/>
  <c r="AD461" i="25"/>
  <c r="AC461" i="25"/>
  <c r="AB461" i="25"/>
  <c r="AA461" i="25"/>
  <c r="Z461" i="25"/>
  <c r="Y461" i="25"/>
  <c r="X461" i="25"/>
  <c r="W461" i="25"/>
  <c r="V461" i="25"/>
  <c r="U461" i="25"/>
  <c r="T461" i="25"/>
  <c r="S461" i="25"/>
  <c r="R461" i="25"/>
  <c r="Q461" i="25"/>
  <c r="P461" i="25"/>
  <c r="O461" i="25"/>
  <c r="N461" i="25"/>
  <c r="M461" i="25"/>
  <c r="L461" i="25"/>
  <c r="K461" i="25"/>
  <c r="J461" i="25"/>
  <c r="H461" i="25"/>
  <c r="G461" i="25"/>
  <c r="C461" i="25"/>
  <c r="D461" i="25" s="1"/>
  <c r="F461" i="25"/>
  <c r="AT460" i="25"/>
  <c r="AS460" i="25"/>
  <c r="AR460" i="25"/>
  <c r="AQ460" i="25"/>
  <c r="AO460" i="25"/>
  <c r="AN460" i="25"/>
  <c r="AM460" i="25"/>
  <c r="AL460" i="25"/>
  <c r="AK460" i="25"/>
  <c r="AJ460" i="25"/>
  <c r="AI460" i="25"/>
  <c r="AH460" i="25"/>
  <c r="AG460" i="25"/>
  <c r="AF460" i="25"/>
  <c r="AE460" i="25"/>
  <c r="AD460" i="25"/>
  <c r="AC460" i="25"/>
  <c r="AB460" i="25"/>
  <c r="AA460" i="25"/>
  <c r="Z460" i="25"/>
  <c r="Y460" i="25"/>
  <c r="X460" i="25"/>
  <c r="W460" i="25"/>
  <c r="V460" i="25"/>
  <c r="U460" i="25"/>
  <c r="T460" i="25"/>
  <c r="S460" i="25"/>
  <c r="R460" i="25"/>
  <c r="Q460" i="25"/>
  <c r="P460" i="25"/>
  <c r="O460" i="25"/>
  <c r="N460" i="25"/>
  <c r="M460" i="25"/>
  <c r="L460" i="25"/>
  <c r="K460" i="25"/>
  <c r="J460" i="25"/>
  <c r="H460" i="25"/>
  <c r="G460" i="25"/>
  <c r="C460" i="25"/>
  <c r="D460" i="25" s="1"/>
  <c r="F460" i="25"/>
  <c r="AT459" i="25"/>
  <c r="AS459" i="25"/>
  <c r="AR459" i="25"/>
  <c r="AQ459" i="25"/>
  <c r="AO459" i="25"/>
  <c r="AN459" i="25"/>
  <c r="AM459" i="25"/>
  <c r="AL459" i="25"/>
  <c r="AK459" i="25"/>
  <c r="AJ459" i="25"/>
  <c r="AI459" i="25"/>
  <c r="AH459" i="25"/>
  <c r="AG459" i="25"/>
  <c r="AF459" i="25"/>
  <c r="AE459" i="25"/>
  <c r="AD459" i="25"/>
  <c r="AC459" i="25"/>
  <c r="AB459" i="25"/>
  <c r="AA459" i="25"/>
  <c r="Z459" i="25"/>
  <c r="Y459" i="25"/>
  <c r="X459" i="25"/>
  <c r="W459" i="25"/>
  <c r="V459" i="25"/>
  <c r="U459" i="25"/>
  <c r="T459" i="25"/>
  <c r="S459" i="25"/>
  <c r="R459" i="25"/>
  <c r="Q459" i="25"/>
  <c r="P459" i="25"/>
  <c r="O459" i="25"/>
  <c r="N459" i="25"/>
  <c r="M459" i="25"/>
  <c r="L459" i="25"/>
  <c r="K459" i="25"/>
  <c r="J459" i="25"/>
  <c r="H459" i="25"/>
  <c r="G459" i="25"/>
  <c r="C459" i="25"/>
  <c r="D459" i="25" s="1"/>
  <c r="F459" i="25"/>
  <c r="AT458" i="25"/>
  <c r="AS458" i="25"/>
  <c r="AR458" i="25"/>
  <c r="AQ458" i="25"/>
  <c r="AO458" i="25"/>
  <c r="AN458" i="25"/>
  <c r="AM458" i="25"/>
  <c r="AL458" i="25"/>
  <c r="AK458" i="25"/>
  <c r="AJ458" i="25"/>
  <c r="AI458" i="25"/>
  <c r="AH458" i="25"/>
  <c r="AG458" i="25"/>
  <c r="AF458" i="25"/>
  <c r="AE458" i="25"/>
  <c r="AD458" i="25"/>
  <c r="AC458" i="25"/>
  <c r="AB458" i="25"/>
  <c r="AA458" i="25"/>
  <c r="Z458" i="25"/>
  <c r="Y458" i="25"/>
  <c r="X458" i="25"/>
  <c r="W458" i="25"/>
  <c r="V458" i="25"/>
  <c r="U458" i="25"/>
  <c r="T458" i="25"/>
  <c r="S458" i="25"/>
  <c r="R458" i="25"/>
  <c r="Q458" i="25"/>
  <c r="P458" i="25"/>
  <c r="O458" i="25"/>
  <c r="N458" i="25"/>
  <c r="M458" i="25"/>
  <c r="L458" i="25"/>
  <c r="K458" i="25"/>
  <c r="J458" i="25"/>
  <c r="H458" i="25"/>
  <c r="G458" i="25"/>
  <c r="C458" i="25"/>
  <c r="D458" i="25" s="1"/>
  <c r="F458" i="25"/>
  <c r="AT457" i="25"/>
  <c r="AS457" i="25"/>
  <c r="AR457" i="25"/>
  <c r="AQ457" i="25"/>
  <c r="AO457" i="25"/>
  <c r="AN457" i="25"/>
  <c r="AM457" i="25"/>
  <c r="AL457" i="25"/>
  <c r="AK457" i="25"/>
  <c r="AJ457" i="25"/>
  <c r="AI457" i="25"/>
  <c r="AH457" i="25"/>
  <c r="AG457" i="25"/>
  <c r="AF457" i="25"/>
  <c r="AE457" i="25"/>
  <c r="AD457" i="25"/>
  <c r="AC457" i="25"/>
  <c r="AB457" i="25"/>
  <c r="AA457" i="25"/>
  <c r="Z457" i="25"/>
  <c r="Y457" i="25"/>
  <c r="X457" i="25"/>
  <c r="W457" i="25"/>
  <c r="V457" i="25"/>
  <c r="U457" i="25"/>
  <c r="T457" i="25"/>
  <c r="S457" i="25"/>
  <c r="R457" i="25"/>
  <c r="Q457" i="25"/>
  <c r="P457" i="25"/>
  <c r="O457" i="25"/>
  <c r="N457" i="25"/>
  <c r="M457" i="25"/>
  <c r="L457" i="25"/>
  <c r="K457" i="25"/>
  <c r="J457" i="25"/>
  <c r="H457" i="25"/>
  <c r="G457" i="25"/>
  <c r="C457" i="25"/>
  <c r="D457" i="25" s="1"/>
  <c r="F457" i="25"/>
  <c r="AT456" i="25"/>
  <c r="AS456" i="25"/>
  <c r="AR456" i="25"/>
  <c r="AQ456" i="25"/>
  <c r="AO456" i="25"/>
  <c r="AN456" i="25"/>
  <c r="AM456" i="25"/>
  <c r="AL456" i="25"/>
  <c r="AK456" i="25"/>
  <c r="AJ456" i="25"/>
  <c r="AI456" i="25"/>
  <c r="AH456" i="25"/>
  <c r="AG456" i="25"/>
  <c r="AF456" i="25"/>
  <c r="AE456" i="25"/>
  <c r="AD456" i="25"/>
  <c r="AC456" i="25"/>
  <c r="AB456" i="25"/>
  <c r="AA456" i="25"/>
  <c r="Z456" i="25"/>
  <c r="Y456" i="25"/>
  <c r="X456" i="25"/>
  <c r="W456" i="25"/>
  <c r="V456" i="25"/>
  <c r="U456" i="25"/>
  <c r="T456" i="25"/>
  <c r="S456" i="25"/>
  <c r="R456" i="25"/>
  <c r="Q456" i="25"/>
  <c r="P456" i="25"/>
  <c r="O456" i="25"/>
  <c r="N456" i="25"/>
  <c r="M456" i="25"/>
  <c r="L456" i="25"/>
  <c r="K456" i="25"/>
  <c r="J456" i="25"/>
  <c r="H456" i="25"/>
  <c r="G456" i="25"/>
  <c r="C456" i="25"/>
  <c r="D456" i="25" s="1"/>
  <c r="F456" i="25"/>
  <c r="AT455" i="25"/>
  <c r="AS455" i="25"/>
  <c r="AR455" i="25"/>
  <c r="AQ455" i="25"/>
  <c r="AO455" i="25"/>
  <c r="AN455" i="25"/>
  <c r="AM455" i="25"/>
  <c r="AL455" i="25"/>
  <c r="AK455" i="25"/>
  <c r="AJ455" i="25"/>
  <c r="AI455" i="25"/>
  <c r="AH455" i="25"/>
  <c r="AG455" i="25"/>
  <c r="AF455" i="25"/>
  <c r="AE455" i="25"/>
  <c r="AD455" i="25"/>
  <c r="AC455" i="25"/>
  <c r="AB455" i="25"/>
  <c r="AA455" i="25"/>
  <c r="Z455" i="25"/>
  <c r="Y455" i="25"/>
  <c r="X455" i="25"/>
  <c r="W455" i="25"/>
  <c r="V455" i="25"/>
  <c r="U455" i="25"/>
  <c r="T455" i="25"/>
  <c r="S455" i="25"/>
  <c r="R455" i="25"/>
  <c r="Q455" i="25"/>
  <c r="P455" i="25"/>
  <c r="O455" i="25"/>
  <c r="N455" i="25"/>
  <c r="M455" i="25"/>
  <c r="L455" i="25"/>
  <c r="K455" i="25"/>
  <c r="J455" i="25"/>
  <c r="H455" i="25"/>
  <c r="G455" i="25"/>
  <c r="C455" i="25"/>
  <c r="D455" i="25" s="1"/>
  <c r="F455" i="25"/>
  <c r="AT495" i="25"/>
  <c r="AS495" i="25"/>
  <c r="AR495" i="25"/>
  <c r="AQ495" i="25"/>
  <c r="AO495" i="25"/>
  <c r="AN495" i="25"/>
  <c r="AM495" i="25"/>
  <c r="AL495" i="25"/>
  <c r="AK495" i="25"/>
  <c r="AJ495" i="25"/>
  <c r="AI495" i="25"/>
  <c r="AH495" i="25"/>
  <c r="AG495" i="25"/>
  <c r="AF495" i="25"/>
  <c r="AE495" i="25"/>
  <c r="AD495" i="25"/>
  <c r="AC495" i="25"/>
  <c r="AB495" i="25"/>
  <c r="AA495" i="25"/>
  <c r="Z495" i="25"/>
  <c r="Y495" i="25"/>
  <c r="X495" i="25"/>
  <c r="W495" i="25"/>
  <c r="V495" i="25"/>
  <c r="U495" i="25"/>
  <c r="T495" i="25"/>
  <c r="S495" i="25"/>
  <c r="R495" i="25"/>
  <c r="Q495" i="25"/>
  <c r="P495" i="25"/>
  <c r="O495" i="25"/>
  <c r="N495" i="25"/>
  <c r="M495" i="25"/>
  <c r="L495" i="25"/>
  <c r="K495" i="25"/>
  <c r="J495" i="25"/>
  <c r="H495" i="25"/>
  <c r="G495" i="25"/>
  <c r="C495" i="25"/>
  <c r="D495" i="25" s="1"/>
  <c r="F495" i="25"/>
  <c r="AT448" i="25"/>
  <c r="AS448" i="25"/>
  <c r="AR448" i="25"/>
  <c r="AQ448" i="25"/>
  <c r="AO448" i="25"/>
  <c r="AN448" i="25"/>
  <c r="AM448" i="25"/>
  <c r="AL448" i="25"/>
  <c r="AK448" i="25"/>
  <c r="AJ448" i="25"/>
  <c r="AI448" i="25"/>
  <c r="AH448" i="25"/>
  <c r="AG448" i="25"/>
  <c r="AF448" i="25"/>
  <c r="AE448" i="25"/>
  <c r="AD448" i="25"/>
  <c r="AC448" i="25"/>
  <c r="AB448" i="25"/>
  <c r="AA448" i="25"/>
  <c r="Z448" i="25"/>
  <c r="Y448" i="25"/>
  <c r="X448" i="25"/>
  <c r="W448" i="25"/>
  <c r="V448" i="25"/>
  <c r="U448" i="25"/>
  <c r="T448" i="25"/>
  <c r="S448" i="25"/>
  <c r="R448" i="25"/>
  <c r="Q448" i="25"/>
  <c r="P448" i="25"/>
  <c r="O448" i="25"/>
  <c r="N448" i="25"/>
  <c r="M448" i="25"/>
  <c r="L448" i="25"/>
  <c r="K448" i="25"/>
  <c r="J448" i="25"/>
  <c r="H448" i="25"/>
  <c r="G448" i="25"/>
  <c r="C448" i="25"/>
  <c r="D448" i="25" s="1"/>
  <c r="F448" i="25"/>
  <c r="AT468" i="25"/>
  <c r="AS468" i="25"/>
  <c r="AR468" i="25"/>
  <c r="AQ468" i="25"/>
  <c r="AO468" i="25"/>
  <c r="AN468" i="25"/>
  <c r="AM468" i="25"/>
  <c r="AL468" i="25"/>
  <c r="AK468" i="25"/>
  <c r="AJ468" i="25"/>
  <c r="AI468" i="25"/>
  <c r="AH468" i="25"/>
  <c r="AG468" i="25"/>
  <c r="AF468" i="25"/>
  <c r="AE468" i="25"/>
  <c r="AD468" i="25"/>
  <c r="AC468" i="25"/>
  <c r="AB468" i="25"/>
  <c r="AA468" i="25"/>
  <c r="Z468" i="25"/>
  <c r="Y468" i="25"/>
  <c r="X468" i="25"/>
  <c r="W468" i="25"/>
  <c r="V468" i="25"/>
  <c r="U468" i="25"/>
  <c r="T468" i="25"/>
  <c r="S468" i="25"/>
  <c r="R468" i="25"/>
  <c r="Q468" i="25"/>
  <c r="P468" i="25"/>
  <c r="O468" i="25"/>
  <c r="N468" i="25"/>
  <c r="M468" i="25"/>
  <c r="L468" i="25"/>
  <c r="K468" i="25"/>
  <c r="J468" i="25"/>
  <c r="H468" i="25"/>
  <c r="G468" i="25"/>
  <c r="C468" i="25"/>
  <c r="D468" i="25" s="1"/>
  <c r="F468" i="25"/>
  <c r="AT467" i="25"/>
  <c r="AS467" i="25"/>
  <c r="AR467" i="25"/>
  <c r="AQ467" i="25"/>
  <c r="AO467" i="25"/>
  <c r="AN467" i="25"/>
  <c r="AM467" i="25"/>
  <c r="AL467" i="25"/>
  <c r="AK467" i="25"/>
  <c r="AJ467" i="25"/>
  <c r="AI467" i="25"/>
  <c r="AH467" i="25"/>
  <c r="AG467" i="25"/>
  <c r="AF467" i="25"/>
  <c r="AE467" i="25"/>
  <c r="AD467" i="25"/>
  <c r="AC467" i="25"/>
  <c r="AB467" i="25"/>
  <c r="AA467" i="25"/>
  <c r="Z467" i="25"/>
  <c r="Y467" i="25"/>
  <c r="X467" i="25"/>
  <c r="W467" i="25"/>
  <c r="V467" i="25"/>
  <c r="U467" i="25"/>
  <c r="T467" i="25"/>
  <c r="S467" i="25"/>
  <c r="R467" i="25"/>
  <c r="Q467" i="25"/>
  <c r="P467" i="25"/>
  <c r="O467" i="25"/>
  <c r="N467" i="25"/>
  <c r="M467" i="25"/>
  <c r="L467" i="25"/>
  <c r="K467" i="25"/>
  <c r="J467" i="25"/>
  <c r="H467" i="25"/>
  <c r="G467" i="25"/>
  <c r="C467" i="25"/>
  <c r="D467" i="25" s="1"/>
  <c r="F467" i="25"/>
  <c r="AT466" i="25"/>
  <c r="AS466" i="25"/>
  <c r="AR466" i="25"/>
  <c r="AQ466" i="25"/>
  <c r="AO466" i="25"/>
  <c r="AN466" i="25"/>
  <c r="AM466" i="25"/>
  <c r="AL466" i="25"/>
  <c r="AK466" i="25"/>
  <c r="AJ466" i="25"/>
  <c r="AI466" i="25"/>
  <c r="AH466" i="25"/>
  <c r="AG466" i="25"/>
  <c r="AF466" i="25"/>
  <c r="AE466" i="25"/>
  <c r="AD466" i="25"/>
  <c r="AC466" i="25"/>
  <c r="AB466" i="25"/>
  <c r="AA466" i="25"/>
  <c r="Z466" i="25"/>
  <c r="Y466" i="25"/>
  <c r="X466" i="25"/>
  <c r="W466" i="25"/>
  <c r="V466" i="25"/>
  <c r="U466" i="25"/>
  <c r="T466" i="25"/>
  <c r="S466" i="25"/>
  <c r="R466" i="25"/>
  <c r="Q466" i="25"/>
  <c r="P466" i="25"/>
  <c r="O466" i="25"/>
  <c r="N466" i="25"/>
  <c r="M466" i="25"/>
  <c r="L466" i="25"/>
  <c r="K466" i="25"/>
  <c r="J466" i="25"/>
  <c r="H466" i="25"/>
  <c r="G466" i="25"/>
  <c r="C466" i="25"/>
  <c r="D466" i="25" s="1"/>
  <c r="F466" i="25"/>
  <c r="AT465" i="25"/>
  <c r="AS465" i="25"/>
  <c r="AR465" i="25"/>
  <c r="AQ465" i="25"/>
  <c r="AO465" i="25"/>
  <c r="AN465" i="25"/>
  <c r="AM465" i="25"/>
  <c r="AL465" i="25"/>
  <c r="AK465" i="25"/>
  <c r="AJ465" i="25"/>
  <c r="AI465" i="25"/>
  <c r="AH465" i="25"/>
  <c r="AG465" i="25"/>
  <c r="AF465" i="25"/>
  <c r="AE465" i="25"/>
  <c r="AD465" i="25"/>
  <c r="AC465" i="25"/>
  <c r="AB465" i="25"/>
  <c r="AA465" i="25"/>
  <c r="Z465" i="25"/>
  <c r="Y465" i="25"/>
  <c r="X465" i="25"/>
  <c r="W465" i="25"/>
  <c r="V465" i="25"/>
  <c r="U465" i="25"/>
  <c r="T465" i="25"/>
  <c r="S465" i="25"/>
  <c r="R465" i="25"/>
  <c r="Q465" i="25"/>
  <c r="P465" i="25"/>
  <c r="O465" i="25"/>
  <c r="N465" i="25"/>
  <c r="M465" i="25"/>
  <c r="L465" i="25"/>
  <c r="K465" i="25"/>
  <c r="J465" i="25"/>
  <c r="H465" i="25"/>
  <c r="G465" i="25"/>
  <c r="C465" i="25"/>
  <c r="D465" i="25" s="1"/>
  <c r="F465" i="25"/>
  <c r="AT464" i="25"/>
  <c r="AS464" i="25"/>
  <c r="AR464" i="25"/>
  <c r="AQ464" i="25"/>
  <c r="AO464" i="25"/>
  <c r="AN464" i="25"/>
  <c r="AM464" i="25"/>
  <c r="AL464" i="25"/>
  <c r="AK464" i="25"/>
  <c r="AJ464" i="25"/>
  <c r="AI464" i="25"/>
  <c r="AH464" i="25"/>
  <c r="AG464" i="25"/>
  <c r="AF464" i="25"/>
  <c r="AE464" i="25"/>
  <c r="AD464" i="25"/>
  <c r="AC464" i="25"/>
  <c r="AB464" i="25"/>
  <c r="AA464" i="25"/>
  <c r="Z464" i="25"/>
  <c r="Y464" i="25"/>
  <c r="X464" i="25"/>
  <c r="W464" i="25"/>
  <c r="V464" i="25"/>
  <c r="U464" i="25"/>
  <c r="T464" i="25"/>
  <c r="S464" i="25"/>
  <c r="R464" i="25"/>
  <c r="Q464" i="25"/>
  <c r="P464" i="25"/>
  <c r="O464" i="25"/>
  <c r="N464" i="25"/>
  <c r="M464" i="25"/>
  <c r="L464" i="25"/>
  <c r="K464" i="25"/>
  <c r="J464" i="25"/>
  <c r="H464" i="25"/>
  <c r="G464" i="25"/>
  <c r="C464" i="25"/>
  <c r="D464" i="25" s="1"/>
  <c r="F464" i="25"/>
  <c r="AT472" i="25"/>
  <c r="AS472" i="25"/>
  <c r="AR472" i="25"/>
  <c r="AQ472" i="25"/>
  <c r="AO472" i="25"/>
  <c r="AN472" i="25"/>
  <c r="AM472" i="25"/>
  <c r="AL472" i="25"/>
  <c r="AK472" i="25"/>
  <c r="AJ472" i="25"/>
  <c r="AI472" i="25"/>
  <c r="AH472" i="25"/>
  <c r="AG472" i="25"/>
  <c r="AF472" i="25"/>
  <c r="AE472" i="25"/>
  <c r="AD472" i="25"/>
  <c r="AC472" i="25"/>
  <c r="AB472" i="25"/>
  <c r="AA472" i="25"/>
  <c r="Z472" i="25"/>
  <c r="Y472" i="25"/>
  <c r="X472" i="25"/>
  <c r="W472" i="25"/>
  <c r="V472" i="25"/>
  <c r="U472" i="25"/>
  <c r="T472" i="25"/>
  <c r="S472" i="25"/>
  <c r="R472" i="25"/>
  <c r="Q472" i="25"/>
  <c r="P472" i="25"/>
  <c r="O472" i="25"/>
  <c r="N472" i="25"/>
  <c r="M472" i="25"/>
  <c r="L472" i="25"/>
  <c r="K472" i="25"/>
  <c r="J472" i="25"/>
  <c r="H472" i="25"/>
  <c r="G472" i="25"/>
  <c r="C472" i="25"/>
  <c r="D472" i="25" s="1"/>
  <c r="F472" i="25"/>
  <c r="AT471" i="25"/>
  <c r="AS471" i="25"/>
  <c r="AQ471" i="25"/>
  <c r="AO471" i="25"/>
  <c r="AN471" i="25"/>
  <c r="AM471" i="25"/>
  <c r="AL471" i="25"/>
  <c r="AK471" i="25"/>
  <c r="AJ471" i="25"/>
  <c r="AI471" i="25"/>
  <c r="AH471" i="25"/>
  <c r="AG471" i="25"/>
  <c r="AF471" i="25"/>
  <c r="AE471" i="25"/>
  <c r="AD471" i="25"/>
  <c r="AC471" i="25"/>
  <c r="AB471" i="25"/>
  <c r="AA471" i="25"/>
  <c r="Z471" i="25"/>
  <c r="Y471" i="25"/>
  <c r="X471" i="25"/>
  <c r="W471" i="25"/>
  <c r="V471" i="25"/>
  <c r="U471" i="25"/>
  <c r="T471" i="25"/>
  <c r="S471" i="25"/>
  <c r="R471" i="25"/>
  <c r="Q471" i="25"/>
  <c r="P471" i="25"/>
  <c r="O471" i="25"/>
  <c r="N471" i="25"/>
  <c r="M471" i="25"/>
  <c r="L471" i="25"/>
  <c r="K471" i="25"/>
  <c r="J471" i="25"/>
  <c r="H471" i="25"/>
  <c r="G471" i="25"/>
  <c r="C471" i="25"/>
  <c r="D471" i="25" s="1"/>
  <c r="F471" i="25"/>
  <c r="AT470" i="25"/>
  <c r="AS470" i="25"/>
  <c r="AR470" i="25"/>
  <c r="AQ470" i="25"/>
  <c r="AO470" i="25"/>
  <c r="AN470" i="25"/>
  <c r="AM470" i="25"/>
  <c r="AL470" i="25"/>
  <c r="AK470" i="25"/>
  <c r="AJ470" i="25"/>
  <c r="AI470" i="25"/>
  <c r="AH470" i="25"/>
  <c r="AG470" i="25"/>
  <c r="AF470" i="25"/>
  <c r="AE470" i="25"/>
  <c r="AD470" i="25"/>
  <c r="AC470" i="25"/>
  <c r="AB470" i="25"/>
  <c r="AA470" i="25"/>
  <c r="Z470" i="25"/>
  <c r="Y470" i="25"/>
  <c r="X470" i="25"/>
  <c r="W470" i="25"/>
  <c r="V470" i="25"/>
  <c r="U470" i="25"/>
  <c r="T470" i="25"/>
  <c r="S470" i="25"/>
  <c r="R470" i="25"/>
  <c r="Q470" i="25"/>
  <c r="P470" i="25"/>
  <c r="O470" i="25"/>
  <c r="N470" i="25"/>
  <c r="M470" i="25"/>
  <c r="L470" i="25"/>
  <c r="K470" i="25"/>
  <c r="J470" i="25"/>
  <c r="H470" i="25"/>
  <c r="G470" i="25"/>
  <c r="C470" i="25"/>
  <c r="D470" i="25" s="1"/>
  <c r="F470" i="25"/>
  <c r="AT469" i="25"/>
  <c r="AS469" i="25"/>
  <c r="AR469" i="25"/>
  <c r="AQ469" i="25"/>
  <c r="AO469" i="25"/>
  <c r="AN469" i="25"/>
  <c r="AM469" i="25"/>
  <c r="AL469" i="25"/>
  <c r="AK469" i="25"/>
  <c r="AJ469" i="25"/>
  <c r="AI469" i="25"/>
  <c r="AH469" i="25"/>
  <c r="AG469" i="25"/>
  <c r="AF469" i="25"/>
  <c r="AE469" i="25"/>
  <c r="AD469" i="25"/>
  <c r="AC469" i="25"/>
  <c r="AB469" i="25"/>
  <c r="AA469" i="25"/>
  <c r="Z469" i="25"/>
  <c r="Y469" i="25"/>
  <c r="X469" i="25"/>
  <c r="W469" i="25"/>
  <c r="V469" i="25"/>
  <c r="U469" i="25"/>
  <c r="T469" i="25"/>
  <c r="S469" i="25"/>
  <c r="R469" i="25"/>
  <c r="Q469" i="25"/>
  <c r="P469" i="25"/>
  <c r="O469" i="25"/>
  <c r="N469" i="25"/>
  <c r="M469" i="25"/>
  <c r="L469" i="25"/>
  <c r="K469" i="25"/>
  <c r="J469" i="25"/>
  <c r="H469" i="25"/>
  <c r="G469" i="25"/>
  <c r="C469" i="25"/>
  <c r="D469" i="25" s="1"/>
  <c r="F469" i="25"/>
  <c r="AT505" i="25"/>
  <c r="AS505" i="25"/>
  <c r="AR505" i="25"/>
  <c r="AQ505" i="25"/>
  <c r="AO505" i="25"/>
  <c r="AN505" i="25"/>
  <c r="AM505" i="25"/>
  <c r="AL505" i="25"/>
  <c r="AK505" i="25"/>
  <c r="AJ505" i="25"/>
  <c r="AI505" i="25"/>
  <c r="AH505" i="25"/>
  <c r="AG505" i="25"/>
  <c r="AF505" i="25"/>
  <c r="AE505" i="25"/>
  <c r="AD505" i="25"/>
  <c r="AC505" i="25"/>
  <c r="AB505" i="25"/>
  <c r="AA505" i="25"/>
  <c r="Z505" i="25"/>
  <c r="Y505" i="25"/>
  <c r="X505" i="25"/>
  <c r="W505" i="25"/>
  <c r="V505" i="25"/>
  <c r="U505" i="25"/>
  <c r="T505" i="25"/>
  <c r="S505" i="25"/>
  <c r="R505" i="25"/>
  <c r="Q505" i="25"/>
  <c r="P505" i="25"/>
  <c r="O505" i="25"/>
  <c r="N505" i="25"/>
  <c r="M505" i="25"/>
  <c r="L505" i="25"/>
  <c r="K505" i="25"/>
  <c r="J505" i="25"/>
  <c r="H505" i="25"/>
  <c r="G505" i="25"/>
  <c r="C505" i="25"/>
  <c r="D505" i="25" s="1"/>
  <c r="F505" i="25"/>
  <c r="AT504" i="25"/>
  <c r="AS504" i="25"/>
  <c r="AR504" i="25"/>
  <c r="AQ504" i="25"/>
  <c r="AO504" i="25"/>
  <c r="AN504" i="25"/>
  <c r="AM504" i="25"/>
  <c r="AL504" i="25"/>
  <c r="AK504" i="25"/>
  <c r="AJ504" i="25"/>
  <c r="AI504" i="25"/>
  <c r="AH504" i="25"/>
  <c r="AG504" i="25"/>
  <c r="AF504" i="25"/>
  <c r="AE504" i="25"/>
  <c r="AD504" i="25"/>
  <c r="AC504" i="25"/>
  <c r="AB504" i="25"/>
  <c r="AA504" i="25"/>
  <c r="Z504" i="25"/>
  <c r="Y504" i="25"/>
  <c r="X504" i="25"/>
  <c r="W504" i="25"/>
  <c r="V504" i="25"/>
  <c r="U504" i="25"/>
  <c r="T504" i="25"/>
  <c r="S504" i="25"/>
  <c r="R504" i="25"/>
  <c r="Q504" i="25"/>
  <c r="P504" i="25"/>
  <c r="O504" i="25"/>
  <c r="N504" i="25"/>
  <c r="M504" i="25"/>
  <c r="L504" i="25"/>
  <c r="K504" i="25"/>
  <c r="J504" i="25"/>
  <c r="H504" i="25"/>
  <c r="G504" i="25"/>
  <c r="C504" i="25"/>
  <c r="D504" i="25" s="1"/>
  <c r="F504" i="25"/>
  <c r="AT503" i="25"/>
  <c r="AS503" i="25"/>
  <c r="AR503" i="25"/>
  <c r="AQ503" i="25"/>
  <c r="AO503" i="25"/>
  <c r="AN503" i="25"/>
  <c r="AM503" i="25"/>
  <c r="AL503" i="25"/>
  <c r="AK503" i="25"/>
  <c r="AJ503" i="25"/>
  <c r="AI503" i="25"/>
  <c r="AH503" i="25"/>
  <c r="AG503" i="25"/>
  <c r="AF503" i="25"/>
  <c r="AE503" i="25"/>
  <c r="AD503" i="25"/>
  <c r="AC503" i="25"/>
  <c r="AB503" i="25"/>
  <c r="AA503" i="25"/>
  <c r="Z503" i="25"/>
  <c r="Y503" i="25"/>
  <c r="X503" i="25"/>
  <c r="W503" i="25"/>
  <c r="V503" i="25"/>
  <c r="U503" i="25"/>
  <c r="T503" i="25"/>
  <c r="S503" i="25"/>
  <c r="R503" i="25"/>
  <c r="Q503" i="25"/>
  <c r="P503" i="25"/>
  <c r="O503" i="25"/>
  <c r="N503" i="25"/>
  <c r="M503" i="25"/>
  <c r="L503" i="25"/>
  <c r="K503" i="25"/>
  <c r="J503" i="25"/>
  <c r="H503" i="25"/>
  <c r="G503" i="25"/>
  <c r="C503" i="25"/>
  <c r="D503" i="25" s="1"/>
  <c r="F503" i="25"/>
  <c r="AT502" i="25"/>
  <c r="AS502" i="25"/>
  <c r="AR502" i="25"/>
  <c r="AQ502" i="25"/>
  <c r="AO502" i="25"/>
  <c r="AN502" i="25"/>
  <c r="AM502" i="25"/>
  <c r="AL502" i="25"/>
  <c r="AK502" i="25"/>
  <c r="AJ502" i="25"/>
  <c r="AI502" i="25"/>
  <c r="AH502" i="25"/>
  <c r="AG502" i="25"/>
  <c r="AF502" i="25"/>
  <c r="AE502" i="25"/>
  <c r="AD502" i="25"/>
  <c r="AC502" i="25"/>
  <c r="AB502" i="25"/>
  <c r="AA502" i="25"/>
  <c r="Z502" i="25"/>
  <c r="Y502" i="25"/>
  <c r="X502" i="25"/>
  <c r="W502" i="25"/>
  <c r="V502" i="25"/>
  <c r="U502" i="25"/>
  <c r="T502" i="25"/>
  <c r="S502" i="25"/>
  <c r="R502" i="25"/>
  <c r="Q502" i="25"/>
  <c r="P502" i="25"/>
  <c r="O502" i="25"/>
  <c r="N502" i="25"/>
  <c r="M502" i="25"/>
  <c r="L502" i="25"/>
  <c r="K502" i="25"/>
  <c r="J502" i="25"/>
  <c r="H502" i="25"/>
  <c r="G502" i="25"/>
  <c r="C502" i="25"/>
  <c r="D502" i="25" s="1"/>
  <c r="F502" i="25"/>
  <c r="AT501" i="25"/>
  <c r="AS501" i="25"/>
  <c r="AR501" i="25"/>
  <c r="AQ501" i="25"/>
  <c r="AO501" i="25"/>
  <c r="AN501" i="25"/>
  <c r="AM501" i="25"/>
  <c r="AL501" i="25"/>
  <c r="AK501" i="25"/>
  <c r="AJ501" i="25"/>
  <c r="AI501" i="25"/>
  <c r="AH501" i="25"/>
  <c r="AG501" i="25"/>
  <c r="AF501" i="25"/>
  <c r="AE501" i="25"/>
  <c r="AD501" i="25"/>
  <c r="AC501" i="25"/>
  <c r="AB501" i="25"/>
  <c r="AA501" i="25"/>
  <c r="Z501" i="25"/>
  <c r="Y501" i="25"/>
  <c r="X501" i="25"/>
  <c r="W501" i="25"/>
  <c r="V501" i="25"/>
  <c r="U501" i="25"/>
  <c r="T501" i="25"/>
  <c r="S501" i="25"/>
  <c r="R501" i="25"/>
  <c r="Q501" i="25"/>
  <c r="P501" i="25"/>
  <c r="O501" i="25"/>
  <c r="N501" i="25"/>
  <c r="M501" i="25"/>
  <c r="L501" i="25"/>
  <c r="K501" i="25"/>
  <c r="J501" i="25"/>
  <c r="H501" i="25"/>
  <c r="G501" i="25"/>
  <c r="C501" i="25"/>
  <c r="D501" i="25" s="1"/>
  <c r="F501" i="25"/>
  <c r="AT447" i="25"/>
  <c r="AS447" i="25"/>
  <c r="AR447" i="25"/>
  <c r="AQ447" i="25"/>
  <c r="AO447" i="25"/>
  <c r="AN447" i="25"/>
  <c r="AM447" i="25"/>
  <c r="AL447" i="25"/>
  <c r="AK447" i="25"/>
  <c r="AJ447" i="25"/>
  <c r="AI447" i="25"/>
  <c r="AH447" i="25"/>
  <c r="AG447" i="25"/>
  <c r="AF447" i="25"/>
  <c r="AE447" i="25"/>
  <c r="AD447" i="25"/>
  <c r="AC447" i="25"/>
  <c r="AB447" i="25"/>
  <c r="AA447" i="25"/>
  <c r="Z447" i="25"/>
  <c r="Y447" i="25"/>
  <c r="X447" i="25"/>
  <c r="W447" i="25"/>
  <c r="V447" i="25"/>
  <c r="U447" i="25"/>
  <c r="T447" i="25"/>
  <c r="S447" i="25"/>
  <c r="R447" i="25"/>
  <c r="Q447" i="25"/>
  <c r="P447" i="25"/>
  <c r="O447" i="25"/>
  <c r="N447" i="25"/>
  <c r="M447" i="25"/>
  <c r="L447" i="25"/>
  <c r="K447" i="25"/>
  <c r="J447" i="25"/>
  <c r="H447" i="25"/>
  <c r="G447" i="25"/>
  <c r="C447" i="25"/>
  <c r="D447" i="25" s="1"/>
  <c r="F447" i="25"/>
  <c r="AT446" i="25"/>
  <c r="AS446" i="25"/>
  <c r="AR446" i="25"/>
  <c r="AQ446" i="25"/>
  <c r="AO446" i="25"/>
  <c r="AN446" i="25"/>
  <c r="AM446" i="25"/>
  <c r="AL446" i="25"/>
  <c r="AK446" i="25"/>
  <c r="AJ446" i="25"/>
  <c r="AI446" i="25"/>
  <c r="AH446" i="25"/>
  <c r="AG446" i="25"/>
  <c r="AF446" i="25"/>
  <c r="AE446" i="25"/>
  <c r="AD446" i="25"/>
  <c r="AC446" i="25"/>
  <c r="AB446" i="25"/>
  <c r="AA446" i="25"/>
  <c r="Z446" i="25"/>
  <c r="Y446" i="25"/>
  <c r="X446" i="25"/>
  <c r="W446" i="25"/>
  <c r="V446" i="25"/>
  <c r="U446" i="25"/>
  <c r="T446" i="25"/>
  <c r="S446" i="25"/>
  <c r="R446" i="25"/>
  <c r="Q446" i="25"/>
  <c r="P446" i="25"/>
  <c r="O446" i="25"/>
  <c r="N446" i="25"/>
  <c r="M446" i="25"/>
  <c r="L446" i="25"/>
  <c r="K446" i="25"/>
  <c r="J446" i="25"/>
  <c r="H446" i="25"/>
  <c r="G446" i="25"/>
  <c r="C446" i="25"/>
  <c r="D446" i="25" s="1"/>
  <c r="F446" i="25"/>
  <c r="AT445" i="25"/>
  <c r="AS445" i="25"/>
  <c r="AR445" i="25"/>
  <c r="AQ445" i="25"/>
  <c r="AO445" i="25"/>
  <c r="AN445" i="25"/>
  <c r="AM445" i="25"/>
  <c r="AL445" i="25"/>
  <c r="AK445" i="25"/>
  <c r="AJ445" i="25"/>
  <c r="AI445" i="25"/>
  <c r="AH445" i="25"/>
  <c r="AG445" i="25"/>
  <c r="AF445" i="25"/>
  <c r="AE445" i="25"/>
  <c r="AD445" i="25"/>
  <c r="AC445" i="25"/>
  <c r="AB445" i="25"/>
  <c r="AA445" i="25"/>
  <c r="Z445" i="25"/>
  <c r="Y445" i="25"/>
  <c r="X445" i="25"/>
  <c r="W445" i="25"/>
  <c r="V445" i="25"/>
  <c r="U445" i="25"/>
  <c r="T445" i="25"/>
  <c r="S445" i="25"/>
  <c r="R445" i="25"/>
  <c r="Q445" i="25"/>
  <c r="P445" i="25"/>
  <c r="O445" i="25"/>
  <c r="N445" i="25"/>
  <c r="M445" i="25"/>
  <c r="L445" i="25"/>
  <c r="K445" i="25"/>
  <c r="J445" i="25"/>
  <c r="H445" i="25"/>
  <c r="G445" i="25"/>
  <c r="C445" i="25"/>
  <c r="D445" i="25" s="1"/>
  <c r="F445" i="25"/>
  <c r="AT500" i="25"/>
  <c r="AS500" i="25"/>
  <c r="AR500" i="25"/>
  <c r="AQ500" i="25"/>
  <c r="AO500" i="25"/>
  <c r="AN500" i="25"/>
  <c r="AM500" i="25"/>
  <c r="AL500" i="25"/>
  <c r="AK500" i="25"/>
  <c r="AJ500" i="25"/>
  <c r="AI500" i="25"/>
  <c r="AH500" i="25"/>
  <c r="AG500" i="25"/>
  <c r="AF500" i="25"/>
  <c r="AE500" i="25"/>
  <c r="AD500" i="25"/>
  <c r="AC500" i="25"/>
  <c r="AB500" i="25"/>
  <c r="AA500" i="25"/>
  <c r="Z500" i="25"/>
  <c r="Y500" i="25"/>
  <c r="X500" i="25"/>
  <c r="W500" i="25"/>
  <c r="V500" i="25"/>
  <c r="U500" i="25"/>
  <c r="T500" i="25"/>
  <c r="S500" i="25"/>
  <c r="R500" i="25"/>
  <c r="Q500" i="25"/>
  <c r="P500" i="25"/>
  <c r="O500" i="25"/>
  <c r="N500" i="25"/>
  <c r="M500" i="25"/>
  <c r="L500" i="25"/>
  <c r="K500" i="25"/>
  <c r="J500" i="25"/>
  <c r="H500" i="25"/>
  <c r="G500" i="25"/>
  <c r="C500" i="25"/>
  <c r="D500" i="25" s="1"/>
  <c r="F500" i="25"/>
  <c r="AT506" i="25"/>
  <c r="AS506" i="25"/>
  <c r="AR506" i="25"/>
  <c r="AQ506" i="25"/>
  <c r="AO506" i="25"/>
  <c r="AN506" i="25"/>
  <c r="AM506" i="25"/>
  <c r="AL506" i="25"/>
  <c r="AK506" i="25"/>
  <c r="AJ506" i="25"/>
  <c r="AI506" i="25"/>
  <c r="AH506" i="25"/>
  <c r="AG506" i="25"/>
  <c r="AF506" i="25"/>
  <c r="AE506" i="25"/>
  <c r="AD506" i="25"/>
  <c r="AC506" i="25"/>
  <c r="AB506" i="25"/>
  <c r="AA506" i="25"/>
  <c r="Z506" i="25"/>
  <c r="Y506" i="25"/>
  <c r="X506" i="25"/>
  <c r="W506" i="25"/>
  <c r="V506" i="25"/>
  <c r="U506" i="25"/>
  <c r="T506" i="25"/>
  <c r="S506" i="25"/>
  <c r="R506" i="25"/>
  <c r="Q506" i="25"/>
  <c r="P506" i="25"/>
  <c r="O506" i="25"/>
  <c r="N506" i="25"/>
  <c r="M506" i="25"/>
  <c r="L506" i="25"/>
  <c r="K506" i="25"/>
  <c r="J506" i="25"/>
  <c r="H506" i="25"/>
  <c r="G506" i="25"/>
  <c r="D506" i="25"/>
  <c r="F506" i="25"/>
  <c r="AT440" i="25"/>
  <c r="AS440" i="25"/>
  <c r="AR440" i="25"/>
  <c r="AQ440" i="25"/>
  <c r="AO440" i="25"/>
  <c r="AN440" i="25"/>
  <c r="AM440" i="25"/>
  <c r="AL440" i="25"/>
  <c r="AK440" i="25"/>
  <c r="AJ440" i="25"/>
  <c r="AI440" i="25"/>
  <c r="AH440" i="25"/>
  <c r="AG440" i="25"/>
  <c r="AF440" i="25"/>
  <c r="AE440" i="25"/>
  <c r="AD440" i="25"/>
  <c r="AC440" i="25"/>
  <c r="AB440" i="25"/>
  <c r="AA440" i="25"/>
  <c r="Z440" i="25"/>
  <c r="Y440" i="25"/>
  <c r="X440" i="25"/>
  <c r="W440" i="25"/>
  <c r="V440" i="25"/>
  <c r="U440" i="25"/>
  <c r="T440" i="25"/>
  <c r="S440" i="25"/>
  <c r="R440" i="25"/>
  <c r="Q440" i="25"/>
  <c r="P440" i="25"/>
  <c r="O440" i="25"/>
  <c r="N440" i="25"/>
  <c r="M440" i="25"/>
  <c r="L440" i="25"/>
  <c r="K440" i="25"/>
  <c r="J440" i="25"/>
  <c r="H440" i="25"/>
  <c r="G440" i="25"/>
  <c r="C440" i="25"/>
  <c r="D440" i="25" s="1"/>
  <c r="F440" i="25"/>
  <c r="AT439" i="25"/>
  <c r="AS439" i="25"/>
  <c r="AR439" i="25"/>
  <c r="AQ439" i="25"/>
  <c r="AO439" i="25"/>
  <c r="AN439" i="25"/>
  <c r="AM439" i="25"/>
  <c r="AL439" i="25"/>
  <c r="AK439" i="25"/>
  <c r="AJ439" i="25"/>
  <c r="AI439" i="25"/>
  <c r="AH439" i="25"/>
  <c r="AG439" i="25"/>
  <c r="AF439" i="25"/>
  <c r="AE439" i="25"/>
  <c r="AD439" i="25"/>
  <c r="AC439" i="25"/>
  <c r="AB439" i="25"/>
  <c r="AA439" i="25"/>
  <c r="Z439" i="25"/>
  <c r="Y439" i="25"/>
  <c r="X439" i="25"/>
  <c r="W439" i="25"/>
  <c r="V439" i="25"/>
  <c r="U439" i="25"/>
  <c r="T439" i="25"/>
  <c r="S439" i="25"/>
  <c r="R439" i="25"/>
  <c r="Q439" i="25"/>
  <c r="P439" i="25"/>
  <c r="O439" i="25"/>
  <c r="N439" i="25"/>
  <c r="M439" i="25"/>
  <c r="L439" i="25"/>
  <c r="K439" i="25"/>
  <c r="J439" i="25"/>
  <c r="H439" i="25"/>
  <c r="G439" i="25"/>
  <c r="C439" i="25"/>
  <c r="D439" i="25" s="1"/>
  <c r="F439" i="25"/>
  <c r="AT438" i="25"/>
  <c r="AS438" i="25"/>
  <c r="AR438" i="25"/>
  <c r="AQ438" i="25"/>
  <c r="AO438" i="25"/>
  <c r="AN438" i="25"/>
  <c r="AM438" i="25"/>
  <c r="AL438" i="25"/>
  <c r="AK438" i="25"/>
  <c r="AJ438" i="25"/>
  <c r="AI438" i="25"/>
  <c r="AH438" i="25"/>
  <c r="AG438" i="25"/>
  <c r="AF438" i="25"/>
  <c r="AE438" i="25"/>
  <c r="AD438" i="25"/>
  <c r="AC438" i="25"/>
  <c r="AB438" i="25"/>
  <c r="AA438" i="25"/>
  <c r="Z438" i="25"/>
  <c r="Y438" i="25"/>
  <c r="X438" i="25"/>
  <c r="W438" i="25"/>
  <c r="V438" i="25"/>
  <c r="U438" i="25"/>
  <c r="T438" i="25"/>
  <c r="S438" i="25"/>
  <c r="R438" i="25"/>
  <c r="Q438" i="25"/>
  <c r="P438" i="25"/>
  <c r="O438" i="25"/>
  <c r="N438" i="25"/>
  <c r="M438" i="25"/>
  <c r="L438" i="25"/>
  <c r="K438" i="25"/>
  <c r="J438" i="25"/>
  <c r="H438" i="25"/>
  <c r="G438" i="25"/>
  <c r="C438" i="25"/>
  <c r="D438" i="25" s="1"/>
  <c r="F438" i="25"/>
  <c r="AT437" i="25"/>
  <c r="AS437" i="25"/>
  <c r="AR437" i="25"/>
  <c r="AQ437" i="25"/>
  <c r="AO437" i="25"/>
  <c r="AN437" i="25"/>
  <c r="AM437" i="25"/>
  <c r="AL437" i="25"/>
  <c r="AK437" i="25"/>
  <c r="AJ437" i="25"/>
  <c r="AI437" i="25"/>
  <c r="AH437" i="25"/>
  <c r="AG437" i="25"/>
  <c r="AF437" i="25"/>
  <c r="AE437" i="25"/>
  <c r="AD437" i="25"/>
  <c r="AC437" i="25"/>
  <c r="AB437" i="25"/>
  <c r="AA437" i="25"/>
  <c r="Z437" i="25"/>
  <c r="Y437" i="25"/>
  <c r="X437" i="25"/>
  <c r="W437" i="25"/>
  <c r="V437" i="25"/>
  <c r="U437" i="25"/>
  <c r="T437" i="25"/>
  <c r="S437" i="25"/>
  <c r="R437" i="25"/>
  <c r="Q437" i="25"/>
  <c r="P437" i="25"/>
  <c r="O437" i="25"/>
  <c r="N437" i="25"/>
  <c r="M437" i="25"/>
  <c r="L437" i="25"/>
  <c r="K437" i="25"/>
  <c r="J437" i="25"/>
  <c r="H437" i="25"/>
  <c r="G437" i="25"/>
  <c r="C437" i="25"/>
  <c r="D437" i="25" s="1"/>
  <c r="F437" i="25"/>
  <c r="AT331" i="25"/>
  <c r="AS331" i="25"/>
  <c r="AR331" i="25"/>
  <c r="AQ331" i="25"/>
  <c r="AO331" i="25"/>
  <c r="AN331" i="25"/>
  <c r="AM331" i="25"/>
  <c r="AL331" i="25"/>
  <c r="AK331" i="25"/>
  <c r="AJ331" i="25"/>
  <c r="AI331" i="25"/>
  <c r="AH331" i="25"/>
  <c r="AG331" i="25"/>
  <c r="AF331" i="25"/>
  <c r="AE331" i="25"/>
  <c r="AD331" i="25"/>
  <c r="AC331" i="25"/>
  <c r="AB331" i="25"/>
  <c r="AA331" i="25"/>
  <c r="Z331" i="25"/>
  <c r="Y331" i="25"/>
  <c r="X331" i="25"/>
  <c r="W331" i="25"/>
  <c r="V331" i="25"/>
  <c r="U331" i="25"/>
  <c r="T331" i="25"/>
  <c r="S331" i="25"/>
  <c r="R331" i="25"/>
  <c r="Q331" i="25"/>
  <c r="P331" i="25"/>
  <c r="O331" i="25"/>
  <c r="N331" i="25"/>
  <c r="M331" i="25"/>
  <c r="L331" i="25"/>
  <c r="K331" i="25"/>
  <c r="J331" i="25"/>
  <c r="H331" i="25"/>
  <c r="G331" i="25"/>
  <c r="C331" i="25"/>
  <c r="D331" i="25" s="1"/>
  <c r="F331" i="25"/>
  <c r="AT330" i="25"/>
  <c r="AS330" i="25"/>
  <c r="AR330" i="25"/>
  <c r="AQ330" i="25"/>
  <c r="AO330" i="25"/>
  <c r="AN330" i="25"/>
  <c r="AM330" i="25"/>
  <c r="AL330" i="25"/>
  <c r="AK330" i="25"/>
  <c r="AJ330" i="25"/>
  <c r="AI330" i="25"/>
  <c r="AH330" i="25"/>
  <c r="AG330" i="25"/>
  <c r="AF330" i="25"/>
  <c r="AE330" i="25"/>
  <c r="AD330" i="25"/>
  <c r="AC330" i="25"/>
  <c r="AB330" i="25"/>
  <c r="AA330" i="25"/>
  <c r="Z330" i="25"/>
  <c r="Y330" i="25"/>
  <c r="X330" i="25"/>
  <c r="W330" i="25"/>
  <c r="V330" i="25"/>
  <c r="U330" i="25"/>
  <c r="T330" i="25"/>
  <c r="S330" i="25"/>
  <c r="R330" i="25"/>
  <c r="Q330" i="25"/>
  <c r="P330" i="25"/>
  <c r="O330" i="25"/>
  <c r="N330" i="25"/>
  <c r="M330" i="25"/>
  <c r="L330" i="25"/>
  <c r="K330" i="25"/>
  <c r="J330" i="25"/>
  <c r="H330" i="25"/>
  <c r="G330" i="25"/>
  <c r="C330" i="25"/>
  <c r="D330" i="25" s="1"/>
  <c r="F330" i="25"/>
  <c r="AT329" i="25"/>
  <c r="AS329" i="25"/>
  <c r="AQ329" i="25"/>
  <c r="AO329" i="25"/>
  <c r="AN329" i="25"/>
  <c r="AM329" i="25"/>
  <c r="AL329" i="25"/>
  <c r="AK329" i="25"/>
  <c r="AJ329" i="25"/>
  <c r="AI329" i="25"/>
  <c r="AH329" i="25"/>
  <c r="AG329" i="25"/>
  <c r="AF329" i="25"/>
  <c r="AE329" i="25"/>
  <c r="AD329" i="25"/>
  <c r="AC329" i="25"/>
  <c r="AB329" i="25"/>
  <c r="AA329" i="25"/>
  <c r="Z329" i="25"/>
  <c r="Y329" i="25"/>
  <c r="X329" i="25"/>
  <c r="W329" i="25"/>
  <c r="V329" i="25"/>
  <c r="U329" i="25"/>
  <c r="T329" i="25"/>
  <c r="S329" i="25"/>
  <c r="R329" i="25"/>
  <c r="Q329" i="25"/>
  <c r="P329" i="25"/>
  <c r="O329" i="25"/>
  <c r="N329" i="25"/>
  <c r="M329" i="25"/>
  <c r="L329" i="25"/>
  <c r="K329" i="25"/>
  <c r="J329" i="25"/>
  <c r="H329" i="25"/>
  <c r="G329" i="25"/>
  <c r="C329" i="25"/>
  <c r="D329" i="25" s="1"/>
  <c r="F329" i="25"/>
  <c r="AT328" i="25"/>
  <c r="AS328" i="25"/>
  <c r="AQ328" i="25"/>
  <c r="AO328" i="25"/>
  <c r="AN328" i="25"/>
  <c r="AM328" i="25"/>
  <c r="AL328" i="25"/>
  <c r="AK328" i="25"/>
  <c r="AJ328" i="25"/>
  <c r="AI328" i="25"/>
  <c r="AH328" i="25"/>
  <c r="AG328" i="25"/>
  <c r="AF328" i="25"/>
  <c r="AE328" i="25"/>
  <c r="AD328" i="25"/>
  <c r="AC328" i="25"/>
  <c r="AB328" i="25"/>
  <c r="AA328" i="25"/>
  <c r="Z328" i="25"/>
  <c r="Y328" i="25"/>
  <c r="X328" i="25"/>
  <c r="W328" i="25"/>
  <c r="V328" i="25"/>
  <c r="U328" i="25"/>
  <c r="T328" i="25"/>
  <c r="S328" i="25"/>
  <c r="R328" i="25"/>
  <c r="Q328" i="25"/>
  <c r="P328" i="25"/>
  <c r="O328" i="25"/>
  <c r="N328" i="25"/>
  <c r="M328" i="25"/>
  <c r="L328" i="25"/>
  <c r="K328" i="25"/>
  <c r="J328" i="25"/>
  <c r="H328" i="25"/>
  <c r="G328" i="25"/>
  <c r="C328" i="25"/>
  <c r="D328" i="25" s="1"/>
  <c r="F328" i="25"/>
  <c r="AT327" i="25"/>
  <c r="AS327" i="25"/>
  <c r="AR327" i="25"/>
  <c r="AQ327" i="25"/>
  <c r="AO327" i="25"/>
  <c r="AN327" i="25"/>
  <c r="AM327" i="25"/>
  <c r="AL327" i="25"/>
  <c r="AK327" i="25"/>
  <c r="AJ327" i="25"/>
  <c r="AI327" i="25"/>
  <c r="AH327" i="25"/>
  <c r="AG327" i="25"/>
  <c r="AF327" i="25"/>
  <c r="AE327" i="25"/>
  <c r="AD327" i="25"/>
  <c r="AC327" i="25"/>
  <c r="AB327" i="25"/>
  <c r="AA327" i="25"/>
  <c r="Z327" i="25"/>
  <c r="Y327" i="25"/>
  <c r="X327" i="25"/>
  <c r="W327" i="25"/>
  <c r="V327" i="25"/>
  <c r="U327" i="25"/>
  <c r="T327" i="25"/>
  <c r="S327" i="25"/>
  <c r="R327" i="25"/>
  <c r="Q327" i="25"/>
  <c r="P327" i="25"/>
  <c r="O327" i="25"/>
  <c r="N327" i="25"/>
  <c r="M327" i="25"/>
  <c r="L327" i="25"/>
  <c r="K327" i="25"/>
  <c r="J327" i="25"/>
  <c r="H327" i="25"/>
  <c r="G327" i="25"/>
  <c r="C327" i="25"/>
  <c r="D327" i="25" s="1"/>
  <c r="F327" i="25"/>
  <c r="AT336" i="25"/>
  <c r="AS336" i="25"/>
  <c r="AR336" i="25"/>
  <c r="AQ336" i="25"/>
  <c r="AO336" i="25"/>
  <c r="AN336" i="25"/>
  <c r="AM336" i="25"/>
  <c r="AL336" i="25"/>
  <c r="AK336" i="25"/>
  <c r="AJ336" i="25"/>
  <c r="AI336" i="25"/>
  <c r="AH336" i="25"/>
  <c r="AG336" i="25"/>
  <c r="AF336" i="25"/>
  <c r="AE336" i="25"/>
  <c r="AD336" i="25"/>
  <c r="AC336" i="25"/>
  <c r="AB336" i="25"/>
  <c r="AA336" i="25"/>
  <c r="Z336" i="25"/>
  <c r="Y336" i="25"/>
  <c r="X336" i="25"/>
  <c r="W336" i="25"/>
  <c r="V336" i="25"/>
  <c r="U336" i="25"/>
  <c r="T336" i="25"/>
  <c r="S336" i="25"/>
  <c r="R336" i="25"/>
  <c r="Q336" i="25"/>
  <c r="P336" i="25"/>
  <c r="O336" i="25"/>
  <c r="N336" i="25"/>
  <c r="M336" i="25"/>
  <c r="L336" i="25"/>
  <c r="K336" i="25"/>
  <c r="J336" i="25"/>
  <c r="H336" i="25"/>
  <c r="G336" i="25"/>
  <c r="C336" i="25"/>
  <c r="D336" i="25" s="1"/>
  <c r="F336" i="25"/>
  <c r="AT335" i="25"/>
  <c r="AS335" i="25"/>
  <c r="AQ335" i="25"/>
  <c r="AO335" i="25"/>
  <c r="AN335" i="25"/>
  <c r="AM335" i="25"/>
  <c r="AL335" i="25"/>
  <c r="AK335" i="25"/>
  <c r="AJ335" i="25"/>
  <c r="AI335" i="25"/>
  <c r="AH335" i="25"/>
  <c r="AG335" i="25"/>
  <c r="AF335" i="25"/>
  <c r="AE335" i="25"/>
  <c r="AD335" i="25"/>
  <c r="AC335" i="25"/>
  <c r="AB335" i="25"/>
  <c r="AA335" i="25"/>
  <c r="Z335" i="25"/>
  <c r="Y335" i="25"/>
  <c r="X335" i="25"/>
  <c r="W335" i="25"/>
  <c r="V335" i="25"/>
  <c r="U335" i="25"/>
  <c r="T335" i="25"/>
  <c r="S335" i="25"/>
  <c r="R335" i="25"/>
  <c r="Q335" i="25"/>
  <c r="P335" i="25"/>
  <c r="O335" i="25"/>
  <c r="N335" i="25"/>
  <c r="M335" i="25"/>
  <c r="L335" i="25"/>
  <c r="K335" i="25"/>
  <c r="J335" i="25"/>
  <c r="H335" i="25"/>
  <c r="G335" i="25"/>
  <c r="C335" i="25"/>
  <c r="D335" i="25" s="1"/>
  <c r="F335" i="25"/>
  <c r="AT334" i="25"/>
  <c r="AS334" i="25"/>
  <c r="AQ334" i="25"/>
  <c r="AO334" i="25"/>
  <c r="AN334" i="25"/>
  <c r="AM334" i="25"/>
  <c r="AL334" i="25"/>
  <c r="AK334" i="25"/>
  <c r="AJ334" i="25"/>
  <c r="AI334" i="25"/>
  <c r="AH334" i="25"/>
  <c r="AG334" i="25"/>
  <c r="AF334" i="25"/>
  <c r="AE334" i="25"/>
  <c r="AD334" i="25"/>
  <c r="AC334" i="25"/>
  <c r="AB334" i="25"/>
  <c r="AA334" i="25"/>
  <c r="Z334" i="25"/>
  <c r="Y334" i="25"/>
  <c r="X334" i="25"/>
  <c r="W334" i="25"/>
  <c r="V334" i="25"/>
  <c r="U334" i="25"/>
  <c r="T334" i="25"/>
  <c r="S334" i="25"/>
  <c r="R334" i="25"/>
  <c r="Q334" i="25"/>
  <c r="P334" i="25"/>
  <c r="O334" i="25"/>
  <c r="N334" i="25"/>
  <c r="M334" i="25"/>
  <c r="L334" i="25"/>
  <c r="K334" i="25"/>
  <c r="J334" i="25"/>
  <c r="H334" i="25"/>
  <c r="G334" i="25"/>
  <c r="C334" i="25"/>
  <c r="D334" i="25" s="1"/>
  <c r="F334" i="25"/>
  <c r="AT333" i="25"/>
  <c r="AS333" i="25"/>
  <c r="AQ333" i="25"/>
  <c r="AO333" i="25"/>
  <c r="AN333" i="25"/>
  <c r="AM333" i="25"/>
  <c r="AL333" i="25"/>
  <c r="AK333" i="25"/>
  <c r="AJ333" i="25"/>
  <c r="AI333" i="25"/>
  <c r="AH333" i="25"/>
  <c r="AG333" i="25"/>
  <c r="AF333" i="25"/>
  <c r="AE333" i="25"/>
  <c r="AD333" i="25"/>
  <c r="AC333" i="25"/>
  <c r="AB333" i="25"/>
  <c r="AA333" i="25"/>
  <c r="Z333" i="25"/>
  <c r="Y333" i="25"/>
  <c r="X333" i="25"/>
  <c r="W333" i="25"/>
  <c r="V333" i="25"/>
  <c r="U333" i="25"/>
  <c r="T333" i="25"/>
  <c r="S333" i="25"/>
  <c r="R333" i="25"/>
  <c r="Q333" i="25"/>
  <c r="P333" i="25"/>
  <c r="O333" i="25"/>
  <c r="N333" i="25"/>
  <c r="M333" i="25"/>
  <c r="L333" i="25"/>
  <c r="K333" i="25"/>
  <c r="J333" i="25"/>
  <c r="H333" i="25"/>
  <c r="G333" i="25"/>
  <c r="C333" i="25"/>
  <c r="D333" i="25" s="1"/>
  <c r="F333" i="25"/>
  <c r="AT332" i="25"/>
  <c r="AS332" i="25"/>
  <c r="AQ332" i="25"/>
  <c r="AO332" i="25"/>
  <c r="AN332" i="25"/>
  <c r="AM332" i="25"/>
  <c r="AL332" i="25"/>
  <c r="AK332" i="25"/>
  <c r="AJ332" i="25"/>
  <c r="AI332" i="25"/>
  <c r="AH332" i="25"/>
  <c r="AG332" i="25"/>
  <c r="AF332" i="25"/>
  <c r="AE332" i="25"/>
  <c r="AD332" i="25"/>
  <c r="AC332" i="25"/>
  <c r="AB332" i="25"/>
  <c r="AA332" i="25"/>
  <c r="Z332" i="25"/>
  <c r="Y332" i="25"/>
  <c r="X332" i="25"/>
  <c r="W332" i="25"/>
  <c r="V332" i="25"/>
  <c r="U332" i="25"/>
  <c r="T332" i="25"/>
  <c r="S332" i="25"/>
  <c r="R332" i="25"/>
  <c r="Q332" i="25"/>
  <c r="P332" i="25"/>
  <c r="O332" i="25"/>
  <c r="N332" i="25"/>
  <c r="M332" i="25"/>
  <c r="L332" i="25"/>
  <c r="K332" i="25"/>
  <c r="J332" i="25"/>
  <c r="H332" i="25"/>
  <c r="G332" i="25"/>
  <c r="C332" i="25"/>
  <c r="D332" i="25" s="1"/>
  <c r="F332" i="25"/>
  <c r="AT346" i="25"/>
  <c r="AS346" i="25"/>
  <c r="AR346" i="25"/>
  <c r="AQ346" i="25"/>
  <c r="AO346" i="25"/>
  <c r="AN346" i="25"/>
  <c r="AM346" i="25"/>
  <c r="AL346" i="25"/>
  <c r="AK346" i="25"/>
  <c r="AJ346" i="25"/>
  <c r="AI346" i="25"/>
  <c r="AH346" i="25"/>
  <c r="AG346" i="25"/>
  <c r="AF346" i="25"/>
  <c r="AE346" i="25"/>
  <c r="AD346" i="25"/>
  <c r="AC346" i="25"/>
  <c r="AB346" i="25"/>
  <c r="AA346" i="25"/>
  <c r="Z346" i="25"/>
  <c r="Y346" i="25"/>
  <c r="X346" i="25"/>
  <c r="W346" i="25"/>
  <c r="V346" i="25"/>
  <c r="U346" i="25"/>
  <c r="T346" i="25"/>
  <c r="S346" i="25"/>
  <c r="R346" i="25"/>
  <c r="Q346" i="25"/>
  <c r="P346" i="25"/>
  <c r="O346" i="25"/>
  <c r="N346" i="25"/>
  <c r="M346" i="25"/>
  <c r="L346" i="25"/>
  <c r="K346" i="25"/>
  <c r="J346" i="25"/>
  <c r="H346" i="25"/>
  <c r="G346" i="25"/>
  <c r="C346" i="25"/>
  <c r="D346" i="25" s="1"/>
  <c r="F346" i="25"/>
  <c r="AT345" i="25"/>
  <c r="AS345" i="25"/>
  <c r="AR345" i="25"/>
  <c r="AQ345" i="25"/>
  <c r="AO345" i="25"/>
  <c r="AN345" i="25"/>
  <c r="AM345" i="25"/>
  <c r="AL345" i="25"/>
  <c r="AK345" i="25"/>
  <c r="AJ345" i="25"/>
  <c r="AI345" i="25"/>
  <c r="AH345" i="25"/>
  <c r="AG345" i="25"/>
  <c r="AF345" i="25"/>
  <c r="AE345" i="25"/>
  <c r="AD345" i="25"/>
  <c r="AC345" i="25"/>
  <c r="AB345" i="25"/>
  <c r="AA345" i="25"/>
  <c r="Z345" i="25"/>
  <c r="Y345" i="25"/>
  <c r="X345" i="25"/>
  <c r="W345" i="25"/>
  <c r="V345" i="25"/>
  <c r="U345" i="25"/>
  <c r="T345" i="25"/>
  <c r="S345" i="25"/>
  <c r="R345" i="25"/>
  <c r="Q345" i="25"/>
  <c r="P345" i="25"/>
  <c r="O345" i="25"/>
  <c r="N345" i="25"/>
  <c r="M345" i="25"/>
  <c r="L345" i="25"/>
  <c r="K345" i="25"/>
  <c r="J345" i="25"/>
  <c r="H345" i="25"/>
  <c r="G345" i="25"/>
  <c r="C345" i="25"/>
  <c r="D345" i="25" s="1"/>
  <c r="F345" i="25"/>
  <c r="AT344" i="25"/>
  <c r="AS344" i="25"/>
  <c r="AR344" i="25"/>
  <c r="AQ344" i="25"/>
  <c r="AO344" i="25"/>
  <c r="AN344" i="25"/>
  <c r="AM344" i="25"/>
  <c r="AL344" i="25"/>
  <c r="AK344" i="25"/>
  <c r="AJ344" i="25"/>
  <c r="AI344" i="25"/>
  <c r="AH344" i="25"/>
  <c r="AG344" i="25"/>
  <c r="AF344" i="25"/>
  <c r="AE344" i="25"/>
  <c r="AD344" i="25"/>
  <c r="AC344" i="25"/>
  <c r="AB344" i="25"/>
  <c r="AA344" i="25"/>
  <c r="Z344" i="25"/>
  <c r="Y344" i="25"/>
  <c r="X344" i="25"/>
  <c r="W344" i="25"/>
  <c r="V344" i="25"/>
  <c r="U344" i="25"/>
  <c r="T344" i="25"/>
  <c r="S344" i="25"/>
  <c r="R344" i="25"/>
  <c r="Q344" i="25"/>
  <c r="P344" i="25"/>
  <c r="O344" i="25"/>
  <c r="N344" i="25"/>
  <c r="M344" i="25"/>
  <c r="L344" i="25"/>
  <c r="K344" i="25"/>
  <c r="J344" i="25"/>
  <c r="H344" i="25"/>
  <c r="G344" i="25"/>
  <c r="C344" i="25"/>
  <c r="D344" i="25" s="1"/>
  <c r="F344" i="25"/>
  <c r="AT343" i="25"/>
  <c r="AS343" i="25"/>
  <c r="AR343" i="25"/>
  <c r="AQ343" i="25"/>
  <c r="AO343" i="25"/>
  <c r="AN343" i="25"/>
  <c r="AM343" i="25"/>
  <c r="AL343" i="25"/>
  <c r="AK343" i="25"/>
  <c r="AJ343" i="25"/>
  <c r="AI343" i="25"/>
  <c r="AH343" i="25"/>
  <c r="AG343" i="25"/>
  <c r="AF343" i="25"/>
  <c r="AE343" i="25"/>
  <c r="AD343" i="25"/>
  <c r="AC343" i="25"/>
  <c r="AB343" i="25"/>
  <c r="AA343" i="25"/>
  <c r="Z343" i="25"/>
  <c r="Y343" i="25"/>
  <c r="X343" i="25"/>
  <c r="W343" i="25"/>
  <c r="V343" i="25"/>
  <c r="U343" i="25"/>
  <c r="T343" i="25"/>
  <c r="S343" i="25"/>
  <c r="R343" i="25"/>
  <c r="Q343" i="25"/>
  <c r="P343" i="25"/>
  <c r="O343" i="25"/>
  <c r="N343" i="25"/>
  <c r="M343" i="25"/>
  <c r="L343" i="25"/>
  <c r="K343" i="25"/>
  <c r="J343" i="25"/>
  <c r="H343" i="25"/>
  <c r="G343" i="25"/>
  <c r="C343" i="25"/>
  <c r="D343" i="25" s="1"/>
  <c r="F343" i="25"/>
  <c r="AT342" i="25"/>
  <c r="AS342" i="25"/>
  <c r="AR342" i="25"/>
  <c r="AQ342" i="25"/>
  <c r="AO342" i="25"/>
  <c r="AN342" i="25"/>
  <c r="AM342" i="25"/>
  <c r="AL342" i="25"/>
  <c r="AK342" i="25"/>
  <c r="AJ342" i="25"/>
  <c r="AI342" i="25"/>
  <c r="AH342" i="25"/>
  <c r="AG342" i="25"/>
  <c r="AF342" i="25"/>
  <c r="AE342" i="25"/>
  <c r="AD342" i="25"/>
  <c r="AC342" i="25"/>
  <c r="AB342" i="25"/>
  <c r="AA342" i="25"/>
  <c r="Z342" i="25"/>
  <c r="Y342" i="25"/>
  <c r="X342" i="25"/>
  <c r="W342" i="25"/>
  <c r="V342" i="25"/>
  <c r="U342" i="25"/>
  <c r="T342" i="25"/>
  <c r="S342" i="25"/>
  <c r="R342" i="25"/>
  <c r="Q342" i="25"/>
  <c r="P342" i="25"/>
  <c r="O342" i="25"/>
  <c r="N342" i="25"/>
  <c r="M342" i="25"/>
  <c r="L342" i="25"/>
  <c r="K342" i="25"/>
  <c r="J342" i="25"/>
  <c r="H342" i="25"/>
  <c r="G342" i="25"/>
  <c r="C342" i="25"/>
  <c r="D342" i="25" s="1"/>
  <c r="F342" i="25"/>
  <c r="AT350" i="25"/>
  <c r="AS350" i="25"/>
  <c r="AR350" i="25"/>
  <c r="AQ350" i="25"/>
  <c r="AO350" i="25"/>
  <c r="AN350" i="25"/>
  <c r="AM350" i="25"/>
  <c r="AL350" i="25"/>
  <c r="AK350" i="25"/>
  <c r="AJ350" i="25"/>
  <c r="AI350" i="25"/>
  <c r="AH350" i="25"/>
  <c r="AG350" i="25"/>
  <c r="AF350" i="25"/>
  <c r="AE350" i="25"/>
  <c r="AD350" i="25"/>
  <c r="AC350" i="25"/>
  <c r="AB350" i="25"/>
  <c r="AA350" i="25"/>
  <c r="Z350" i="25"/>
  <c r="Y350" i="25"/>
  <c r="X350" i="25"/>
  <c r="W350" i="25"/>
  <c r="V350" i="25"/>
  <c r="U350" i="25"/>
  <c r="T350" i="25"/>
  <c r="S350" i="25"/>
  <c r="R350" i="25"/>
  <c r="Q350" i="25"/>
  <c r="P350" i="25"/>
  <c r="O350" i="25"/>
  <c r="N350" i="25"/>
  <c r="M350" i="25"/>
  <c r="L350" i="25"/>
  <c r="K350" i="25"/>
  <c r="J350" i="25"/>
  <c r="H350" i="25"/>
  <c r="G350" i="25"/>
  <c r="C350" i="25"/>
  <c r="D350" i="25" s="1"/>
  <c r="F350" i="25"/>
  <c r="AT349" i="25"/>
  <c r="AS349" i="25"/>
  <c r="AR349" i="25"/>
  <c r="AQ349" i="25"/>
  <c r="AO349" i="25"/>
  <c r="AN349" i="25"/>
  <c r="AM349" i="25"/>
  <c r="AL349" i="25"/>
  <c r="AK349" i="25"/>
  <c r="AJ349" i="25"/>
  <c r="AI349" i="25"/>
  <c r="AH349" i="25"/>
  <c r="AG349" i="25"/>
  <c r="AF349" i="25"/>
  <c r="AE349" i="25"/>
  <c r="AD349" i="25"/>
  <c r="AC349" i="25"/>
  <c r="AB349" i="25"/>
  <c r="AA349" i="25"/>
  <c r="Z349" i="25"/>
  <c r="Y349" i="25"/>
  <c r="X349" i="25"/>
  <c r="W349" i="25"/>
  <c r="V349" i="25"/>
  <c r="U349" i="25"/>
  <c r="T349" i="25"/>
  <c r="S349" i="25"/>
  <c r="R349" i="25"/>
  <c r="Q349" i="25"/>
  <c r="P349" i="25"/>
  <c r="O349" i="25"/>
  <c r="N349" i="25"/>
  <c r="M349" i="25"/>
  <c r="L349" i="25"/>
  <c r="K349" i="25"/>
  <c r="J349" i="25"/>
  <c r="H349" i="25"/>
  <c r="G349" i="25"/>
  <c r="C349" i="25"/>
  <c r="D349" i="25" s="1"/>
  <c r="F349" i="25"/>
  <c r="AT348" i="25"/>
  <c r="AS348" i="25"/>
  <c r="AR348" i="25"/>
  <c r="AQ348" i="25"/>
  <c r="AO348" i="25"/>
  <c r="AN348" i="25"/>
  <c r="AM348" i="25"/>
  <c r="AL348" i="25"/>
  <c r="AK348" i="25"/>
  <c r="AJ348" i="25"/>
  <c r="AI348" i="25"/>
  <c r="AH348" i="25"/>
  <c r="AG348" i="25"/>
  <c r="AF348" i="25"/>
  <c r="AE348" i="25"/>
  <c r="AD348" i="25"/>
  <c r="AC348" i="25"/>
  <c r="AB348" i="25"/>
  <c r="AA348" i="25"/>
  <c r="Z348" i="25"/>
  <c r="Y348" i="25"/>
  <c r="X348" i="25"/>
  <c r="W348" i="25"/>
  <c r="V348" i="25"/>
  <c r="U348" i="25"/>
  <c r="T348" i="25"/>
  <c r="S348" i="25"/>
  <c r="R348" i="25"/>
  <c r="Q348" i="25"/>
  <c r="P348" i="25"/>
  <c r="O348" i="25"/>
  <c r="N348" i="25"/>
  <c r="M348" i="25"/>
  <c r="L348" i="25"/>
  <c r="K348" i="25"/>
  <c r="J348" i="25"/>
  <c r="H348" i="25"/>
  <c r="G348" i="25"/>
  <c r="C348" i="25"/>
  <c r="D348" i="25" s="1"/>
  <c r="F348" i="25"/>
  <c r="AT347" i="25"/>
  <c r="AS347" i="25"/>
  <c r="AR347" i="25"/>
  <c r="AQ347" i="25"/>
  <c r="AO347" i="25"/>
  <c r="AN347" i="25"/>
  <c r="AM347" i="25"/>
  <c r="AL347" i="25"/>
  <c r="AK347" i="25"/>
  <c r="AJ347" i="25"/>
  <c r="AI347" i="25"/>
  <c r="AH347" i="25"/>
  <c r="AG347" i="25"/>
  <c r="AF347" i="25"/>
  <c r="AE347" i="25"/>
  <c r="AD347" i="25"/>
  <c r="AC347" i="25"/>
  <c r="AB347" i="25"/>
  <c r="AA347" i="25"/>
  <c r="Z347" i="25"/>
  <c r="Y347" i="25"/>
  <c r="X347" i="25"/>
  <c r="W347" i="25"/>
  <c r="V347" i="25"/>
  <c r="U347" i="25"/>
  <c r="T347" i="25"/>
  <c r="S347" i="25"/>
  <c r="R347" i="25"/>
  <c r="Q347" i="25"/>
  <c r="P347" i="25"/>
  <c r="O347" i="25"/>
  <c r="N347" i="25"/>
  <c r="M347" i="25"/>
  <c r="L347" i="25"/>
  <c r="K347" i="25"/>
  <c r="J347" i="25"/>
  <c r="H347" i="25"/>
  <c r="G347" i="25"/>
  <c r="C347" i="25"/>
  <c r="D347" i="25" s="1"/>
  <c r="F347" i="25"/>
  <c r="AT341" i="25"/>
  <c r="AS341" i="25"/>
  <c r="AQ341" i="25"/>
  <c r="AO341" i="25"/>
  <c r="AN341" i="25"/>
  <c r="AM341" i="25"/>
  <c r="AL341" i="25"/>
  <c r="AK341" i="25"/>
  <c r="AJ341" i="25"/>
  <c r="AI341" i="25"/>
  <c r="AH341" i="25"/>
  <c r="AG341" i="25"/>
  <c r="AF341" i="25"/>
  <c r="AE341" i="25"/>
  <c r="AD341" i="25"/>
  <c r="AC341" i="25"/>
  <c r="AB341" i="25"/>
  <c r="AA341" i="25"/>
  <c r="Z341" i="25"/>
  <c r="Y341" i="25"/>
  <c r="X341" i="25"/>
  <c r="W341" i="25"/>
  <c r="V341" i="25"/>
  <c r="U341" i="25"/>
  <c r="T341" i="25"/>
  <c r="S341" i="25"/>
  <c r="R341" i="25"/>
  <c r="Q341" i="25"/>
  <c r="P341" i="25"/>
  <c r="O341" i="25"/>
  <c r="N341" i="25"/>
  <c r="M341" i="25"/>
  <c r="L341" i="25"/>
  <c r="K341" i="25"/>
  <c r="J341" i="25"/>
  <c r="H341" i="25"/>
  <c r="G341" i="25"/>
  <c r="C341" i="25"/>
  <c r="D341" i="25" s="1"/>
  <c r="F341" i="25"/>
  <c r="AT340" i="25"/>
  <c r="AS340" i="25"/>
  <c r="AQ340" i="25"/>
  <c r="AO340" i="25"/>
  <c r="AN340" i="25"/>
  <c r="AM340" i="25"/>
  <c r="AL340" i="25"/>
  <c r="AK340" i="25"/>
  <c r="AJ340" i="25"/>
  <c r="AI340" i="25"/>
  <c r="AH340" i="25"/>
  <c r="AG340" i="25"/>
  <c r="AF340" i="25"/>
  <c r="AE340" i="25"/>
  <c r="AD340" i="25"/>
  <c r="AC340" i="25"/>
  <c r="AB340" i="25"/>
  <c r="AA340" i="25"/>
  <c r="Z340" i="25"/>
  <c r="Y340" i="25"/>
  <c r="X340" i="25"/>
  <c r="W340" i="25"/>
  <c r="V340" i="25"/>
  <c r="U340" i="25"/>
  <c r="T340" i="25"/>
  <c r="S340" i="25"/>
  <c r="R340" i="25"/>
  <c r="Q340" i="25"/>
  <c r="P340" i="25"/>
  <c r="O340" i="25"/>
  <c r="N340" i="25"/>
  <c r="M340" i="25"/>
  <c r="L340" i="25"/>
  <c r="K340" i="25"/>
  <c r="J340" i="25"/>
  <c r="H340" i="25"/>
  <c r="G340" i="25"/>
  <c r="C340" i="25"/>
  <c r="D340" i="25" s="1"/>
  <c r="F340" i="25"/>
  <c r="AT339" i="25"/>
  <c r="AS339" i="25"/>
  <c r="AQ339" i="25"/>
  <c r="AO339" i="25"/>
  <c r="AN339" i="25"/>
  <c r="AM339" i="25"/>
  <c r="AL339" i="25"/>
  <c r="AK339" i="25"/>
  <c r="AJ339" i="25"/>
  <c r="AI339" i="25"/>
  <c r="AH339" i="25"/>
  <c r="AG339" i="25"/>
  <c r="AF339" i="25"/>
  <c r="AE339" i="25"/>
  <c r="AD339" i="25"/>
  <c r="AC339" i="25"/>
  <c r="AB339" i="25"/>
  <c r="AA339" i="25"/>
  <c r="Z339" i="25"/>
  <c r="Y339" i="25"/>
  <c r="X339" i="25"/>
  <c r="W339" i="25"/>
  <c r="V339" i="25"/>
  <c r="U339" i="25"/>
  <c r="T339" i="25"/>
  <c r="S339" i="25"/>
  <c r="R339" i="25"/>
  <c r="Q339" i="25"/>
  <c r="P339" i="25"/>
  <c r="O339" i="25"/>
  <c r="N339" i="25"/>
  <c r="M339" i="25"/>
  <c r="L339" i="25"/>
  <c r="K339" i="25"/>
  <c r="J339" i="25"/>
  <c r="H339" i="25"/>
  <c r="G339" i="25"/>
  <c r="C339" i="25"/>
  <c r="D339" i="25" s="1"/>
  <c r="F339" i="25"/>
  <c r="AT338" i="25"/>
  <c r="AS338" i="25"/>
  <c r="AQ338" i="25"/>
  <c r="AO338" i="25"/>
  <c r="AN338" i="25"/>
  <c r="AM338" i="25"/>
  <c r="AL338" i="25"/>
  <c r="AK338" i="25"/>
  <c r="AJ338" i="25"/>
  <c r="AI338" i="25"/>
  <c r="AH338" i="25"/>
  <c r="AG338" i="25"/>
  <c r="AF338" i="25"/>
  <c r="AE338" i="25"/>
  <c r="AD338" i="25"/>
  <c r="AC338" i="25"/>
  <c r="AB338" i="25"/>
  <c r="AA338" i="25"/>
  <c r="Z338" i="25"/>
  <c r="Y338" i="25"/>
  <c r="X338" i="25"/>
  <c r="W338" i="25"/>
  <c r="V338" i="25"/>
  <c r="U338" i="25"/>
  <c r="T338" i="25"/>
  <c r="S338" i="25"/>
  <c r="R338" i="25"/>
  <c r="Q338" i="25"/>
  <c r="P338" i="25"/>
  <c r="O338" i="25"/>
  <c r="N338" i="25"/>
  <c r="M338" i="25"/>
  <c r="L338" i="25"/>
  <c r="K338" i="25"/>
  <c r="J338" i="25"/>
  <c r="H338" i="25"/>
  <c r="G338" i="25"/>
  <c r="C338" i="25"/>
  <c r="D338" i="25" s="1"/>
  <c r="F338" i="25"/>
  <c r="AT337" i="25"/>
  <c r="AS337" i="25"/>
  <c r="AR337" i="25"/>
  <c r="AQ337" i="25"/>
  <c r="AO337" i="25"/>
  <c r="AN337" i="25"/>
  <c r="AM337" i="25"/>
  <c r="AL337" i="25"/>
  <c r="AK337" i="25"/>
  <c r="AJ337" i="25"/>
  <c r="AI337" i="25"/>
  <c r="AH337" i="25"/>
  <c r="AG337" i="25"/>
  <c r="AF337" i="25"/>
  <c r="AE337" i="25"/>
  <c r="AD337" i="25"/>
  <c r="AC337" i="25"/>
  <c r="AB337" i="25"/>
  <c r="AA337" i="25"/>
  <c r="Z337" i="25"/>
  <c r="Y337" i="25"/>
  <c r="X337" i="25"/>
  <c r="W337" i="25"/>
  <c r="V337" i="25"/>
  <c r="U337" i="25"/>
  <c r="T337" i="25"/>
  <c r="S337" i="25"/>
  <c r="R337" i="25"/>
  <c r="Q337" i="25"/>
  <c r="P337" i="25"/>
  <c r="O337" i="25"/>
  <c r="N337" i="25"/>
  <c r="M337" i="25"/>
  <c r="L337" i="25"/>
  <c r="K337" i="25"/>
  <c r="J337" i="25"/>
  <c r="H337" i="25"/>
  <c r="G337" i="25"/>
  <c r="C337" i="25"/>
  <c r="D337" i="25" s="1"/>
  <c r="F337" i="25"/>
  <c r="AT436" i="25"/>
  <c r="AS436" i="25"/>
  <c r="AR436" i="25"/>
  <c r="AQ436" i="25"/>
  <c r="AO436" i="25"/>
  <c r="AN436" i="25"/>
  <c r="AM436" i="25"/>
  <c r="AL436" i="25"/>
  <c r="AK436" i="25"/>
  <c r="AJ436" i="25"/>
  <c r="AI436" i="25"/>
  <c r="AH436" i="25"/>
  <c r="AG436" i="25"/>
  <c r="AF436" i="25"/>
  <c r="AE436" i="25"/>
  <c r="AD436" i="25"/>
  <c r="AC436" i="25"/>
  <c r="AB436" i="25"/>
  <c r="AA436" i="25"/>
  <c r="Z436" i="25"/>
  <c r="Y436" i="25"/>
  <c r="X436" i="25"/>
  <c r="W436" i="25"/>
  <c r="V436" i="25"/>
  <c r="U436" i="25"/>
  <c r="T436" i="25"/>
  <c r="S436" i="25"/>
  <c r="R436" i="25"/>
  <c r="Q436" i="25"/>
  <c r="P436" i="25"/>
  <c r="O436" i="25"/>
  <c r="N436" i="25"/>
  <c r="M436" i="25"/>
  <c r="L436" i="25"/>
  <c r="K436" i="25"/>
  <c r="J436" i="25"/>
  <c r="H436" i="25"/>
  <c r="G436" i="25"/>
  <c r="C436" i="25"/>
  <c r="D436" i="25" s="1"/>
  <c r="F436" i="25"/>
  <c r="AT435" i="25"/>
  <c r="AS435" i="25"/>
  <c r="AR435" i="25"/>
  <c r="AQ435" i="25"/>
  <c r="AO435" i="25"/>
  <c r="AN435" i="25"/>
  <c r="AM435" i="25"/>
  <c r="AL435" i="25"/>
  <c r="AK435" i="25"/>
  <c r="AJ435" i="25"/>
  <c r="AI435" i="25"/>
  <c r="AH435" i="25"/>
  <c r="AG435" i="25"/>
  <c r="AF435" i="25"/>
  <c r="AE435" i="25"/>
  <c r="AD435" i="25"/>
  <c r="AC435" i="25"/>
  <c r="AB435" i="25"/>
  <c r="AA435" i="25"/>
  <c r="Z435" i="25"/>
  <c r="Y435" i="25"/>
  <c r="X435" i="25"/>
  <c r="W435" i="25"/>
  <c r="V435" i="25"/>
  <c r="U435" i="25"/>
  <c r="T435" i="25"/>
  <c r="S435" i="25"/>
  <c r="R435" i="25"/>
  <c r="Q435" i="25"/>
  <c r="P435" i="25"/>
  <c r="O435" i="25"/>
  <c r="N435" i="25"/>
  <c r="M435" i="25"/>
  <c r="L435" i="25"/>
  <c r="K435" i="25"/>
  <c r="J435" i="25"/>
  <c r="H435" i="25"/>
  <c r="G435" i="25"/>
  <c r="C435" i="25"/>
  <c r="D435" i="25" s="1"/>
  <c r="F435" i="25"/>
  <c r="AT434" i="25"/>
  <c r="AS434" i="25"/>
  <c r="AQ434" i="25"/>
  <c r="AO434" i="25"/>
  <c r="AN434" i="25"/>
  <c r="AM434" i="25"/>
  <c r="AL434" i="25"/>
  <c r="AK434" i="25"/>
  <c r="AJ434" i="25"/>
  <c r="AI434" i="25"/>
  <c r="AH434" i="25"/>
  <c r="AG434" i="25"/>
  <c r="AF434" i="25"/>
  <c r="AE434" i="25"/>
  <c r="AD434" i="25"/>
  <c r="AC434" i="25"/>
  <c r="AB434" i="25"/>
  <c r="AA434" i="25"/>
  <c r="Z434" i="25"/>
  <c r="Y434" i="25"/>
  <c r="X434" i="25"/>
  <c r="W434" i="25"/>
  <c r="V434" i="25"/>
  <c r="U434" i="25"/>
  <c r="T434" i="25"/>
  <c r="S434" i="25"/>
  <c r="R434" i="25"/>
  <c r="Q434" i="25"/>
  <c r="P434" i="25"/>
  <c r="O434" i="25"/>
  <c r="N434" i="25"/>
  <c r="M434" i="25"/>
  <c r="L434" i="25"/>
  <c r="K434" i="25"/>
  <c r="J434" i="25"/>
  <c r="H434" i="25"/>
  <c r="G434" i="25"/>
  <c r="C434" i="25"/>
  <c r="D434" i="25" s="1"/>
  <c r="F434" i="25"/>
  <c r="AT433" i="25"/>
  <c r="AS433" i="25"/>
  <c r="AQ433" i="25"/>
  <c r="AO433" i="25"/>
  <c r="AN433" i="25"/>
  <c r="AM433" i="25"/>
  <c r="AL433" i="25"/>
  <c r="AK433" i="25"/>
  <c r="AJ433" i="25"/>
  <c r="AI433" i="25"/>
  <c r="AH433" i="25"/>
  <c r="AG433" i="25"/>
  <c r="AF433" i="25"/>
  <c r="AE433" i="25"/>
  <c r="AD433" i="25"/>
  <c r="AC433" i="25"/>
  <c r="AB433" i="25"/>
  <c r="AA433" i="25"/>
  <c r="Z433" i="25"/>
  <c r="Y433" i="25"/>
  <c r="X433" i="25"/>
  <c r="W433" i="25"/>
  <c r="V433" i="25"/>
  <c r="U433" i="25"/>
  <c r="T433" i="25"/>
  <c r="S433" i="25"/>
  <c r="R433" i="25"/>
  <c r="Q433" i="25"/>
  <c r="P433" i="25"/>
  <c r="O433" i="25"/>
  <c r="N433" i="25"/>
  <c r="M433" i="25"/>
  <c r="L433" i="25"/>
  <c r="K433" i="25"/>
  <c r="J433" i="25"/>
  <c r="H433" i="25"/>
  <c r="G433" i="25"/>
  <c r="C433" i="25"/>
  <c r="D433" i="25" s="1"/>
  <c r="F433" i="25"/>
  <c r="AT412" i="25"/>
  <c r="AS412" i="25"/>
  <c r="AR412" i="25"/>
  <c r="AQ412" i="25"/>
  <c r="AO412" i="25"/>
  <c r="AN412" i="25"/>
  <c r="AM412" i="25"/>
  <c r="AL412" i="25"/>
  <c r="AK412" i="25"/>
  <c r="AJ412" i="25"/>
  <c r="AI412" i="25"/>
  <c r="AH412" i="25"/>
  <c r="AG412" i="25"/>
  <c r="AF412" i="25"/>
  <c r="AE412" i="25"/>
  <c r="AD412" i="25"/>
  <c r="AC412" i="25"/>
  <c r="AB412" i="25"/>
  <c r="AA412" i="25"/>
  <c r="Z412" i="25"/>
  <c r="Y412" i="25"/>
  <c r="X412" i="25"/>
  <c r="W412" i="25"/>
  <c r="V412" i="25"/>
  <c r="U412" i="25"/>
  <c r="T412" i="25"/>
  <c r="S412" i="25"/>
  <c r="R412" i="25"/>
  <c r="Q412" i="25"/>
  <c r="P412" i="25"/>
  <c r="O412" i="25"/>
  <c r="N412" i="25"/>
  <c r="M412" i="25"/>
  <c r="L412" i="25"/>
  <c r="K412" i="25"/>
  <c r="J412" i="25"/>
  <c r="H412" i="25"/>
  <c r="G412" i="25"/>
  <c r="C412" i="25"/>
  <c r="D412" i="25" s="1"/>
  <c r="F412" i="25"/>
  <c r="AT411" i="25"/>
  <c r="AS411" i="25"/>
  <c r="AR411" i="25"/>
  <c r="AQ411" i="25"/>
  <c r="AO411" i="25"/>
  <c r="AN411" i="25"/>
  <c r="AM411" i="25"/>
  <c r="AL411" i="25"/>
  <c r="AK411" i="25"/>
  <c r="AJ411" i="25"/>
  <c r="AI411" i="25"/>
  <c r="AH411" i="25"/>
  <c r="AG411" i="25"/>
  <c r="AF411" i="25"/>
  <c r="AE411" i="25"/>
  <c r="AD411" i="25"/>
  <c r="AC411" i="25"/>
  <c r="AB411" i="25"/>
  <c r="AA411" i="25"/>
  <c r="Z411" i="25"/>
  <c r="Y411" i="25"/>
  <c r="X411" i="25"/>
  <c r="W411" i="25"/>
  <c r="V411" i="25"/>
  <c r="U411" i="25"/>
  <c r="T411" i="25"/>
  <c r="S411" i="25"/>
  <c r="R411" i="25"/>
  <c r="Q411" i="25"/>
  <c r="P411" i="25"/>
  <c r="O411" i="25"/>
  <c r="N411" i="25"/>
  <c r="M411" i="25"/>
  <c r="L411" i="25"/>
  <c r="K411" i="25"/>
  <c r="J411" i="25"/>
  <c r="H411" i="25"/>
  <c r="G411" i="25"/>
  <c r="C411" i="25"/>
  <c r="D411" i="25" s="1"/>
  <c r="F411" i="25"/>
  <c r="AT410" i="25"/>
  <c r="AS410" i="25"/>
  <c r="AQ410" i="25"/>
  <c r="AO410" i="25"/>
  <c r="AN410" i="25"/>
  <c r="AM410" i="25"/>
  <c r="AL410" i="25"/>
  <c r="AK410" i="25"/>
  <c r="AJ410" i="25"/>
  <c r="AI410" i="25"/>
  <c r="AH410" i="25"/>
  <c r="AG410" i="25"/>
  <c r="AF410" i="25"/>
  <c r="AE410" i="25"/>
  <c r="AD410" i="25"/>
  <c r="AC410" i="25"/>
  <c r="AB410" i="25"/>
  <c r="AA410" i="25"/>
  <c r="Z410" i="25"/>
  <c r="Y410" i="25"/>
  <c r="X410" i="25"/>
  <c r="W410" i="25"/>
  <c r="V410" i="25"/>
  <c r="U410" i="25"/>
  <c r="T410" i="25"/>
  <c r="S410" i="25"/>
  <c r="R410" i="25"/>
  <c r="Q410" i="25"/>
  <c r="P410" i="25"/>
  <c r="O410" i="25"/>
  <c r="N410" i="25"/>
  <c r="M410" i="25"/>
  <c r="L410" i="25"/>
  <c r="K410" i="25"/>
  <c r="J410" i="25"/>
  <c r="H410" i="25"/>
  <c r="G410" i="25"/>
  <c r="C410" i="25"/>
  <c r="D410" i="25" s="1"/>
  <c r="F410" i="25"/>
  <c r="AT409" i="25"/>
  <c r="AS409" i="25"/>
  <c r="AR409" i="25"/>
  <c r="AQ409" i="25"/>
  <c r="AO409" i="25"/>
  <c r="AN409" i="25"/>
  <c r="AM409" i="25"/>
  <c r="AL409" i="25"/>
  <c r="AK409" i="25"/>
  <c r="AJ409" i="25"/>
  <c r="AI409" i="25"/>
  <c r="AH409" i="25"/>
  <c r="AG409" i="25"/>
  <c r="AF409" i="25"/>
  <c r="AE409" i="25"/>
  <c r="AD409" i="25"/>
  <c r="AC409" i="25"/>
  <c r="AB409" i="25"/>
  <c r="AA409" i="25"/>
  <c r="Z409" i="25"/>
  <c r="Y409" i="25"/>
  <c r="X409" i="25"/>
  <c r="W409" i="25"/>
  <c r="V409" i="25"/>
  <c r="U409" i="25"/>
  <c r="T409" i="25"/>
  <c r="S409" i="25"/>
  <c r="R409" i="25"/>
  <c r="Q409" i="25"/>
  <c r="P409" i="25"/>
  <c r="O409" i="25"/>
  <c r="N409" i="25"/>
  <c r="M409" i="25"/>
  <c r="L409" i="25"/>
  <c r="K409" i="25"/>
  <c r="J409" i="25"/>
  <c r="H409" i="25"/>
  <c r="G409" i="25"/>
  <c r="C409" i="25"/>
  <c r="D409" i="25" s="1"/>
  <c r="F409" i="25"/>
  <c r="AT408" i="25"/>
  <c r="AS408" i="25"/>
  <c r="AQ408" i="25"/>
  <c r="AO408" i="25"/>
  <c r="AN408" i="25"/>
  <c r="AM408" i="25"/>
  <c r="AL408" i="25"/>
  <c r="AK408" i="25"/>
  <c r="AJ408" i="25"/>
  <c r="AI408" i="25"/>
  <c r="AH408" i="25"/>
  <c r="AG408" i="25"/>
  <c r="AF408" i="25"/>
  <c r="AE408" i="25"/>
  <c r="AD408" i="25"/>
  <c r="AC408" i="25"/>
  <c r="AB408" i="25"/>
  <c r="AA408" i="25"/>
  <c r="Z408" i="25"/>
  <c r="Y408" i="25"/>
  <c r="X408" i="25"/>
  <c r="W408" i="25"/>
  <c r="V408" i="25"/>
  <c r="U408" i="25"/>
  <c r="T408" i="25"/>
  <c r="S408" i="25"/>
  <c r="R408" i="25"/>
  <c r="Q408" i="25"/>
  <c r="P408" i="25"/>
  <c r="O408" i="25"/>
  <c r="N408" i="25"/>
  <c r="M408" i="25"/>
  <c r="L408" i="25"/>
  <c r="K408" i="25"/>
  <c r="J408" i="25"/>
  <c r="H408" i="25"/>
  <c r="G408" i="25"/>
  <c r="C408" i="25"/>
  <c r="D408" i="25" s="1"/>
  <c r="F408" i="25"/>
  <c r="AT322" i="25"/>
  <c r="AS322" i="25"/>
  <c r="AQ322" i="25"/>
  <c r="AO322" i="25"/>
  <c r="AN322" i="25"/>
  <c r="AM322" i="25"/>
  <c r="AL322" i="25"/>
  <c r="AK322" i="25"/>
  <c r="AJ322" i="25"/>
  <c r="AI322" i="25"/>
  <c r="AH322" i="25"/>
  <c r="AG322" i="25"/>
  <c r="AF322" i="25"/>
  <c r="AE322" i="25"/>
  <c r="AD322" i="25"/>
  <c r="AC322" i="25"/>
  <c r="AB322" i="25"/>
  <c r="AA322" i="25"/>
  <c r="Z322" i="25"/>
  <c r="Y322" i="25"/>
  <c r="X322" i="25"/>
  <c r="W322" i="25"/>
  <c r="V322" i="25"/>
  <c r="U322" i="25"/>
  <c r="T322" i="25"/>
  <c r="S322" i="25"/>
  <c r="R322" i="25"/>
  <c r="Q322" i="25"/>
  <c r="P322" i="25"/>
  <c r="O322" i="25"/>
  <c r="N322" i="25"/>
  <c r="M322" i="25"/>
  <c r="L322" i="25"/>
  <c r="K322" i="25"/>
  <c r="J322" i="25"/>
  <c r="H322" i="25"/>
  <c r="G322" i="25"/>
  <c r="C322" i="25"/>
  <c r="D322" i="25" s="1"/>
  <c r="F322" i="25"/>
  <c r="AT325" i="25"/>
  <c r="AS325" i="25"/>
  <c r="AQ325" i="25"/>
  <c r="AO325" i="25"/>
  <c r="AN325" i="25"/>
  <c r="AM325" i="25"/>
  <c r="AL325" i="25"/>
  <c r="AK325" i="25"/>
  <c r="AJ325" i="25"/>
  <c r="AI325" i="25"/>
  <c r="AH325" i="25"/>
  <c r="AG325" i="25"/>
  <c r="AF325" i="25"/>
  <c r="AE325" i="25"/>
  <c r="AD325" i="25"/>
  <c r="AC325" i="25"/>
  <c r="AB325" i="25"/>
  <c r="AA325" i="25"/>
  <c r="Z325" i="25"/>
  <c r="Y325" i="25"/>
  <c r="X325" i="25"/>
  <c r="W325" i="25"/>
  <c r="V325" i="25"/>
  <c r="U325" i="25"/>
  <c r="T325" i="25"/>
  <c r="S325" i="25"/>
  <c r="R325" i="25"/>
  <c r="Q325" i="25"/>
  <c r="P325" i="25"/>
  <c r="O325" i="25"/>
  <c r="N325" i="25"/>
  <c r="M325" i="25"/>
  <c r="L325" i="25"/>
  <c r="K325" i="25"/>
  <c r="J325" i="25"/>
  <c r="H325" i="25"/>
  <c r="G325" i="25"/>
  <c r="C325" i="25"/>
  <c r="D325" i="25" s="1"/>
  <c r="F325" i="25"/>
  <c r="AT324" i="25"/>
  <c r="AS324" i="25"/>
  <c r="AQ324" i="25"/>
  <c r="AO324" i="25"/>
  <c r="AN324" i="25"/>
  <c r="AM324" i="25"/>
  <c r="AL324" i="25"/>
  <c r="AK324" i="25"/>
  <c r="AJ324" i="25"/>
  <c r="AI324" i="25"/>
  <c r="AH324" i="25"/>
  <c r="AG324" i="25"/>
  <c r="AF324" i="25"/>
  <c r="AE324" i="25"/>
  <c r="AD324" i="25"/>
  <c r="AC324" i="25"/>
  <c r="AB324" i="25"/>
  <c r="AA324" i="25"/>
  <c r="Z324" i="25"/>
  <c r="Y324" i="25"/>
  <c r="X324" i="25"/>
  <c r="W324" i="25"/>
  <c r="V324" i="25"/>
  <c r="U324" i="25"/>
  <c r="T324" i="25"/>
  <c r="S324" i="25"/>
  <c r="R324" i="25"/>
  <c r="Q324" i="25"/>
  <c r="P324" i="25"/>
  <c r="O324" i="25"/>
  <c r="N324" i="25"/>
  <c r="M324" i="25"/>
  <c r="L324" i="25"/>
  <c r="K324" i="25"/>
  <c r="J324" i="25"/>
  <c r="H324" i="25"/>
  <c r="G324" i="25"/>
  <c r="C324" i="25"/>
  <c r="D324" i="25" s="1"/>
  <c r="F324" i="25"/>
  <c r="AT323" i="25"/>
  <c r="AS323" i="25"/>
  <c r="AQ323" i="25"/>
  <c r="AO323" i="25"/>
  <c r="AN323" i="25"/>
  <c r="AM323" i="25"/>
  <c r="AL323" i="25"/>
  <c r="AK323" i="25"/>
  <c r="AJ323" i="25"/>
  <c r="AI323" i="25"/>
  <c r="AH323" i="25"/>
  <c r="AG323" i="25"/>
  <c r="AF323" i="25"/>
  <c r="AE323" i="25"/>
  <c r="AD323" i="25"/>
  <c r="AC323" i="25"/>
  <c r="AB323" i="25"/>
  <c r="AA323" i="25"/>
  <c r="Z323" i="25"/>
  <c r="Y323" i="25"/>
  <c r="X323" i="25"/>
  <c r="W323" i="25"/>
  <c r="V323" i="25"/>
  <c r="U323" i="25"/>
  <c r="T323" i="25"/>
  <c r="S323" i="25"/>
  <c r="R323" i="25"/>
  <c r="Q323" i="25"/>
  <c r="P323" i="25"/>
  <c r="O323" i="25"/>
  <c r="N323" i="25"/>
  <c r="M323" i="25"/>
  <c r="L323" i="25"/>
  <c r="K323" i="25"/>
  <c r="J323" i="25"/>
  <c r="H323" i="25"/>
  <c r="G323" i="25"/>
  <c r="C323" i="25"/>
  <c r="D323" i="25" s="1"/>
  <c r="F323" i="25"/>
  <c r="AT326" i="25"/>
  <c r="AS326" i="25"/>
  <c r="AQ326" i="25"/>
  <c r="AO326" i="25"/>
  <c r="AN326" i="25"/>
  <c r="AM326" i="25"/>
  <c r="AL326" i="25"/>
  <c r="AK326" i="25"/>
  <c r="AJ326" i="25"/>
  <c r="AI326" i="25"/>
  <c r="AH326" i="25"/>
  <c r="AG326" i="25"/>
  <c r="AF326" i="25"/>
  <c r="AE326" i="25"/>
  <c r="AD326" i="25"/>
  <c r="AC326" i="25"/>
  <c r="AB326" i="25"/>
  <c r="AA326" i="25"/>
  <c r="Z326" i="25"/>
  <c r="Y326" i="25"/>
  <c r="X326" i="25"/>
  <c r="W326" i="25"/>
  <c r="V326" i="25"/>
  <c r="U326" i="25"/>
  <c r="T326" i="25"/>
  <c r="S326" i="25"/>
  <c r="R326" i="25"/>
  <c r="Q326" i="25"/>
  <c r="P326" i="25"/>
  <c r="O326" i="25"/>
  <c r="N326" i="25"/>
  <c r="M326" i="25"/>
  <c r="L326" i="25"/>
  <c r="K326" i="25"/>
  <c r="J326" i="25"/>
  <c r="H326" i="25"/>
  <c r="G326" i="25"/>
  <c r="C326" i="25"/>
  <c r="D326" i="25" s="1"/>
  <c r="F326" i="25"/>
  <c r="AT358" i="25"/>
  <c r="AS358" i="25"/>
  <c r="AR358" i="25"/>
  <c r="AQ358" i="25"/>
  <c r="AO358" i="25"/>
  <c r="AN358" i="25"/>
  <c r="AM358" i="25"/>
  <c r="AL358" i="25"/>
  <c r="AK358" i="25"/>
  <c r="AJ358" i="25"/>
  <c r="AI358" i="25"/>
  <c r="AH358" i="25"/>
  <c r="AG358" i="25"/>
  <c r="AF358" i="25"/>
  <c r="AE358" i="25"/>
  <c r="AD358" i="25"/>
  <c r="AC358" i="25"/>
  <c r="AB358" i="25"/>
  <c r="AA358" i="25"/>
  <c r="Z358" i="25"/>
  <c r="Y358" i="25"/>
  <c r="X358" i="25"/>
  <c r="W358" i="25"/>
  <c r="V358" i="25"/>
  <c r="U358" i="25"/>
  <c r="T358" i="25"/>
  <c r="S358" i="25"/>
  <c r="R358" i="25"/>
  <c r="Q358" i="25"/>
  <c r="P358" i="25"/>
  <c r="O358" i="25"/>
  <c r="N358" i="25"/>
  <c r="M358" i="25"/>
  <c r="L358" i="25"/>
  <c r="K358" i="25"/>
  <c r="J358" i="25"/>
  <c r="H358" i="25"/>
  <c r="G358" i="25"/>
  <c r="C358" i="25"/>
  <c r="D358" i="25" s="1"/>
  <c r="F358" i="25"/>
  <c r="AT357" i="25"/>
  <c r="AS357" i="25"/>
  <c r="AR357" i="25"/>
  <c r="AQ357" i="25"/>
  <c r="AO357" i="25"/>
  <c r="AN357" i="25"/>
  <c r="AM357" i="25"/>
  <c r="AL357" i="25"/>
  <c r="AK357" i="25"/>
  <c r="AJ357" i="25"/>
  <c r="AI357" i="25"/>
  <c r="AH357" i="25"/>
  <c r="AG357" i="25"/>
  <c r="AF357" i="25"/>
  <c r="AE357" i="25"/>
  <c r="AD357" i="25"/>
  <c r="AC357" i="25"/>
  <c r="AB357" i="25"/>
  <c r="AA357" i="25"/>
  <c r="Z357" i="25"/>
  <c r="Y357" i="25"/>
  <c r="X357" i="25"/>
  <c r="W357" i="25"/>
  <c r="V357" i="25"/>
  <c r="U357" i="25"/>
  <c r="T357" i="25"/>
  <c r="S357" i="25"/>
  <c r="R357" i="25"/>
  <c r="Q357" i="25"/>
  <c r="P357" i="25"/>
  <c r="O357" i="25"/>
  <c r="N357" i="25"/>
  <c r="M357" i="25"/>
  <c r="L357" i="25"/>
  <c r="K357" i="25"/>
  <c r="J357" i="25"/>
  <c r="H357" i="25"/>
  <c r="G357" i="25"/>
  <c r="C357" i="25"/>
  <c r="D357" i="25" s="1"/>
  <c r="F357" i="25"/>
  <c r="AT356" i="25"/>
  <c r="AS356" i="25"/>
  <c r="AR356" i="25"/>
  <c r="AQ356" i="25"/>
  <c r="AO356" i="25"/>
  <c r="AN356" i="25"/>
  <c r="AM356" i="25"/>
  <c r="AL356" i="25"/>
  <c r="AK356" i="25"/>
  <c r="AJ356" i="25"/>
  <c r="AI356" i="25"/>
  <c r="AH356" i="25"/>
  <c r="AG356" i="25"/>
  <c r="AF356" i="25"/>
  <c r="AE356" i="25"/>
  <c r="AD356" i="25"/>
  <c r="AC356" i="25"/>
  <c r="AB356" i="25"/>
  <c r="AA356" i="25"/>
  <c r="Z356" i="25"/>
  <c r="Y356" i="25"/>
  <c r="X356" i="25"/>
  <c r="W356" i="25"/>
  <c r="V356" i="25"/>
  <c r="U356" i="25"/>
  <c r="T356" i="25"/>
  <c r="S356" i="25"/>
  <c r="R356" i="25"/>
  <c r="Q356" i="25"/>
  <c r="P356" i="25"/>
  <c r="O356" i="25"/>
  <c r="N356" i="25"/>
  <c r="M356" i="25"/>
  <c r="L356" i="25"/>
  <c r="K356" i="25"/>
  <c r="J356" i="25"/>
  <c r="H356" i="25"/>
  <c r="G356" i="25"/>
  <c r="C356" i="25"/>
  <c r="D356" i="25" s="1"/>
  <c r="F356" i="25"/>
  <c r="AT355" i="25"/>
  <c r="AS355" i="25"/>
  <c r="AR355" i="25"/>
  <c r="AQ355" i="25"/>
  <c r="AO355" i="25"/>
  <c r="AN355" i="25"/>
  <c r="AM355" i="25"/>
  <c r="AL355" i="25"/>
  <c r="AK355" i="25"/>
  <c r="AJ355" i="25"/>
  <c r="AI355" i="25"/>
  <c r="AH355" i="25"/>
  <c r="AG355" i="25"/>
  <c r="AF355" i="25"/>
  <c r="AE355" i="25"/>
  <c r="AD355" i="25"/>
  <c r="AC355" i="25"/>
  <c r="AB355" i="25"/>
  <c r="AA355" i="25"/>
  <c r="Z355" i="25"/>
  <c r="Y355" i="25"/>
  <c r="X355" i="25"/>
  <c r="W355" i="25"/>
  <c r="V355" i="25"/>
  <c r="U355" i="25"/>
  <c r="T355" i="25"/>
  <c r="S355" i="25"/>
  <c r="R355" i="25"/>
  <c r="Q355" i="25"/>
  <c r="P355" i="25"/>
  <c r="O355" i="25"/>
  <c r="N355" i="25"/>
  <c r="M355" i="25"/>
  <c r="L355" i="25"/>
  <c r="K355" i="25"/>
  <c r="J355" i="25"/>
  <c r="H355" i="25"/>
  <c r="G355" i="25"/>
  <c r="C355" i="25"/>
  <c r="D355" i="25" s="1"/>
  <c r="F355" i="25"/>
  <c r="AT354" i="25"/>
  <c r="AS354" i="25"/>
  <c r="AR354" i="25"/>
  <c r="AQ354" i="25"/>
  <c r="AO354" i="25"/>
  <c r="AN354" i="25"/>
  <c r="AM354" i="25"/>
  <c r="AL354" i="25"/>
  <c r="AK354" i="25"/>
  <c r="AJ354" i="25"/>
  <c r="AI354" i="25"/>
  <c r="AH354" i="25"/>
  <c r="AG354" i="25"/>
  <c r="AF354" i="25"/>
  <c r="AE354" i="25"/>
  <c r="AD354" i="25"/>
  <c r="AC354" i="25"/>
  <c r="AB354" i="25"/>
  <c r="AA354" i="25"/>
  <c r="Z354" i="25"/>
  <c r="Y354" i="25"/>
  <c r="X354" i="25"/>
  <c r="W354" i="25"/>
  <c r="V354" i="25"/>
  <c r="U354" i="25"/>
  <c r="T354" i="25"/>
  <c r="S354" i="25"/>
  <c r="R354" i="25"/>
  <c r="Q354" i="25"/>
  <c r="P354" i="25"/>
  <c r="O354" i="25"/>
  <c r="N354" i="25"/>
  <c r="M354" i="25"/>
  <c r="L354" i="25"/>
  <c r="K354" i="25"/>
  <c r="J354" i="25"/>
  <c r="H354" i="25"/>
  <c r="G354" i="25"/>
  <c r="C354" i="25"/>
  <c r="D354" i="25" s="1"/>
  <c r="F354" i="25"/>
  <c r="AT353" i="25"/>
  <c r="AS353" i="25"/>
  <c r="AR353" i="25"/>
  <c r="AQ353" i="25"/>
  <c r="AO353" i="25"/>
  <c r="AN353" i="25"/>
  <c r="AM353" i="25"/>
  <c r="AL353" i="25"/>
  <c r="AK353" i="25"/>
  <c r="AJ353" i="25"/>
  <c r="AI353" i="25"/>
  <c r="AH353" i="25"/>
  <c r="AG353" i="25"/>
  <c r="AF353" i="25"/>
  <c r="AE353" i="25"/>
  <c r="AD353" i="25"/>
  <c r="AC353" i="25"/>
  <c r="AB353" i="25"/>
  <c r="AA353" i="25"/>
  <c r="Z353" i="25"/>
  <c r="Y353" i="25"/>
  <c r="X353" i="25"/>
  <c r="W353" i="25"/>
  <c r="V353" i="25"/>
  <c r="U353" i="25"/>
  <c r="T353" i="25"/>
  <c r="S353" i="25"/>
  <c r="R353" i="25"/>
  <c r="Q353" i="25"/>
  <c r="P353" i="25"/>
  <c r="O353" i="25"/>
  <c r="N353" i="25"/>
  <c r="M353" i="25"/>
  <c r="L353" i="25"/>
  <c r="K353" i="25"/>
  <c r="J353" i="25"/>
  <c r="H353" i="25"/>
  <c r="G353" i="25"/>
  <c r="C353" i="25"/>
  <c r="D353" i="25" s="1"/>
  <c r="F353" i="25"/>
  <c r="AT352" i="25"/>
  <c r="AS352" i="25"/>
  <c r="AR352" i="25"/>
  <c r="AQ352" i="25"/>
  <c r="AO352" i="25"/>
  <c r="AN352" i="25"/>
  <c r="AM352" i="25"/>
  <c r="AL352" i="25"/>
  <c r="AK352" i="25"/>
  <c r="AJ352" i="25"/>
  <c r="AI352" i="25"/>
  <c r="AH352" i="25"/>
  <c r="AG352" i="25"/>
  <c r="AF352" i="25"/>
  <c r="AE352" i="25"/>
  <c r="AD352" i="25"/>
  <c r="AC352" i="25"/>
  <c r="AB352" i="25"/>
  <c r="AA352" i="25"/>
  <c r="Z352" i="25"/>
  <c r="Y352" i="25"/>
  <c r="X352" i="25"/>
  <c r="W352" i="25"/>
  <c r="V352" i="25"/>
  <c r="U352" i="25"/>
  <c r="T352" i="25"/>
  <c r="S352" i="25"/>
  <c r="R352" i="25"/>
  <c r="Q352" i="25"/>
  <c r="P352" i="25"/>
  <c r="O352" i="25"/>
  <c r="N352" i="25"/>
  <c r="M352" i="25"/>
  <c r="L352" i="25"/>
  <c r="K352" i="25"/>
  <c r="J352" i="25"/>
  <c r="H352" i="25"/>
  <c r="G352" i="25"/>
  <c r="C352" i="25"/>
  <c r="D352" i="25" s="1"/>
  <c r="F352" i="25"/>
  <c r="AT351" i="25"/>
  <c r="AS351" i="25"/>
  <c r="AR351" i="25"/>
  <c r="AQ351" i="25"/>
  <c r="AO351" i="25"/>
  <c r="AN351" i="25"/>
  <c r="AM351" i="25"/>
  <c r="AL351" i="25"/>
  <c r="AK351" i="25"/>
  <c r="AJ351" i="25"/>
  <c r="AI351" i="25"/>
  <c r="AH351" i="25"/>
  <c r="AG351" i="25"/>
  <c r="AF351" i="25"/>
  <c r="AE351" i="25"/>
  <c r="AD351" i="25"/>
  <c r="AC351" i="25"/>
  <c r="AB351" i="25"/>
  <c r="AA351" i="25"/>
  <c r="Z351" i="25"/>
  <c r="Y351" i="25"/>
  <c r="X351" i="25"/>
  <c r="W351" i="25"/>
  <c r="V351" i="25"/>
  <c r="U351" i="25"/>
  <c r="T351" i="25"/>
  <c r="S351" i="25"/>
  <c r="R351" i="25"/>
  <c r="Q351" i="25"/>
  <c r="P351" i="25"/>
  <c r="O351" i="25"/>
  <c r="N351" i="25"/>
  <c r="M351" i="25"/>
  <c r="L351" i="25"/>
  <c r="K351" i="25"/>
  <c r="J351" i="25"/>
  <c r="H351" i="25"/>
  <c r="G351" i="25"/>
  <c r="C351" i="25"/>
  <c r="D351" i="25" s="1"/>
  <c r="F351" i="25"/>
  <c r="AT432" i="25"/>
  <c r="AS432" i="25"/>
  <c r="AQ432" i="25"/>
  <c r="AO432" i="25"/>
  <c r="AN432" i="25"/>
  <c r="AM432" i="25"/>
  <c r="AL432" i="25"/>
  <c r="AK432" i="25"/>
  <c r="AJ432" i="25"/>
  <c r="AI432" i="25"/>
  <c r="AH432" i="25"/>
  <c r="AG432" i="25"/>
  <c r="AF432" i="25"/>
  <c r="AE432" i="25"/>
  <c r="AD432" i="25"/>
  <c r="AC432" i="25"/>
  <c r="AB432" i="25"/>
  <c r="AA432" i="25"/>
  <c r="Z432" i="25"/>
  <c r="Y432" i="25"/>
  <c r="X432" i="25"/>
  <c r="W432" i="25"/>
  <c r="V432" i="25"/>
  <c r="U432" i="25"/>
  <c r="T432" i="25"/>
  <c r="S432" i="25"/>
  <c r="R432" i="25"/>
  <c r="Q432" i="25"/>
  <c r="P432" i="25"/>
  <c r="O432" i="25"/>
  <c r="N432" i="25"/>
  <c r="M432" i="25"/>
  <c r="L432" i="25"/>
  <c r="K432" i="25"/>
  <c r="J432" i="25"/>
  <c r="H432" i="25"/>
  <c r="G432" i="25"/>
  <c r="C432" i="25"/>
  <c r="D432" i="25" s="1"/>
  <c r="F432" i="25"/>
  <c r="AT431" i="25"/>
  <c r="AS431" i="25"/>
  <c r="AQ431" i="25"/>
  <c r="AO431" i="25"/>
  <c r="AN431" i="25"/>
  <c r="AM431" i="25"/>
  <c r="AL431" i="25"/>
  <c r="AK431" i="25"/>
  <c r="AJ431" i="25"/>
  <c r="AI431" i="25"/>
  <c r="AH431" i="25"/>
  <c r="AG431" i="25"/>
  <c r="AF431" i="25"/>
  <c r="AE431" i="25"/>
  <c r="AD431" i="25"/>
  <c r="AC431" i="25"/>
  <c r="AB431" i="25"/>
  <c r="AA431" i="25"/>
  <c r="Z431" i="25"/>
  <c r="Y431" i="25"/>
  <c r="X431" i="25"/>
  <c r="W431" i="25"/>
  <c r="V431" i="25"/>
  <c r="U431" i="25"/>
  <c r="T431" i="25"/>
  <c r="S431" i="25"/>
  <c r="R431" i="25"/>
  <c r="Q431" i="25"/>
  <c r="P431" i="25"/>
  <c r="O431" i="25"/>
  <c r="N431" i="25"/>
  <c r="M431" i="25"/>
  <c r="L431" i="25"/>
  <c r="K431" i="25"/>
  <c r="J431" i="25"/>
  <c r="H431" i="25"/>
  <c r="G431" i="25"/>
  <c r="C431" i="25"/>
  <c r="D431" i="25" s="1"/>
  <c r="F431" i="25"/>
  <c r="AT430" i="25"/>
  <c r="AS430" i="25"/>
  <c r="AR430" i="25"/>
  <c r="AQ430" i="25"/>
  <c r="AO430" i="25"/>
  <c r="AN430" i="25"/>
  <c r="AM430" i="25"/>
  <c r="AL430" i="25"/>
  <c r="AK430" i="25"/>
  <c r="AJ430" i="25"/>
  <c r="AI430" i="25"/>
  <c r="AH430" i="25"/>
  <c r="AG430" i="25"/>
  <c r="AF430" i="25"/>
  <c r="AE430" i="25"/>
  <c r="AD430" i="25"/>
  <c r="AC430" i="25"/>
  <c r="AB430" i="25"/>
  <c r="AA430" i="25"/>
  <c r="Z430" i="25"/>
  <c r="Y430" i="25"/>
  <c r="X430" i="25"/>
  <c r="W430" i="25"/>
  <c r="V430" i="25"/>
  <c r="U430" i="25"/>
  <c r="T430" i="25"/>
  <c r="S430" i="25"/>
  <c r="R430" i="25"/>
  <c r="Q430" i="25"/>
  <c r="P430" i="25"/>
  <c r="O430" i="25"/>
  <c r="N430" i="25"/>
  <c r="M430" i="25"/>
  <c r="L430" i="25"/>
  <c r="K430" i="25"/>
  <c r="J430" i="25"/>
  <c r="H430" i="25"/>
  <c r="G430" i="25"/>
  <c r="C430" i="25"/>
  <c r="D430" i="25" s="1"/>
  <c r="F430" i="25"/>
  <c r="AT429" i="25"/>
  <c r="AS429" i="25"/>
  <c r="AQ429" i="25"/>
  <c r="AO429" i="25"/>
  <c r="AN429" i="25"/>
  <c r="AM429" i="25"/>
  <c r="AL429" i="25"/>
  <c r="AK429" i="25"/>
  <c r="AJ429" i="25"/>
  <c r="AI429" i="25"/>
  <c r="AH429" i="25"/>
  <c r="AG429" i="25"/>
  <c r="AF429" i="25"/>
  <c r="AE429" i="25"/>
  <c r="AD429" i="25"/>
  <c r="AC429" i="25"/>
  <c r="AB429" i="25"/>
  <c r="AA429" i="25"/>
  <c r="Z429" i="25"/>
  <c r="Y429" i="25"/>
  <c r="X429" i="25"/>
  <c r="W429" i="25"/>
  <c r="V429" i="25"/>
  <c r="U429" i="25"/>
  <c r="T429" i="25"/>
  <c r="S429" i="25"/>
  <c r="R429" i="25"/>
  <c r="Q429" i="25"/>
  <c r="P429" i="25"/>
  <c r="O429" i="25"/>
  <c r="N429" i="25"/>
  <c r="M429" i="25"/>
  <c r="L429" i="25"/>
  <c r="K429" i="25"/>
  <c r="J429" i="25"/>
  <c r="H429" i="25"/>
  <c r="G429" i="25"/>
  <c r="C429" i="25"/>
  <c r="D429" i="25" s="1"/>
  <c r="F429" i="25"/>
  <c r="AT428" i="25"/>
  <c r="AS428" i="25"/>
  <c r="AQ428" i="25"/>
  <c r="AO428" i="25"/>
  <c r="AN428" i="25"/>
  <c r="AM428" i="25"/>
  <c r="AL428" i="25"/>
  <c r="AK428" i="25"/>
  <c r="AJ428" i="25"/>
  <c r="AI428" i="25"/>
  <c r="AH428" i="25"/>
  <c r="AG428" i="25"/>
  <c r="AF428" i="25"/>
  <c r="AE428" i="25"/>
  <c r="AD428" i="25"/>
  <c r="AC428" i="25"/>
  <c r="AB428" i="25"/>
  <c r="AA428" i="25"/>
  <c r="Z428" i="25"/>
  <c r="Y428" i="25"/>
  <c r="X428" i="25"/>
  <c r="W428" i="25"/>
  <c r="V428" i="25"/>
  <c r="U428" i="25"/>
  <c r="T428" i="25"/>
  <c r="S428" i="25"/>
  <c r="R428" i="25"/>
  <c r="Q428" i="25"/>
  <c r="P428" i="25"/>
  <c r="O428" i="25"/>
  <c r="N428" i="25"/>
  <c r="M428" i="25"/>
  <c r="L428" i="25"/>
  <c r="K428" i="25"/>
  <c r="J428" i="25"/>
  <c r="H428" i="25"/>
  <c r="G428" i="25"/>
  <c r="C428" i="25"/>
  <c r="D428" i="25" s="1"/>
  <c r="F428" i="25"/>
  <c r="AT427" i="25"/>
  <c r="AS427" i="25"/>
  <c r="AR427" i="25"/>
  <c r="AQ427" i="25"/>
  <c r="AO427" i="25"/>
  <c r="AN427" i="25"/>
  <c r="AM427" i="25"/>
  <c r="AL427" i="25"/>
  <c r="AK427" i="25"/>
  <c r="AJ427" i="25"/>
  <c r="AI427" i="25"/>
  <c r="AH427" i="25"/>
  <c r="AG427" i="25"/>
  <c r="AF427" i="25"/>
  <c r="AE427" i="25"/>
  <c r="AD427" i="25"/>
  <c r="AC427" i="25"/>
  <c r="AB427" i="25"/>
  <c r="AA427" i="25"/>
  <c r="Z427" i="25"/>
  <c r="Y427" i="25"/>
  <c r="X427" i="25"/>
  <c r="W427" i="25"/>
  <c r="V427" i="25"/>
  <c r="U427" i="25"/>
  <c r="T427" i="25"/>
  <c r="S427" i="25"/>
  <c r="R427" i="25"/>
  <c r="Q427" i="25"/>
  <c r="P427" i="25"/>
  <c r="O427" i="25"/>
  <c r="N427" i="25"/>
  <c r="M427" i="25"/>
  <c r="L427" i="25"/>
  <c r="K427" i="25"/>
  <c r="J427" i="25"/>
  <c r="H427" i="25"/>
  <c r="G427" i="25"/>
  <c r="C427" i="25"/>
  <c r="D427" i="25" s="1"/>
  <c r="F427" i="25"/>
  <c r="AT426" i="25"/>
  <c r="AS426" i="25"/>
  <c r="AR426" i="25"/>
  <c r="AQ426" i="25"/>
  <c r="AO426" i="25"/>
  <c r="AN426" i="25"/>
  <c r="AM426" i="25"/>
  <c r="AL426" i="25"/>
  <c r="AK426" i="25"/>
  <c r="AJ426" i="25"/>
  <c r="AI426" i="25"/>
  <c r="AH426" i="25"/>
  <c r="AG426" i="25"/>
  <c r="AF426" i="25"/>
  <c r="AE426" i="25"/>
  <c r="AD426" i="25"/>
  <c r="AC426" i="25"/>
  <c r="AB426" i="25"/>
  <c r="AA426" i="25"/>
  <c r="Z426" i="25"/>
  <c r="Y426" i="25"/>
  <c r="X426" i="25"/>
  <c r="W426" i="25"/>
  <c r="V426" i="25"/>
  <c r="U426" i="25"/>
  <c r="T426" i="25"/>
  <c r="S426" i="25"/>
  <c r="R426" i="25"/>
  <c r="Q426" i="25"/>
  <c r="P426" i="25"/>
  <c r="O426" i="25"/>
  <c r="N426" i="25"/>
  <c r="M426" i="25"/>
  <c r="L426" i="25"/>
  <c r="K426" i="25"/>
  <c r="J426" i="25"/>
  <c r="H426" i="25"/>
  <c r="G426" i="25"/>
  <c r="C426" i="25"/>
  <c r="D426" i="25" s="1"/>
  <c r="F426" i="25"/>
  <c r="AT425" i="25"/>
  <c r="AS425" i="25"/>
  <c r="AR425" i="25"/>
  <c r="AQ425" i="25"/>
  <c r="AO425" i="25"/>
  <c r="AN425" i="25"/>
  <c r="AM425" i="25"/>
  <c r="AL425" i="25"/>
  <c r="AK425" i="25"/>
  <c r="AJ425" i="25"/>
  <c r="AI425" i="25"/>
  <c r="AH425" i="25"/>
  <c r="AG425" i="25"/>
  <c r="AF425" i="25"/>
  <c r="AE425" i="25"/>
  <c r="AD425" i="25"/>
  <c r="AC425" i="25"/>
  <c r="AB425" i="25"/>
  <c r="AA425" i="25"/>
  <c r="Z425" i="25"/>
  <c r="Y425" i="25"/>
  <c r="X425" i="25"/>
  <c r="W425" i="25"/>
  <c r="V425" i="25"/>
  <c r="U425" i="25"/>
  <c r="T425" i="25"/>
  <c r="S425" i="25"/>
  <c r="R425" i="25"/>
  <c r="Q425" i="25"/>
  <c r="P425" i="25"/>
  <c r="O425" i="25"/>
  <c r="N425" i="25"/>
  <c r="M425" i="25"/>
  <c r="L425" i="25"/>
  <c r="K425" i="25"/>
  <c r="J425" i="25"/>
  <c r="H425" i="25"/>
  <c r="G425" i="25"/>
  <c r="C425" i="25"/>
  <c r="D425" i="25" s="1"/>
  <c r="F425" i="25"/>
  <c r="AT424" i="25"/>
  <c r="AS424" i="25"/>
  <c r="AQ424" i="25"/>
  <c r="AO424" i="25"/>
  <c r="AN424" i="25"/>
  <c r="AM424" i="25"/>
  <c r="AL424" i="25"/>
  <c r="AK424" i="25"/>
  <c r="AJ424" i="25"/>
  <c r="AI424" i="25"/>
  <c r="AH424" i="25"/>
  <c r="AG424" i="25"/>
  <c r="AF424" i="25"/>
  <c r="AE424" i="25"/>
  <c r="AD424" i="25"/>
  <c r="AC424" i="25"/>
  <c r="AB424" i="25"/>
  <c r="AA424" i="25"/>
  <c r="Z424" i="25"/>
  <c r="Y424" i="25"/>
  <c r="X424" i="25"/>
  <c r="W424" i="25"/>
  <c r="V424" i="25"/>
  <c r="U424" i="25"/>
  <c r="T424" i="25"/>
  <c r="S424" i="25"/>
  <c r="R424" i="25"/>
  <c r="Q424" i="25"/>
  <c r="P424" i="25"/>
  <c r="O424" i="25"/>
  <c r="N424" i="25"/>
  <c r="M424" i="25"/>
  <c r="L424" i="25"/>
  <c r="K424" i="25"/>
  <c r="J424" i="25"/>
  <c r="H424" i="25"/>
  <c r="G424" i="25"/>
  <c r="C424" i="25"/>
  <c r="D424" i="25" s="1"/>
  <c r="F424" i="25"/>
  <c r="AT423" i="25"/>
  <c r="AS423" i="25"/>
  <c r="AR423" i="25"/>
  <c r="AQ423" i="25"/>
  <c r="AO423" i="25"/>
  <c r="AN423" i="25"/>
  <c r="AM423" i="25"/>
  <c r="AL423" i="25"/>
  <c r="AK423" i="25"/>
  <c r="AJ423" i="25"/>
  <c r="AI423" i="25"/>
  <c r="AH423" i="25"/>
  <c r="AG423" i="25"/>
  <c r="AF423" i="25"/>
  <c r="AE423" i="25"/>
  <c r="AD423" i="25"/>
  <c r="AC423" i="25"/>
  <c r="AB423" i="25"/>
  <c r="AA423" i="25"/>
  <c r="Z423" i="25"/>
  <c r="Y423" i="25"/>
  <c r="X423" i="25"/>
  <c r="W423" i="25"/>
  <c r="V423" i="25"/>
  <c r="U423" i="25"/>
  <c r="T423" i="25"/>
  <c r="S423" i="25"/>
  <c r="R423" i="25"/>
  <c r="Q423" i="25"/>
  <c r="P423" i="25"/>
  <c r="O423" i="25"/>
  <c r="N423" i="25"/>
  <c r="M423" i="25"/>
  <c r="L423" i="25"/>
  <c r="K423" i="25"/>
  <c r="J423" i="25"/>
  <c r="H423" i="25"/>
  <c r="G423" i="25"/>
  <c r="C423" i="25"/>
  <c r="D423" i="25" s="1"/>
  <c r="F423" i="25"/>
  <c r="AT422" i="25"/>
  <c r="AS422" i="25"/>
  <c r="AQ422" i="25"/>
  <c r="AO422" i="25"/>
  <c r="AN422" i="25"/>
  <c r="AM422" i="25"/>
  <c r="AL422" i="25"/>
  <c r="AK422" i="25"/>
  <c r="AJ422" i="25"/>
  <c r="AI422" i="25"/>
  <c r="AH422" i="25"/>
  <c r="AG422" i="25"/>
  <c r="AF422" i="25"/>
  <c r="AE422" i="25"/>
  <c r="AD422" i="25"/>
  <c r="AC422" i="25"/>
  <c r="AB422" i="25"/>
  <c r="AA422" i="25"/>
  <c r="Z422" i="25"/>
  <c r="Y422" i="25"/>
  <c r="X422" i="25"/>
  <c r="W422" i="25"/>
  <c r="V422" i="25"/>
  <c r="U422" i="25"/>
  <c r="T422" i="25"/>
  <c r="S422" i="25"/>
  <c r="R422" i="25"/>
  <c r="Q422" i="25"/>
  <c r="P422" i="25"/>
  <c r="O422" i="25"/>
  <c r="N422" i="25"/>
  <c r="M422" i="25"/>
  <c r="L422" i="25"/>
  <c r="K422" i="25"/>
  <c r="J422" i="25"/>
  <c r="H422" i="25"/>
  <c r="G422" i="25"/>
  <c r="C422" i="25"/>
  <c r="D422" i="25" s="1"/>
  <c r="F422" i="25"/>
  <c r="AT421" i="25"/>
  <c r="AS421" i="25"/>
  <c r="AR421" i="25"/>
  <c r="AQ421" i="25"/>
  <c r="AO421" i="25"/>
  <c r="AN421" i="25"/>
  <c r="AM421" i="25"/>
  <c r="AL421" i="25"/>
  <c r="AK421" i="25"/>
  <c r="AJ421" i="25"/>
  <c r="AI421" i="25"/>
  <c r="AH421" i="25"/>
  <c r="AG421" i="25"/>
  <c r="AF421" i="25"/>
  <c r="AE421" i="25"/>
  <c r="AD421" i="25"/>
  <c r="AC421" i="25"/>
  <c r="AB421" i="25"/>
  <c r="AA421" i="25"/>
  <c r="Z421" i="25"/>
  <c r="Y421" i="25"/>
  <c r="X421" i="25"/>
  <c r="W421" i="25"/>
  <c r="V421" i="25"/>
  <c r="U421" i="25"/>
  <c r="T421" i="25"/>
  <c r="S421" i="25"/>
  <c r="R421" i="25"/>
  <c r="Q421" i="25"/>
  <c r="P421" i="25"/>
  <c r="O421" i="25"/>
  <c r="N421" i="25"/>
  <c r="M421" i="25"/>
  <c r="L421" i="25"/>
  <c r="K421" i="25"/>
  <c r="J421" i="25"/>
  <c r="H421" i="25"/>
  <c r="G421" i="25"/>
  <c r="C421" i="25"/>
  <c r="D421" i="25" s="1"/>
  <c r="F421" i="25"/>
  <c r="AT420" i="25"/>
  <c r="AS420" i="25"/>
  <c r="AR420" i="25"/>
  <c r="AQ420" i="25"/>
  <c r="AO420" i="25"/>
  <c r="AN420" i="25"/>
  <c r="AM420" i="25"/>
  <c r="AL420" i="25"/>
  <c r="AK420" i="25"/>
  <c r="AJ420" i="25"/>
  <c r="AI420" i="25"/>
  <c r="AH420" i="25"/>
  <c r="AG420" i="25"/>
  <c r="AF420" i="25"/>
  <c r="AE420" i="25"/>
  <c r="AD420" i="25"/>
  <c r="AC420" i="25"/>
  <c r="AB420" i="25"/>
  <c r="AA420" i="25"/>
  <c r="Z420" i="25"/>
  <c r="Y420" i="25"/>
  <c r="X420" i="25"/>
  <c r="W420" i="25"/>
  <c r="V420" i="25"/>
  <c r="U420" i="25"/>
  <c r="T420" i="25"/>
  <c r="S420" i="25"/>
  <c r="R420" i="25"/>
  <c r="Q420" i="25"/>
  <c r="P420" i="25"/>
  <c r="O420" i="25"/>
  <c r="N420" i="25"/>
  <c r="M420" i="25"/>
  <c r="L420" i="25"/>
  <c r="K420" i="25"/>
  <c r="J420" i="25"/>
  <c r="H420" i="25"/>
  <c r="G420" i="25"/>
  <c r="C420" i="25"/>
  <c r="D420" i="25" s="1"/>
  <c r="F420" i="25"/>
  <c r="AT419" i="25"/>
  <c r="AS419" i="25"/>
  <c r="AR419" i="25"/>
  <c r="AQ419" i="25"/>
  <c r="AO419" i="25"/>
  <c r="AN419" i="25"/>
  <c r="AM419" i="25"/>
  <c r="AL419" i="25"/>
  <c r="AK419" i="25"/>
  <c r="AJ419" i="25"/>
  <c r="AI419" i="25"/>
  <c r="AH419" i="25"/>
  <c r="AG419" i="25"/>
  <c r="AF419" i="25"/>
  <c r="AE419" i="25"/>
  <c r="AD419" i="25"/>
  <c r="AC419" i="25"/>
  <c r="AB419" i="25"/>
  <c r="AA419" i="25"/>
  <c r="Z419" i="25"/>
  <c r="Y419" i="25"/>
  <c r="X419" i="25"/>
  <c r="W419" i="25"/>
  <c r="V419" i="25"/>
  <c r="U419" i="25"/>
  <c r="T419" i="25"/>
  <c r="S419" i="25"/>
  <c r="R419" i="25"/>
  <c r="Q419" i="25"/>
  <c r="P419" i="25"/>
  <c r="O419" i="25"/>
  <c r="N419" i="25"/>
  <c r="M419" i="25"/>
  <c r="L419" i="25"/>
  <c r="K419" i="25"/>
  <c r="J419" i="25"/>
  <c r="H419" i="25"/>
  <c r="G419" i="25"/>
  <c r="C419" i="25"/>
  <c r="D419" i="25" s="1"/>
  <c r="F419" i="25"/>
  <c r="AT418" i="25"/>
  <c r="AS418" i="25"/>
  <c r="AR418" i="25"/>
  <c r="AQ418" i="25"/>
  <c r="AO418" i="25"/>
  <c r="AN418" i="25"/>
  <c r="AM418" i="25"/>
  <c r="AL418" i="25"/>
  <c r="AK418" i="25"/>
  <c r="AJ418" i="25"/>
  <c r="AI418" i="25"/>
  <c r="AH418" i="25"/>
  <c r="AG418" i="25"/>
  <c r="AF418" i="25"/>
  <c r="AE418" i="25"/>
  <c r="AD418" i="25"/>
  <c r="AC418" i="25"/>
  <c r="AB418" i="25"/>
  <c r="AA418" i="25"/>
  <c r="Z418" i="25"/>
  <c r="Y418" i="25"/>
  <c r="X418" i="25"/>
  <c r="W418" i="25"/>
  <c r="V418" i="25"/>
  <c r="U418" i="25"/>
  <c r="T418" i="25"/>
  <c r="S418" i="25"/>
  <c r="R418" i="25"/>
  <c r="Q418" i="25"/>
  <c r="P418" i="25"/>
  <c r="O418" i="25"/>
  <c r="N418" i="25"/>
  <c r="M418" i="25"/>
  <c r="L418" i="25"/>
  <c r="K418" i="25"/>
  <c r="J418" i="25"/>
  <c r="H418" i="25"/>
  <c r="G418" i="25"/>
  <c r="C418" i="25"/>
  <c r="D418" i="25" s="1"/>
  <c r="F418" i="25"/>
  <c r="AT383" i="25"/>
  <c r="AS383" i="25"/>
  <c r="AR383" i="25"/>
  <c r="AQ383" i="25"/>
  <c r="AO383" i="25"/>
  <c r="AN383" i="25"/>
  <c r="AM383" i="25"/>
  <c r="AL383" i="25"/>
  <c r="AK383" i="25"/>
  <c r="AJ383" i="25"/>
  <c r="AI383" i="25"/>
  <c r="AH383" i="25"/>
  <c r="AG383" i="25"/>
  <c r="AF383" i="25"/>
  <c r="AE383" i="25"/>
  <c r="AD383" i="25"/>
  <c r="AC383" i="25"/>
  <c r="AB383" i="25"/>
  <c r="AA383" i="25"/>
  <c r="Z383" i="25"/>
  <c r="Y383" i="25"/>
  <c r="X383" i="25"/>
  <c r="W383" i="25"/>
  <c r="V383" i="25"/>
  <c r="U383" i="25"/>
  <c r="T383" i="25"/>
  <c r="S383" i="25"/>
  <c r="R383" i="25"/>
  <c r="Q383" i="25"/>
  <c r="P383" i="25"/>
  <c r="O383" i="25"/>
  <c r="N383" i="25"/>
  <c r="M383" i="25"/>
  <c r="L383" i="25"/>
  <c r="K383" i="25"/>
  <c r="J383" i="25"/>
  <c r="H383" i="25"/>
  <c r="G383" i="25"/>
  <c r="C383" i="25"/>
  <c r="D383" i="25" s="1"/>
  <c r="F383" i="25"/>
  <c r="AT382" i="25"/>
  <c r="AS382" i="25"/>
  <c r="AR382" i="25"/>
  <c r="AQ382" i="25"/>
  <c r="AO382" i="25"/>
  <c r="AN382" i="25"/>
  <c r="AM382" i="25"/>
  <c r="AL382" i="25"/>
  <c r="AK382" i="25"/>
  <c r="AJ382" i="25"/>
  <c r="AI382" i="25"/>
  <c r="AH382" i="25"/>
  <c r="AG382" i="25"/>
  <c r="AF382" i="25"/>
  <c r="AE382" i="25"/>
  <c r="AD382" i="25"/>
  <c r="AC382" i="25"/>
  <c r="AB382" i="25"/>
  <c r="AA382" i="25"/>
  <c r="Z382" i="25"/>
  <c r="Y382" i="25"/>
  <c r="X382" i="25"/>
  <c r="W382" i="25"/>
  <c r="V382" i="25"/>
  <c r="U382" i="25"/>
  <c r="T382" i="25"/>
  <c r="S382" i="25"/>
  <c r="R382" i="25"/>
  <c r="Q382" i="25"/>
  <c r="P382" i="25"/>
  <c r="O382" i="25"/>
  <c r="N382" i="25"/>
  <c r="M382" i="25"/>
  <c r="L382" i="25"/>
  <c r="K382" i="25"/>
  <c r="J382" i="25"/>
  <c r="H382" i="25"/>
  <c r="G382" i="25"/>
  <c r="C382" i="25"/>
  <c r="D382" i="25" s="1"/>
  <c r="F382" i="25"/>
  <c r="AT381" i="25"/>
  <c r="AS381" i="25"/>
  <c r="AR381" i="25"/>
  <c r="AQ381" i="25"/>
  <c r="AO381" i="25"/>
  <c r="AN381" i="25"/>
  <c r="AM381" i="25"/>
  <c r="AL381" i="25"/>
  <c r="AK381" i="25"/>
  <c r="AJ381" i="25"/>
  <c r="AI381" i="25"/>
  <c r="AH381" i="25"/>
  <c r="AG381" i="25"/>
  <c r="AF381" i="25"/>
  <c r="AE381" i="25"/>
  <c r="AD381" i="25"/>
  <c r="AC381" i="25"/>
  <c r="AB381" i="25"/>
  <c r="AA381" i="25"/>
  <c r="Z381" i="25"/>
  <c r="Y381" i="25"/>
  <c r="X381" i="25"/>
  <c r="W381" i="25"/>
  <c r="V381" i="25"/>
  <c r="U381" i="25"/>
  <c r="T381" i="25"/>
  <c r="S381" i="25"/>
  <c r="R381" i="25"/>
  <c r="Q381" i="25"/>
  <c r="P381" i="25"/>
  <c r="O381" i="25"/>
  <c r="N381" i="25"/>
  <c r="M381" i="25"/>
  <c r="L381" i="25"/>
  <c r="K381" i="25"/>
  <c r="J381" i="25"/>
  <c r="H381" i="25"/>
  <c r="G381" i="25"/>
  <c r="C381" i="25"/>
  <c r="D381" i="25" s="1"/>
  <c r="F381" i="25"/>
  <c r="AT380" i="25"/>
  <c r="AS380" i="25"/>
  <c r="AR380" i="25"/>
  <c r="AQ380" i="25"/>
  <c r="AO380" i="25"/>
  <c r="AN380" i="25"/>
  <c r="AM380" i="25"/>
  <c r="AL380" i="25"/>
  <c r="AK380" i="25"/>
  <c r="AJ380" i="25"/>
  <c r="AI380" i="25"/>
  <c r="AH380" i="25"/>
  <c r="AG380" i="25"/>
  <c r="AF380" i="25"/>
  <c r="AE380" i="25"/>
  <c r="AD380" i="25"/>
  <c r="AC380" i="25"/>
  <c r="AB380" i="25"/>
  <c r="AA380" i="25"/>
  <c r="Z380" i="25"/>
  <c r="Y380" i="25"/>
  <c r="X380" i="25"/>
  <c r="W380" i="25"/>
  <c r="V380" i="25"/>
  <c r="U380" i="25"/>
  <c r="T380" i="25"/>
  <c r="S380" i="25"/>
  <c r="R380" i="25"/>
  <c r="Q380" i="25"/>
  <c r="P380" i="25"/>
  <c r="O380" i="25"/>
  <c r="N380" i="25"/>
  <c r="M380" i="25"/>
  <c r="L380" i="25"/>
  <c r="K380" i="25"/>
  <c r="J380" i="25"/>
  <c r="H380" i="25"/>
  <c r="G380" i="25"/>
  <c r="C380" i="25"/>
  <c r="D380" i="25" s="1"/>
  <c r="F380" i="25"/>
  <c r="AT370" i="25"/>
  <c r="AS370" i="25"/>
  <c r="AR370" i="25"/>
  <c r="AQ370" i="25"/>
  <c r="AO370" i="25"/>
  <c r="AN370" i="25"/>
  <c r="AM370" i="25"/>
  <c r="AL370" i="25"/>
  <c r="AK370" i="25"/>
  <c r="AJ370" i="25"/>
  <c r="AI370" i="25"/>
  <c r="AH370" i="25"/>
  <c r="AG370" i="25"/>
  <c r="AF370" i="25"/>
  <c r="AE370" i="25"/>
  <c r="AD370" i="25"/>
  <c r="AC370" i="25"/>
  <c r="AB370" i="25"/>
  <c r="AA370" i="25"/>
  <c r="Z370" i="25"/>
  <c r="Y370" i="25"/>
  <c r="X370" i="25"/>
  <c r="W370" i="25"/>
  <c r="V370" i="25"/>
  <c r="U370" i="25"/>
  <c r="T370" i="25"/>
  <c r="S370" i="25"/>
  <c r="R370" i="25"/>
  <c r="Q370" i="25"/>
  <c r="P370" i="25"/>
  <c r="O370" i="25"/>
  <c r="N370" i="25"/>
  <c r="M370" i="25"/>
  <c r="L370" i="25"/>
  <c r="K370" i="25"/>
  <c r="J370" i="25"/>
  <c r="H370" i="25"/>
  <c r="G370" i="25"/>
  <c r="C370" i="25"/>
  <c r="D370" i="25" s="1"/>
  <c r="F370" i="25"/>
  <c r="AT369" i="25"/>
  <c r="AS369" i="25"/>
  <c r="AR369" i="25"/>
  <c r="AQ369" i="25"/>
  <c r="AO369" i="25"/>
  <c r="AN369" i="25"/>
  <c r="AM369" i="25"/>
  <c r="AL369" i="25"/>
  <c r="AK369" i="25"/>
  <c r="AJ369" i="25"/>
  <c r="AI369" i="25"/>
  <c r="AH369" i="25"/>
  <c r="AG369" i="25"/>
  <c r="AF369" i="25"/>
  <c r="AE369" i="25"/>
  <c r="AD369" i="25"/>
  <c r="AC369" i="25"/>
  <c r="AB369" i="25"/>
  <c r="AA369" i="25"/>
  <c r="Z369" i="25"/>
  <c r="Y369" i="25"/>
  <c r="X369" i="25"/>
  <c r="W369" i="25"/>
  <c r="V369" i="25"/>
  <c r="U369" i="25"/>
  <c r="T369" i="25"/>
  <c r="S369" i="25"/>
  <c r="R369" i="25"/>
  <c r="Q369" i="25"/>
  <c r="P369" i="25"/>
  <c r="O369" i="25"/>
  <c r="N369" i="25"/>
  <c r="M369" i="25"/>
  <c r="L369" i="25"/>
  <c r="K369" i="25"/>
  <c r="J369" i="25"/>
  <c r="H369" i="25"/>
  <c r="G369" i="25"/>
  <c r="C369" i="25"/>
  <c r="D369" i="25" s="1"/>
  <c r="F369" i="25"/>
  <c r="AT368" i="25"/>
  <c r="AS368" i="25"/>
  <c r="AR368" i="25"/>
  <c r="AQ368" i="25"/>
  <c r="AO368" i="25"/>
  <c r="AN368" i="25"/>
  <c r="AM368" i="25"/>
  <c r="AL368" i="25"/>
  <c r="AK368" i="25"/>
  <c r="AJ368" i="25"/>
  <c r="AI368" i="25"/>
  <c r="AH368" i="25"/>
  <c r="AG368" i="25"/>
  <c r="AF368" i="25"/>
  <c r="AE368" i="25"/>
  <c r="AD368" i="25"/>
  <c r="AC368" i="25"/>
  <c r="AB368" i="25"/>
  <c r="AA368" i="25"/>
  <c r="Z368" i="25"/>
  <c r="Y368" i="25"/>
  <c r="X368" i="25"/>
  <c r="W368" i="25"/>
  <c r="V368" i="25"/>
  <c r="U368" i="25"/>
  <c r="T368" i="25"/>
  <c r="S368" i="25"/>
  <c r="R368" i="25"/>
  <c r="Q368" i="25"/>
  <c r="P368" i="25"/>
  <c r="O368" i="25"/>
  <c r="N368" i="25"/>
  <c r="M368" i="25"/>
  <c r="L368" i="25"/>
  <c r="K368" i="25"/>
  <c r="J368" i="25"/>
  <c r="H368" i="25"/>
  <c r="G368" i="25"/>
  <c r="C368" i="25"/>
  <c r="D368" i="25" s="1"/>
  <c r="F368" i="25"/>
  <c r="AT367" i="25"/>
  <c r="AS367" i="25"/>
  <c r="AR367" i="25"/>
  <c r="AQ367" i="25"/>
  <c r="AO367" i="25"/>
  <c r="AN367" i="25"/>
  <c r="AM367" i="25"/>
  <c r="AL367" i="25"/>
  <c r="AK367" i="25"/>
  <c r="AJ367" i="25"/>
  <c r="AI367" i="25"/>
  <c r="AH367" i="25"/>
  <c r="AG367" i="25"/>
  <c r="AF367" i="25"/>
  <c r="AE367" i="25"/>
  <c r="AD367" i="25"/>
  <c r="AC367" i="25"/>
  <c r="AB367" i="25"/>
  <c r="AA367" i="25"/>
  <c r="Z367" i="25"/>
  <c r="Y367" i="25"/>
  <c r="X367" i="25"/>
  <c r="W367" i="25"/>
  <c r="V367" i="25"/>
  <c r="U367" i="25"/>
  <c r="T367" i="25"/>
  <c r="S367" i="25"/>
  <c r="R367" i="25"/>
  <c r="Q367" i="25"/>
  <c r="P367" i="25"/>
  <c r="O367" i="25"/>
  <c r="N367" i="25"/>
  <c r="M367" i="25"/>
  <c r="L367" i="25"/>
  <c r="K367" i="25"/>
  <c r="J367" i="25"/>
  <c r="H367" i="25"/>
  <c r="G367" i="25"/>
  <c r="C367" i="25"/>
  <c r="D367" i="25" s="1"/>
  <c r="F367" i="25"/>
  <c r="AT400" i="25"/>
  <c r="AS400" i="25"/>
  <c r="AQ400" i="25"/>
  <c r="AO400" i="25"/>
  <c r="AN400" i="25"/>
  <c r="AM400" i="25"/>
  <c r="AL400" i="25"/>
  <c r="AK400" i="25"/>
  <c r="AJ400" i="25"/>
  <c r="AI400" i="25"/>
  <c r="AH400" i="25"/>
  <c r="AG400" i="25"/>
  <c r="AF400" i="25"/>
  <c r="AE400" i="25"/>
  <c r="AD400" i="25"/>
  <c r="AC400" i="25"/>
  <c r="AB400" i="25"/>
  <c r="AA400" i="25"/>
  <c r="Z400" i="25"/>
  <c r="Y400" i="25"/>
  <c r="X400" i="25"/>
  <c r="W400" i="25"/>
  <c r="V400" i="25"/>
  <c r="U400" i="25"/>
  <c r="T400" i="25"/>
  <c r="S400" i="25"/>
  <c r="R400" i="25"/>
  <c r="Q400" i="25"/>
  <c r="P400" i="25"/>
  <c r="O400" i="25"/>
  <c r="N400" i="25"/>
  <c r="M400" i="25"/>
  <c r="L400" i="25"/>
  <c r="K400" i="25"/>
  <c r="J400" i="25"/>
  <c r="H400" i="25"/>
  <c r="G400" i="25"/>
  <c r="C400" i="25"/>
  <c r="D400" i="25" s="1"/>
  <c r="F400" i="25"/>
  <c r="AT399" i="25"/>
  <c r="AS399" i="25"/>
  <c r="AQ399" i="25"/>
  <c r="AO399" i="25"/>
  <c r="AN399" i="25"/>
  <c r="AM399" i="25"/>
  <c r="AL399" i="25"/>
  <c r="AK399" i="25"/>
  <c r="AJ399" i="25"/>
  <c r="AI399" i="25"/>
  <c r="AH399" i="25"/>
  <c r="AG399" i="25"/>
  <c r="AF399" i="25"/>
  <c r="AE399" i="25"/>
  <c r="AD399" i="25"/>
  <c r="AC399" i="25"/>
  <c r="AB399" i="25"/>
  <c r="AA399" i="25"/>
  <c r="Z399" i="25"/>
  <c r="Y399" i="25"/>
  <c r="X399" i="25"/>
  <c r="W399" i="25"/>
  <c r="V399" i="25"/>
  <c r="U399" i="25"/>
  <c r="T399" i="25"/>
  <c r="S399" i="25"/>
  <c r="R399" i="25"/>
  <c r="Q399" i="25"/>
  <c r="P399" i="25"/>
  <c r="O399" i="25"/>
  <c r="N399" i="25"/>
  <c r="M399" i="25"/>
  <c r="L399" i="25"/>
  <c r="K399" i="25"/>
  <c r="J399" i="25"/>
  <c r="H399" i="25"/>
  <c r="G399" i="25"/>
  <c r="C399" i="25"/>
  <c r="D399" i="25" s="1"/>
  <c r="F399" i="25"/>
  <c r="AT398" i="25"/>
  <c r="AS398" i="25"/>
  <c r="AQ398" i="25"/>
  <c r="AO398" i="25"/>
  <c r="AN398" i="25"/>
  <c r="AM398" i="25"/>
  <c r="AL398" i="25"/>
  <c r="AK398" i="25"/>
  <c r="AJ398" i="25"/>
  <c r="AI398" i="25"/>
  <c r="AH398" i="25"/>
  <c r="AG398" i="25"/>
  <c r="AF398" i="25"/>
  <c r="AE398" i="25"/>
  <c r="AD398" i="25"/>
  <c r="AC398" i="25"/>
  <c r="AB398" i="25"/>
  <c r="AA398" i="25"/>
  <c r="Z398" i="25"/>
  <c r="Y398" i="25"/>
  <c r="X398" i="25"/>
  <c r="W398" i="25"/>
  <c r="V398" i="25"/>
  <c r="U398" i="25"/>
  <c r="T398" i="25"/>
  <c r="S398" i="25"/>
  <c r="R398" i="25"/>
  <c r="Q398" i="25"/>
  <c r="P398" i="25"/>
  <c r="O398" i="25"/>
  <c r="N398" i="25"/>
  <c r="M398" i="25"/>
  <c r="L398" i="25"/>
  <c r="K398" i="25"/>
  <c r="J398" i="25"/>
  <c r="H398" i="25"/>
  <c r="G398" i="25"/>
  <c r="C398" i="25"/>
  <c r="D398" i="25" s="1"/>
  <c r="F398" i="25"/>
  <c r="AT397" i="25"/>
  <c r="AS397" i="25"/>
  <c r="AQ397" i="25"/>
  <c r="AO397" i="25"/>
  <c r="AN397" i="25"/>
  <c r="AM397" i="25"/>
  <c r="AL397" i="25"/>
  <c r="AK397" i="25"/>
  <c r="AJ397" i="25"/>
  <c r="AI397" i="25"/>
  <c r="AH397" i="25"/>
  <c r="AG397" i="25"/>
  <c r="AF397" i="25"/>
  <c r="AE397" i="25"/>
  <c r="AD397" i="25"/>
  <c r="AC397" i="25"/>
  <c r="AB397" i="25"/>
  <c r="AA397" i="25"/>
  <c r="Z397" i="25"/>
  <c r="Y397" i="25"/>
  <c r="X397" i="25"/>
  <c r="W397" i="25"/>
  <c r="V397" i="25"/>
  <c r="U397" i="25"/>
  <c r="T397" i="25"/>
  <c r="S397" i="25"/>
  <c r="R397" i="25"/>
  <c r="Q397" i="25"/>
  <c r="P397" i="25"/>
  <c r="O397" i="25"/>
  <c r="N397" i="25"/>
  <c r="M397" i="25"/>
  <c r="L397" i="25"/>
  <c r="K397" i="25"/>
  <c r="J397" i="25"/>
  <c r="H397" i="25"/>
  <c r="G397" i="25"/>
  <c r="C397" i="25"/>
  <c r="D397" i="25" s="1"/>
  <c r="F397" i="25"/>
  <c r="AT396" i="25"/>
  <c r="AS396" i="25"/>
  <c r="AQ396" i="25"/>
  <c r="AO396" i="25"/>
  <c r="AN396" i="25"/>
  <c r="AM396" i="25"/>
  <c r="AL396" i="25"/>
  <c r="AK396" i="25"/>
  <c r="AJ396" i="25"/>
  <c r="AI396" i="25"/>
  <c r="AH396" i="25"/>
  <c r="AG396" i="25"/>
  <c r="AF396" i="25"/>
  <c r="AE396" i="25"/>
  <c r="AD396" i="25"/>
  <c r="AC396" i="25"/>
  <c r="AB396" i="25"/>
  <c r="AA396" i="25"/>
  <c r="Z396" i="25"/>
  <c r="Y396" i="25"/>
  <c r="X396" i="25"/>
  <c r="W396" i="25"/>
  <c r="V396" i="25"/>
  <c r="U396" i="25"/>
  <c r="T396" i="25"/>
  <c r="S396" i="25"/>
  <c r="R396" i="25"/>
  <c r="Q396" i="25"/>
  <c r="P396" i="25"/>
  <c r="O396" i="25"/>
  <c r="N396" i="25"/>
  <c r="M396" i="25"/>
  <c r="L396" i="25"/>
  <c r="K396" i="25"/>
  <c r="J396" i="25"/>
  <c r="H396" i="25"/>
  <c r="G396" i="25"/>
  <c r="C396" i="25"/>
  <c r="D396" i="25" s="1"/>
  <c r="F396" i="25"/>
  <c r="AT395" i="25"/>
  <c r="AS395" i="25"/>
  <c r="AR395" i="25"/>
  <c r="AQ395" i="25"/>
  <c r="AO395" i="25"/>
  <c r="AN395" i="25"/>
  <c r="AM395" i="25"/>
  <c r="AL395" i="25"/>
  <c r="AK395" i="25"/>
  <c r="AJ395" i="25"/>
  <c r="AI395" i="25"/>
  <c r="AH395" i="25"/>
  <c r="AG395" i="25"/>
  <c r="AF395" i="25"/>
  <c r="AE395" i="25"/>
  <c r="AD395" i="25"/>
  <c r="AC395" i="25"/>
  <c r="AB395" i="25"/>
  <c r="AA395" i="25"/>
  <c r="Z395" i="25"/>
  <c r="Y395" i="25"/>
  <c r="X395" i="25"/>
  <c r="W395" i="25"/>
  <c r="V395" i="25"/>
  <c r="U395" i="25"/>
  <c r="T395" i="25"/>
  <c r="S395" i="25"/>
  <c r="R395" i="25"/>
  <c r="Q395" i="25"/>
  <c r="P395" i="25"/>
  <c r="O395" i="25"/>
  <c r="N395" i="25"/>
  <c r="M395" i="25"/>
  <c r="L395" i="25"/>
  <c r="K395" i="25"/>
  <c r="J395" i="25"/>
  <c r="H395" i="25"/>
  <c r="G395" i="25"/>
  <c r="C395" i="25"/>
  <c r="D395" i="25" s="1"/>
  <c r="F395" i="25"/>
  <c r="AT394" i="25"/>
  <c r="AS394" i="25"/>
  <c r="AR394" i="25"/>
  <c r="AQ394" i="25"/>
  <c r="AO394" i="25"/>
  <c r="AN394" i="25"/>
  <c r="AM394" i="25"/>
  <c r="AL394" i="25"/>
  <c r="AK394" i="25"/>
  <c r="AJ394" i="25"/>
  <c r="AI394" i="25"/>
  <c r="AH394" i="25"/>
  <c r="AG394" i="25"/>
  <c r="AF394" i="25"/>
  <c r="AE394" i="25"/>
  <c r="AD394" i="25"/>
  <c r="AC394" i="25"/>
  <c r="AB394" i="25"/>
  <c r="AA394" i="25"/>
  <c r="Z394" i="25"/>
  <c r="Y394" i="25"/>
  <c r="X394" i="25"/>
  <c r="W394" i="25"/>
  <c r="V394" i="25"/>
  <c r="U394" i="25"/>
  <c r="T394" i="25"/>
  <c r="S394" i="25"/>
  <c r="R394" i="25"/>
  <c r="Q394" i="25"/>
  <c r="P394" i="25"/>
  <c r="O394" i="25"/>
  <c r="N394" i="25"/>
  <c r="M394" i="25"/>
  <c r="L394" i="25"/>
  <c r="K394" i="25"/>
  <c r="J394" i="25"/>
  <c r="H394" i="25"/>
  <c r="G394" i="25"/>
  <c r="C394" i="25"/>
  <c r="D394" i="25" s="1"/>
  <c r="F394" i="25"/>
  <c r="AT393" i="25"/>
  <c r="AS393" i="25"/>
  <c r="AR393" i="25"/>
  <c r="AQ393" i="25"/>
  <c r="AO393" i="25"/>
  <c r="AN393" i="25"/>
  <c r="AM393" i="25"/>
  <c r="AL393" i="25"/>
  <c r="AK393" i="25"/>
  <c r="AJ393" i="25"/>
  <c r="AI393" i="25"/>
  <c r="AH393" i="25"/>
  <c r="AG393" i="25"/>
  <c r="AF393" i="25"/>
  <c r="AE393" i="25"/>
  <c r="AD393" i="25"/>
  <c r="AC393" i="25"/>
  <c r="AB393" i="25"/>
  <c r="AA393" i="25"/>
  <c r="Z393" i="25"/>
  <c r="Y393" i="25"/>
  <c r="X393" i="25"/>
  <c r="W393" i="25"/>
  <c r="V393" i="25"/>
  <c r="U393" i="25"/>
  <c r="T393" i="25"/>
  <c r="S393" i="25"/>
  <c r="R393" i="25"/>
  <c r="Q393" i="25"/>
  <c r="P393" i="25"/>
  <c r="O393" i="25"/>
  <c r="N393" i="25"/>
  <c r="M393" i="25"/>
  <c r="L393" i="25"/>
  <c r="K393" i="25"/>
  <c r="J393" i="25"/>
  <c r="H393" i="25"/>
  <c r="G393" i="25"/>
  <c r="C393" i="25"/>
  <c r="D393" i="25" s="1"/>
  <c r="F393" i="25"/>
  <c r="AT392" i="25"/>
  <c r="AS392" i="25"/>
  <c r="AR392" i="25"/>
  <c r="AQ392" i="25"/>
  <c r="AO392" i="25"/>
  <c r="AN392" i="25"/>
  <c r="AM392" i="25"/>
  <c r="AL392" i="25"/>
  <c r="AK392" i="25"/>
  <c r="AJ392" i="25"/>
  <c r="AI392" i="25"/>
  <c r="AH392" i="25"/>
  <c r="AG392" i="25"/>
  <c r="AF392" i="25"/>
  <c r="AE392" i="25"/>
  <c r="AD392" i="25"/>
  <c r="AC392" i="25"/>
  <c r="AB392" i="25"/>
  <c r="AA392" i="25"/>
  <c r="Z392" i="25"/>
  <c r="Y392" i="25"/>
  <c r="X392" i="25"/>
  <c r="W392" i="25"/>
  <c r="V392" i="25"/>
  <c r="U392" i="25"/>
  <c r="T392" i="25"/>
  <c r="S392" i="25"/>
  <c r="R392" i="25"/>
  <c r="Q392" i="25"/>
  <c r="P392" i="25"/>
  <c r="O392" i="25"/>
  <c r="N392" i="25"/>
  <c r="M392" i="25"/>
  <c r="L392" i="25"/>
  <c r="K392" i="25"/>
  <c r="J392" i="25"/>
  <c r="H392" i="25"/>
  <c r="G392" i="25"/>
  <c r="C392" i="25"/>
  <c r="D392" i="25" s="1"/>
  <c r="F392" i="25"/>
  <c r="AT391" i="25"/>
  <c r="AS391" i="25"/>
  <c r="AR391" i="25"/>
  <c r="AQ391" i="25"/>
  <c r="AO391" i="25"/>
  <c r="AN391" i="25"/>
  <c r="AM391" i="25"/>
  <c r="AL391" i="25"/>
  <c r="AK391" i="25"/>
  <c r="AJ391" i="25"/>
  <c r="AI391" i="25"/>
  <c r="AH391" i="25"/>
  <c r="AG391" i="25"/>
  <c r="AF391" i="25"/>
  <c r="AE391" i="25"/>
  <c r="AD391" i="25"/>
  <c r="AC391" i="25"/>
  <c r="AB391" i="25"/>
  <c r="AA391" i="25"/>
  <c r="Z391" i="25"/>
  <c r="Y391" i="25"/>
  <c r="X391" i="25"/>
  <c r="W391" i="25"/>
  <c r="V391" i="25"/>
  <c r="U391" i="25"/>
  <c r="T391" i="25"/>
  <c r="S391" i="25"/>
  <c r="R391" i="25"/>
  <c r="Q391" i="25"/>
  <c r="P391" i="25"/>
  <c r="O391" i="25"/>
  <c r="N391" i="25"/>
  <c r="M391" i="25"/>
  <c r="L391" i="25"/>
  <c r="K391" i="25"/>
  <c r="J391" i="25"/>
  <c r="H391" i="25"/>
  <c r="G391" i="25"/>
  <c r="C391" i="25"/>
  <c r="D391" i="25" s="1"/>
  <c r="F391" i="25"/>
  <c r="AT388" i="25"/>
  <c r="AS388" i="25"/>
  <c r="AR388" i="25"/>
  <c r="AQ388" i="25"/>
  <c r="AO388" i="25"/>
  <c r="AN388" i="25"/>
  <c r="AM388" i="25"/>
  <c r="AL388" i="25"/>
  <c r="AK388" i="25"/>
  <c r="AJ388" i="25"/>
  <c r="AI388" i="25"/>
  <c r="AH388" i="25"/>
  <c r="AG388" i="25"/>
  <c r="AF388" i="25"/>
  <c r="AE388" i="25"/>
  <c r="AD388" i="25"/>
  <c r="AC388" i="25"/>
  <c r="AB388" i="25"/>
  <c r="AA388" i="25"/>
  <c r="Z388" i="25"/>
  <c r="Y388" i="25"/>
  <c r="X388" i="25"/>
  <c r="W388" i="25"/>
  <c r="V388" i="25"/>
  <c r="U388" i="25"/>
  <c r="T388" i="25"/>
  <c r="S388" i="25"/>
  <c r="R388" i="25"/>
  <c r="Q388" i="25"/>
  <c r="P388" i="25"/>
  <c r="O388" i="25"/>
  <c r="N388" i="25"/>
  <c r="M388" i="25"/>
  <c r="L388" i="25"/>
  <c r="K388" i="25"/>
  <c r="J388" i="25"/>
  <c r="H388" i="25"/>
  <c r="G388" i="25"/>
  <c r="C388" i="25"/>
  <c r="D388" i="25" s="1"/>
  <c r="F388" i="25"/>
  <c r="AT387" i="25"/>
  <c r="AS387" i="25"/>
  <c r="AR387" i="25"/>
  <c r="AQ387" i="25"/>
  <c r="AO387" i="25"/>
  <c r="AN387" i="25"/>
  <c r="AM387" i="25"/>
  <c r="AL387" i="25"/>
  <c r="AK387" i="25"/>
  <c r="AJ387" i="25"/>
  <c r="AI387" i="25"/>
  <c r="AH387" i="25"/>
  <c r="AG387" i="25"/>
  <c r="AF387" i="25"/>
  <c r="AE387" i="25"/>
  <c r="AD387" i="25"/>
  <c r="AC387" i="25"/>
  <c r="AB387" i="25"/>
  <c r="AA387" i="25"/>
  <c r="Z387" i="25"/>
  <c r="Y387" i="25"/>
  <c r="X387" i="25"/>
  <c r="W387" i="25"/>
  <c r="V387" i="25"/>
  <c r="U387" i="25"/>
  <c r="T387" i="25"/>
  <c r="S387" i="25"/>
  <c r="R387" i="25"/>
  <c r="Q387" i="25"/>
  <c r="P387" i="25"/>
  <c r="O387" i="25"/>
  <c r="N387" i="25"/>
  <c r="M387" i="25"/>
  <c r="L387" i="25"/>
  <c r="K387" i="25"/>
  <c r="J387" i="25"/>
  <c r="H387" i="25"/>
  <c r="G387" i="25"/>
  <c r="C387" i="25"/>
  <c r="D387" i="25" s="1"/>
  <c r="F387" i="25"/>
  <c r="AT386" i="25"/>
  <c r="AS386" i="25"/>
  <c r="AR386" i="25"/>
  <c r="AQ386" i="25"/>
  <c r="AO386" i="25"/>
  <c r="AN386" i="25"/>
  <c r="AM386" i="25"/>
  <c r="AL386" i="25"/>
  <c r="AK386" i="25"/>
  <c r="AJ386" i="25"/>
  <c r="AI386" i="25"/>
  <c r="AH386" i="25"/>
  <c r="AG386" i="25"/>
  <c r="AF386" i="25"/>
  <c r="AE386" i="25"/>
  <c r="AD386" i="25"/>
  <c r="AC386" i="25"/>
  <c r="AB386" i="25"/>
  <c r="AA386" i="25"/>
  <c r="Z386" i="25"/>
  <c r="Y386" i="25"/>
  <c r="X386" i="25"/>
  <c r="W386" i="25"/>
  <c r="V386" i="25"/>
  <c r="U386" i="25"/>
  <c r="T386" i="25"/>
  <c r="S386" i="25"/>
  <c r="R386" i="25"/>
  <c r="Q386" i="25"/>
  <c r="P386" i="25"/>
  <c r="O386" i="25"/>
  <c r="N386" i="25"/>
  <c r="M386" i="25"/>
  <c r="L386" i="25"/>
  <c r="K386" i="25"/>
  <c r="J386" i="25"/>
  <c r="H386" i="25"/>
  <c r="G386" i="25"/>
  <c r="C386" i="25"/>
  <c r="D386" i="25" s="1"/>
  <c r="F386" i="25"/>
  <c r="AT385" i="25"/>
  <c r="AS385" i="25"/>
  <c r="AR385" i="25"/>
  <c r="AQ385" i="25"/>
  <c r="AO385" i="25"/>
  <c r="AN385" i="25"/>
  <c r="AM385" i="25"/>
  <c r="AL385" i="25"/>
  <c r="AK385" i="25"/>
  <c r="AJ385" i="25"/>
  <c r="AI385" i="25"/>
  <c r="AH385" i="25"/>
  <c r="AG385" i="25"/>
  <c r="AF385" i="25"/>
  <c r="AE385" i="25"/>
  <c r="AD385" i="25"/>
  <c r="AC385" i="25"/>
  <c r="AB385" i="25"/>
  <c r="AA385" i="25"/>
  <c r="Z385" i="25"/>
  <c r="Y385" i="25"/>
  <c r="X385" i="25"/>
  <c r="W385" i="25"/>
  <c r="V385" i="25"/>
  <c r="U385" i="25"/>
  <c r="T385" i="25"/>
  <c r="S385" i="25"/>
  <c r="R385" i="25"/>
  <c r="Q385" i="25"/>
  <c r="P385" i="25"/>
  <c r="O385" i="25"/>
  <c r="N385" i="25"/>
  <c r="M385" i="25"/>
  <c r="L385" i="25"/>
  <c r="K385" i="25"/>
  <c r="J385" i="25"/>
  <c r="H385" i="25"/>
  <c r="G385" i="25"/>
  <c r="C385" i="25"/>
  <c r="D385" i="25" s="1"/>
  <c r="F385" i="25"/>
  <c r="AT384" i="25"/>
  <c r="AS384" i="25"/>
  <c r="AQ384" i="25"/>
  <c r="AO384" i="25"/>
  <c r="AN384" i="25"/>
  <c r="AM384" i="25"/>
  <c r="AL384" i="25"/>
  <c r="AK384" i="25"/>
  <c r="AJ384" i="25"/>
  <c r="AI384" i="25"/>
  <c r="AH384" i="25"/>
  <c r="AG384" i="25"/>
  <c r="AF384" i="25"/>
  <c r="AE384" i="25"/>
  <c r="AD384" i="25"/>
  <c r="AC384" i="25"/>
  <c r="AB384" i="25"/>
  <c r="AA384" i="25"/>
  <c r="Z384" i="25"/>
  <c r="Y384" i="25"/>
  <c r="X384" i="25"/>
  <c r="W384" i="25"/>
  <c r="V384" i="25"/>
  <c r="U384" i="25"/>
  <c r="T384" i="25"/>
  <c r="S384" i="25"/>
  <c r="R384" i="25"/>
  <c r="Q384" i="25"/>
  <c r="P384" i="25"/>
  <c r="O384" i="25"/>
  <c r="N384" i="25"/>
  <c r="M384" i="25"/>
  <c r="L384" i="25"/>
  <c r="K384" i="25"/>
  <c r="J384" i="25"/>
  <c r="H384" i="25"/>
  <c r="G384" i="25"/>
  <c r="C384" i="25"/>
  <c r="D384" i="25" s="1"/>
  <c r="F384" i="25"/>
  <c r="AT379" i="25"/>
  <c r="AS379" i="25"/>
  <c r="AR379" i="25"/>
  <c r="AQ379" i="25"/>
  <c r="AO379" i="25"/>
  <c r="AN379" i="25"/>
  <c r="AM379" i="25"/>
  <c r="AL379" i="25"/>
  <c r="AK379" i="25"/>
  <c r="AJ379" i="25"/>
  <c r="AI379" i="25"/>
  <c r="AH379" i="25"/>
  <c r="AG379" i="25"/>
  <c r="AF379" i="25"/>
  <c r="AE379" i="25"/>
  <c r="AD379" i="25"/>
  <c r="AC379" i="25"/>
  <c r="AB379" i="25"/>
  <c r="AA379" i="25"/>
  <c r="Z379" i="25"/>
  <c r="Y379" i="25"/>
  <c r="X379" i="25"/>
  <c r="W379" i="25"/>
  <c r="V379" i="25"/>
  <c r="U379" i="25"/>
  <c r="T379" i="25"/>
  <c r="S379" i="25"/>
  <c r="R379" i="25"/>
  <c r="Q379" i="25"/>
  <c r="P379" i="25"/>
  <c r="O379" i="25"/>
  <c r="N379" i="25"/>
  <c r="M379" i="25"/>
  <c r="L379" i="25"/>
  <c r="K379" i="25"/>
  <c r="J379" i="25"/>
  <c r="H379" i="25"/>
  <c r="G379" i="25"/>
  <c r="C379" i="25"/>
  <c r="D379" i="25" s="1"/>
  <c r="F379" i="25"/>
  <c r="AT378" i="25"/>
  <c r="AS378" i="25"/>
  <c r="AR378" i="25"/>
  <c r="AQ378" i="25"/>
  <c r="AO378" i="25"/>
  <c r="AN378" i="25"/>
  <c r="AM378" i="25"/>
  <c r="AL378" i="25"/>
  <c r="AK378" i="25"/>
  <c r="AJ378" i="25"/>
  <c r="AI378" i="25"/>
  <c r="AH378" i="25"/>
  <c r="AG378" i="25"/>
  <c r="AF378" i="25"/>
  <c r="AE378" i="25"/>
  <c r="AD378" i="25"/>
  <c r="AC378" i="25"/>
  <c r="AB378" i="25"/>
  <c r="AA378" i="25"/>
  <c r="Z378" i="25"/>
  <c r="Y378" i="25"/>
  <c r="X378" i="25"/>
  <c r="W378" i="25"/>
  <c r="V378" i="25"/>
  <c r="U378" i="25"/>
  <c r="T378" i="25"/>
  <c r="S378" i="25"/>
  <c r="R378" i="25"/>
  <c r="Q378" i="25"/>
  <c r="P378" i="25"/>
  <c r="O378" i="25"/>
  <c r="N378" i="25"/>
  <c r="M378" i="25"/>
  <c r="L378" i="25"/>
  <c r="K378" i="25"/>
  <c r="J378" i="25"/>
  <c r="H378" i="25"/>
  <c r="G378" i="25"/>
  <c r="C378" i="25"/>
  <c r="D378" i="25" s="1"/>
  <c r="F378" i="25"/>
  <c r="AT377" i="25"/>
  <c r="AS377" i="25"/>
  <c r="AR377" i="25"/>
  <c r="AQ377" i="25"/>
  <c r="AO377" i="25"/>
  <c r="AN377" i="25"/>
  <c r="AM377" i="25"/>
  <c r="AL377" i="25"/>
  <c r="AK377" i="25"/>
  <c r="AJ377" i="25"/>
  <c r="AI377" i="25"/>
  <c r="AH377" i="25"/>
  <c r="AG377" i="25"/>
  <c r="AF377" i="25"/>
  <c r="AE377" i="25"/>
  <c r="AD377" i="25"/>
  <c r="AC377" i="25"/>
  <c r="AB377" i="25"/>
  <c r="AA377" i="25"/>
  <c r="Z377" i="25"/>
  <c r="Y377" i="25"/>
  <c r="X377" i="25"/>
  <c r="W377" i="25"/>
  <c r="V377" i="25"/>
  <c r="U377" i="25"/>
  <c r="T377" i="25"/>
  <c r="S377" i="25"/>
  <c r="R377" i="25"/>
  <c r="Q377" i="25"/>
  <c r="P377" i="25"/>
  <c r="O377" i="25"/>
  <c r="N377" i="25"/>
  <c r="M377" i="25"/>
  <c r="L377" i="25"/>
  <c r="K377" i="25"/>
  <c r="J377" i="25"/>
  <c r="H377" i="25"/>
  <c r="G377" i="25"/>
  <c r="C377" i="25"/>
  <c r="D377" i="25" s="1"/>
  <c r="F377" i="25"/>
  <c r="AT376" i="25"/>
  <c r="AS376" i="25"/>
  <c r="AR376" i="25"/>
  <c r="AQ376" i="25"/>
  <c r="AO376" i="25"/>
  <c r="AN376" i="25"/>
  <c r="AM376" i="25"/>
  <c r="AL376" i="25"/>
  <c r="AK376" i="25"/>
  <c r="AJ376" i="25"/>
  <c r="AI376" i="25"/>
  <c r="AH376" i="25"/>
  <c r="AG376" i="25"/>
  <c r="AF376" i="25"/>
  <c r="AE376" i="25"/>
  <c r="AD376" i="25"/>
  <c r="AC376" i="25"/>
  <c r="AB376" i="25"/>
  <c r="AA376" i="25"/>
  <c r="Z376" i="25"/>
  <c r="Y376" i="25"/>
  <c r="X376" i="25"/>
  <c r="W376" i="25"/>
  <c r="V376" i="25"/>
  <c r="U376" i="25"/>
  <c r="T376" i="25"/>
  <c r="S376" i="25"/>
  <c r="R376" i="25"/>
  <c r="Q376" i="25"/>
  <c r="P376" i="25"/>
  <c r="O376" i="25"/>
  <c r="N376" i="25"/>
  <c r="M376" i="25"/>
  <c r="L376" i="25"/>
  <c r="K376" i="25"/>
  <c r="J376" i="25"/>
  <c r="H376" i="25"/>
  <c r="G376" i="25"/>
  <c r="C376" i="25"/>
  <c r="D376" i="25" s="1"/>
  <c r="F376" i="25"/>
  <c r="AT375" i="25"/>
  <c r="AS375" i="25"/>
  <c r="AR375" i="25"/>
  <c r="AQ375" i="25"/>
  <c r="AO375" i="25"/>
  <c r="AN375" i="25"/>
  <c r="AM375" i="25"/>
  <c r="AL375" i="25"/>
  <c r="AK375" i="25"/>
  <c r="AJ375" i="25"/>
  <c r="AI375" i="25"/>
  <c r="AH375" i="25"/>
  <c r="AG375" i="25"/>
  <c r="AF375" i="25"/>
  <c r="AE375" i="25"/>
  <c r="AD375" i="25"/>
  <c r="AC375" i="25"/>
  <c r="AB375" i="25"/>
  <c r="AA375" i="25"/>
  <c r="Z375" i="25"/>
  <c r="Y375" i="25"/>
  <c r="X375" i="25"/>
  <c r="W375" i="25"/>
  <c r="V375" i="25"/>
  <c r="U375" i="25"/>
  <c r="T375" i="25"/>
  <c r="S375" i="25"/>
  <c r="R375" i="25"/>
  <c r="Q375" i="25"/>
  <c r="P375" i="25"/>
  <c r="O375" i="25"/>
  <c r="N375" i="25"/>
  <c r="M375" i="25"/>
  <c r="L375" i="25"/>
  <c r="K375" i="25"/>
  <c r="J375" i="25"/>
  <c r="H375" i="25"/>
  <c r="G375" i="25"/>
  <c r="C375" i="25"/>
  <c r="D375" i="25" s="1"/>
  <c r="F375" i="25"/>
  <c r="AT374" i="25"/>
  <c r="AS374" i="25"/>
  <c r="AR374" i="25"/>
  <c r="AQ374" i="25"/>
  <c r="AO374" i="25"/>
  <c r="AN374" i="25"/>
  <c r="AM374" i="25"/>
  <c r="AL374" i="25"/>
  <c r="AK374" i="25"/>
  <c r="AJ374" i="25"/>
  <c r="AI374" i="25"/>
  <c r="AH374" i="25"/>
  <c r="AG374" i="25"/>
  <c r="AF374" i="25"/>
  <c r="AE374" i="25"/>
  <c r="AD374" i="25"/>
  <c r="AC374" i="25"/>
  <c r="AB374" i="25"/>
  <c r="AA374" i="25"/>
  <c r="Z374" i="25"/>
  <c r="Y374" i="25"/>
  <c r="X374" i="25"/>
  <c r="W374" i="25"/>
  <c r="V374" i="25"/>
  <c r="U374" i="25"/>
  <c r="T374" i="25"/>
  <c r="S374" i="25"/>
  <c r="R374" i="25"/>
  <c r="Q374" i="25"/>
  <c r="P374" i="25"/>
  <c r="O374" i="25"/>
  <c r="N374" i="25"/>
  <c r="M374" i="25"/>
  <c r="L374" i="25"/>
  <c r="K374" i="25"/>
  <c r="J374" i="25"/>
  <c r="H374" i="25"/>
  <c r="G374" i="25"/>
  <c r="C374" i="25"/>
  <c r="D374" i="25" s="1"/>
  <c r="F374" i="25"/>
  <c r="AT373" i="25"/>
  <c r="AS373" i="25"/>
  <c r="AR373" i="25"/>
  <c r="AQ373" i="25"/>
  <c r="AO373" i="25"/>
  <c r="AN373" i="25"/>
  <c r="AM373" i="25"/>
  <c r="AL373" i="25"/>
  <c r="AK373" i="25"/>
  <c r="AJ373" i="25"/>
  <c r="AI373" i="25"/>
  <c r="AH373" i="25"/>
  <c r="AG373" i="25"/>
  <c r="AF373" i="25"/>
  <c r="AE373" i="25"/>
  <c r="AD373" i="25"/>
  <c r="AC373" i="25"/>
  <c r="AB373" i="25"/>
  <c r="AA373" i="25"/>
  <c r="Z373" i="25"/>
  <c r="Y373" i="25"/>
  <c r="X373" i="25"/>
  <c r="W373" i="25"/>
  <c r="V373" i="25"/>
  <c r="U373" i="25"/>
  <c r="T373" i="25"/>
  <c r="S373" i="25"/>
  <c r="R373" i="25"/>
  <c r="Q373" i="25"/>
  <c r="P373" i="25"/>
  <c r="O373" i="25"/>
  <c r="N373" i="25"/>
  <c r="M373" i="25"/>
  <c r="L373" i="25"/>
  <c r="K373" i="25"/>
  <c r="J373" i="25"/>
  <c r="H373" i="25"/>
  <c r="G373" i="25"/>
  <c r="C373" i="25"/>
  <c r="D373" i="25" s="1"/>
  <c r="F373" i="25"/>
  <c r="AT372" i="25"/>
  <c r="AS372" i="25"/>
  <c r="AR372" i="25"/>
  <c r="AQ372" i="25"/>
  <c r="AO372" i="25"/>
  <c r="AN372" i="25"/>
  <c r="AM372" i="25"/>
  <c r="AL372" i="25"/>
  <c r="AK372" i="25"/>
  <c r="AJ372" i="25"/>
  <c r="AI372" i="25"/>
  <c r="AH372" i="25"/>
  <c r="AG372" i="25"/>
  <c r="AF372" i="25"/>
  <c r="AE372" i="25"/>
  <c r="AD372" i="25"/>
  <c r="AC372" i="25"/>
  <c r="AB372" i="25"/>
  <c r="AA372" i="25"/>
  <c r="Z372" i="25"/>
  <c r="Y372" i="25"/>
  <c r="X372" i="25"/>
  <c r="W372" i="25"/>
  <c r="V372" i="25"/>
  <c r="U372" i="25"/>
  <c r="T372" i="25"/>
  <c r="S372" i="25"/>
  <c r="R372" i="25"/>
  <c r="Q372" i="25"/>
  <c r="P372" i="25"/>
  <c r="O372" i="25"/>
  <c r="N372" i="25"/>
  <c r="M372" i="25"/>
  <c r="L372" i="25"/>
  <c r="K372" i="25"/>
  <c r="J372" i="25"/>
  <c r="H372" i="25"/>
  <c r="G372" i="25"/>
  <c r="C372" i="25"/>
  <c r="D372" i="25" s="1"/>
  <c r="F372" i="25"/>
  <c r="AT371" i="25"/>
  <c r="AS371" i="25"/>
  <c r="AR371" i="25"/>
  <c r="AQ371" i="25"/>
  <c r="AO371" i="25"/>
  <c r="AN371" i="25"/>
  <c r="AM371" i="25"/>
  <c r="AL371" i="25"/>
  <c r="AK371" i="25"/>
  <c r="AJ371" i="25"/>
  <c r="AI371" i="25"/>
  <c r="AH371" i="25"/>
  <c r="AG371" i="25"/>
  <c r="AF371" i="25"/>
  <c r="AE371" i="25"/>
  <c r="AD371" i="25"/>
  <c r="AC371" i="25"/>
  <c r="AB371" i="25"/>
  <c r="AA371" i="25"/>
  <c r="Z371" i="25"/>
  <c r="Y371" i="25"/>
  <c r="X371" i="25"/>
  <c r="W371" i="25"/>
  <c r="V371" i="25"/>
  <c r="U371" i="25"/>
  <c r="T371" i="25"/>
  <c r="S371" i="25"/>
  <c r="R371" i="25"/>
  <c r="Q371" i="25"/>
  <c r="P371" i="25"/>
  <c r="O371" i="25"/>
  <c r="N371" i="25"/>
  <c r="M371" i="25"/>
  <c r="L371" i="25"/>
  <c r="K371" i="25"/>
  <c r="J371" i="25"/>
  <c r="H371" i="25"/>
  <c r="G371" i="25"/>
  <c r="C371" i="25"/>
  <c r="D371" i="25" s="1"/>
  <c r="F371" i="25"/>
  <c r="AT359" i="25"/>
  <c r="AS359" i="25"/>
  <c r="AR359" i="25"/>
  <c r="AQ359" i="25"/>
  <c r="AO359" i="25"/>
  <c r="AN359" i="25"/>
  <c r="AM359" i="25"/>
  <c r="AL359" i="25"/>
  <c r="AK359" i="25"/>
  <c r="AJ359" i="25"/>
  <c r="AI359" i="25"/>
  <c r="AH359" i="25"/>
  <c r="AG359" i="25"/>
  <c r="AF359" i="25"/>
  <c r="AE359" i="25"/>
  <c r="AD359" i="25"/>
  <c r="AC359" i="25"/>
  <c r="AB359" i="25"/>
  <c r="AA359" i="25"/>
  <c r="Z359" i="25"/>
  <c r="Y359" i="25"/>
  <c r="X359" i="25"/>
  <c r="W359" i="25"/>
  <c r="V359" i="25"/>
  <c r="U359" i="25"/>
  <c r="T359" i="25"/>
  <c r="S359" i="25"/>
  <c r="R359" i="25"/>
  <c r="Q359" i="25"/>
  <c r="P359" i="25"/>
  <c r="O359" i="25"/>
  <c r="N359" i="25"/>
  <c r="M359" i="25"/>
  <c r="L359" i="25"/>
  <c r="K359" i="25"/>
  <c r="J359" i="25"/>
  <c r="H359" i="25"/>
  <c r="G359" i="25"/>
  <c r="C359" i="25"/>
  <c r="D359" i="25" s="1"/>
  <c r="F359" i="25"/>
  <c r="AT360" i="25"/>
  <c r="AS360" i="25"/>
  <c r="AR360" i="25"/>
  <c r="AQ360" i="25"/>
  <c r="AO360" i="25"/>
  <c r="AN360" i="25"/>
  <c r="AM360" i="25"/>
  <c r="AL360" i="25"/>
  <c r="AK360" i="25"/>
  <c r="AJ360" i="25"/>
  <c r="AI360" i="25"/>
  <c r="AH360" i="25"/>
  <c r="AG360" i="25"/>
  <c r="AF360" i="25"/>
  <c r="AE360" i="25"/>
  <c r="AD360" i="25"/>
  <c r="AC360" i="25"/>
  <c r="AB360" i="25"/>
  <c r="AA360" i="25"/>
  <c r="Z360" i="25"/>
  <c r="Y360" i="25"/>
  <c r="X360" i="25"/>
  <c r="W360" i="25"/>
  <c r="V360" i="25"/>
  <c r="U360" i="25"/>
  <c r="T360" i="25"/>
  <c r="S360" i="25"/>
  <c r="R360" i="25"/>
  <c r="Q360" i="25"/>
  <c r="P360" i="25"/>
  <c r="O360" i="25"/>
  <c r="N360" i="25"/>
  <c r="M360" i="25"/>
  <c r="L360" i="25"/>
  <c r="K360" i="25"/>
  <c r="J360" i="25"/>
  <c r="H360" i="25"/>
  <c r="G360" i="25"/>
  <c r="C360" i="25"/>
  <c r="D360" i="25" s="1"/>
  <c r="F360" i="25"/>
  <c r="AT361" i="25"/>
  <c r="AS361" i="25"/>
  <c r="AR361" i="25"/>
  <c r="AQ361" i="25"/>
  <c r="AO361" i="25"/>
  <c r="AN361" i="25"/>
  <c r="AM361" i="25"/>
  <c r="AL361" i="25"/>
  <c r="AK361" i="25"/>
  <c r="AJ361" i="25"/>
  <c r="AI361" i="25"/>
  <c r="AH361" i="25"/>
  <c r="AG361" i="25"/>
  <c r="AF361" i="25"/>
  <c r="AE361" i="25"/>
  <c r="AD361" i="25"/>
  <c r="AC361" i="25"/>
  <c r="AB361" i="25"/>
  <c r="AA361" i="25"/>
  <c r="Z361" i="25"/>
  <c r="Y361" i="25"/>
  <c r="X361" i="25"/>
  <c r="W361" i="25"/>
  <c r="V361" i="25"/>
  <c r="U361" i="25"/>
  <c r="T361" i="25"/>
  <c r="S361" i="25"/>
  <c r="R361" i="25"/>
  <c r="Q361" i="25"/>
  <c r="P361" i="25"/>
  <c r="O361" i="25"/>
  <c r="N361" i="25"/>
  <c r="M361" i="25"/>
  <c r="L361" i="25"/>
  <c r="K361" i="25"/>
  <c r="J361" i="25"/>
  <c r="H361" i="25"/>
  <c r="G361" i="25"/>
  <c r="C361" i="25"/>
  <c r="D361" i="25" s="1"/>
  <c r="F361" i="25"/>
  <c r="AT366" i="25"/>
  <c r="AS366" i="25"/>
  <c r="AR366" i="25"/>
  <c r="AQ366" i="25"/>
  <c r="AO366" i="25"/>
  <c r="AN366" i="25"/>
  <c r="AM366" i="25"/>
  <c r="AL366" i="25"/>
  <c r="AK366" i="25"/>
  <c r="AJ366" i="25"/>
  <c r="AI366" i="25"/>
  <c r="AH366" i="25"/>
  <c r="AG366" i="25"/>
  <c r="AF366" i="25"/>
  <c r="AE366" i="25"/>
  <c r="AD366" i="25"/>
  <c r="AC366" i="25"/>
  <c r="AB366" i="25"/>
  <c r="AA366" i="25"/>
  <c r="Z366" i="25"/>
  <c r="Y366" i="25"/>
  <c r="X366" i="25"/>
  <c r="W366" i="25"/>
  <c r="V366" i="25"/>
  <c r="U366" i="25"/>
  <c r="T366" i="25"/>
  <c r="S366" i="25"/>
  <c r="R366" i="25"/>
  <c r="Q366" i="25"/>
  <c r="P366" i="25"/>
  <c r="O366" i="25"/>
  <c r="N366" i="25"/>
  <c r="M366" i="25"/>
  <c r="L366" i="25"/>
  <c r="K366" i="25"/>
  <c r="J366" i="25"/>
  <c r="H366" i="25"/>
  <c r="G366" i="25"/>
  <c r="C366" i="25"/>
  <c r="D366" i="25" s="1"/>
  <c r="F366" i="25"/>
  <c r="AT362" i="25"/>
  <c r="AS362" i="25"/>
  <c r="AR362" i="25"/>
  <c r="AQ362" i="25"/>
  <c r="AO362" i="25"/>
  <c r="AN362" i="25"/>
  <c r="AM362" i="25"/>
  <c r="AL362" i="25"/>
  <c r="AK362" i="25"/>
  <c r="AJ362" i="25"/>
  <c r="AI362" i="25"/>
  <c r="AH362" i="25"/>
  <c r="AG362" i="25"/>
  <c r="AF362" i="25"/>
  <c r="AE362" i="25"/>
  <c r="AD362" i="25"/>
  <c r="AC362" i="25"/>
  <c r="AB362" i="25"/>
  <c r="AA362" i="25"/>
  <c r="Z362" i="25"/>
  <c r="Y362" i="25"/>
  <c r="X362" i="25"/>
  <c r="W362" i="25"/>
  <c r="V362" i="25"/>
  <c r="U362" i="25"/>
  <c r="T362" i="25"/>
  <c r="S362" i="25"/>
  <c r="R362" i="25"/>
  <c r="Q362" i="25"/>
  <c r="P362" i="25"/>
  <c r="O362" i="25"/>
  <c r="N362" i="25"/>
  <c r="M362" i="25"/>
  <c r="L362" i="25"/>
  <c r="K362" i="25"/>
  <c r="J362" i="25"/>
  <c r="H362" i="25"/>
  <c r="G362" i="25"/>
  <c r="C362" i="25"/>
  <c r="D362" i="25" s="1"/>
  <c r="F362" i="25"/>
  <c r="AT365" i="25"/>
  <c r="AS365" i="25"/>
  <c r="AR365" i="25"/>
  <c r="AQ365" i="25"/>
  <c r="AO365" i="25"/>
  <c r="AN365" i="25"/>
  <c r="AM365" i="25"/>
  <c r="AL365" i="25"/>
  <c r="AK365" i="25"/>
  <c r="AJ365" i="25"/>
  <c r="AI365" i="25"/>
  <c r="AH365" i="25"/>
  <c r="AG365" i="25"/>
  <c r="AF365" i="25"/>
  <c r="AE365" i="25"/>
  <c r="AD365" i="25"/>
  <c r="AC365" i="25"/>
  <c r="AB365" i="25"/>
  <c r="AA365" i="25"/>
  <c r="Z365" i="25"/>
  <c r="Y365" i="25"/>
  <c r="X365" i="25"/>
  <c r="W365" i="25"/>
  <c r="V365" i="25"/>
  <c r="U365" i="25"/>
  <c r="T365" i="25"/>
  <c r="S365" i="25"/>
  <c r="R365" i="25"/>
  <c r="Q365" i="25"/>
  <c r="P365" i="25"/>
  <c r="O365" i="25"/>
  <c r="N365" i="25"/>
  <c r="M365" i="25"/>
  <c r="L365" i="25"/>
  <c r="K365" i="25"/>
  <c r="J365" i="25"/>
  <c r="H365" i="25"/>
  <c r="G365" i="25"/>
  <c r="C365" i="25"/>
  <c r="D365" i="25" s="1"/>
  <c r="F365" i="25"/>
  <c r="AT364" i="25"/>
  <c r="AS364" i="25"/>
  <c r="AR364" i="25"/>
  <c r="AQ364" i="25"/>
  <c r="AO364" i="25"/>
  <c r="AN364" i="25"/>
  <c r="AM364" i="25"/>
  <c r="AL364" i="25"/>
  <c r="AK364" i="25"/>
  <c r="AJ364" i="25"/>
  <c r="AI364" i="25"/>
  <c r="AH364" i="25"/>
  <c r="AG364" i="25"/>
  <c r="AF364" i="25"/>
  <c r="AE364" i="25"/>
  <c r="AD364" i="25"/>
  <c r="AC364" i="25"/>
  <c r="AB364" i="25"/>
  <c r="AA364" i="25"/>
  <c r="Z364" i="25"/>
  <c r="Y364" i="25"/>
  <c r="X364" i="25"/>
  <c r="W364" i="25"/>
  <c r="V364" i="25"/>
  <c r="U364" i="25"/>
  <c r="T364" i="25"/>
  <c r="S364" i="25"/>
  <c r="R364" i="25"/>
  <c r="Q364" i="25"/>
  <c r="P364" i="25"/>
  <c r="O364" i="25"/>
  <c r="N364" i="25"/>
  <c r="M364" i="25"/>
  <c r="L364" i="25"/>
  <c r="K364" i="25"/>
  <c r="J364" i="25"/>
  <c r="H364" i="25"/>
  <c r="G364" i="25"/>
  <c r="C364" i="25"/>
  <c r="D364" i="25" s="1"/>
  <c r="F364" i="25"/>
  <c r="AT363" i="25"/>
  <c r="AS363" i="25"/>
  <c r="AR363" i="25"/>
  <c r="AQ363" i="25"/>
  <c r="AO363" i="25"/>
  <c r="AN363" i="25"/>
  <c r="AM363" i="25"/>
  <c r="AL363" i="25"/>
  <c r="AK363" i="25"/>
  <c r="AJ363" i="25"/>
  <c r="AI363" i="25"/>
  <c r="AH363" i="25"/>
  <c r="AG363" i="25"/>
  <c r="AF363" i="25"/>
  <c r="AE363" i="25"/>
  <c r="AD363" i="25"/>
  <c r="AC363" i="25"/>
  <c r="AB363" i="25"/>
  <c r="AA363" i="25"/>
  <c r="Z363" i="25"/>
  <c r="Y363" i="25"/>
  <c r="X363" i="25"/>
  <c r="W363" i="25"/>
  <c r="V363" i="25"/>
  <c r="U363" i="25"/>
  <c r="T363" i="25"/>
  <c r="S363" i="25"/>
  <c r="R363" i="25"/>
  <c r="Q363" i="25"/>
  <c r="P363" i="25"/>
  <c r="O363" i="25"/>
  <c r="N363" i="25"/>
  <c r="M363" i="25"/>
  <c r="L363" i="25"/>
  <c r="K363" i="25"/>
  <c r="J363" i="25"/>
  <c r="H363" i="25"/>
  <c r="G363" i="25"/>
  <c r="C363" i="25"/>
  <c r="D363" i="25" s="1"/>
  <c r="F363" i="25"/>
  <c r="AT444" i="25"/>
  <c r="AS444" i="25"/>
  <c r="AR444" i="25"/>
  <c r="AQ444" i="25"/>
  <c r="AO444" i="25"/>
  <c r="AN444" i="25"/>
  <c r="AM444" i="25"/>
  <c r="AL444" i="25"/>
  <c r="AK444" i="25"/>
  <c r="AJ444" i="25"/>
  <c r="AI444" i="25"/>
  <c r="AH444" i="25"/>
  <c r="AG444" i="25"/>
  <c r="AF444" i="25"/>
  <c r="AE444" i="25"/>
  <c r="AD444" i="25"/>
  <c r="AC444" i="25"/>
  <c r="AB444" i="25"/>
  <c r="AA444" i="25"/>
  <c r="Z444" i="25"/>
  <c r="Y444" i="25"/>
  <c r="X444" i="25"/>
  <c r="W444" i="25"/>
  <c r="V444" i="25"/>
  <c r="U444" i="25"/>
  <c r="T444" i="25"/>
  <c r="S444" i="25"/>
  <c r="R444" i="25"/>
  <c r="Q444" i="25"/>
  <c r="P444" i="25"/>
  <c r="O444" i="25"/>
  <c r="N444" i="25"/>
  <c r="M444" i="25"/>
  <c r="L444" i="25"/>
  <c r="K444" i="25"/>
  <c r="J444" i="25"/>
  <c r="H444" i="25"/>
  <c r="G444" i="25"/>
  <c r="C444" i="25"/>
  <c r="D444" i="25" s="1"/>
  <c r="F444" i="25"/>
  <c r="AT443" i="25"/>
  <c r="AS443" i="25"/>
  <c r="AR443" i="25"/>
  <c r="AQ443" i="25"/>
  <c r="AO443" i="25"/>
  <c r="AN443" i="25"/>
  <c r="AM443" i="25"/>
  <c r="AL443" i="25"/>
  <c r="AK443" i="25"/>
  <c r="AJ443" i="25"/>
  <c r="AI443" i="25"/>
  <c r="AH443" i="25"/>
  <c r="AG443" i="25"/>
  <c r="AF443" i="25"/>
  <c r="AE443" i="25"/>
  <c r="AD443" i="25"/>
  <c r="AC443" i="25"/>
  <c r="AB443" i="25"/>
  <c r="AA443" i="25"/>
  <c r="Z443" i="25"/>
  <c r="Y443" i="25"/>
  <c r="X443" i="25"/>
  <c r="W443" i="25"/>
  <c r="V443" i="25"/>
  <c r="U443" i="25"/>
  <c r="T443" i="25"/>
  <c r="S443" i="25"/>
  <c r="R443" i="25"/>
  <c r="Q443" i="25"/>
  <c r="P443" i="25"/>
  <c r="O443" i="25"/>
  <c r="N443" i="25"/>
  <c r="M443" i="25"/>
  <c r="L443" i="25"/>
  <c r="K443" i="25"/>
  <c r="J443" i="25"/>
  <c r="H443" i="25"/>
  <c r="G443" i="25"/>
  <c r="C443" i="25"/>
  <c r="D443" i="25" s="1"/>
  <c r="F443" i="25"/>
  <c r="AT442" i="25"/>
  <c r="AS442" i="25"/>
  <c r="AR442" i="25"/>
  <c r="AQ442" i="25"/>
  <c r="AO442" i="25"/>
  <c r="AN442" i="25"/>
  <c r="AM442" i="25"/>
  <c r="AL442" i="25"/>
  <c r="AK442" i="25"/>
  <c r="AJ442" i="25"/>
  <c r="AI442" i="25"/>
  <c r="AH442" i="25"/>
  <c r="AG442" i="25"/>
  <c r="AF442" i="25"/>
  <c r="AE442" i="25"/>
  <c r="AD442" i="25"/>
  <c r="AC442" i="25"/>
  <c r="AB442" i="25"/>
  <c r="AA442" i="25"/>
  <c r="Z442" i="25"/>
  <c r="Y442" i="25"/>
  <c r="X442" i="25"/>
  <c r="W442" i="25"/>
  <c r="V442" i="25"/>
  <c r="U442" i="25"/>
  <c r="T442" i="25"/>
  <c r="S442" i="25"/>
  <c r="R442" i="25"/>
  <c r="Q442" i="25"/>
  <c r="P442" i="25"/>
  <c r="O442" i="25"/>
  <c r="N442" i="25"/>
  <c r="M442" i="25"/>
  <c r="L442" i="25"/>
  <c r="K442" i="25"/>
  <c r="J442" i="25"/>
  <c r="H442" i="25"/>
  <c r="G442" i="25"/>
  <c r="C442" i="25"/>
  <c r="D442" i="25" s="1"/>
  <c r="F442" i="25"/>
  <c r="AT441" i="25"/>
  <c r="AS441" i="25"/>
  <c r="AR441" i="25"/>
  <c r="AQ441" i="25"/>
  <c r="AO441" i="25"/>
  <c r="AN441" i="25"/>
  <c r="AM441" i="25"/>
  <c r="AL441" i="25"/>
  <c r="AK441" i="25"/>
  <c r="AJ441" i="25"/>
  <c r="AI441" i="25"/>
  <c r="AH441" i="25"/>
  <c r="AG441" i="25"/>
  <c r="AF441" i="25"/>
  <c r="AE441" i="25"/>
  <c r="AD441" i="25"/>
  <c r="AC441" i="25"/>
  <c r="AB441" i="25"/>
  <c r="AA441" i="25"/>
  <c r="Z441" i="25"/>
  <c r="Y441" i="25"/>
  <c r="X441" i="25"/>
  <c r="W441" i="25"/>
  <c r="V441" i="25"/>
  <c r="U441" i="25"/>
  <c r="T441" i="25"/>
  <c r="S441" i="25"/>
  <c r="R441" i="25"/>
  <c r="Q441" i="25"/>
  <c r="P441" i="25"/>
  <c r="O441" i="25"/>
  <c r="N441" i="25"/>
  <c r="M441" i="25"/>
  <c r="L441" i="25"/>
  <c r="K441" i="25"/>
  <c r="J441" i="25"/>
  <c r="H441" i="25"/>
  <c r="G441" i="25"/>
  <c r="C441" i="25"/>
  <c r="D441" i="25" s="1"/>
  <c r="F441" i="25"/>
  <c r="AT407" i="25"/>
  <c r="AS407" i="25"/>
  <c r="AQ407" i="25"/>
  <c r="AO407" i="25"/>
  <c r="AN407" i="25"/>
  <c r="AM407" i="25"/>
  <c r="AL407" i="25"/>
  <c r="AK407" i="25"/>
  <c r="AJ407" i="25"/>
  <c r="AI407" i="25"/>
  <c r="AH407" i="25"/>
  <c r="AG407" i="25"/>
  <c r="AF407" i="25"/>
  <c r="AE407" i="25"/>
  <c r="AD407" i="25"/>
  <c r="AC407" i="25"/>
  <c r="AB407" i="25"/>
  <c r="AA407" i="25"/>
  <c r="Z407" i="25"/>
  <c r="Y407" i="25"/>
  <c r="X407" i="25"/>
  <c r="W407" i="25"/>
  <c r="V407" i="25"/>
  <c r="U407" i="25"/>
  <c r="T407" i="25"/>
  <c r="S407" i="25"/>
  <c r="R407" i="25"/>
  <c r="Q407" i="25"/>
  <c r="P407" i="25"/>
  <c r="O407" i="25"/>
  <c r="N407" i="25"/>
  <c r="M407" i="25"/>
  <c r="L407" i="25"/>
  <c r="K407" i="25"/>
  <c r="J407" i="25"/>
  <c r="H407" i="25"/>
  <c r="G407" i="25"/>
  <c r="C407" i="25"/>
  <c r="D407" i="25" s="1"/>
  <c r="F407" i="25"/>
  <c r="AT406" i="25"/>
  <c r="AS406" i="25"/>
  <c r="AR406" i="25"/>
  <c r="AQ406" i="25"/>
  <c r="AO406" i="25"/>
  <c r="AN406" i="25"/>
  <c r="AM406" i="25"/>
  <c r="AL406" i="25"/>
  <c r="AK406" i="25"/>
  <c r="AJ406" i="25"/>
  <c r="AI406" i="25"/>
  <c r="AH406" i="25"/>
  <c r="AG406" i="25"/>
  <c r="AF406" i="25"/>
  <c r="AE406" i="25"/>
  <c r="AD406" i="25"/>
  <c r="AC406" i="25"/>
  <c r="AB406" i="25"/>
  <c r="AA406" i="25"/>
  <c r="Z406" i="25"/>
  <c r="Y406" i="25"/>
  <c r="X406" i="25"/>
  <c r="W406" i="25"/>
  <c r="V406" i="25"/>
  <c r="U406" i="25"/>
  <c r="T406" i="25"/>
  <c r="S406" i="25"/>
  <c r="R406" i="25"/>
  <c r="Q406" i="25"/>
  <c r="P406" i="25"/>
  <c r="O406" i="25"/>
  <c r="N406" i="25"/>
  <c r="M406" i="25"/>
  <c r="L406" i="25"/>
  <c r="K406" i="25"/>
  <c r="J406" i="25"/>
  <c r="H406" i="25"/>
  <c r="G406" i="25"/>
  <c r="C406" i="25"/>
  <c r="D406" i="25" s="1"/>
  <c r="F406" i="25"/>
  <c r="AT405" i="25"/>
  <c r="AS405" i="25"/>
  <c r="AR405" i="25"/>
  <c r="AQ405" i="25"/>
  <c r="AO405" i="25"/>
  <c r="AN405" i="25"/>
  <c r="AM405" i="25"/>
  <c r="AL405" i="25"/>
  <c r="AK405" i="25"/>
  <c r="AJ405" i="25"/>
  <c r="AI405" i="25"/>
  <c r="AH405" i="25"/>
  <c r="AG405" i="25"/>
  <c r="AF405" i="25"/>
  <c r="AE405" i="25"/>
  <c r="AD405" i="25"/>
  <c r="AC405" i="25"/>
  <c r="AB405" i="25"/>
  <c r="AA405" i="25"/>
  <c r="Z405" i="25"/>
  <c r="Y405" i="25"/>
  <c r="X405" i="25"/>
  <c r="W405" i="25"/>
  <c r="V405" i="25"/>
  <c r="U405" i="25"/>
  <c r="T405" i="25"/>
  <c r="S405" i="25"/>
  <c r="R405" i="25"/>
  <c r="Q405" i="25"/>
  <c r="P405" i="25"/>
  <c r="O405" i="25"/>
  <c r="N405" i="25"/>
  <c r="M405" i="25"/>
  <c r="L405" i="25"/>
  <c r="K405" i="25"/>
  <c r="J405" i="25"/>
  <c r="H405" i="25"/>
  <c r="G405" i="25"/>
  <c r="C405" i="25"/>
  <c r="D405" i="25" s="1"/>
  <c r="F405" i="25"/>
  <c r="AT404" i="25"/>
  <c r="AS404" i="25"/>
  <c r="AR404" i="25"/>
  <c r="AQ404" i="25"/>
  <c r="AO404" i="25"/>
  <c r="AN404" i="25"/>
  <c r="AM404" i="25"/>
  <c r="AL404" i="25"/>
  <c r="AK404" i="25"/>
  <c r="AJ404" i="25"/>
  <c r="AI404" i="25"/>
  <c r="AH404" i="25"/>
  <c r="AG404" i="25"/>
  <c r="AF404" i="25"/>
  <c r="AE404" i="25"/>
  <c r="AD404" i="25"/>
  <c r="AC404" i="25"/>
  <c r="AB404" i="25"/>
  <c r="AA404" i="25"/>
  <c r="Z404" i="25"/>
  <c r="Y404" i="25"/>
  <c r="X404" i="25"/>
  <c r="W404" i="25"/>
  <c r="V404" i="25"/>
  <c r="U404" i="25"/>
  <c r="T404" i="25"/>
  <c r="S404" i="25"/>
  <c r="R404" i="25"/>
  <c r="Q404" i="25"/>
  <c r="P404" i="25"/>
  <c r="O404" i="25"/>
  <c r="N404" i="25"/>
  <c r="M404" i="25"/>
  <c r="L404" i="25"/>
  <c r="K404" i="25"/>
  <c r="J404" i="25"/>
  <c r="H404" i="25"/>
  <c r="G404" i="25"/>
  <c r="C404" i="25"/>
  <c r="D404" i="25" s="1"/>
  <c r="F404" i="25"/>
  <c r="AT403" i="25"/>
  <c r="AS403" i="25"/>
  <c r="AR403" i="25"/>
  <c r="AQ403" i="25"/>
  <c r="AO403" i="25"/>
  <c r="AN403" i="25"/>
  <c r="AM403" i="25"/>
  <c r="AL403" i="25"/>
  <c r="AK403" i="25"/>
  <c r="AJ403" i="25"/>
  <c r="AI403" i="25"/>
  <c r="AH403" i="25"/>
  <c r="AG403" i="25"/>
  <c r="AF403" i="25"/>
  <c r="AE403" i="25"/>
  <c r="AD403" i="25"/>
  <c r="AC403" i="25"/>
  <c r="AB403" i="25"/>
  <c r="AA403" i="25"/>
  <c r="Z403" i="25"/>
  <c r="Y403" i="25"/>
  <c r="X403" i="25"/>
  <c r="W403" i="25"/>
  <c r="V403" i="25"/>
  <c r="U403" i="25"/>
  <c r="T403" i="25"/>
  <c r="S403" i="25"/>
  <c r="R403" i="25"/>
  <c r="Q403" i="25"/>
  <c r="P403" i="25"/>
  <c r="O403" i="25"/>
  <c r="N403" i="25"/>
  <c r="M403" i="25"/>
  <c r="L403" i="25"/>
  <c r="K403" i="25"/>
  <c r="J403" i="25"/>
  <c r="H403" i="25"/>
  <c r="G403" i="25"/>
  <c r="C403" i="25"/>
  <c r="D403" i="25" s="1"/>
  <c r="F403" i="25"/>
  <c r="AT402" i="25"/>
  <c r="AS402" i="25"/>
  <c r="AR402" i="25"/>
  <c r="AQ402" i="25"/>
  <c r="AO402" i="25"/>
  <c r="AN402" i="25"/>
  <c r="AM402" i="25"/>
  <c r="AL402" i="25"/>
  <c r="AK402" i="25"/>
  <c r="AJ402" i="25"/>
  <c r="AI402" i="25"/>
  <c r="AH402" i="25"/>
  <c r="AG402" i="25"/>
  <c r="AF402" i="25"/>
  <c r="AE402" i="25"/>
  <c r="AD402" i="25"/>
  <c r="AC402" i="25"/>
  <c r="AB402" i="25"/>
  <c r="AA402" i="25"/>
  <c r="Z402" i="25"/>
  <c r="Y402" i="25"/>
  <c r="X402" i="25"/>
  <c r="W402" i="25"/>
  <c r="V402" i="25"/>
  <c r="U402" i="25"/>
  <c r="T402" i="25"/>
  <c r="S402" i="25"/>
  <c r="R402" i="25"/>
  <c r="Q402" i="25"/>
  <c r="P402" i="25"/>
  <c r="O402" i="25"/>
  <c r="N402" i="25"/>
  <c r="M402" i="25"/>
  <c r="L402" i="25"/>
  <c r="K402" i="25"/>
  <c r="J402" i="25"/>
  <c r="H402" i="25"/>
  <c r="G402" i="25"/>
  <c r="C402" i="25"/>
  <c r="D402" i="25" s="1"/>
  <c r="F402" i="25"/>
  <c r="AT401" i="25"/>
  <c r="AS401" i="25"/>
  <c r="AQ401" i="25"/>
  <c r="AO401" i="25"/>
  <c r="AN401" i="25"/>
  <c r="AM401" i="25"/>
  <c r="AL401" i="25"/>
  <c r="AK401" i="25"/>
  <c r="AJ401" i="25"/>
  <c r="AI401" i="25"/>
  <c r="AH401" i="25"/>
  <c r="AG401" i="25"/>
  <c r="AF401" i="25"/>
  <c r="AE401" i="25"/>
  <c r="AD401" i="25"/>
  <c r="AC401" i="25"/>
  <c r="AB401" i="25"/>
  <c r="AA401" i="25"/>
  <c r="Z401" i="25"/>
  <c r="Y401" i="25"/>
  <c r="X401" i="25"/>
  <c r="W401" i="25"/>
  <c r="V401" i="25"/>
  <c r="U401" i="25"/>
  <c r="T401" i="25"/>
  <c r="S401" i="25"/>
  <c r="R401" i="25"/>
  <c r="Q401" i="25"/>
  <c r="P401" i="25"/>
  <c r="O401" i="25"/>
  <c r="N401" i="25"/>
  <c r="M401" i="25"/>
  <c r="L401" i="25"/>
  <c r="K401" i="25"/>
  <c r="J401" i="25"/>
  <c r="H401" i="25"/>
  <c r="G401" i="25"/>
  <c r="C401" i="25"/>
  <c r="D401" i="25" s="1"/>
  <c r="F401" i="25"/>
  <c r="AT417" i="25"/>
  <c r="AS417" i="25"/>
  <c r="AR417" i="25"/>
  <c r="AQ417" i="25"/>
  <c r="AO417" i="25"/>
  <c r="AN417" i="25"/>
  <c r="AM417" i="25"/>
  <c r="AL417" i="25"/>
  <c r="AK417" i="25"/>
  <c r="AJ417" i="25"/>
  <c r="AI417" i="25"/>
  <c r="AH417" i="25"/>
  <c r="AG417" i="25"/>
  <c r="AF417" i="25"/>
  <c r="AE417" i="25"/>
  <c r="AD417" i="25"/>
  <c r="AC417" i="25"/>
  <c r="AB417" i="25"/>
  <c r="AA417" i="25"/>
  <c r="Z417" i="25"/>
  <c r="Y417" i="25"/>
  <c r="X417" i="25"/>
  <c r="W417" i="25"/>
  <c r="V417" i="25"/>
  <c r="U417" i="25"/>
  <c r="T417" i="25"/>
  <c r="S417" i="25"/>
  <c r="R417" i="25"/>
  <c r="Q417" i="25"/>
  <c r="P417" i="25"/>
  <c r="O417" i="25"/>
  <c r="N417" i="25"/>
  <c r="M417" i="25"/>
  <c r="L417" i="25"/>
  <c r="K417" i="25"/>
  <c r="J417" i="25"/>
  <c r="H417" i="25"/>
  <c r="G417" i="25"/>
  <c r="C417" i="25"/>
  <c r="D417" i="25" s="1"/>
  <c r="F417" i="25"/>
  <c r="AT416" i="25"/>
  <c r="AS416" i="25"/>
  <c r="AR416" i="25"/>
  <c r="AQ416" i="25"/>
  <c r="AO416" i="25"/>
  <c r="AN416" i="25"/>
  <c r="AM416" i="25"/>
  <c r="AL416" i="25"/>
  <c r="AK416" i="25"/>
  <c r="AJ416" i="25"/>
  <c r="AI416" i="25"/>
  <c r="AH416" i="25"/>
  <c r="AG416" i="25"/>
  <c r="AF416" i="25"/>
  <c r="AE416" i="25"/>
  <c r="AD416" i="25"/>
  <c r="AC416" i="25"/>
  <c r="AB416" i="25"/>
  <c r="AA416" i="25"/>
  <c r="Z416" i="25"/>
  <c r="Y416" i="25"/>
  <c r="X416" i="25"/>
  <c r="W416" i="25"/>
  <c r="V416" i="25"/>
  <c r="U416" i="25"/>
  <c r="T416" i="25"/>
  <c r="S416" i="25"/>
  <c r="R416" i="25"/>
  <c r="Q416" i="25"/>
  <c r="P416" i="25"/>
  <c r="O416" i="25"/>
  <c r="N416" i="25"/>
  <c r="M416" i="25"/>
  <c r="L416" i="25"/>
  <c r="K416" i="25"/>
  <c r="J416" i="25"/>
  <c r="H416" i="25"/>
  <c r="G416" i="25"/>
  <c r="C416" i="25"/>
  <c r="D416" i="25" s="1"/>
  <c r="F416" i="25"/>
  <c r="AT415" i="25"/>
  <c r="AS415" i="25"/>
  <c r="AR415" i="25"/>
  <c r="AQ415" i="25"/>
  <c r="AO415" i="25"/>
  <c r="AN415" i="25"/>
  <c r="AM415" i="25"/>
  <c r="AL415" i="25"/>
  <c r="AK415" i="25"/>
  <c r="AJ415" i="25"/>
  <c r="AI415" i="25"/>
  <c r="AH415" i="25"/>
  <c r="AG415" i="25"/>
  <c r="AF415" i="25"/>
  <c r="AE415" i="25"/>
  <c r="AD415" i="25"/>
  <c r="AC415" i="25"/>
  <c r="AB415" i="25"/>
  <c r="AA415" i="25"/>
  <c r="Z415" i="25"/>
  <c r="Y415" i="25"/>
  <c r="X415" i="25"/>
  <c r="W415" i="25"/>
  <c r="V415" i="25"/>
  <c r="U415" i="25"/>
  <c r="T415" i="25"/>
  <c r="S415" i="25"/>
  <c r="R415" i="25"/>
  <c r="Q415" i="25"/>
  <c r="P415" i="25"/>
  <c r="O415" i="25"/>
  <c r="N415" i="25"/>
  <c r="M415" i="25"/>
  <c r="L415" i="25"/>
  <c r="K415" i="25"/>
  <c r="J415" i="25"/>
  <c r="H415" i="25"/>
  <c r="G415" i="25"/>
  <c r="C415" i="25"/>
  <c r="D415" i="25" s="1"/>
  <c r="F415" i="25"/>
  <c r="AT414" i="25"/>
  <c r="AS414" i="25"/>
  <c r="AR414" i="25"/>
  <c r="AQ414" i="25"/>
  <c r="AO414" i="25"/>
  <c r="AN414" i="25"/>
  <c r="AM414" i="25"/>
  <c r="AL414" i="25"/>
  <c r="AK414" i="25"/>
  <c r="AJ414" i="25"/>
  <c r="AI414" i="25"/>
  <c r="AH414" i="25"/>
  <c r="AG414" i="25"/>
  <c r="AF414" i="25"/>
  <c r="AE414" i="25"/>
  <c r="AD414" i="25"/>
  <c r="AC414" i="25"/>
  <c r="AB414" i="25"/>
  <c r="AA414" i="25"/>
  <c r="Z414" i="25"/>
  <c r="Y414" i="25"/>
  <c r="X414" i="25"/>
  <c r="W414" i="25"/>
  <c r="V414" i="25"/>
  <c r="U414" i="25"/>
  <c r="T414" i="25"/>
  <c r="S414" i="25"/>
  <c r="R414" i="25"/>
  <c r="Q414" i="25"/>
  <c r="P414" i="25"/>
  <c r="O414" i="25"/>
  <c r="N414" i="25"/>
  <c r="M414" i="25"/>
  <c r="L414" i="25"/>
  <c r="K414" i="25"/>
  <c r="J414" i="25"/>
  <c r="H414" i="25"/>
  <c r="G414" i="25"/>
  <c r="C414" i="25"/>
  <c r="D414" i="25" s="1"/>
  <c r="F414" i="25"/>
  <c r="AT413" i="25"/>
  <c r="AS413" i="25"/>
  <c r="AR413" i="25"/>
  <c r="AQ413" i="25"/>
  <c r="AO413" i="25"/>
  <c r="AN413" i="25"/>
  <c r="AM413" i="25"/>
  <c r="AL413" i="25"/>
  <c r="AK413" i="25"/>
  <c r="AJ413" i="25"/>
  <c r="AI413" i="25"/>
  <c r="AH413" i="25"/>
  <c r="AG413" i="25"/>
  <c r="AF413" i="25"/>
  <c r="AE413" i="25"/>
  <c r="AD413" i="25"/>
  <c r="AC413" i="25"/>
  <c r="AB413" i="25"/>
  <c r="AA413" i="25"/>
  <c r="Z413" i="25"/>
  <c r="Y413" i="25"/>
  <c r="X413" i="25"/>
  <c r="W413" i="25"/>
  <c r="V413" i="25"/>
  <c r="U413" i="25"/>
  <c r="T413" i="25"/>
  <c r="S413" i="25"/>
  <c r="R413" i="25"/>
  <c r="Q413" i="25"/>
  <c r="P413" i="25"/>
  <c r="O413" i="25"/>
  <c r="N413" i="25"/>
  <c r="M413" i="25"/>
  <c r="L413" i="25"/>
  <c r="K413" i="25"/>
  <c r="J413" i="25"/>
  <c r="H413" i="25"/>
  <c r="G413" i="25"/>
  <c r="C413" i="25"/>
  <c r="D413" i="25" s="1"/>
  <c r="F413" i="25"/>
  <c r="AT390" i="25"/>
  <c r="AS390" i="25"/>
  <c r="AR390" i="25"/>
  <c r="AQ390" i="25"/>
  <c r="AO390" i="25"/>
  <c r="AN390" i="25"/>
  <c r="AM390" i="25"/>
  <c r="AL390" i="25"/>
  <c r="AK390" i="25"/>
  <c r="AJ390" i="25"/>
  <c r="AI390" i="25"/>
  <c r="AH390" i="25"/>
  <c r="AG390" i="25"/>
  <c r="AF390" i="25"/>
  <c r="AE390" i="25"/>
  <c r="AD390" i="25"/>
  <c r="AC390" i="25"/>
  <c r="AB390" i="25"/>
  <c r="AA390" i="25"/>
  <c r="Z390" i="25"/>
  <c r="Y390" i="25"/>
  <c r="X390" i="25"/>
  <c r="W390" i="25"/>
  <c r="V390" i="25"/>
  <c r="U390" i="25"/>
  <c r="T390" i="25"/>
  <c r="S390" i="25"/>
  <c r="R390" i="25"/>
  <c r="Q390" i="25"/>
  <c r="P390" i="25"/>
  <c r="O390" i="25"/>
  <c r="N390" i="25"/>
  <c r="M390" i="25"/>
  <c r="L390" i="25"/>
  <c r="K390" i="25"/>
  <c r="J390" i="25"/>
  <c r="H390" i="25"/>
  <c r="G390" i="25"/>
  <c r="F390" i="25"/>
  <c r="AT389" i="25"/>
  <c r="AS389" i="25"/>
  <c r="AR389" i="25"/>
  <c r="AQ389" i="25"/>
  <c r="AO389" i="25"/>
  <c r="AN389" i="25"/>
  <c r="AM389" i="25"/>
  <c r="AL389" i="25"/>
  <c r="AK389" i="25"/>
  <c r="AJ389" i="25"/>
  <c r="AI389" i="25"/>
  <c r="AH389" i="25"/>
  <c r="AG389" i="25"/>
  <c r="AF389" i="25"/>
  <c r="AE389" i="25"/>
  <c r="AD389" i="25"/>
  <c r="AC389" i="25"/>
  <c r="AB389" i="25"/>
  <c r="AA389" i="25"/>
  <c r="Z389" i="25"/>
  <c r="Y389" i="25"/>
  <c r="X389" i="25"/>
  <c r="W389" i="25"/>
  <c r="V389" i="25"/>
  <c r="U389" i="25"/>
  <c r="T389" i="25"/>
  <c r="S389" i="25"/>
  <c r="R389" i="25"/>
  <c r="Q389" i="25"/>
  <c r="P389" i="25"/>
  <c r="O389" i="25"/>
  <c r="N389" i="25"/>
  <c r="M389" i="25"/>
  <c r="L389" i="25"/>
  <c r="K389" i="25"/>
  <c r="J389" i="25"/>
  <c r="H389" i="25"/>
  <c r="G389" i="25"/>
  <c r="F389" i="25"/>
  <c r="AT192" i="25"/>
  <c r="AS192" i="25"/>
  <c r="AR192" i="25"/>
  <c r="AQ192" i="25"/>
  <c r="AO192" i="25"/>
  <c r="AN192" i="25"/>
  <c r="AM192" i="25"/>
  <c r="AL192" i="25"/>
  <c r="AK192" i="25"/>
  <c r="AJ192" i="25"/>
  <c r="AI192" i="25"/>
  <c r="AH192" i="25"/>
  <c r="AG192" i="25"/>
  <c r="AF192" i="25"/>
  <c r="AE192" i="25"/>
  <c r="AD192" i="25"/>
  <c r="AC192" i="25"/>
  <c r="AB192" i="25"/>
  <c r="AA192" i="25"/>
  <c r="Z192" i="25"/>
  <c r="Y192" i="25"/>
  <c r="X192" i="25"/>
  <c r="W192" i="25"/>
  <c r="V192" i="25"/>
  <c r="U192" i="25"/>
  <c r="T192" i="25"/>
  <c r="S192" i="25"/>
  <c r="R192" i="25"/>
  <c r="Q192" i="25"/>
  <c r="P192" i="25"/>
  <c r="O192" i="25"/>
  <c r="N192" i="25"/>
  <c r="M192" i="25"/>
  <c r="L192" i="25"/>
  <c r="K192" i="25"/>
  <c r="J192" i="25"/>
  <c r="H192" i="25"/>
  <c r="G192" i="25"/>
  <c r="C192" i="25"/>
  <c r="D192" i="25" s="1"/>
  <c r="F192" i="25"/>
  <c r="AT191" i="25"/>
  <c r="AS191" i="25"/>
  <c r="AR191" i="25"/>
  <c r="AQ191" i="25"/>
  <c r="AO191" i="25"/>
  <c r="AN191" i="25"/>
  <c r="AM191" i="25"/>
  <c r="AL191" i="25"/>
  <c r="AK191" i="25"/>
  <c r="AJ191" i="25"/>
  <c r="AI191" i="25"/>
  <c r="AH191" i="25"/>
  <c r="AG191" i="25"/>
  <c r="AF191" i="25"/>
  <c r="AE191" i="25"/>
  <c r="AD191" i="25"/>
  <c r="AC191" i="25"/>
  <c r="AB191" i="25"/>
  <c r="AA191" i="25"/>
  <c r="Z191" i="25"/>
  <c r="Y191" i="25"/>
  <c r="X191" i="25"/>
  <c r="W191" i="25"/>
  <c r="V191" i="25"/>
  <c r="U191" i="25"/>
  <c r="T191" i="25"/>
  <c r="S191" i="25"/>
  <c r="R191" i="25"/>
  <c r="Q191" i="25"/>
  <c r="P191" i="25"/>
  <c r="O191" i="25"/>
  <c r="N191" i="25"/>
  <c r="M191" i="25"/>
  <c r="L191" i="25"/>
  <c r="K191" i="25"/>
  <c r="J191" i="25"/>
  <c r="H191" i="25"/>
  <c r="G191" i="25"/>
  <c r="C191" i="25"/>
  <c r="D191" i="25" s="1"/>
  <c r="F191" i="25"/>
  <c r="AT190" i="25"/>
  <c r="AS190" i="25"/>
  <c r="AR190" i="25"/>
  <c r="AQ190" i="25"/>
  <c r="AO190" i="25"/>
  <c r="AN190" i="25"/>
  <c r="AM190" i="25"/>
  <c r="AL190" i="25"/>
  <c r="AK190" i="25"/>
  <c r="AJ190" i="25"/>
  <c r="AI190" i="25"/>
  <c r="AH190" i="25"/>
  <c r="AG190" i="25"/>
  <c r="AF190" i="25"/>
  <c r="AE190" i="25"/>
  <c r="AD190" i="25"/>
  <c r="AC190" i="25"/>
  <c r="AB190" i="25"/>
  <c r="AA190" i="25"/>
  <c r="Z190" i="25"/>
  <c r="Y190" i="25"/>
  <c r="X190" i="25"/>
  <c r="W190" i="25"/>
  <c r="V190" i="25"/>
  <c r="U190" i="25"/>
  <c r="T190" i="25"/>
  <c r="S190" i="25"/>
  <c r="R190" i="25"/>
  <c r="Q190" i="25"/>
  <c r="P190" i="25"/>
  <c r="O190" i="25"/>
  <c r="N190" i="25"/>
  <c r="M190" i="25"/>
  <c r="L190" i="25"/>
  <c r="K190" i="25"/>
  <c r="J190" i="25"/>
  <c r="H190" i="25"/>
  <c r="G190" i="25"/>
  <c r="C190" i="25"/>
  <c r="D190" i="25" s="1"/>
  <c r="F190" i="25"/>
  <c r="AT180" i="25"/>
  <c r="AS180" i="25"/>
  <c r="AR180" i="25"/>
  <c r="AQ180" i="25"/>
  <c r="AO180" i="25"/>
  <c r="AN180" i="25"/>
  <c r="AM180" i="25"/>
  <c r="AL180" i="25"/>
  <c r="AK180" i="25"/>
  <c r="AJ180" i="25"/>
  <c r="AI180" i="25"/>
  <c r="AH180" i="25"/>
  <c r="AG180" i="25"/>
  <c r="AF180" i="25"/>
  <c r="AE180" i="25"/>
  <c r="AD180" i="25"/>
  <c r="AC180" i="25"/>
  <c r="AB180" i="25"/>
  <c r="AA180" i="25"/>
  <c r="Z180" i="25"/>
  <c r="Y180" i="25"/>
  <c r="X180" i="25"/>
  <c r="W180" i="25"/>
  <c r="V180" i="25"/>
  <c r="U180" i="25"/>
  <c r="T180" i="25"/>
  <c r="S180" i="25"/>
  <c r="R180" i="25"/>
  <c r="Q180" i="25"/>
  <c r="P180" i="25"/>
  <c r="O180" i="25"/>
  <c r="N180" i="25"/>
  <c r="M180" i="25"/>
  <c r="L180" i="25"/>
  <c r="K180" i="25"/>
  <c r="J180" i="25"/>
  <c r="H180" i="25"/>
  <c r="G180" i="25"/>
  <c r="C180" i="25"/>
  <c r="D180" i="25" s="1"/>
  <c r="F180" i="25"/>
  <c r="AT179" i="25"/>
  <c r="AS179" i="25"/>
  <c r="AR179" i="25"/>
  <c r="AQ179" i="25"/>
  <c r="AO179" i="25"/>
  <c r="AN179" i="25"/>
  <c r="AM179" i="25"/>
  <c r="AL179" i="25"/>
  <c r="AK179" i="25"/>
  <c r="AJ179" i="25"/>
  <c r="AI179" i="25"/>
  <c r="AH179" i="25"/>
  <c r="AG179" i="25"/>
  <c r="AF179" i="25"/>
  <c r="AE179" i="25"/>
  <c r="AD179" i="25"/>
  <c r="AC179" i="25"/>
  <c r="AB179" i="25"/>
  <c r="AA179" i="25"/>
  <c r="Z179" i="25"/>
  <c r="Y179" i="25"/>
  <c r="X179" i="25"/>
  <c r="W179" i="25"/>
  <c r="V179" i="25"/>
  <c r="U179" i="25"/>
  <c r="T179" i="25"/>
  <c r="S179" i="25"/>
  <c r="R179" i="25"/>
  <c r="Q179" i="25"/>
  <c r="P179" i="25"/>
  <c r="O179" i="25"/>
  <c r="N179" i="25"/>
  <c r="M179" i="25"/>
  <c r="L179" i="25"/>
  <c r="K179" i="25"/>
  <c r="J179" i="25"/>
  <c r="H179" i="25"/>
  <c r="G179" i="25"/>
  <c r="C179" i="25"/>
  <c r="D179" i="25" s="1"/>
  <c r="F179" i="25"/>
  <c r="AT178" i="25"/>
  <c r="AS178" i="25"/>
  <c r="AR178" i="25"/>
  <c r="AQ178" i="25"/>
  <c r="AO178" i="25"/>
  <c r="AN178" i="25"/>
  <c r="AM178" i="25"/>
  <c r="AL178" i="25"/>
  <c r="AK178" i="25"/>
  <c r="AJ178" i="25"/>
  <c r="AI178" i="25"/>
  <c r="AH178" i="25"/>
  <c r="AG178" i="25"/>
  <c r="AF178" i="25"/>
  <c r="AE178" i="25"/>
  <c r="AD178" i="25"/>
  <c r="AC178" i="25"/>
  <c r="AB178" i="25"/>
  <c r="AA178" i="25"/>
  <c r="Z178" i="25"/>
  <c r="Y178" i="25"/>
  <c r="X178" i="25"/>
  <c r="W178" i="25"/>
  <c r="V178" i="25"/>
  <c r="U178" i="25"/>
  <c r="T178" i="25"/>
  <c r="S178" i="25"/>
  <c r="R178" i="25"/>
  <c r="Q178" i="25"/>
  <c r="P178" i="25"/>
  <c r="O178" i="25"/>
  <c r="N178" i="25"/>
  <c r="M178" i="25"/>
  <c r="L178" i="25"/>
  <c r="K178" i="25"/>
  <c r="J178" i="25"/>
  <c r="H178" i="25"/>
  <c r="G178" i="25"/>
  <c r="C178" i="25"/>
  <c r="D178" i="25" s="1"/>
  <c r="F178" i="25"/>
  <c r="AT177" i="25"/>
  <c r="AS177" i="25"/>
  <c r="AR177" i="25"/>
  <c r="AQ177" i="25"/>
  <c r="AO177" i="25"/>
  <c r="AN177" i="25"/>
  <c r="AM177" i="25"/>
  <c r="AL177" i="25"/>
  <c r="AK177" i="25"/>
  <c r="AJ177" i="25"/>
  <c r="AI177" i="25"/>
  <c r="AH177" i="25"/>
  <c r="AG177" i="25"/>
  <c r="AF177" i="25"/>
  <c r="AE177" i="25"/>
  <c r="AD177" i="25"/>
  <c r="AC177" i="25"/>
  <c r="AB177" i="25"/>
  <c r="AA177" i="25"/>
  <c r="Z177" i="25"/>
  <c r="Y177" i="25"/>
  <c r="X177" i="25"/>
  <c r="W177" i="25"/>
  <c r="V177" i="25"/>
  <c r="U177" i="25"/>
  <c r="T177" i="25"/>
  <c r="S177" i="25"/>
  <c r="R177" i="25"/>
  <c r="Q177" i="25"/>
  <c r="P177" i="25"/>
  <c r="O177" i="25"/>
  <c r="N177" i="25"/>
  <c r="M177" i="25"/>
  <c r="L177" i="25"/>
  <c r="K177" i="25"/>
  <c r="J177" i="25"/>
  <c r="H177" i="25"/>
  <c r="G177" i="25"/>
  <c r="C177" i="25"/>
  <c r="D177" i="25" s="1"/>
  <c r="F177" i="25"/>
  <c r="AT182" i="25"/>
  <c r="AS182" i="25"/>
  <c r="AR182" i="25"/>
  <c r="AQ182" i="25"/>
  <c r="AO182" i="25"/>
  <c r="AN182" i="25"/>
  <c r="AM182" i="25"/>
  <c r="AL182" i="25"/>
  <c r="AK182" i="25"/>
  <c r="AJ182" i="25"/>
  <c r="AI182" i="25"/>
  <c r="AH182" i="25"/>
  <c r="AG182" i="25"/>
  <c r="AF182" i="25"/>
  <c r="AE182" i="25"/>
  <c r="AD182" i="25"/>
  <c r="AC182" i="25"/>
  <c r="AB182" i="25"/>
  <c r="AA182" i="25"/>
  <c r="Z182" i="25"/>
  <c r="Y182" i="25"/>
  <c r="X182" i="25"/>
  <c r="W182" i="25"/>
  <c r="V182" i="25"/>
  <c r="U182" i="25"/>
  <c r="T182" i="25"/>
  <c r="S182" i="25"/>
  <c r="R182" i="25"/>
  <c r="Q182" i="25"/>
  <c r="P182" i="25"/>
  <c r="O182" i="25"/>
  <c r="N182" i="25"/>
  <c r="M182" i="25"/>
  <c r="L182" i="25"/>
  <c r="K182" i="25"/>
  <c r="J182" i="25"/>
  <c r="H182" i="25"/>
  <c r="G182" i="25"/>
  <c r="C182" i="25"/>
  <c r="D182" i="25" s="1"/>
  <c r="F182" i="25"/>
  <c r="AT184" i="25"/>
  <c r="AS184" i="25"/>
  <c r="AR184" i="25"/>
  <c r="AQ184" i="25"/>
  <c r="AO184" i="25"/>
  <c r="AN184" i="25"/>
  <c r="AM184" i="25"/>
  <c r="AL184" i="25"/>
  <c r="AK184" i="25"/>
  <c r="AJ184" i="25"/>
  <c r="AI184" i="25"/>
  <c r="AH184" i="25"/>
  <c r="AG184" i="25"/>
  <c r="AF184" i="25"/>
  <c r="AE184" i="25"/>
  <c r="AD184" i="25"/>
  <c r="AC184" i="25"/>
  <c r="AB184" i="25"/>
  <c r="AA184" i="25"/>
  <c r="Z184" i="25"/>
  <c r="Y184" i="25"/>
  <c r="X184" i="25"/>
  <c r="W184" i="25"/>
  <c r="V184" i="25"/>
  <c r="U184" i="25"/>
  <c r="T184" i="25"/>
  <c r="S184" i="25"/>
  <c r="R184" i="25"/>
  <c r="Q184" i="25"/>
  <c r="P184" i="25"/>
  <c r="O184" i="25"/>
  <c r="N184" i="25"/>
  <c r="M184" i="25"/>
  <c r="L184" i="25"/>
  <c r="K184" i="25"/>
  <c r="J184" i="25"/>
  <c r="H184" i="25"/>
  <c r="G184" i="25"/>
  <c r="C184" i="25"/>
  <c r="D184" i="25" s="1"/>
  <c r="F184" i="25"/>
  <c r="AT181" i="25"/>
  <c r="AS181" i="25"/>
  <c r="AR181" i="25"/>
  <c r="AQ181" i="25"/>
  <c r="AO181" i="25"/>
  <c r="AN181" i="25"/>
  <c r="AM181" i="25"/>
  <c r="AL181" i="25"/>
  <c r="AK181" i="25"/>
  <c r="AJ181" i="25"/>
  <c r="AI181" i="25"/>
  <c r="AH181" i="25"/>
  <c r="AG181" i="25"/>
  <c r="AF181" i="25"/>
  <c r="AE181" i="25"/>
  <c r="AD181" i="25"/>
  <c r="AC181" i="25"/>
  <c r="AB181" i="25"/>
  <c r="AA181" i="25"/>
  <c r="Z181" i="25"/>
  <c r="Y181" i="25"/>
  <c r="X181" i="25"/>
  <c r="W181" i="25"/>
  <c r="V181" i="25"/>
  <c r="U181" i="25"/>
  <c r="T181" i="25"/>
  <c r="S181" i="25"/>
  <c r="R181" i="25"/>
  <c r="Q181" i="25"/>
  <c r="P181" i="25"/>
  <c r="O181" i="25"/>
  <c r="N181" i="25"/>
  <c r="M181" i="25"/>
  <c r="L181" i="25"/>
  <c r="K181" i="25"/>
  <c r="J181" i="25"/>
  <c r="H181" i="25"/>
  <c r="G181" i="25"/>
  <c r="C181" i="25"/>
  <c r="D181" i="25" s="1"/>
  <c r="F181" i="25"/>
  <c r="AT183" i="25"/>
  <c r="AS183" i="25"/>
  <c r="AR183" i="25"/>
  <c r="AQ183" i="25"/>
  <c r="AO183" i="25"/>
  <c r="AN183" i="25"/>
  <c r="AM183" i="25"/>
  <c r="AL183" i="25"/>
  <c r="AK183" i="25"/>
  <c r="AJ183" i="25"/>
  <c r="AI183" i="25"/>
  <c r="AH183" i="25"/>
  <c r="AG183" i="25"/>
  <c r="AF183" i="25"/>
  <c r="AE183" i="25"/>
  <c r="AD183" i="25"/>
  <c r="AC183" i="25"/>
  <c r="AB183" i="25"/>
  <c r="AA183" i="25"/>
  <c r="Z183" i="25"/>
  <c r="Y183" i="25"/>
  <c r="X183" i="25"/>
  <c r="W183" i="25"/>
  <c r="V183" i="25"/>
  <c r="U183" i="25"/>
  <c r="T183" i="25"/>
  <c r="S183" i="25"/>
  <c r="R183" i="25"/>
  <c r="Q183" i="25"/>
  <c r="P183" i="25"/>
  <c r="O183" i="25"/>
  <c r="N183" i="25"/>
  <c r="M183" i="25"/>
  <c r="L183" i="25"/>
  <c r="K183" i="25"/>
  <c r="J183" i="25"/>
  <c r="H183" i="25"/>
  <c r="G183" i="25"/>
  <c r="C183" i="25"/>
  <c r="D183" i="25" s="1"/>
  <c r="F183" i="25"/>
  <c r="AT228" i="25"/>
  <c r="AS228" i="25"/>
  <c r="AR228" i="25"/>
  <c r="AQ228" i="25"/>
  <c r="AO228" i="25"/>
  <c r="AN228" i="25"/>
  <c r="AM228" i="25"/>
  <c r="AL228" i="25"/>
  <c r="AK228" i="25"/>
  <c r="AJ228" i="25"/>
  <c r="AI228" i="25"/>
  <c r="AH228" i="25"/>
  <c r="AG228" i="25"/>
  <c r="AF228" i="25"/>
  <c r="AE228" i="25"/>
  <c r="AD228" i="25"/>
  <c r="AC228" i="25"/>
  <c r="AB228" i="25"/>
  <c r="AA228" i="25"/>
  <c r="Z228" i="25"/>
  <c r="Y228" i="25"/>
  <c r="X228" i="25"/>
  <c r="W228" i="25"/>
  <c r="V228" i="25"/>
  <c r="U228" i="25"/>
  <c r="T228" i="25"/>
  <c r="S228" i="25"/>
  <c r="R228" i="25"/>
  <c r="Q228" i="25"/>
  <c r="P228" i="25"/>
  <c r="O228" i="25"/>
  <c r="N228" i="25"/>
  <c r="M228" i="25"/>
  <c r="L228" i="25"/>
  <c r="K228" i="25"/>
  <c r="J228" i="25"/>
  <c r="H228" i="25"/>
  <c r="G228" i="25"/>
  <c r="C228" i="25"/>
  <c r="D228" i="25" s="1"/>
  <c r="F228" i="25"/>
  <c r="AT227" i="25"/>
  <c r="AS227" i="25"/>
  <c r="AR227" i="25"/>
  <c r="AQ227" i="25"/>
  <c r="AO227" i="25"/>
  <c r="AN227" i="25"/>
  <c r="AM227" i="25"/>
  <c r="AL227" i="25"/>
  <c r="AK227" i="25"/>
  <c r="AJ227" i="25"/>
  <c r="AI227" i="25"/>
  <c r="AH227" i="25"/>
  <c r="AG227" i="25"/>
  <c r="AF227" i="25"/>
  <c r="AE227" i="25"/>
  <c r="AD227" i="25"/>
  <c r="AC227" i="25"/>
  <c r="AB227" i="25"/>
  <c r="AA227" i="25"/>
  <c r="Z227" i="25"/>
  <c r="Y227" i="25"/>
  <c r="X227" i="25"/>
  <c r="W227" i="25"/>
  <c r="V227" i="25"/>
  <c r="U227" i="25"/>
  <c r="T227" i="25"/>
  <c r="S227" i="25"/>
  <c r="R227" i="25"/>
  <c r="Q227" i="25"/>
  <c r="P227" i="25"/>
  <c r="O227" i="25"/>
  <c r="N227" i="25"/>
  <c r="M227" i="25"/>
  <c r="L227" i="25"/>
  <c r="K227" i="25"/>
  <c r="J227" i="25"/>
  <c r="H227" i="25"/>
  <c r="G227" i="25"/>
  <c r="C227" i="25"/>
  <c r="D227" i="25" s="1"/>
  <c r="F227" i="25"/>
  <c r="AT226" i="25"/>
  <c r="AS226" i="25"/>
  <c r="AR226" i="25"/>
  <c r="AQ226" i="25"/>
  <c r="AO226" i="25"/>
  <c r="AN226" i="25"/>
  <c r="AM226" i="25"/>
  <c r="AL226" i="25"/>
  <c r="AK226" i="25"/>
  <c r="AJ226" i="25"/>
  <c r="AI226" i="25"/>
  <c r="AH226" i="25"/>
  <c r="AG226" i="25"/>
  <c r="AF226" i="25"/>
  <c r="AE226" i="25"/>
  <c r="AD226" i="25"/>
  <c r="AC226" i="25"/>
  <c r="AB226" i="25"/>
  <c r="AA226" i="25"/>
  <c r="Z226" i="25"/>
  <c r="Y226" i="25"/>
  <c r="X226" i="25"/>
  <c r="W226" i="25"/>
  <c r="V226" i="25"/>
  <c r="U226" i="25"/>
  <c r="T226" i="25"/>
  <c r="S226" i="25"/>
  <c r="R226" i="25"/>
  <c r="Q226" i="25"/>
  <c r="P226" i="25"/>
  <c r="O226" i="25"/>
  <c r="N226" i="25"/>
  <c r="M226" i="25"/>
  <c r="L226" i="25"/>
  <c r="K226" i="25"/>
  <c r="J226" i="25"/>
  <c r="H226" i="25"/>
  <c r="G226" i="25"/>
  <c r="C226" i="25"/>
  <c r="D226" i="25" s="1"/>
  <c r="F226" i="25"/>
  <c r="AT225" i="25"/>
  <c r="AS225" i="25"/>
  <c r="AR225" i="25"/>
  <c r="AQ225" i="25"/>
  <c r="AO225" i="25"/>
  <c r="AN225" i="25"/>
  <c r="AM225" i="25"/>
  <c r="AL225" i="25"/>
  <c r="AK225" i="25"/>
  <c r="AJ225" i="25"/>
  <c r="AI225" i="25"/>
  <c r="AH225" i="25"/>
  <c r="AG225" i="25"/>
  <c r="AF225" i="25"/>
  <c r="AE225" i="25"/>
  <c r="AD225" i="25"/>
  <c r="AC225" i="25"/>
  <c r="AB225" i="25"/>
  <c r="AA225" i="25"/>
  <c r="Z225" i="25"/>
  <c r="Y225" i="25"/>
  <c r="X225" i="25"/>
  <c r="W225" i="25"/>
  <c r="V225" i="25"/>
  <c r="U225" i="25"/>
  <c r="T225" i="25"/>
  <c r="S225" i="25"/>
  <c r="R225" i="25"/>
  <c r="Q225" i="25"/>
  <c r="P225" i="25"/>
  <c r="O225" i="25"/>
  <c r="N225" i="25"/>
  <c r="M225" i="25"/>
  <c r="L225" i="25"/>
  <c r="K225" i="25"/>
  <c r="J225" i="25"/>
  <c r="H225" i="25"/>
  <c r="G225" i="25"/>
  <c r="C225" i="25"/>
  <c r="D225" i="25" s="1"/>
  <c r="F225" i="25"/>
  <c r="AT224" i="25"/>
  <c r="AS224" i="25"/>
  <c r="AR224" i="25"/>
  <c r="AQ224" i="25"/>
  <c r="AO224" i="25"/>
  <c r="AN224" i="25"/>
  <c r="AM224" i="25"/>
  <c r="AL224" i="25"/>
  <c r="AK224" i="25"/>
  <c r="AJ224" i="25"/>
  <c r="AI224" i="25"/>
  <c r="AH224" i="25"/>
  <c r="AG224" i="25"/>
  <c r="AF224" i="25"/>
  <c r="AE224" i="25"/>
  <c r="AD224" i="25"/>
  <c r="AC224" i="25"/>
  <c r="AB224" i="25"/>
  <c r="AA224" i="25"/>
  <c r="Z224" i="25"/>
  <c r="Y224" i="25"/>
  <c r="X224" i="25"/>
  <c r="W224" i="25"/>
  <c r="V224" i="25"/>
  <c r="U224" i="25"/>
  <c r="T224" i="25"/>
  <c r="S224" i="25"/>
  <c r="R224" i="25"/>
  <c r="Q224" i="25"/>
  <c r="P224" i="25"/>
  <c r="O224" i="25"/>
  <c r="N224" i="25"/>
  <c r="M224" i="25"/>
  <c r="L224" i="25"/>
  <c r="K224" i="25"/>
  <c r="J224" i="25"/>
  <c r="H224" i="25"/>
  <c r="G224" i="25"/>
  <c r="C224" i="25"/>
  <c r="D224" i="25" s="1"/>
  <c r="F224" i="25"/>
  <c r="AT189" i="25"/>
  <c r="AS189" i="25"/>
  <c r="AR189" i="25"/>
  <c r="AQ189" i="25"/>
  <c r="AO189" i="25"/>
  <c r="AN189" i="25"/>
  <c r="AM189" i="25"/>
  <c r="AL189" i="25"/>
  <c r="AK189" i="25"/>
  <c r="AJ189" i="25"/>
  <c r="AI189" i="25"/>
  <c r="AH189" i="25"/>
  <c r="AG189" i="25"/>
  <c r="AF189" i="25"/>
  <c r="AE189" i="25"/>
  <c r="AD189" i="25"/>
  <c r="AC189" i="25"/>
  <c r="AB189" i="25"/>
  <c r="AA189" i="25"/>
  <c r="Z189" i="25"/>
  <c r="Y189" i="25"/>
  <c r="X189" i="25"/>
  <c r="W189" i="25"/>
  <c r="V189" i="25"/>
  <c r="U189" i="25"/>
  <c r="T189" i="25"/>
  <c r="S189" i="25"/>
  <c r="R189" i="25"/>
  <c r="Q189" i="25"/>
  <c r="P189" i="25"/>
  <c r="O189" i="25"/>
  <c r="N189" i="25"/>
  <c r="M189" i="25"/>
  <c r="L189" i="25"/>
  <c r="K189" i="25"/>
  <c r="J189" i="25"/>
  <c r="H189" i="25"/>
  <c r="G189" i="25"/>
  <c r="C189" i="25"/>
  <c r="D189" i="25" s="1"/>
  <c r="F189" i="25"/>
  <c r="AT188" i="25"/>
  <c r="AS188" i="25"/>
  <c r="AQ188" i="25"/>
  <c r="AO188" i="25"/>
  <c r="AN188" i="25"/>
  <c r="AM188" i="25"/>
  <c r="AL188" i="25"/>
  <c r="AK188" i="25"/>
  <c r="AJ188" i="25"/>
  <c r="AI188" i="25"/>
  <c r="AH188" i="25"/>
  <c r="AG188" i="25"/>
  <c r="AF188" i="25"/>
  <c r="AE188" i="25"/>
  <c r="AD188" i="25"/>
  <c r="AC188" i="25"/>
  <c r="AB188" i="25"/>
  <c r="AA188" i="25"/>
  <c r="Z188" i="25"/>
  <c r="Y188" i="25"/>
  <c r="X188" i="25"/>
  <c r="W188" i="25"/>
  <c r="V188" i="25"/>
  <c r="U188" i="25"/>
  <c r="T188" i="25"/>
  <c r="S188" i="25"/>
  <c r="R188" i="25"/>
  <c r="Q188" i="25"/>
  <c r="P188" i="25"/>
  <c r="O188" i="25"/>
  <c r="N188" i="25"/>
  <c r="M188" i="25"/>
  <c r="L188" i="25"/>
  <c r="K188" i="25"/>
  <c r="J188" i="25"/>
  <c r="H188" i="25"/>
  <c r="G188" i="25"/>
  <c r="C188" i="25"/>
  <c r="D188" i="25" s="1"/>
  <c r="F188" i="25"/>
  <c r="AT187" i="25"/>
  <c r="AS187" i="25"/>
  <c r="AQ187" i="25"/>
  <c r="AO187" i="25"/>
  <c r="AN187" i="25"/>
  <c r="AM187" i="25"/>
  <c r="AL187" i="25"/>
  <c r="AK187" i="25"/>
  <c r="AJ187" i="25"/>
  <c r="AI187" i="25"/>
  <c r="AH187" i="25"/>
  <c r="AG187" i="25"/>
  <c r="AF187" i="25"/>
  <c r="AE187" i="25"/>
  <c r="AD187" i="25"/>
  <c r="AC187" i="25"/>
  <c r="AB187" i="25"/>
  <c r="AA187" i="25"/>
  <c r="Z187" i="25"/>
  <c r="Y187" i="25"/>
  <c r="X187" i="25"/>
  <c r="W187" i="25"/>
  <c r="V187" i="25"/>
  <c r="U187" i="25"/>
  <c r="T187" i="25"/>
  <c r="S187" i="25"/>
  <c r="R187" i="25"/>
  <c r="Q187" i="25"/>
  <c r="P187" i="25"/>
  <c r="O187" i="25"/>
  <c r="N187" i="25"/>
  <c r="M187" i="25"/>
  <c r="L187" i="25"/>
  <c r="K187" i="25"/>
  <c r="J187" i="25"/>
  <c r="H187" i="25"/>
  <c r="G187" i="25"/>
  <c r="C187" i="25"/>
  <c r="D187" i="25" s="1"/>
  <c r="F187" i="25"/>
  <c r="AT186" i="25"/>
  <c r="AS186" i="25"/>
  <c r="AQ186" i="25"/>
  <c r="AO186" i="25"/>
  <c r="AN186" i="25"/>
  <c r="AM186" i="25"/>
  <c r="AL186" i="25"/>
  <c r="AK186" i="25"/>
  <c r="AJ186" i="25"/>
  <c r="AI186" i="25"/>
  <c r="AH186" i="25"/>
  <c r="AG186" i="25"/>
  <c r="AF186" i="25"/>
  <c r="AE186" i="25"/>
  <c r="AD186" i="25"/>
  <c r="AC186" i="25"/>
  <c r="AB186" i="25"/>
  <c r="AA186" i="25"/>
  <c r="Z186" i="25"/>
  <c r="Y186" i="25"/>
  <c r="X186" i="25"/>
  <c r="W186" i="25"/>
  <c r="V186" i="25"/>
  <c r="U186" i="25"/>
  <c r="T186" i="25"/>
  <c r="S186" i="25"/>
  <c r="R186" i="25"/>
  <c r="Q186" i="25"/>
  <c r="P186" i="25"/>
  <c r="O186" i="25"/>
  <c r="N186" i="25"/>
  <c r="M186" i="25"/>
  <c r="L186" i="25"/>
  <c r="K186" i="25"/>
  <c r="J186" i="25"/>
  <c r="H186" i="25"/>
  <c r="G186" i="25"/>
  <c r="C186" i="25"/>
  <c r="D186" i="25" s="1"/>
  <c r="F186" i="25"/>
  <c r="AT185" i="25"/>
  <c r="AS185" i="25"/>
  <c r="AQ185" i="25"/>
  <c r="AO185" i="25"/>
  <c r="AN185" i="25"/>
  <c r="AM185" i="25"/>
  <c r="AL185" i="25"/>
  <c r="AK185" i="25"/>
  <c r="AJ185" i="25"/>
  <c r="AI185" i="25"/>
  <c r="AH185" i="25"/>
  <c r="AG185" i="25"/>
  <c r="AF185" i="25"/>
  <c r="AE185" i="25"/>
  <c r="AD185" i="25"/>
  <c r="AC185" i="25"/>
  <c r="AB185" i="25"/>
  <c r="AA185" i="25"/>
  <c r="Z185" i="25"/>
  <c r="Y185" i="25"/>
  <c r="X185" i="25"/>
  <c r="W185" i="25"/>
  <c r="V185" i="25"/>
  <c r="U185" i="25"/>
  <c r="T185" i="25"/>
  <c r="S185" i="25"/>
  <c r="R185" i="25"/>
  <c r="Q185" i="25"/>
  <c r="P185" i="25"/>
  <c r="O185" i="25"/>
  <c r="N185" i="25"/>
  <c r="M185" i="25"/>
  <c r="L185" i="25"/>
  <c r="K185" i="25"/>
  <c r="J185" i="25"/>
  <c r="H185" i="25"/>
  <c r="G185" i="25"/>
  <c r="C185" i="25"/>
  <c r="D185" i="25" s="1"/>
  <c r="F185" i="25"/>
  <c r="AT233" i="25"/>
  <c r="AS233" i="25"/>
  <c r="AR233" i="25"/>
  <c r="AQ233" i="25"/>
  <c r="AO233" i="25"/>
  <c r="AN233" i="25"/>
  <c r="AM233" i="25"/>
  <c r="AL233" i="25"/>
  <c r="AK233" i="25"/>
  <c r="AJ233" i="25"/>
  <c r="AI233" i="25"/>
  <c r="AH233" i="25"/>
  <c r="AG233" i="25"/>
  <c r="AF233" i="25"/>
  <c r="AE233" i="25"/>
  <c r="AD233" i="25"/>
  <c r="AC233" i="25"/>
  <c r="AB233" i="25"/>
  <c r="AA233" i="25"/>
  <c r="Z233" i="25"/>
  <c r="Y233" i="25"/>
  <c r="X233" i="25"/>
  <c r="W233" i="25"/>
  <c r="V233" i="25"/>
  <c r="U233" i="25"/>
  <c r="T233" i="25"/>
  <c r="S233" i="25"/>
  <c r="R233" i="25"/>
  <c r="Q233" i="25"/>
  <c r="P233" i="25"/>
  <c r="O233" i="25"/>
  <c r="N233" i="25"/>
  <c r="M233" i="25"/>
  <c r="L233" i="25"/>
  <c r="K233" i="25"/>
  <c r="J233" i="25"/>
  <c r="H233" i="25"/>
  <c r="G233" i="25"/>
  <c r="C233" i="25"/>
  <c r="D233" i="25" s="1"/>
  <c r="F233" i="25"/>
  <c r="AT230" i="25"/>
  <c r="AS230" i="25"/>
  <c r="AR230" i="25"/>
  <c r="AQ230" i="25"/>
  <c r="AO230" i="25"/>
  <c r="AN230" i="25"/>
  <c r="AM230" i="25"/>
  <c r="AL230" i="25"/>
  <c r="AK230" i="25"/>
  <c r="AJ230" i="25"/>
  <c r="AI230" i="25"/>
  <c r="AH230" i="25"/>
  <c r="AG230" i="25"/>
  <c r="AF230" i="25"/>
  <c r="AE230" i="25"/>
  <c r="AD230" i="25"/>
  <c r="AC230" i="25"/>
  <c r="AB230" i="25"/>
  <c r="AA230" i="25"/>
  <c r="Z230" i="25"/>
  <c r="Y230" i="25"/>
  <c r="X230" i="25"/>
  <c r="W230" i="25"/>
  <c r="V230" i="25"/>
  <c r="U230" i="25"/>
  <c r="T230" i="25"/>
  <c r="S230" i="25"/>
  <c r="R230" i="25"/>
  <c r="Q230" i="25"/>
  <c r="P230" i="25"/>
  <c r="O230" i="25"/>
  <c r="N230" i="25"/>
  <c r="M230" i="25"/>
  <c r="L230" i="25"/>
  <c r="K230" i="25"/>
  <c r="J230" i="25"/>
  <c r="H230" i="25"/>
  <c r="G230" i="25"/>
  <c r="C230" i="25"/>
  <c r="D230" i="25" s="1"/>
  <c r="F230" i="25"/>
  <c r="AT232" i="25"/>
  <c r="AS232" i="25"/>
  <c r="AR232" i="25"/>
  <c r="AQ232" i="25"/>
  <c r="AO232" i="25"/>
  <c r="AN232" i="25"/>
  <c r="AM232" i="25"/>
  <c r="AL232" i="25"/>
  <c r="AK232" i="25"/>
  <c r="AJ232" i="25"/>
  <c r="AI232" i="25"/>
  <c r="AH232" i="25"/>
  <c r="AG232" i="25"/>
  <c r="AF232" i="25"/>
  <c r="AE232" i="25"/>
  <c r="AD232" i="25"/>
  <c r="AC232" i="25"/>
  <c r="AB232" i="25"/>
  <c r="AA232" i="25"/>
  <c r="Z232" i="25"/>
  <c r="Y232" i="25"/>
  <c r="X232" i="25"/>
  <c r="W232" i="25"/>
  <c r="V232" i="25"/>
  <c r="U232" i="25"/>
  <c r="T232" i="25"/>
  <c r="S232" i="25"/>
  <c r="R232" i="25"/>
  <c r="Q232" i="25"/>
  <c r="P232" i="25"/>
  <c r="O232" i="25"/>
  <c r="N232" i="25"/>
  <c r="M232" i="25"/>
  <c r="L232" i="25"/>
  <c r="K232" i="25"/>
  <c r="J232" i="25"/>
  <c r="H232" i="25"/>
  <c r="G232" i="25"/>
  <c r="C232" i="25"/>
  <c r="D232" i="25" s="1"/>
  <c r="F232" i="25"/>
  <c r="AT231" i="25"/>
  <c r="AS231" i="25"/>
  <c r="AR231" i="25"/>
  <c r="AQ231" i="25"/>
  <c r="AO231" i="25"/>
  <c r="AN231" i="25"/>
  <c r="AM231" i="25"/>
  <c r="AL231" i="25"/>
  <c r="AK231" i="25"/>
  <c r="AJ231" i="25"/>
  <c r="AI231" i="25"/>
  <c r="AH231" i="25"/>
  <c r="AG231" i="25"/>
  <c r="AF231" i="25"/>
  <c r="AE231" i="25"/>
  <c r="AD231" i="25"/>
  <c r="AC231" i="25"/>
  <c r="AB231" i="25"/>
  <c r="AA231" i="25"/>
  <c r="Z231" i="25"/>
  <c r="Y231" i="25"/>
  <c r="X231" i="25"/>
  <c r="W231" i="25"/>
  <c r="V231" i="25"/>
  <c r="U231" i="25"/>
  <c r="T231" i="25"/>
  <c r="S231" i="25"/>
  <c r="R231" i="25"/>
  <c r="Q231" i="25"/>
  <c r="P231" i="25"/>
  <c r="O231" i="25"/>
  <c r="N231" i="25"/>
  <c r="M231" i="25"/>
  <c r="L231" i="25"/>
  <c r="K231" i="25"/>
  <c r="J231" i="25"/>
  <c r="H231" i="25"/>
  <c r="G231" i="25"/>
  <c r="C231" i="25"/>
  <c r="D231" i="25" s="1"/>
  <c r="F231" i="25"/>
  <c r="AT229" i="25"/>
  <c r="AS229" i="25"/>
  <c r="AR229" i="25"/>
  <c r="AQ229" i="25"/>
  <c r="AO229" i="25"/>
  <c r="AN229" i="25"/>
  <c r="AM229" i="25"/>
  <c r="AL229" i="25"/>
  <c r="AK229" i="25"/>
  <c r="AJ229" i="25"/>
  <c r="AI229" i="25"/>
  <c r="AH229" i="25"/>
  <c r="AG229" i="25"/>
  <c r="AF229" i="25"/>
  <c r="AE229" i="25"/>
  <c r="AD229" i="25"/>
  <c r="AC229" i="25"/>
  <c r="AB229" i="25"/>
  <c r="AA229" i="25"/>
  <c r="Z229" i="25"/>
  <c r="Y229" i="25"/>
  <c r="X229" i="25"/>
  <c r="W229" i="25"/>
  <c r="V229" i="25"/>
  <c r="U229" i="25"/>
  <c r="T229" i="25"/>
  <c r="S229" i="25"/>
  <c r="R229" i="25"/>
  <c r="Q229" i="25"/>
  <c r="P229" i="25"/>
  <c r="O229" i="25"/>
  <c r="N229" i="25"/>
  <c r="M229" i="25"/>
  <c r="L229" i="25"/>
  <c r="K229" i="25"/>
  <c r="J229" i="25"/>
  <c r="H229" i="25"/>
  <c r="G229" i="25"/>
  <c r="C229" i="25"/>
  <c r="D229" i="25" s="1"/>
  <c r="F229" i="25"/>
  <c r="AT246" i="25"/>
  <c r="AS246" i="25"/>
  <c r="AQ246" i="25"/>
  <c r="AO246" i="25"/>
  <c r="AN246" i="25"/>
  <c r="AM246" i="25"/>
  <c r="AL246" i="25"/>
  <c r="AK246" i="25"/>
  <c r="AJ246" i="25"/>
  <c r="AI246" i="25"/>
  <c r="AH246" i="25"/>
  <c r="AG246" i="25"/>
  <c r="AF246" i="25"/>
  <c r="AE246" i="25"/>
  <c r="AD246" i="25"/>
  <c r="AC246" i="25"/>
  <c r="AB246" i="25"/>
  <c r="AA246" i="25"/>
  <c r="Z246" i="25"/>
  <c r="Y246" i="25"/>
  <c r="X246" i="25"/>
  <c r="W246" i="25"/>
  <c r="V246" i="25"/>
  <c r="U246" i="25"/>
  <c r="T246" i="25"/>
  <c r="S246" i="25"/>
  <c r="R246" i="25"/>
  <c r="Q246" i="25"/>
  <c r="P246" i="25"/>
  <c r="O246" i="25"/>
  <c r="N246" i="25"/>
  <c r="M246" i="25"/>
  <c r="L246" i="25"/>
  <c r="K246" i="25"/>
  <c r="J246" i="25"/>
  <c r="H246" i="25"/>
  <c r="G246" i="25"/>
  <c r="C246" i="25"/>
  <c r="D246" i="25" s="1"/>
  <c r="F246" i="25"/>
  <c r="AT243" i="25"/>
  <c r="AS243" i="25"/>
  <c r="AQ243" i="25"/>
  <c r="AO243" i="25"/>
  <c r="AN243" i="25"/>
  <c r="AM243" i="25"/>
  <c r="AL243" i="25"/>
  <c r="AK243" i="25"/>
  <c r="AJ243" i="25"/>
  <c r="AI243" i="25"/>
  <c r="AH243" i="25"/>
  <c r="AG243" i="25"/>
  <c r="AF243" i="25"/>
  <c r="AE243" i="25"/>
  <c r="AD243" i="25"/>
  <c r="AC243" i="25"/>
  <c r="AB243" i="25"/>
  <c r="AA243" i="25"/>
  <c r="Z243" i="25"/>
  <c r="Y243" i="25"/>
  <c r="X243" i="25"/>
  <c r="W243" i="25"/>
  <c r="V243" i="25"/>
  <c r="U243" i="25"/>
  <c r="T243" i="25"/>
  <c r="S243" i="25"/>
  <c r="R243" i="25"/>
  <c r="Q243" i="25"/>
  <c r="P243" i="25"/>
  <c r="O243" i="25"/>
  <c r="N243" i="25"/>
  <c r="M243" i="25"/>
  <c r="L243" i="25"/>
  <c r="K243" i="25"/>
  <c r="J243" i="25"/>
  <c r="H243" i="25"/>
  <c r="G243" i="25"/>
  <c r="C243" i="25"/>
  <c r="D243" i="25" s="1"/>
  <c r="F243" i="25"/>
  <c r="AT245" i="25"/>
  <c r="AS245" i="25"/>
  <c r="AQ245" i="25"/>
  <c r="AO245" i="25"/>
  <c r="AN245" i="25"/>
  <c r="AM245" i="25"/>
  <c r="AL245" i="25"/>
  <c r="AK245" i="25"/>
  <c r="AJ245" i="25"/>
  <c r="AI245" i="25"/>
  <c r="AH245" i="25"/>
  <c r="AG245" i="25"/>
  <c r="AF245" i="25"/>
  <c r="AE245" i="25"/>
  <c r="AD245" i="25"/>
  <c r="AC245" i="25"/>
  <c r="AB245" i="25"/>
  <c r="AA245" i="25"/>
  <c r="Z245" i="25"/>
  <c r="Y245" i="25"/>
  <c r="X245" i="25"/>
  <c r="W245" i="25"/>
  <c r="V245" i="25"/>
  <c r="U245" i="25"/>
  <c r="T245" i="25"/>
  <c r="S245" i="25"/>
  <c r="R245" i="25"/>
  <c r="Q245" i="25"/>
  <c r="P245" i="25"/>
  <c r="O245" i="25"/>
  <c r="N245" i="25"/>
  <c r="M245" i="25"/>
  <c r="L245" i="25"/>
  <c r="K245" i="25"/>
  <c r="J245" i="25"/>
  <c r="H245" i="25"/>
  <c r="G245" i="25"/>
  <c r="C245" i="25"/>
  <c r="D245" i="25" s="1"/>
  <c r="F245" i="25"/>
  <c r="AT244" i="25"/>
  <c r="AS244" i="25"/>
  <c r="AQ244" i="25"/>
  <c r="AO244" i="25"/>
  <c r="AN244" i="25"/>
  <c r="AM244" i="25"/>
  <c r="AL244" i="25"/>
  <c r="AK244" i="25"/>
  <c r="AJ244" i="25"/>
  <c r="AI244" i="25"/>
  <c r="AH244" i="25"/>
  <c r="AG244" i="25"/>
  <c r="AF244" i="25"/>
  <c r="AE244" i="25"/>
  <c r="AD244" i="25"/>
  <c r="AC244" i="25"/>
  <c r="AB244" i="25"/>
  <c r="AA244" i="25"/>
  <c r="Z244" i="25"/>
  <c r="Y244" i="25"/>
  <c r="X244" i="25"/>
  <c r="W244" i="25"/>
  <c r="V244" i="25"/>
  <c r="U244" i="25"/>
  <c r="T244" i="25"/>
  <c r="S244" i="25"/>
  <c r="R244" i="25"/>
  <c r="Q244" i="25"/>
  <c r="P244" i="25"/>
  <c r="O244" i="25"/>
  <c r="N244" i="25"/>
  <c r="M244" i="25"/>
  <c r="L244" i="25"/>
  <c r="K244" i="25"/>
  <c r="J244" i="25"/>
  <c r="H244" i="25"/>
  <c r="G244" i="25"/>
  <c r="C244" i="25"/>
  <c r="D244" i="25" s="1"/>
  <c r="F244" i="25"/>
  <c r="AT255" i="25"/>
  <c r="AS255" i="25"/>
  <c r="AQ255" i="25"/>
  <c r="AO255" i="25"/>
  <c r="AN255" i="25"/>
  <c r="AM255" i="25"/>
  <c r="AL255" i="25"/>
  <c r="AK255" i="25"/>
  <c r="AJ255" i="25"/>
  <c r="AI255" i="25"/>
  <c r="AH255" i="25"/>
  <c r="AG255" i="25"/>
  <c r="AF255" i="25"/>
  <c r="AE255" i="25"/>
  <c r="AD255" i="25"/>
  <c r="AC255" i="25"/>
  <c r="AB255" i="25"/>
  <c r="AA255" i="25"/>
  <c r="Z255" i="25"/>
  <c r="Y255" i="25"/>
  <c r="X255" i="25"/>
  <c r="W255" i="25"/>
  <c r="V255" i="25"/>
  <c r="U255" i="25"/>
  <c r="T255" i="25"/>
  <c r="S255" i="25"/>
  <c r="R255" i="25"/>
  <c r="Q255" i="25"/>
  <c r="P255" i="25"/>
  <c r="O255" i="25"/>
  <c r="N255" i="25"/>
  <c r="M255" i="25"/>
  <c r="L255" i="25"/>
  <c r="K255" i="25"/>
  <c r="J255" i="25"/>
  <c r="H255" i="25"/>
  <c r="G255" i="25"/>
  <c r="C255" i="25"/>
  <c r="D255" i="25" s="1"/>
  <c r="F255" i="25"/>
  <c r="AT254" i="25"/>
  <c r="AS254" i="25"/>
  <c r="AQ254" i="25"/>
  <c r="AO254" i="25"/>
  <c r="AN254" i="25"/>
  <c r="AM254" i="25"/>
  <c r="AL254" i="25"/>
  <c r="AK254" i="25"/>
  <c r="AJ254" i="25"/>
  <c r="AI254" i="25"/>
  <c r="AH254" i="25"/>
  <c r="AG254" i="25"/>
  <c r="AF254" i="25"/>
  <c r="AE254" i="25"/>
  <c r="AD254" i="25"/>
  <c r="AC254" i="25"/>
  <c r="AB254" i="25"/>
  <c r="AA254" i="25"/>
  <c r="Z254" i="25"/>
  <c r="Y254" i="25"/>
  <c r="X254" i="25"/>
  <c r="W254" i="25"/>
  <c r="V254" i="25"/>
  <c r="U254" i="25"/>
  <c r="T254" i="25"/>
  <c r="S254" i="25"/>
  <c r="R254" i="25"/>
  <c r="Q254" i="25"/>
  <c r="P254" i="25"/>
  <c r="O254" i="25"/>
  <c r="N254" i="25"/>
  <c r="M254" i="25"/>
  <c r="L254" i="25"/>
  <c r="K254" i="25"/>
  <c r="J254" i="25"/>
  <c r="H254" i="25"/>
  <c r="G254" i="25"/>
  <c r="C254" i="25"/>
  <c r="D254" i="25" s="1"/>
  <c r="F254" i="25"/>
  <c r="AT253" i="25"/>
  <c r="AS253" i="25"/>
  <c r="AQ253" i="25"/>
  <c r="AO253" i="25"/>
  <c r="AN253" i="25"/>
  <c r="AM253" i="25"/>
  <c r="AL253" i="25"/>
  <c r="AK253" i="25"/>
  <c r="AJ253" i="25"/>
  <c r="AI253" i="25"/>
  <c r="AH253" i="25"/>
  <c r="AG253" i="25"/>
  <c r="AF253" i="25"/>
  <c r="AE253" i="25"/>
  <c r="AD253" i="25"/>
  <c r="AC253" i="25"/>
  <c r="AB253" i="25"/>
  <c r="AA253" i="25"/>
  <c r="Z253" i="25"/>
  <c r="Y253" i="25"/>
  <c r="X253" i="25"/>
  <c r="W253" i="25"/>
  <c r="V253" i="25"/>
  <c r="U253" i="25"/>
  <c r="T253" i="25"/>
  <c r="S253" i="25"/>
  <c r="R253" i="25"/>
  <c r="Q253" i="25"/>
  <c r="P253" i="25"/>
  <c r="O253" i="25"/>
  <c r="N253" i="25"/>
  <c r="M253" i="25"/>
  <c r="L253" i="25"/>
  <c r="K253" i="25"/>
  <c r="J253" i="25"/>
  <c r="H253" i="25"/>
  <c r="G253" i="25"/>
  <c r="C253" i="25"/>
  <c r="D253" i="25" s="1"/>
  <c r="F253" i="25"/>
  <c r="AT252" i="25"/>
  <c r="AS252" i="25"/>
  <c r="AQ252" i="25"/>
  <c r="AO252" i="25"/>
  <c r="AN252" i="25"/>
  <c r="AM252" i="25"/>
  <c r="AL252" i="25"/>
  <c r="AK252" i="25"/>
  <c r="AJ252" i="25"/>
  <c r="AI252" i="25"/>
  <c r="AH252" i="25"/>
  <c r="AG252" i="25"/>
  <c r="AF252" i="25"/>
  <c r="AE252" i="25"/>
  <c r="AD252" i="25"/>
  <c r="AC252" i="25"/>
  <c r="AB252" i="25"/>
  <c r="AA252" i="25"/>
  <c r="Z252" i="25"/>
  <c r="Y252" i="25"/>
  <c r="X252" i="25"/>
  <c r="W252" i="25"/>
  <c r="V252" i="25"/>
  <c r="U252" i="25"/>
  <c r="T252" i="25"/>
  <c r="S252" i="25"/>
  <c r="R252" i="25"/>
  <c r="Q252" i="25"/>
  <c r="P252" i="25"/>
  <c r="O252" i="25"/>
  <c r="N252" i="25"/>
  <c r="M252" i="25"/>
  <c r="L252" i="25"/>
  <c r="K252" i="25"/>
  <c r="J252" i="25"/>
  <c r="H252" i="25"/>
  <c r="G252" i="25"/>
  <c r="C252" i="25"/>
  <c r="D252" i="25" s="1"/>
  <c r="F252" i="25"/>
  <c r="AT251" i="25"/>
  <c r="AS251" i="25"/>
  <c r="AR251" i="25"/>
  <c r="AQ251" i="25"/>
  <c r="AO251" i="25"/>
  <c r="AN251" i="25"/>
  <c r="AM251" i="25"/>
  <c r="AL251" i="25"/>
  <c r="AK251" i="25"/>
  <c r="AJ251" i="25"/>
  <c r="AI251" i="25"/>
  <c r="AH251" i="25"/>
  <c r="AG251" i="25"/>
  <c r="AF251" i="25"/>
  <c r="AE251" i="25"/>
  <c r="AD251" i="25"/>
  <c r="AC251" i="25"/>
  <c r="AB251" i="25"/>
  <c r="AA251" i="25"/>
  <c r="Z251" i="25"/>
  <c r="Y251" i="25"/>
  <c r="X251" i="25"/>
  <c r="W251" i="25"/>
  <c r="V251" i="25"/>
  <c r="U251" i="25"/>
  <c r="T251" i="25"/>
  <c r="S251" i="25"/>
  <c r="R251" i="25"/>
  <c r="Q251" i="25"/>
  <c r="P251" i="25"/>
  <c r="O251" i="25"/>
  <c r="N251" i="25"/>
  <c r="M251" i="25"/>
  <c r="L251" i="25"/>
  <c r="K251" i="25"/>
  <c r="J251" i="25"/>
  <c r="H251" i="25"/>
  <c r="G251" i="25"/>
  <c r="C251" i="25"/>
  <c r="D251" i="25" s="1"/>
  <c r="F251" i="25"/>
  <c r="AT250" i="25"/>
  <c r="AS250" i="25"/>
  <c r="AQ250" i="25"/>
  <c r="AO250" i="25"/>
  <c r="AN250" i="25"/>
  <c r="AM250" i="25"/>
  <c r="AL250" i="25"/>
  <c r="AK250" i="25"/>
  <c r="AJ250" i="25"/>
  <c r="AI250" i="25"/>
  <c r="AH250" i="25"/>
  <c r="AG250" i="25"/>
  <c r="AF250" i="25"/>
  <c r="AE250" i="25"/>
  <c r="AD250" i="25"/>
  <c r="AC250" i="25"/>
  <c r="AB250" i="25"/>
  <c r="AA250" i="25"/>
  <c r="Z250" i="25"/>
  <c r="Y250" i="25"/>
  <c r="X250" i="25"/>
  <c r="W250" i="25"/>
  <c r="V250" i="25"/>
  <c r="U250" i="25"/>
  <c r="T250" i="25"/>
  <c r="S250" i="25"/>
  <c r="R250" i="25"/>
  <c r="Q250" i="25"/>
  <c r="P250" i="25"/>
  <c r="O250" i="25"/>
  <c r="N250" i="25"/>
  <c r="M250" i="25"/>
  <c r="L250" i="25"/>
  <c r="K250" i="25"/>
  <c r="J250" i="25"/>
  <c r="H250" i="25"/>
  <c r="G250" i="25"/>
  <c r="C250" i="25"/>
  <c r="D250" i="25" s="1"/>
  <c r="F250" i="25"/>
  <c r="AT249" i="25"/>
  <c r="AS249" i="25"/>
  <c r="AQ249" i="25"/>
  <c r="AO249" i="25"/>
  <c r="AN249" i="25"/>
  <c r="AM249" i="25"/>
  <c r="AL249" i="25"/>
  <c r="AK249" i="25"/>
  <c r="AJ249" i="25"/>
  <c r="AI249" i="25"/>
  <c r="AH249" i="25"/>
  <c r="AG249" i="25"/>
  <c r="AF249" i="25"/>
  <c r="AE249" i="25"/>
  <c r="AD249" i="25"/>
  <c r="AC249" i="25"/>
  <c r="AB249" i="25"/>
  <c r="AA249" i="25"/>
  <c r="Z249" i="25"/>
  <c r="Y249" i="25"/>
  <c r="X249" i="25"/>
  <c r="W249" i="25"/>
  <c r="V249" i="25"/>
  <c r="U249" i="25"/>
  <c r="T249" i="25"/>
  <c r="S249" i="25"/>
  <c r="R249" i="25"/>
  <c r="Q249" i="25"/>
  <c r="P249" i="25"/>
  <c r="O249" i="25"/>
  <c r="N249" i="25"/>
  <c r="M249" i="25"/>
  <c r="L249" i="25"/>
  <c r="K249" i="25"/>
  <c r="J249" i="25"/>
  <c r="H249" i="25"/>
  <c r="G249" i="25"/>
  <c r="C249" i="25"/>
  <c r="D249" i="25" s="1"/>
  <c r="F249" i="25"/>
  <c r="AT248" i="25"/>
  <c r="AS248" i="25"/>
  <c r="AQ248" i="25"/>
  <c r="AO248" i="25"/>
  <c r="AN248" i="25"/>
  <c r="AM248" i="25"/>
  <c r="AL248" i="25"/>
  <c r="AK248" i="25"/>
  <c r="AJ248" i="25"/>
  <c r="AI248" i="25"/>
  <c r="AH248" i="25"/>
  <c r="AG248" i="25"/>
  <c r="AF248" i="25"/>
  <c r="AE248" i="25"/>
  <c r="AD248" i="25"/>
  <c r="AC248" i="25"/>
  <c r="AB248" i="25"/>
  <c r="AA248" i="25"/>
  <c r="Z248" i="25"/>
  <c r="Y248" i="25"/>
  <c r="X248" i="25"/>
  <c r="W248" i="25"/>
  <c r="V248" i="25"/>
  <c r="U248" i="25"/>
  <c r="T248" i="25"/>
  <c r="S248" i="25"/>
  <c r="R248" i="25"/>
  <c r="Q248" i="25"/>
  <c r="P248" i="25"/>
  <c r="O248" i="25"/>
  <c r="N248" i="25"/>
  <c r="M248" i="25"/>
  <c r="L248" i="25"/>
  <c r="K248" i="25"/>
  <c r="J248" i="25"/>
  <c r="H248" i="25"/>
  <c r="G248" i="25"/>
  <c r="C248" i="25"/>
  <c r="D248" i="25" s="1"/>
  <c r="F248" i="25"/>
  <c r="AT247" i="25"/>
  <c r="AS247" i="25"/>
  <c r="AQ247" i="25"/>
  <c r="AO247" i="25"/>
  <c r="AN247" i="25"/>
  <c r="AM247" i="25"/>
  <c r="AL247" i="25"/>
  <c r="AK247" i="25"/>
  <c r="AJ247" i="25"/>
  <c r="AI247" i="25"/>
  <c r="AH247" i="25"/>
  <c r="AG247" i="25"/>
  <c r="AF247" i="25"/>
  <c r="AE247" i="25"/>
  <c r="AD247" i="25"/>
  <c r="AC247" i="25"/>
  <c r="AB247" i="25"/>
  <c r="AA247" i="25"/>
  <c r="Z247" i="25"/>
  <c r="Y247" i="25"/>
  <c r="X247" i="25"/>
  <c r="W247" i="25"/>
  <c r="V247" i="25"/>
  <c r="U247" i="25"/>
  <c r="T247" i="25"/>
  <c r="S247" i="25"/>
  <c r="R247" i="25"/>
  <c r="Q247" i="25"/>
  <c r="P247" i="25"/>
  <c r="O247" i="25"/>
  <c r="N247" i="25"/>
  <c r="M247" i="25"/>
  <c r="L247" i="25"/>
  <c r="K247" i="25"/>
  <c r="J247" i="25"/>
  <c r="H247" i="25"/>
  <c r="G247" i="25"/>
  <c r="C247" i="25"/>
  <c r="D247" i="25" s="1"/>
  <c r="F247" i="25"/>
  <c r="AT241" i="25"/>
  <c r="AS241" i="25"/>
  <c r="AQ241" i="25"/>
  <c r="AO241" i="25"/>
  <c r="AN241" i="25"/>
  <c r="AM241" i="25"/>
  <c r="AL241" i="25"/>
  <c r="AK241" i="25"/>
  <c r="AJ241" i="25"/>
  <c r="AI241" i="25"/>
  <c r="AH241" i="25"/>
  <c r="AG241" i="25"/>
  <c r="AF241" i="25"/>
  <c r="AE241" i="25"/>
  <c r="AD241" i="25"/>
  <c r="AC241" i="25"/>
  <c r="AB241" i="25"/>
  <c r="AA241" i="25"/>
  <c r="Z241" i="25"/>
  <c r="Y241" i="25"/>
  <c r="X241" i="25"/>
  <c r="W241" i="25"/>
  <c r="V241" i="25"/>
  <c r="U241" i="25"/>
  <c r="T241" i="25"/>
  <c r="S241" i="25"/>
  <c r="R241" i="25"/>
  <c r="Q241" i="25"/>
  <c r="P241" i="25"/>
  <c r="O241" i="25"/>
  <c r="N241" i="25"/>
  <c r="M241" i="25"/>
  <c r="L241" i="25"/>
  <c r="K241" i="25"/>
  <c r="J241" i="25"/>
  <c r="H241" i="25"/>
  <c r="G241" i="25"/>
  <c r="C241" i="25"/>
  <c r="D241" i="25" s="1"/>
  <c r="F241" i="25"/>
  <c r="AT242" i="25"/>
  <c r="AS242" i="25"/>
  <c r="AQ242" i="25"/>
  <c r="AO242" i="25"/>
  <c r="AN242" i="25"/>
  <c r="AM242" i="25"/>
  <c r="AL242" i="25"/>
  <c r="AK242" i="25"/>
  <c r="AJ242" i="25"/>
  <c r="AI242" i="25"/>
  <c r="AH242" i="25"/>
  <c r="AG242" i="25"/>
  <c r="AF242" i="25"/>
  <c r="AE242" i="25"/>
  <c r="AD242" i="25"/>
  <c r="AC242" i="25"/>
  <c r="AB242" i="25"/>
  <c r="AA242" i="25"/>
  <c r="Z242" i="25"/>
  <c r="Y242" i="25"/>
  <c r="X242" i="25"/>
  <c r="W242" i="25"/>
  <c r="V242" i="25"/>
  <c r="U242" i="25"/>
  <c r="T242" i="25"/>
  <c r="S242" i="25"/>
  <c r="R242" i="25"/>
  <c r="Q242" i="25"/>
  <c r="P242" i="25"/>
  <c r="O242" i="25"/>
  <c r="N242" i="25"/>
  <c r="M242" i="25"/>
  <c r="L242" i="25"/>
  <c r="K242" i="25"/>
  <c r="J242" i="25"/>
  <c r="H242" i="25"/>
  <c r="G242" i="25"/>
  <c r="C242" i="25"/>
  <c r="D242" i="25" s="1"/>
  <c r="F242" i="25"/>
  <c r="AT240" i="25"/>
  <c r="AS240" i="25"/>
  <c r="AQ240" i="25"/>
  <c r="AO240" i="25"/>
  <c r="AN240" i="25"/>
  <c r="AM240" i="25"/>
  <c r="AL240" i="25"/>
  <c r="AK240" i="25"/>
  <c r="AJ240" i="25"/>
  <c r="AI240" i="25"/>
  <c r="AH240" i="25"/>
  <c r="AG240" i="25"/>
  <c r="AF240" i="25"/>
  <c r="AE240" i="25"/>
  <c r="AD240" i="25"/>
  <c r="AC240" i="25"/>
  <c r="AB240" i="25"/>
  <c r="AA240" i="25"/>
  <c r="Z240" i="25"/>
  <c r="Y240" i="25"/>
  <c r="X240" i="25"/>
  <c r="W240" i="25"/>
  <c r="V240" i="25"/>
  <c r="U240" i="25"/>
  <c r="T240" i="25"/>
  <c r="S240" i="25"/>
  <c r="R240" i="25"/>
  <c r="Q240" i="25"/>
  <c r="P240" i="25"/>
  <c r="O240" i="25"/>
  <c r="N240" i="25"/>
  <c r="M240" i="25"/>
  <c r="L240" i="25"/>
  <c r="K240" i="25"/>
  <c r="J240" i="25"/>
  <c r="H240" i="25"/>
  <c r="G240" i="25"/>
  <c r="C240" i="25"/>
  <c r="D240" i="25" s="1"/>
  <c r="F240" i="25"/>
  <c r="AT239" i="25"/>
  <c r="AS239" i="25"/>
  <c r="AQ239" i="25"/>
  <c r="AO239" i="25"/>
  <c r="AN239" i="25"/>
  <c r="AM239" i="25"/>
  <c r="AL239" i="25"/>
  <c r="AK239" i="25"/>
  <c r="AJ239" i="25"/>
  <c r="AI239" i="25"/>
  <c r="AH239" i="25"/>
  <c r="AG239" i="25"/>
  <c r="AF239" i="25"/>
  <c r="AE239" i="25"/>
  <c r="AD239" i="25"/>
  <c r="AC239" i="25"/>
  <c r="AB239" i="25"/>
  <c r="AA239" i="25"/>
  <c r="Z239" i="25"/>
  <c r="Y239" i="25"/>
  <c r="X239" i="25"/>
  <c r="W239" i="25"/>
  <c r="V239" i="25"/>
  <c r="U239" i="25"/>
  <c r="T239" i="25"/>
  <c r="S239" i="25"/>
  <c r="R239" i="25"/>
  <c r="Q239" i="25"/>
  <c r="P239" i="25"/>
  <c r="O239" i="25"/>
  <c r="N239" i="25"/>
  <c r="M239" i="25"/>
  <c r="L239" i="25"/>
  <c r="K239" i="25"/>
  <c r="J239" i="25"/>
  <c r="H239" i="25"/>
  <c r="G239" i="25"/>
  <c r="C239" i="25"/>
  <c r="D239" i="25" s="1"/>
  <c r="F239" i="25"/>
  <c r="AT259" i="25"/>
  <c r="AS259" i="25"/>
  <c r="AR259" i="25"/>
  <c r="AQ259" i="25"/>
  <c r="AO259" i="25"/>
  <c r="AN259" i="25"/>
  <c r="AM259" i="25"/>
  <c r="AL259" i="25"/>
  <c r="AK259" i="25"/>
  <c r="AJ259" i="25"/>
  <c r="AI259" i="25"/>
  <c r="AH259" i="25"/>
  <c r="AG259" i="25"/>
  <c r="AF259" i="25"/>
  <c r="AE259" i="25"/>
  <c r="AD259" i="25"/>
  <c r="AC259" i="25"/>
  <c r="AB259" i="25"/>
  <c r="AA259" i="25"/>
  <c r="Z259" i="25"/>
  <c r="Y259" i="25"/>
  <c r="X259" i="25"/>
  <c r="W259" i="25"/>
  <c r="V259" i="25"/>
  <c r="U259" i="25"/>
  <c r="T259" i="25"/>
  <c r="S259" i="25"/>
  <c r="R259" i="25"/>
  <c r="Q259" i="25"/>
  <c r="P259" i="25"/>
  <c r="O259" i="25"/>
  <c r="N259" i="25"/>
  <c r="M259" i="25"/>
  <c r="L259" i="25"/>
  <c r="K259" i="25"/>
  <c r="J259" i="25"/>
  <c r="H259" i="25"/>
  <c r="G259" i="25"/>
  <c r="C259" i="25"/>
  <c r="D259" i="25" s="1"/>
  <c r="F259" i="25"/>
  <c r="AT258" i="25"/>
  <c r="AS258" i="25"/>
  <c r="AR258" i="25"/>
  <c r="AQ258" i="25"/>
  <c r="AO258" i="25"/>
  <c r="AN258" i="25"/>
  <c r="AM258" i="25"/>
  <c r="AL258" i="25"/>
  <c r="AK258" i="25"/>
  <c r="AJ258" i="25"/>
  <c r="AI258" i="25"/>
  <c r="AH258" i="25"/>
  <c r="AG258" i="25"/>
  <c r="AF258" i="25"/>
  <c r="AE258" i="25"/>
  <c r="AD258" i="25"/>
  <c r="AC258" i="25"/>
  <c r="AB258" i="25"/>
  <c r="AA258" i="25"/>
  <c r="Z258" i="25"/>
  <c r="Y258" i="25"/>
  <c r="X258" i="25"/>
  <c r="W258" i="25"/>
  <c r="V258" i="25"/>
  <c r="U258" i="25"/>
  <c r="T258" i="25"/>
  <c r="S258" i="25"/>
  <c r="R258" i="25"/>
  <c r="Q258" i="25"/>
  <c r="P258" i="25"/>
  <c r="O258" i="25"/>
  <c r="N258" i="25"/>
  <c r="M258" i="25"/>
  <c r="L258" i="25"/>
  <c r="K258" i="25"/>
  <c r="J258" i="25"/>
  <c r="H258" i="25"/>
  <c r="G258" i="25"/>
  <c r="C258" i="25"/>
  <c r="D258" i="25" s="1"/>
  <c r="F258" i="25"/>
  <c r="AT257" i="25"/>
  <c r="AS257" i="25"/>
  <c r="AR257" i="25"/>
  <c r="AQ257" i="25"/>
  <c r="AO257" i="25"/>
  <c r="AN257" i="25"/>
  <c r="AM257" i="25"/>
  <c r="AL257" i="25"/>
  <c r="AK257" i="25"/>
  <c r="AJ257" i="25"/>
  <c r="AI257" i="25"/>
  <c r="AH257" i="25"/>
  <c r="AG257" i="25"/>
  <c r="AF257" i="25"/>
  <c r="AE257" i="25"/>
  <c r="AD257" i="25"/>
  <c r="AC257" i="25"/>
  <c r="AB257" i="25"/>
  <c r="AA257" i="25"/>
  <c r="Z257" i="25"/>
  <c r="Y257" i="25"/>
  <c r="X257" i="25"/>
  <c r="W257" i="25"/>
  <c r="V257" i="25"/>
  <c r="U257" i="25"/>
  <c r="T257" i="25"/>
  <c r="S257" i="25"/>
  <c r="R257" i="25"/>
  <c r="Q257" i="25"/>
  <c r="P257" i="25"/>
  <c r="O257" i="25"/>
  <c r="N257" i="25"/>
  <c r="M257" i="25"/>
  <c r="L257" i="25"/>
  <c r="K257" i="25"/>
  <c r="J257" i="25"/>
  <c r="H257" i="25"/>
  <c r="G257" i="25"/>
  <c r="C257" i="25"/>
  <c r="D257" i="25" s="1"/>
  <c r="F257" i="25"/>
  <c r="AT256" i="25"/>
  <c r="AS256" i="25"/>
  <c r="AR256" i="25"/>
  <c r="AQ256" i="25"/>
  <c r="AO256" i="25"/>
  <c r="AN256" i="25"/>
  <c r="AM256" i="25"/>
  <c r="AL256" i="25"/>
  <c r="AK256" i="25"/>
  <c r="AJ256" i="25"/>
  <c r="AI256" i="25"/>
  <c r="AH256" i="25"/>
  <c r="AG256" i="25"/>
  <c r="AF256" i="25"/>
  <c r="AE256" i="25"/>
  <c r="AD256" i="25"/>
  <c r="AC256" i="25"/>
  <c r="AB256" i="25"/>
  <c r="AA256" i="25"/>
  <c r="Z256" i="25"/>
  <c r="Y256" i="25"/>
  <c r="X256" i="25"/>
  <c r="W256" i="25"/>
  <c r="V256" i="25"/>
  <c r="U256" i="25"/>
  <c r="T256" i="25"/>
  <c r="S256" i="25"/>
  <c r="R256" i="25"/>
  <c r="Q256" i="25"/>
  <c r="P256" i="25"/>
  <c r="O256" i="25"/>
  <c r="N256" i="25"/>
  <c r="M256" i="25"/>
  <c r="L256" i="25"/>
  <c r="K256" i="25"/>
  <c r="J256" i="25"/>
  <c r="H256" i="25"/>
  <c r="G256" i="25"/>
  <c r="C256" i="25"/>
  <c r="D256" i="25" s="1"/>
  <c r="F256" i="25"/>
  <c r="AT271" i="25"/>
  <c r="AS271" i="25"/>
  <c r="AR271" i="25"/>
  <c r="AQ271" i="25"/>
  <c r="AO271" i="25"/>
  <c r="AN271" i="25"/>
  <c r="AM271" i="25"/>
  <c r="AL271" i="25"/>
  <c r="AK271" i="25"/>
  <c r="AJ271" i="25"/>
  <c r="AI271" i="25"/>
  <c r="AH271" i="25"/>
  <c r="AG271" i="25"/>
  <c r="AF271" i="25"/>
  <c r="AE271" i="25"/>
  <c r="AD271" i="25"/>
  <c r="AC271" i="25"/>
  <c r="AB271" i="25"/>
  <c r="AA271" i="25"/>
  <c r="Z271" i="25"/>
  <c r="Y271" i="25"/>
  <c r="X271" i="25"/>
  <c r="W271" i="25"/>
  <c r="V271" i="25"/>
  <c r="U271" i="25"/>
  <c r="T271" i="25"/>
  <c r="S271" i="25"/>
  <c r="R271" i="25"/>
  <c r="Q271" i="25"/>
  <c r="P271" i="25"/>
  <c r="O271" i="25"/>
  <c r="N271" i="25"/>
  <c r="M271" i="25"/>
  <c r="L271" i="25"/>
  <c r="K271" i="25"/>
  <c r="J271" i="25"/>
  <c r="H271" i="25"/>
  <c r="G271" i="25"/>
  <c r="C271" i="25"/>
  <c r="D271" i="25" s="1"/>
  <c r="F271" i="25"/>
  <c r="AT270" i="25"/>
  <c r="AS270" i="25"/>
  <c r="AR270" i="25"/>
  <c r="AQ270" i="25"/>
  <c r="AO270" i="25"/>
  <c r="AN270" i="25"/>
  <c r="AM270" i="25"/>
  <c r="AL270" i="25"/>
  <c r="AK270" i="25"/>
  <c r="AJ270" i="25"/>
  <c r="AI270" i="25"/>
  <c r="AH270" i="25"/>
  <c r="AG270" i="25"/>
  <c r="AF270" i="25"/>
  <c r="AE270" i="25"/>
  <c r="AD270" i="25"/>
  <c r="AC270" i="25"/>
  <c r="AB270" i="25"/>
  <c r="AA270" i="25"/>
  <c r="Z270" i="25"/>
  <c r="Y270" i="25"/>
  <c r="X270" i="25"/>
  <c r="W270" i="25"/>
  <c r="V270" i="25"/>
  <c r="U270" i="25"/>
  <c r="T270" i="25"/>
  <c r="S270" i="25"/>
  <c r="R270" i="25"/>
  <c r="Q270" i="25"/>
  <c r="P270" i="25"/>
  <c r="O270" i="25"/>
  <c r="N270" i="25"/>
  <c r="M270" i="25"/>
  <c r="L270" i="25"/>
  <c r="K270" i="25"/>
  <c r="J270" i="25"/>
  <c r="H270" i="25"/>
  <c r="G270" i="25"/>
  <c r="C270" i="25"/>
  <c r="D270" i="25" s="1"/>
  <c r="F270" i="25"/>
  <c r="AT269" i="25"/>
  <c r="AS269" i="25"/>
  <c r="AR269" i="25"/>
  <c r="AQ269" i="25"/>
  <c r="AO269" i="25"/>
  <c r="AN269" i="25"/>
  <c r="AM269" i="25"/>
  <c r="AL269" i="25"/>
  <c r="AK269" i="25"/>
  <c r="AJ269" i="25"/>
  <c r="AI269" i="25"/>
  <c r="AH269" i="25"/>
  <c r="AG269" i="25"/>
  <c r="AF269" i="25"/>
  <c r="AE269" i="25"/>
  <c r="AD269" i="25"/>
  <c r="AC269" i="25"/>
  <c r="AB269" i="25"/>
  <c r="AA269" i="25"/>
  <c r="Z269" i="25"/>
  <c r="Y269" i="25"/>
  <c r="X269" i="25"/>
  <c r="W269" i="25"/>
  <c r="V269" i="25"/>
  <c r="U269" i="25"/>
  <c r="T269" i="25"/>
  <c r="S269" i="25"/>
  <c r="R269" i="25"/>
  <c r="Q269" i="25"/>
  <c r="P269" i="25"/>
  <c r="O269" i="25"/>
  <c r="N269" i="25"/>
  <c r="M269" i="25"/>
  <c r="L269" i="25"/>
  <c r="K269" i="25"/>
  <c r="J269" i="25"/>
  <c r="H269" i="25"/>
  <c r="G269" i="25"/>
  <c r="C269" i="25"/>
  <c r="D269" i="25" s="1"/>
  <c r="F269" i="25"/>
  <c r="AT275" i="25"/>
  <c r="AS275" i="25"/>
  <c r="AR275" i="25"/>
  <c r="AQ275" i="25"/>
  <c r="AO275" i="25"/>
  <c r="AN275" i="25"/>
  <c r="AM275" i="25"/>
  <c r="AL275" i="25"/>
  <c r="AK275" i="25"/>
  <c r="AJ275" i="25"/>
  <c r="AI275" i="25"/>
  <c r="AH275" i="25"/>
  <c r="AG275" i="25"/>
  <c r="AF275" i="25"/>
  <c r="AE275" i="25"/>
  <c r="AD275" i="25"/>
  <c r="AC275" i="25"/>
  <c r="AB275" i="25"/>
  <c r="AA275" i="25"/>
  <c r="Z275" i="25"/>
  <c r="Y275" i="25"/>
  <c r="X275" i="25"/>
  <c r="W275" i="25"/>
  <c r="V275" i="25"/>
  <c r="U275" i="25"/>
  <c r="T275" i="25"/>
  <c r="S275" i="25"/>
  <c r="R275" i="25"/>
  <c r="Q275" i="25"/>
  <c r="P275" i="25"/>
  <c r="O275" i="25"/>
  <c r="N275" i="25"/>
  <c r="M275" i="25"/>
  <c r="L275" i="25"/>
  <c r="K275" i="25"/>
  <c r="J275" i="25"/>
  <c r="H275" i="25"/>
  <c r="G275" i="25"/>
  <c r="C275" i="25"/>
  <c r="D275" i="25" s="1"/>
  <c r="F275" i="25"/>
  <c r="AT274" i="25"/>
  <c r="AS274" i="25"/>
  <c r="AR274" i="25"/>
  <c r="AQ274" i="25"/>
  <c r="AO274" i="25"/>
  <c r="AN274" i="25"/>
  <c r="AM274" i="25"/>
  <c r="AL274" i="25"/>
  <c r="AK274" i="25"/>
  <c r="AJ274" i="25"/>
  <c r="AI274" i="25"/>
  <c r="AH274" i="25"/>
  <c r="AG274" i="25"/>
  <c r="AF274" i="25"/>
  <c r="AE274" i="25"/>
  <c r="AD274" i="25"/>
  <c r="AC274" i="25"/>
  <c r="AB274" i="25"/>
  <c r="AA274" i="25"/>
  <c r="Z274" i="25"/>
  <c r="Y274" i="25"/>
  <c r="X274" i="25"/>
  <c r="W274" i="25"/>
  <c r="V274" i="25"/>
  <c r="U274" i="25"/>
  <c r="T274" i="25"/>
  <c r="S274" i="25"/>
  <c r="R274" i="25"/>
  <c r="Q274" i="25"/>
  <c r="P274" i="25"/>
  <c r="O274" i="25"/>
  <c r="N274" i="25"/>
  <c r="M274" i="25"/>
  <c r="L274" i="25"/>
  <c r="K274" i="25"/>
  <c r="J274" i="25"/>
  <c r="H274" i="25"/>
  <c r="G274" i="25"/>
  <c r="C274" i="25"/>
  <c r="D274" i="25" s="1"/>
  <c r="F274" i="25"/>
  <c r="AT273" i="25"/>
  <c r="AS273" i="25"/>
  <c r="AR273" i="25"/>
  <c r="AQ273" i="25"/>
  <c r="AO273" i="25"/>
  <c r="AN273" i="25"/>
  <c r="AM273" i="25"/>
  <c r="AL273" i="25"/>
  <c r="AK273" i="25"/>
  <c r="AJ273" i="25"/>
  <c r="AI273" i="25"/>
  <c r="AH273" i="25"/>
  <c r="AG273" i="25"/>
  <c r="AF273" i="25"/>
  <c r="AE273" i="25"/>
  <c r="AD273" i="25"/>
  <c r="AC273" i="25"/>
  <c r="AB273" i="25"/>
  <c r="AA273" i="25"/>
  <c r="Z273" i="25"/>
  <c r="Y273" i="25"/>
  <c r="X273" i="25"/>
  <c r="W273" i="25"/>
  <c r="V273" i="25"/>
  <c r="U273" i="25"/>
  <c r="T273" i="25"/>
  <c r="S273" i="25"/>
  <c r="R273" i="25"/>
  <c r="Q273" i="25"/>
  <c r="P273" i="25"/>
  <c r="O273" i="25"/>
  <c r="N273" i="25"/>
  <c r="M273" i="25"/>
  <c r="L273" i="25"/>
  <c r="K273" i="25"/>
  <c r="J273" i="25"/>
  <c r="H273" i="25"/>
  <c r="G273" i="25"/>
  <c r="C273" i="25"/>
  <c r="D273" i="25" s="1"/>
  <c r="F273" i="25"/>
  <c r="AT272" i="25"/>
  <c r="AS272" i="25"/>
  <c r="AR272" i="25"/>
  <c r="AQ272" i="25"/>
  <c r="AO272" i="25"/>
  <c r="AN272" i="25"/>
  <c r="AM272" i="25"/>
  <c r="AL272" i="25"/>
  <c r="AK272" i="25"/>
  <c r="AJ272" i="25"/>
  <c r="AI272" i="25"/>
  <c r="AH272" i="25"/>
  <c r="AG272" i="25"/>
  <c r="AF272" i="25"/>
  <c r="AE272" i="25"/>
  <c r="AD272" i="25"/>
  <c r="AC272" i="25"/>
  <c r="AB272" i="25"/>
  <c r="AA272" i="25"/>
  <c r="Z272" i="25"/>
  <c r="Y272" i="25"/>
  <c r="X272" i="25"/>
  <c r="W272" i="25"/>
  <c r="V272" i="25"/>
  <c r="U272" i="25"/>
  <c r="T272" i="25"/>
  <c r="S272" i="25"/>
  <c r="R272" i="25"/>
  <c r="Q272" i="25"/>
  <c r="P272" i="25"/>
  <c r="O272" i="25"/>
  <c r="N272" i="25"/>
  <c r="M272" i="25"/>
  <c r="L272" i="25"/>
  <c r="K272" i="25"/>
  <c r="J272" i="25"/>
  <c r="H272" i="25"/>
  <c r="G272" i="25"/>
  <c r="C272" i="25"/>
  <c r="D272" i="25" s="1"/>
  <c r="F272" i="25"/>
  <c r="AT282" i="25"/>
  <c r="AS282" i="25"/>
  <c r="AR282" i="25"/>
  <c r="AQ282" i="25"/>
  <c r="AO282" i="25"/>
  <c r="AN282" i="25"/>
  <c r="AM282" i="25"/>
  <c r="AL282" i="25"/>
  <c r="AK282" i="25"/>
  <c r="AJ282" i="25"/>
  <c r="AI282" i="25"/>
  <c r="AH282" i="25"/>
  <c r="AG282" i="25"/>
  <c r="AF282" i="25"/>
  <c r="AE282" i="25"/>
  <c r="AD282" i="25"/>
  <c r="AC282" i="25"/>
  <c r="AB282" i="25"/>
  <c r="AA282" i="25"/>
  <c r="Z282" i="25"/>
  <c r="Y282" i="25"/>
  <c r="X282" i="25"/>
  <c r="W282" i="25"/>
  <c r="V282" i="25"/>
  <c r="U282" i="25"/>
  <c r="T282" i="25"/>
  <c r="S282" i="25"/>
  <c r="R282" i="25"/>
  <c r="Q282" i="25"/>
  <c r="P282" i="25"/>
  <c r="O282" i="25"/>
  <c r="N282" i="25"/>
  <c r="M282" i="25"/>
  <c r="L282" i="25"/>
  <c r="K282" i="25"/>
  <c r="J282" i="25"/>
  <c r="H282" i="25"/>
  <c r="G282" i="25"/>
  <c r="C282" i="25"/>
  <c r="D282" i="25" s="1"/>
  <c r="F282" i="25"/>
  <c r="AT281" i="25"/>
  <c r="AS281" i="25"/>
  <c r="AR281" i="25"/>
  <c r="AQ281" i="25"/>
  <c r="AO281" i="25"/>
  <c r="AN281" i="25"/>
  <c r="AM281" i="25"/>
  <c r="AL281" i="25"/>
  <c r="AK281" i="25"/>
  <c r="AJ281" i="25"/>
  <c r="AI281" i="25"/>
  <c r="AH281" i="25"/>
  <c r="AG281" i="25"/>
  <c r="AF281" i="25"/>
  <c r="AE281" i="25"/>
  <c r="AD281" i="25"/>
  <c r="AC281" i="25"/>
  <c r="AB281" i="25"/>
  <c r="AA281" i="25"/>
  <c r="Z281" i="25"/>
  <c r="Y281" i="25"/>
  <c r="X281" i="25"/>
  <c r="W281" i="25"/>
  <c r="V281" i="25"/>
  <c r="U281" i="25"/>
  <c r="T281" i="25"/>
  <c r="S281" i="25"/>
  <c r="R281" i="25"/>
  <c r="Q281" i="25"/>
  <c r="P281" i="25"/>
  <c r="O281" i="25"/>
  <c r="N281" i="25"/>
  <c r="M281" i="25"/>
  <c r="L281" i="25"/>
  <c r="K281" i="25"/>
  <c r="J281" i="25"/>
  <c r="H281" i="25"/>
  <c r="G281" i="25"/>
  <c r="C281" i="25"/>
  <c r="D281" i="25" s="1"/>
  <c r="F281" i="25"/>
  <c r="AT280" i="25"/>
  <c r="AS280" i="25"/>
  <c r="AR280" i="25"/>
  <c r="AQ280" i="25"/>
  <c r="AO280" i="25"/>
  <c r="AN280" i="25"/>
  <c r="AM280" i="25"/>
  <c r="AL280" i="25"/>
  <c r="AK280" i="25"/>
  <c r="AJ280" i="25"/>
  <c r="AI280" i="25"/>
  <c r="AH280" i="25"/>
  <c r="AG280" i="25"/>
  <c r="AF280" i="25"/>
  <c r="AE280" i="25"/>
  <c r="AD280" i="25"/>
  <c r="AC280" i="25"/>
  <c r="AB280" i="25"/>
  <c r="AA280" i="25"/>
  <c r="Z280" i="25"/>
  <c r="Y280" i="25"/>
  <c r="X280" i="25"/>
  <c r="W280" i="25"/>
  <c r="V280" i="25"/>
  <c r="U280" i="25"/>
  <c r="T280" i="25"/>
  <c r="S280" i="25"/>
  <c r="R280" i="25"/>
  <c r="Q280" i="25"/>
  <c r="P280" i="25"/>
  <c r="O280" i="25"/>
  <c r="N280" i="25"/>
  <c r="M280" i="25"/>
  <c r="L280" i="25"/>
  <c r="K280" i="25"/>
  <c r="J280" i="25"/>
  <c r="H280" i="25"/>
  <c r="G280" i="25"/>
  <c r="C280" i="25"/>
  <c r="D280" i="25" s="1"/>
  <c r="F280" i="25"/>
  <c r="AT277" i="25"/>
  <c r="AS277" i="25"/>
  <c r="AR277" i="25"/>
  <c r="AQ277" i="25"/>
  <c r="AO277" i="25"/>
  <c r="AN277" i="25"/>
  <c r="AM277" i="25"/>
  <c r="AL277" i="25"/>
  <c r="AK277" i="25"/>
  <c r="AJ277" i="25"/>
  <c r="AI277" i="25"/>
  <c r="AH277" i="25"/>
  <c r="AG277" i="25"/>
  <c r="AF277" i="25"/>
  <c r="AE277" i="25"/>
  <c r="AD277" i="25"/>
  <c r="AC277" i="25"/>
  <c r="AB277" i="25"/>
  <c r="AA277" i="25"/>
  <c r="Z277" i="25"/>
  <c r="Y277" i="25"/>
  <c r="X277" i="25"/>
  <c r="W277" i="25"/>
  <c r="V277" i="25"/>
  <c r="U277" i="25"/>
  <c r="T277" i="25"/>
  <c r="S277" i="25"/>
  <c r="R277" i="25"/>
  <c r="Q277" i="25"/>
  <c r="P277" i="25"/>
  <c r="O277" i="25"/>
  <c r="N277" i="25"/>
  <c r="M277" i="25"/>
  <c r="L277" i="25"/>
  <c r="K277" i="25"/>
  <c r="J277" i="25"/>
  <c r="H277" i="25"/>
  <c r="G277" i="25"/>
  <c r="C277" i="25"/>
  <c r="D277" i="25" s="1"/>
  <c r="F277" i="25"/>
  <c r="AT276" i="25"/>
  <c r="AS276" i="25"/>
  <c r="AR276" i="25"/>
  <c r="AQ276" i="25"/>
  <c r="AO276" i="25"/>
  <c r="AN276" i="25"/>
  <c r="AM276" i="25"/>
  <c r="AL276" i="25"/>
  <c r="AK276" i="25"/>
  <c r="AJ276" i="25"/>
  <c r="AI276" i="25"/>
  <c r="AH276" i="25"/>
  <c r="AG276" i="25"/>
  <c r="AF276" i="25"/>
  <c r="AE276" i="25"/>
  <c r="AD276" i="25"/>
  <c r="AC276" i="25"/>
  <c r="AB276" i="25"/>
  <c r="AA276" i="25"/>
  <c r="Z276" i="25"/>
  <c r="Y276" i="25"/>
  <c r="X276" i="25"/>
  <c r="W276" i="25"/>
  <c r="V276" i="25"/>
  <c r="U276" i="25"/>
  <c r="T276" i="25"/>
  <c r="S276" i="25"/>
  <c r="R276" i="25"/>
  <c r="Q276" i="25"/>
  <c r="P276" i="25"/>
  <c r="O276" i="25"/>
  <c r="N276" i="25"/>
  <c r="M276" i="25"/>
  <c r="L276" i="25"/>
  <c r="K276" i="25"/>
  <c r="J276" i="25"/>
  <c r="H276" i="25"/>
  <c r="G276" i="25"/>
  <c r="C276" i="25"/>
  <c r="D276" i="25" s="1"/>
  <c r="F276" i="25"/>
  <c r="AT279" i="25"/>
  <c r="AS279" i="25"/>
  <c r="AR279" i="25"/>
  <c r="AQ279" i="25"/>
  <c r="AO279" i="25"/>
  <c r="AN279" i="25"/>
  <c r="AM279" i="25"/>
  <c r="AL279" i="25"/>
  <c r="AK279" i="25"/>
  <c r="AJ279" i="25"/>
  <c r="AI279" i="25"/>
  <c r="AH279" i="25"/>
  <c r="AG279" i="25"/>
  <c r="AF279" i="25"/>
  <c r="AE279" i="25"/>
  <c r="AD279" i="25"/>
  <c r="AC279" i="25"/>
  <c r="AB279" i="25"/>
  <c r="AA279" i="25"/>
  <c r="Z279" i="25"/>
  <c r="Y279" i="25"/>
  <c r="X279" i="25"/>
  <c r="W279" i="25"/>
  <c r="V279" i="25"/>
  <c r="U279" i="25"/>
  <c r="T279" i="25"/>
  <c r="S279" i="25"/>
  <c r="R279" i="25"/>
  <c r="Q279" i="25"/>
  <c r="P279" i="25"/>
  <c r="O279" i="25"/>
  <c r="N279" i="25"/>
  <c r="M279" i="25"/>
  <c r="L279" i="25"/>
  <c r="K279" i="25"/>
  <c r="J279" i="25"/>
  <c r="H279" i="25"/>
  <c r="G279" i="25"/>
  <c r="C279" i="25"/>
  <c r="D279" i="25" s="1"/>
  <c r="F279" i="25"/>
  <c r="AT278" i="25"/>
  <c r="AS278" i="25"/>
  <c r="AR278" i="25"/>
  <c r="AQ278" i="25"/>
  <c r="AO278" i="25"/>
  <c r="AN278" i="25"/>
  <c r="AM278" i="25"/>
  <c r="AL278" i="25"/>
  <c r="AK278" i="25"/>
  <c r="AJ278" i="25"/>
  <c r="AI278" i="25"/>
  <c r="AH278" i="25"/>
  <c r="AG278" i="25"/>
  <c r="AF278" i="25"/>
  <c r="AE278" i="25"/>
  <c r="AD278" i="25"/>
  <c r="AC278" i="25"/>
  <c r="AB278" i="25"/>
  <c r="AA278" i="25"/>
  <c r="Z278" i="25"/>
  <c r="Y278" i="25"/>
  <c r="X278" i="25"/>
  <c r="W278" i="25"/>
  <c r="V278" i="25"/>
  <c r="U278" i="25"/>
  <c r="T278" i="25"/>
  <c r="S278" i="25"/>
  <c r="R278" i="25"/>
  <c r="Q278" i="25"/>
  <c r="P278" i="25"/>
  <c r="O278" i="25"/>
  <c r="N278" i="25"/>
  <c r="M278" i="25"/>
  <c r="L278" i="25"/>
  <c r="K278" i="25"/>
  <c r="J278" i="25"/>
  <c r="H278" i="25"/>
  <c r="G278" i="25"/>
  <c r="C278" i="25"/>
  <c r="D278" i="25" s="1"/>
  <c r="F278" i="25"/>
  <c r="AT284" i="25"/>
  <c r="AS284" i="25"/>
  <c r="AR284" i="25"/>
  <c r="AQ284" i="25"/>
  <c r="AO284" i="25"/>
  <c r="AN284" i="25"/>
  <c r="AM284" i="25"/>
  <c r="AL284" i="25"/>
  <c r="AK284" i="25"/>
  <c r="AJ284" i="25"/>
  <c r="AI284" i="25"/>
  <c r="AH284" i="25"/>
  <c r="AG284" i="25"/>
  <c r="AF284" i="25"/>
  <c r="AE284" i="25"/>
  <c r="AD284" i="25"/>
  <c r="AC284" i="25"/>
  <c r="AB284" i="25"/>
  <c r="AA284" i="25"/>
  <c r="Z284" i="25"/>
  <c r="Y284" i="25"/>
  <c r="X284" i="25"/>
  <c r="W284" i="25"/>
  <c r="V284" i="25"/>
  <c r="U284" i="25"/>
  <c r="T284" i="25"/>
  <c r="S284" i="25"/>
  <c r="R284" i="25"/>
  <c r="Q284" i="25"/>
  <c r="P284" i="25"/>
  <c r="O284" i="25"/>
  <c r="N284" i="25"/>
  <c r="M284" i="25"/>
  <c r="L284" i="25"/>
  <c r="K284" i="25"/>
  <c r="J284" i="25"/>
  <c r="H284" i="25"/>
  <c r="G284" i="25"/>
  <c r="C284" i="25"/>
  <c r="D284" i="25" s="1"/>
  <c r="F284" i="25"/>
  <c r="AT283" i="25"/>
  <c r="AS283" i="25"/>
  <c r="AQ283" i="25"/>
  <c r="AO283" i="25"/>
  <c r="AN283" i="25"/>
  <c r="AM283" i="25"/>
  <c r="AL283" i="25"/>
  <c r="AK283" i="25"/>
  <c r="AJ283" i="25"/>
  <c r="AI283" i="25"/>
  <c r="AH283" i="25"/>
  <c r="AG283" i="25"/>
  <c r="AF283" i="25"/>
  <c r="AE283" i="25"/>
  <c r="AD283" i="25"/>
  <c r="AC283" i="25"/>
  <c r="AB283" i="25"/>
  <c r="AA283" i="25"/>
  <c r="Z283" i="25"/>
  <c r="Y283" i="25"/>
  <c r="X283" i="25"/>
  <c r="W283" i="25"/>
  <c r="V283" i="25"/>
  <c r="U283" i="25"/>
  <c r="T283" i="25"/>
  <c r="S283" i="25"/>
  <c r="R283" i="25"/>
  <c r="Q283" i="25"/>
  <c r="P283" i="25"/>
  <c r="O283" i="25"/>
  <c r="N283" i="25"/>
  <c r="M283" i="25"/>
  <c r="L283" i="25"/>
  <c r="K283" i="25"/>
  <c r="J283" i="25"/>
  <c r="H283" i="25"/>
  <c r="G283" i="25"/>
  <c r="C283" i="25"/>
  <c r="D283" i="25" s="1"/>
  <c r="F283" i="25"/>
  <c r="AT238" i="25"/>
  <c r="AS238" i="25"/>
  <c r="AR238" i="25"/>
  <c r="AQ238" i="25"/>
  <c r="AO238" i="25"/>
  <c r="AN238" i="25"/>
  <c r="AM238" i="25"/>
  <c r="AL238" i="25"/>
  <c r="AK238" i="25"/>
  <c r="AJ238" i="25"/>
  <c r="AI238" i="25"/>
  <c r="AH238" i="25"/>
  <c r="AG238" i="25"/>
  <c r="AF238" i="25"/>
  <c r="AE238" i="25"/>
  <c r="AD238" i="25"/>
  <c r="AC238" i="25"/>
  <c r="AB238" i="25"/>
  <c r="AA238" i="25"/>
  <c r="Z238" i="25"/>
  <c r="Y238" i="25"/>
  <c r="X238" i="25"/>
  <c r="W238" i="25"/>
  <c r="V238" i="25"/>
  <c r="U238" i="25"/>
  <c r="T238" i="25"/>
  <c r="S238" i="25"/>
  <c r="R238" i="25"/>
  <c r="Q238" i="25"/>
  <c r="P238" i="25"/>
  <c r="O238" i="25"/>
  <c r="N238" i="25"/>
  <c r="M238" i="25"/>
  <c r="L238" i="25"/>
  <c r="K238" i="25"/>
  <c r="J238" i="25"/>
  <c r="H238" i="25"/>
  <c r="G238" i="25"/>
  <c r="C238" i="25"/>
  <c r="D238" i="25" s="1"/>
  <c r="F238" i="25"/>
  <c r="AT237" i="25"/>
  <c r="AS237" i="25"/>
  <c r="AQ237" i="25"/>
  <c r="AO237" i="25"/>
  <c r="AN237" i="25"/>
  <c r="AM237" i="25"/>
  <c r="AL237" i="25"/>
  <c r="AK237" i="25"/>
  <c r="AJ237" i="25"/>
  <c r="AI237" i="25"/>
  <c r="AH237" i="25"/>
  <c r="AG237" i="25"/>
  <c r="AF237" i="25"/>
  <c r="AE237" i="25"/>
  <c r="AD237" i="25"/>
  <c r="AC237" i="25"/>
  <c r="AB237" i="25"/>
  <c r="AA237" i="25"/>
  <c r="Z237" i="25"/>
  <c r="Y237" i="25"/>
  <c r="X237" i="25"/>
  <c r="W237" i="25"/>
  <c r="V237" i="25"/>
  <c r="U237" i="25"/>
  <c r="T237" i="25"/>
  <c r="S237" i="25"/>
  <c r="R237" i="25"/>
  <c r="Q237" i="25"/>
  <c r="P237" i="25"/>
  <c r="O237" i="25"/>
  <c r="N237" i="25"/>
  <c r="M237" i="25"/>
  <c r="L237" i="25"/>
  <c r="K237" i="25"/>
  <c r="J237" i="25"/>
  <c r="H237" i="25"/>
  <c r="G237" i="25"/>
  <c r="C237" i="25"/>
  <c r="D237" i="25" s="1"/>
  <c r="F237" i="25"/>
  <c r="AT236" i="25"/>
  <c r="AS236" i="25"/>
  <c r="AQ236" i="25"/>
  <c r="AO236" i="25"/>
  <c r="AN236" i="25"/>
  <c r="AM236" i="25"/>
  <c r="AL236" i="25"/>
  <c r="AK236" i="25"/>
  <c r="AJ236" i="25"/>
  <c r="AI236" i="25"/>
  <c r="AH236" i="25"/>
  <c r="AG236" i="25"/>
  <c r="AF236" i="25"/>
  <c r="AE236" i="25"/>
  <c r="AD236" i="25"/>
  <c r="AC236" i="25"/>
  <c r="AB236" i="25"/>
  <c r="AA236" i="25"/>
  <c r="Z236" i="25"/>
  <c r="Y236" i="25"/>
  <c r="X236" i="25"/>
  <c r="W236" i="25"/>
  <c r="V236" i="25"/>
  <c r="U236" i="25"/>
  <c r="T236" i="25"/>
  <c r="S236" i="25"/>
  <c r="R236" i="25"/>
  <c r="Q236" i="25"/>
  <c r="P236" i="25"/>
  <c r="O236" i="25"/>
  <c r="N236" i="25"/>
  <c r="M236" i="25"/>
  <c r="L236" i="25"/>
  <c r="K236" i="25"/>
  <c r="J236" i="25"/>
  <c r="H236" i="25"/>
  <c r="G236" i="25"/>
  <c r="C236" i="25"/>
  <c r="D236" i="25" s="1"/>
  <c r="F236" i="25"/>
  <c r="AT235" i="25"/>
  <c r="AS235" i="25"/>
  <c r="AQ235" i="25"/>
  <c r="AO235" i="25"/>
  <c r="AN235" i="25"/>
  <c r="AM235" i="25"/>
  <c r="AL235" i="25"/>
  <c r="AK235" i="25"/>
  <c r="AJ235" i="25"/>
  <c r="AI235" i="25"/>
  <c r="AH235" i="25"/>
  <c r="AG235" i="25"/>
  <c r="AF235" i="25"/>
  <c r="AE235" i="25"/>
  <c r="AD235" i="25"/>
  <c r="AC235" i="25"/>
  <c r="AB235" i="25"/>
  <c r="AA235" i="25"/>
  <c r="Z235" i="25"/>
  <c r="Y235" i="25"/>
  <c r="X235" i="25"/>
  <c r="W235" i="25"/>
  <c r="V235" i="25"/>
  <c r="U235" i="25"/>
  <c r="T235" i="25"/>
  <c r="S235" i="25"/>
  <c r="R235" i="25"/>
  <c r="Q235" i="25"/>
  <c r="P235" i="25"/>
  <c r="O235" i="25"/>
  <c r="N235" i="25"/>
  <c r="M235" i="25"/>
  <c r="L235" i="25"/>
  <c r="K235" i="25"/>
  <c r="J235" i="25"/>
  <c r="H235" i="25"/>
  <c r="G235" i="25"/>
  <c r="C235" i="25"/>
  <c r="D235" i="25" s="1"/>
  <c r="F235" i="25"/>
  <c r="AT234" i="25"/>
  <c r="AS234" i="25"/>
  <c r="AQ234" i="25"/>
  <c r="AO234" i="25"/>
  <c r="AN234" i="25"/>
  <c r="AM234" i="25"/>
  <c r="AL234" i="25"/>
  <c r="AK234" i="25"/>
  <c r="AJ234" i="25"/>
  <c r="AI234" i="25"/>
  <c r="AH234" i="25"/>
  <c r="AG234" i="25"/>
  <c r="AF234" i="25"/>
  <c r="AE234" i="25"/>
  <c r="AD234" i="25"/>
  <c r="AC234" i="25"/>
  <c r="AB234" i="25"/>
  <c r="AA234" i="25"/>
  <c r="Z234" i="25"/>
  <c r="Y234" i="25"/>
  <c r="X234" i="25"/>
  <c r="W234" i="25"/>
  <c r="V234" i="25"/>
  <c r="U234" i="25"/>
  <c r="T234" i="25"/>
  <c r="S234" i="25"/>
  <c r="R234" i="25"/>
  <c r="Q234" i="25"/>
  <c r="P234" i="25"/>
  <c r="O234" i="25"/>
  <c r="N234" i="25"/>
  <c r="M234" i="25"/>
  <c r="L234" i="25"/>
  <c r="K234" i="25"/>
  <c r="J234" i="25"/>
  <c r="H234" i="25"/>
  <c r="G234" i="25"/>
  <c r="C234" i="25"/>
  <c r="D234" i="25" s="1"/>
  <c r="F234" i="25"/>
  <c r="AT263" i="25"/>
  <c r="AS263" i="25"/>
  <c r="AR263" i="25"/>
  <c r="AQ263" i="25"/>
  <c r="AO263" i="25"/>
  <c r="AN263" i="25"/>
  <c r="AM263" i="25"/>
  <c r="AL263" i="25"/>
  <c r="AK263" i="25"/>
  <c r="AJ263" i="25"/>
  <c r="AI263" i="25"/>
  <c r="AH263" i="25"/>
  <c r="AG263" i="25"/>
  <c r="AF263" i="25"/>
  <c r="AE263" i="25"/>
  <c r="AD263" i="25"/>
  <c r="AC263" i="25"/>
  <c r="AB263" i="25"/>
  <c r="AA263" i="25"/>
  <c r="Z263" i="25"/>
  <c r="Y263" i="25"/>
  <c r="X263" i="25"/>
  <c r="W263" i="25"/>
  <c r="V263" i="25"/>
  <c r="U263" i="25"/>
  <c r="T263" i="25"/>
  <c r="S263" i="25"/>
  <c r="R263" i="25"/>
  <c r="Q263" i="25"/>
  <c r="P263" i="25"/>
  <c r="O263" i="25"/>
  <c r="N263" i="25"/>
  <c r="M263" i="25"/>
  <c r="L263" i="25"/>
  <c r="K263" i="25"/>
  <c r="J263" i="25"/>
  <c r="H263" i="25"/>
  <c r="G263" i="25"/>
  <c r="C263" i="25"/>
  <c r="D263" i="25" s="1"/>
  <c r="F263" i="25"/>
  <c r="AT262" i="25"/>
  <c r="AS262" i="25"/>
  <c r="AR262" i="25"/>
  <c r="AQ262" i="25"/>
  <c r="AO262" i="25"/>
  <c r="AN262" i="25"/>
  <c r="AM262" i="25"/>
  <c r="AL262" i="25"/>
  <c r="AK262" i="25"/>
  <c r="AJ262" i="25"/>
  <c r="AI262" i="25"/>
  <c r="AH262" i="25"/>
  <c r="AG262" i="25"/>
  <c r="AF262" i="25"/>
  <c r="AE262" i="25"/>
  <c r="AD262" i="25"/>
  <c r="AC262" i="25"/>
  <c r="AB262" i="25"/>
  <c r="AA262" i="25"/>
  <c r="Z262" i="25"/>
  <c r="Y262" i="25"/>
  <c r="X262" i="25"/>
  <c r="W262" i="25"/>
  <c r="V262" i="25"/>
  <c r="U262" i="25"/>
  <c r="T262" i="25"/>
  <c r="S262" i="25"/>
  <c r="R262" i="25"/>
  <c r="Q262" i="25"/>
  <c r="P262" i="25"/>
  <c r="O262" i="25"/>
  <c r="N262" i="25"/>
  <c r="M262" i="25"/>
  <c r="L262" i="25"/>
  <c r="K262" i="25"/>
  <c r="J262" i="25"/>
  <c r="H262" i="25"/>
  <c r="G262" i="25"/>
  <c r="C262" i="25"/>
  <c r="D262" i="25" s="1"/>
  <c r="F262" i="25"/>
  <c r="AT261" i="25"/>
  <c r="AS261" i="25"/>
  <c r="AR261" i="25"/>
  <c r="AQ261" i="25"/>
  <c r="AO261" i="25"/>
  <c r="AN261" i="25"/>
  <c r="AM261" i="25"/>
  <c r="AL261" i="25"/>
  <c r="AK261" i="25"/>
  <c r="AJ261" i="25"/>
  <c r="AI261" i="25"/>
  <c r="AH261" i="25"/>
  <c r="AG261" i="25"/>
  <c r="AF261" i="25"/>
  <c r="AE261" i="25"/>
  <c r="AD261" i="25"/>
  <c r="AC261" i="25"/>
  <c r="AB261" i="25"/>
  <c r="AA261" i="25"/>
  <c r="Z261" i="25"/>
  <c r="Y261" i="25"/>
  <c r="X261" i="25"/>
  <c r="W261" i="25"/>
  <c r="V261" i="25"/>
  <c r="U261" i="25"/>
  <c r="T261" i="25"/>
  <c r="S261" i="25"/>
  <c r="R261" i="25"/>
  <c r="Q261" i="25"/>
  <c r="P261" i="25"/>
  <c r="O261" i="25"/>
  <c r="N261" i="25"/>
  <c r="M261" i="25"/>
  <c r="L261" i="25"/>
  <c r="K261" i="25"/>
  <c r="J261" i="25"/>
  <c r="H261" i="25"/>
  <c r="G261" i="25"/>
  <c r="C261" i="25"/>
  <c r="D261" i="25" s="1"/>
  <c r="F261" i="25"/>
  <c r="AT260" i="25"/>
  <c r="AS260" i="25"/>
  <c r="AR260" i="25"/>
  <c r="AQ260" i="25"/>
  <c r="AO260" i="25"/>
  <c r="AN260" i="25"/>
  <c r="AM260" i="25"/>
  <c r="AL260" i="25"/>
  <c r="AK260" i="25"/>
  <c r="AJ260" i="25"/>
  <c r="AI260" i="25"/>
  <c r="AH260" i="25"/>
  <c r="AG260" i="25"/>
  <c r="AF260" i="25"/>
  <c r="AE260" i="25"/>
  <c r="AD260" i="25"/>
  <c r="AC260" i="25"/>
  <c r="AB260" i="25"/>
  <c r="AA260" i="25"/>
  <c r="Z260" i="25"/>
  <c r="Y260" i="25"/>
  <c r="X260" i="25"/>
  <c r="W260" i="25"/>
  <c r="V260" i="25"/>
  <c r="U260" i="25"/>
  <c r="T260" i="25"/>
  <c r="S260" i="25"/>
  <c r="R260" i="25"/>
  <c r="Q260" i="25"/>
  <c r="P260" i="25"/>
  <c r="O260" i="25"/>
  <c r="N260" i="25"/>
  <c r="M260" i="25"/>
  <c r="L260" i="25"/>
  <c r="K260" i="25"/>
  <c r="J260" i="25"/>
  <c r="H260" i="25"/>
  <c r="G260" i="25"/>
  <c r="C260" i="25"/>
  <c r="D260" i="25" s="1"/>
  <c r="F260" i="25"/>
  <c r="AT268" i="25"/>
  <c r="AS268" i="25"/>
  <c r="AR268" i="25"/>
  <c r="AQ268" i="25"/>
  <c r="AO268" i="25"/>
  <c r="AN268" i="25"/>
  <c r="AM268" i="25"/>
  <c r="AL268" i="25"/>
  <c r="AK268" i="25"/>
  <c r="AJ268" i="25"/>
  <c r="AI268" i="25"/>
  <c r="AH268" i="25"/>
  <c r="AG268" i="25"/>
  <c r="AF268" i="25"/>
  <c r="AE268" i="25"/>
  <c r="AD268" i="25"/>
  <c r="AC268" i="25"/>
  <c r="AB268" i="25"/>
  <c r="AA268" i="25"/>
  <c r="Z268" i="25"/>
  <c r="Y268" i="25"/>
  <c r="X268" i="25"/>
  <c r="W268" i="25"/>
  <c r="V268" i="25"/>
  <c r="U268" i="25"/>
  <c r="T268" i="25"/>
  <c r="S268" i="25"/>
  <c r="R268" i="25"/>
  <c r="Q268" i="25"/>
  <c r="P268" i="25"/>
  <c r="O268" i="25"/>
  <c r="N268" i="25"/>
  <c r="M268" i="25"/>
  <c r="L268" i="25"/>
  <c r="K268" i="25"/>
  <c r="J268" i="25"/>
  <c r="H268" i="25"/>
  <c r="G268" i="25"/>
  <c r="C268" i="25"/>
  <c r="D268" i="25" s="1"/>
  <c r="F268" i="25"/>
  <c r="AT267" i="25"/>
  <c r="AS267" i="25"/>
  <c r="AR267" i="25"/>
  <c r="AQ267" i="25"/>
  <c r="AO267" i="25"/>
  <c r="AN267" i="25"/>
  <c r="AM267" i="25"/>
  <c r="AL267" i="25"/>
  <c r="AK267" i="25"/>
  <c r="AJ267" i="25"/>
  <c r="AI267" i="25"/>
  <c r="AH267" i="25"/>
  <c r="AG267" i="25"/>
  <c r="AF267" i="25"/>
  <c r="AE267" i="25"/>
  <c r="AD267" i="25"/>
  <c r="AC267" i="25"/>
  <c r="AB267" i="25"/>
  <c r="AA267" i="25"/>
  <c r="Z267" i="25"/>
  <c r="Y267" i="25"/>
  <c r="X267" i="25"/>
  <c r="W267" i="25"/>
  <c r="V267" i="25"/>
  <c r="U267" i="25"/>
  <c r="T267" i="25"/>
  <c r="S267" i="25"/>
  <c r="R267" i="25"/>
  <c r="Q267" i="25"/>
  <c r="P267" i="25"/>
  <c r="O267" i="25"/>
  <c r="N267" i="25"/>
  <c r="M267" i="25"/>
  <c r="L267" i="25"/>
  <c r="K267" i="25"/>
  <c r="J267" i="25"/>
  <c r="H267" i="25"/>
  <c r="G267" i="25"/>
  <c r="C267" i="25"/>
  <c r="D267" i="25" s="1"/>
  <c r="F267" i="25"/>
  <c r="AT266" i="25"/>
  <c r="AS266" i="25"/>
  <c r="AR266" i="25"/>
  <c r="AQ266" i="25"/>
  <c r="AO266" i="25"/>
  <c r="AN266" i="25"/>
  <c r="AM266" i="25"/>
  <c r="AL266" i="25"/>
  <c r="AK266" i="25"/>
  <c r="AJ266" i="25"/>
  <c r="AI266" i="25"/>
  <c r="AH266" i="25"/>
  <c r="AG266" i="25"/>
  <c r="AF266" i="25"/>
  <c r="AE266" i="25"/>
  <c r="AD266" i="25"/>
  <c r="AC266" i="25"/>
  <c r="AB266" i="25"/>
  <c r="AA266" i="25"/>
  <c r="Z266" i="25"/>
  <c r="Y266" i="25"/>
  <c r="X266" i="25"/>
  <c r="W266" i="25"/>
  <c r="V266" i="25"/>
  <c r="U266" i="25"/>
  <c r="T266" i="25"/>
  <c r="S266" i="25"/>
  <c r="R266" i="25"/>
  <c r="Q266" i="25"/>
  <c r="P266" i="25"/>
  <c r="O266" i="25"/>
  <c r="N266" i="25"/>
  <c r="M266" i="25"/>
  <c r="L266" i="25"/>
  <c r="K266" i="25"/>
  <c r="J266" i="25"/>
  <c r="H266" i="25"/>
  <c r="G266" i="25"/>
  <c r="C266" i="25"/>
  <c r="D266" i="25" s="1"/>
  <c r="F266" i="25"/>
  <c r="AT265" i="25"/>
  <c r="AS265" i="25"/>
  <c r="AR265" i="25"/>
  <c r="AQ265" i="25"/>
  <c r="AO265" i="25"/>
  <c r="AN265" i="25"/>
  <c r="AM265" i="25"/>
  <c r="AL265" i="25"/>
  <c r="AK265" i="25"/>
  <c r="AJ265" i="25"/>
  <c r="AI265" i="25"/>
  <c r="AH265" i="25"/>
  <c r="AG265" i="25"/>
  <c r="AF265" i="25"/>
  <c r="AE265" i="25"/>
  <c r="AD265" i="25"/>
  <c r="AC265" i="25"/>
  <c r="AB265" i="25"/>
  <c r="AA265" i="25"/>
  <c r="Z265" i="25"/>
  <c r="Y265" i="25"/>
  <c r="X265" i="25"/>
  <c r="W265" i="25"/>
  <c r="V265" i="25"/>
  <c r="U265" i="25"/>
  <c r="T265" i="25"/>
  <c r="S265" i="25"/>
  <c r="R265" i="25"/>
  <c r="Q265" i="25"/>
  <c r="P265" i="25"/>
  <c r="O265" i="25"/>
  <c r="N265" i="25"/>
  <c r="M265" i="25"/>
  <c r="L265" i="25"/>
  <c r="K265" i="25"/>
  <c r="J265" i="25"/>
  <c r="H265" i="25"/>
  <c r="G265" i="25"/>
  <c r="C265" i="25"/>
  <c r="D265" i="25" s="1"/>
  <c r="F265" i="25"/>
  <c r="AT264" i="25"/>
  <c r="AS264" i="25"/>
  <c r="AR264" i="25"/>
  <c r="AQ264" i="25"/>
  <c r="AO264" i="25"/>
  <c r="AN264" i="25"/>
  <c r="AM264" i="25"/>
  <c r="AL264" i="25"/>
  <c r="AK264" i="25"/>
  <c r="AJ264" i="25"/>
  <c r="AI264" i="25"/>
  <c r="AH264" i="25"/>
  <c r="AG264" i="25"/>
  <c r="AF264" i="25"/>
  <c r="AE264" i="25"/>
  <c r="AD264" i="25"/>
  <c r="AC264" i="25"/>
  <c r="AB264" i="25"/>
  <c r="AA264" i="25"/>
  <c r="Z264" i="25"/>
  <c r="Y264" i="25"/>
  <c r="X264" i="25"/>
  <c r="W264" i="25"/>
  <c r="V264" i="25"/>
  <c r="U264" i="25"/>
  <c r="T264" i="25"/>
  <c r="S264" i="25"/>
  <c r="R264" i="25"/>
  <c r="Q264" i="25"/>
  <c r="P264" i="25"/>
  <c r="O264" i="25"/>
  <c r="N264" i="25"/>
  <c r="M264" i="25"/>
  <c r="L264" i="25"/>
  <c r="K264" i="25"/>
  <c r="J264" i="25"/>
  <c r="H264" i="25"/>
  <c r="G264" i="25"/>
  <c r="C264" i="25"/>
  <c r="D264" i="25" s="1"/>
  <c r="F264" i="25"/>
  <c r="AT288" i="25"/>
  <c r="AS288" i="25"/>
  <c r="AQ288" i="25"/>
  <c r="AO288" i="25"/>
  <c r="AN288" i="25"/>
  <c r="AM288" i="25"/>
  <c r="AL288" i="25"/>
  <c r="AK288" i="25"/>
  <c r="AJ288" i="25"/>
  <c r="AI288" i="25"/>
  <c r="AH288" i="25"/>
  <c r="AG288" i="25"/>
  <c r="AF288" i="25"/>
  <c r="AE288" i="25"/>
  <c r="AD288" i="25"/>
  <c r="AC288" i="25"/>
  <c r="AB288" i="25"/>
  <c r="AA288" i="25"/>
  <c r="Z288" i="25"/>
  <c r="Y288" i="25"/>
  <c r="X288" i="25"/>
  <c r="W288" i="25"/>
  <c r="V288" i="25"/>
  <c r="U288" i="25"/>
  <c r="T288" i="25"/>
  <c r="S288" i="25"/>
  <c r="R288" i="25"/>
  <c r="Q288" i="25"/>
  <c r="P288" i="25"/>
  <c r="O288" i="25"/>
  <c r="N288" i="25"/>
  <c r="M288" i="25"/>
  <c r="L288" i="25"/>
  <c r="K288" i="25"/>
  <c r="J288" i="25"/>
  <c r="H288" i="25"/>
  <c r="G288" i="25"/>
  <c r="C288" i="25"/>
  <c r="D288" i="25" s="1"/>
  <c r="F288" i="25"/>
  <c r="AT287" i="25"/>
  <c r="AS287" i="25"/>
  <c r="AQ287" i="25"/>
  <c r="AO287" i="25"/>
  <c r="AN287" i="25"/>
  <c r="AM287" i="25"/>
  <c r="AL287" i="25"/>
  <c r="AK287" i="25"/>
  <c r="AJ287" i="25"/>
  <c r="AI287" i="25"/>
  <c r="AH287" i="25"/>
  <c r="AG287" i="25"/>
  <c r="AF287" i="25"/>
  <c r="AE287" i="25"/>
  <c r="AD287" i="25"/>
  <c r="AC287" i="25"/>
  <c r="AB287" i="25"/>
  <c r="AA287" i="25"/>
  <c r="Z287" i="25"/>
  <c r="Y287" i="25"/>
  <c r="X287" i="25"/>
  <c r="W287" i="25"/>
  <c r="V287" i="25"/>
  <c r="U287" i="25"/>
  <c r="T287" i="25"/>
  <c r="S287" i="25"/>
  <c r="R287" i="25"/>
  <c r="Q287" i="25"/>
  <c r="P287" i="25"/>
  <c r="O287" i="25"/>
  <c r="N287" i="25"/>
  <c r="M287" i="25"/>
  <c r="L287" i="25"/>
  <c r="K287" i="25"/>
  <c r="J287" i="25"/>
  <c r="H287" i="25"/>
  <c r="G287" i="25"/>
  <c r="C287" i="25"/>
  <c r="D287" i="25" s="1"/>
  <c r="F287" i="25"/>
  <c r="AT286" i="25"/>
  <c r="AS286" i="25"/>
  <c r="AR286" i="25"/>
  <c r="AQ286" i="25"/>
  <c r="AO286" i="25"/>
  <c r="AN286" i="25"/>
  <c r="AM286" i="25"/>
  <c r="AL286" i="25"/>
  <c r="AK286" i="25"/>
  <c r="AJ286" i="25"/>
  <c r="AI286" i="25"/>
  <c r="AH286" i="25"/>
  <c r="AG286" i="25"/>
  <c r="AF286" i="25"/>
  <c r="AE286" i="25"/>
  <c r="AD286" i="25"/>
  <c r="AC286" i="25"/>
  <c r="AB286" i="25"/>
  <c r="AA286" i="25"/>
  <c r="Z286" i="25"/>
  <c r="Y286" i="25"/>
  <c r="X286" i="25"/>
  <c r="W286" i="25"/>
  <c r="V286" i="25"/>
  <c r="U286" i="25"/>
  <c r="T286" i="25"/>
  <c r="S286" i="25"/>
  <c r="R286" i="25"/>
  <c r="Q286" i="25"/>
  <c r="P286" i="25"/>
  <c r="O286" i="25"/>
  <c r="N286" i="25"/>
  <c r="M286" i="25"/>
  <c r="L286" i="25"/>
  <c r="K286" i="25"/>
  <c r="J286" i="25"/>
  <c r="H286" i="25"/>
  <c r="G286" i="25"/>
  <c r="C286" i="25"/>
  <c r="D286" i="25" s="1"/>
  <c r="F286" i="25"/>
  <c r="AT285" i="25"/>
  <c r="AS285" i="25"/>
  <c r="AQ285" i="25"/>
  <c r="AO285" i="25"/>
  <c r="AN285" i="25"/>
  <c r="AM285" i="25"/>
  <c r="AL285" i="25"/>
  <c r="AK285" i="25"/>
  <c r="AJ285" i="25"/>
  <c r="AI285" i="25"/>
  <c r="AH285" i="25"/>
  <c r="AG285" i="25"/>
  <c r="AF285" i="25"/>
  <c r="AE285" i="25"/>
  <c r="AD285" i="25"/>
  <c r="AC285" i="25"/>
  <c r="AB285" i="25"/>
  <c r="AA285" i="25"/>
  <c r="Z285" i="25"/>
  <c r="Y285" i="25"/>
  <c r="X285" i="25"/>
  <c r="W285" i="25"/>
  <c r="V285" i="25"/>
  <c r="U285" i="25"/>
  <c r="T285" i="25"/>
  <c r="S285" i="25"/>
  <c r="R285" i="25"/>
  <c r="Q285" i="25"/>
  <c r="P285" i="25"/>
  <c r="O285" i="25"/>
  <c r="N285" i="25"/>
  <c r="M285" i="25"/>
  <c r="L285" i="25"/>
  <c r="K285" i="25"/>
  <c r="J285" i="25"/>
  <c r="H285" i="25"/>
  <c r="G285" i="25"/>
  <c r="C285" i="25"/>
  <c r="D285" i="25" s="1"/>
  <c r="F285" i="25"/>
  <c r="AT312" i="25"/>
  <c r="AS312" i="25"/>
  <c r="AR312" i="25"/>
  <c r="AQ312" i="25"/>
  <c r="AO312" i="25"/>
  <c r="AN312" i="25"/>
  <c r="AM312" i="25"/>
  <c r="AL312" i="25"/>
  <c r="AK312" i="25"/>
  <c r="AJ312" i="25"/>
  <c r="AI312" i="25"/>
  <c r="AH312" i="25"/>
  <c r="AG312" i="25"/>
  <c r="AF312" i="25"/>
  <c r="AE312" i="25"/>
  <c r="AD312" i="25"/>
  <c r="AC312" i="25"/>
  <c r="AB312" i="25"/>
  <c r="AA312" i="25"/>
  <c r="Z312" i="25"/>
  <c r="Y312" i="25"/>
  <c r="X312" i="25"/>
  <c r="W312" i="25"/>
  <c r="V312" i="25"/>
  <c r="U312" i="25"/>
  <c r="T312" i="25"/>
  <c r="S312" i="25"/>
  <c r="R312" i="25"/>
  <c r="Q312" i="25"/>
  <c r="P312" i="25"/>
  <c r="O312" i="25"/>
  <c r="N312" i="25"/>
  <c r="M312" i="25"/>
  <c r="L312" i="25"/>
  <c r="K312" i="25"/>
  <c r="J312" i="25"/>
  <c r="H312" i="25"/>
  <c r="G312" i="25"/>
  <c r="C312" i="25"/>
  <c r="D312" i="25" s="1"/>
  <c r="F312" i="25"/>
  <c r="AT311" i="25"/>
  <c r="AS311" i="25"/>
  <c r="AR311" i="25"/>
  <c r="AQ311" i="25"/>
  <c r="AO311" i="25"/>
  <c r="AN311" i="25"/>
  <c r="AM311" i="25"/>
  <c r="AL311" i="25"/>
  <c r="AK311" i="25"/>
  <c r="AJ311" i="25"/>
  <c r="AI311" i="25"/>
  <c r="AH311" i="25"/>
  <c r="AG311" i="25"/>
  <c r="AF311" i="25"/>
  <c r="AE311" i="25"/>
  <c r="AD311" i="25"/>
  <c r="AC311" i="25"/>
  <c r="AB311" i="25"/>
  <c r="AA311" i="25"/>
  <c r="Z311" i="25"/>
  <c r="Y311" i="25"/>
  <c r="X311" i="25"/>
  <c r="W311" i="25"/>
  <c r="V311" i="25"/>
  <c r="U311" i="25"/>
  <c r="T311" i="25"/>
  <c r="S311" i="25"/>
  <c r="R311" i="25"/>
  <c r="Q311" i="25"/>
  <c r="P311" i="25"/>
  <c r="O311" i="25"/>
  <c r="N311" i="25"/>
  <c r="M311" i="25"/>
  <c r="L311" i="25"/>
  <c r="K311" i="25"/>
  <c r="J311" i="25"/>
  <c r="H311" i="25"/>
  <c r="G311" i="25"/>
  <c r="C311" i="25"/>
  <c r="D311" i="25" s="1"/>
  <c r="F311" i="25"/>
  <c r="AT310" i="25"/>
  <c r="AS310" i="25"/>
  <c r="AR310" i="25"/>
  <c r="AQ310" i="25"/>
  <c r="AO310" i="25"/>
  <c r="AN310" i="25"/>
  <c r="AM310" i="25"/>
  <c r="AL310" i="25"/>
  <c r="AK310" i="25"/>
  <c r="AJ310" i="25"/>
  <c r="AI310" i="25"/>
  <c r="AH310" i="25"/>
  <c r="AG310" i="25"/>
  <c r="AF310" i="25"/>
  <c r="AE310" i="25"/>
  <c r="AD310" i="25"/>
  <c r="AC310" i="25"/>
  <c r="AB310" i="25"/>
  <c r="AA310" i="25"/>
  <c r="Z310" i="25"/>
  <c r="Y310" i="25"/>
  <c r="X310" i="25"/>
  <c r="W310" i="25"/>
  <c r="V310" i="25"/>
  <c r="U310" i="25"/>
  <c r="T310" i="25"/>
  <c r="S310" i="25"/>
  <c r="R310" i="25"/>
  <c r="Q310" i="25"/>
  <c r="P310" i="25"/>
  <c r="O310" i="25"/>
  <c r="N310" i="25"/>
  <c r="M310" i="25"/>
  <c r="L310" i="25"/>
  <c r="K310" i="25"/>
  <c r="J310" i="25"/>
  <c r="H310" i="25"/>
  <c r="G310" i="25"/>
  <c r="C310" i="25"/>
  <c r="D310" i="25" s="1"/>
  <c r="F310" i="25"/>
  <c r="AT309" i="25"/>
  <c r="AS309" i="25"/>
  <c r="AR309" i="25"/>
  <c r="AQ309" i="25"/>
  <c r="AO309" i="25"/>
  <c r="AN309" i="25"/>
  <c r="AM309" i="25"/>
  <c r="AL309" i="25"/>
  <c r="AK309" i="25"/>
  <c r="AJ309" i="25"/>
  <c r="AI309" i="25"/>
  <c r="AH309" i="25"/>
  <c r="AG309" i="25"/>
  <c r="AF309" i="25"/>
  <c r="AE309" i="25"/>
  <c r="AD309" i="25"/>
  <c r="AC309" i="25"/>
  <c r="AB309" i="25"/>
  <c r="AA309" i="25"/>
  <c r="Z309" i="25"/>
  <c r="Y309" i="25"/>
  <c r="X309" i="25"/>
  <c r="W309" i="25"/>
  <c r="V309" i="25"/>
  <c r="U309" i="25"/>
  <c r="T309" i="25"/>
  <c r="S309" i="25"/>
  <c r="R309" i="25"/>
  <c r="Q309" i="25"/>
  <c r="P309" i="25"/>
  <c r="O309" i="25"/>
  <c r="N309" i="25"/>
  <c r="M309" i="25"/>
  <c r="L309" i="25"/>
  <c r="K309" i="25"/>
  <c r="J309" i="25"/>
  <c r="H309" i="25"/>
  <c r="G309" i="25"/>
  <c r="C309" i="25"/>
  <c r="D309" i="25" s="1"/>
  <c r="F309" i="25"/>
  <c r="AT176" i="25"/>
  <c r="AS176" i="25"/>
  <c r="AR176" i="25"/>
  <c r="AQ176" i="25"/>
  <c r="AO176" i="25"/>
  <c r="AN176" i="25"/>
  <c r="AM176" i="25"/>
  <c r="AL176" i="25"/>
  <c r="AK176" i="25"/>
  <c r="AJ176" i="25"/>
  <c r="AI176" i="25"/>
  <c r="AH176" i="25"/>
  <c r="AG176" i="25"/>
  <c r="AF176" i="25"/>
  <c r="AE176" i="25"/>
  <c r="AD176" i="25"/>
  <c r="AC176" i="25"/>
  <c r="AB176" i="25"/>
  <c r="AA176" i="25"/>
  <c r="Z176" i="25"/>
  <c r="Y176" i="25"/>
  <c r="X176" i="25"/>
  <c r="W176" i="25"/>
  <c r="V176" i="25"/>
  <c r="U176" i="25"/>
  <c r="T176" i="25"/>
  <c r="S176" i="25"/>
  <c r="R176" i="25"/>
  <c r="Q176" i="25"/>
  <c r="P176" i="25"/>
  <c r="O176" i="25"/>
  <c r="N176" i="25"/>
  <c r="M176" i="25"/>
  <c r="L176" i="25"/>
  <c r="K176" i="25"/>
  <c r="J176" i="25"/>
  <c r="H176" i="25"/>
  <c r="G176" i="25"/>
  <c r="C176" i="25"/>
  <c r="D176" i="25" s="1"/>
  <c r="F176" i="25"/>
  <c r="AT175" i="25"/>
  <c r="AS175" i="25"/>
  <c r="AR175" i="25"/>
  <c r="AQ175" i="25"/>
  <c r="AO175" i="25"/>
  <c r="AN175" i="25"/>
  <c r="AM175" i="25"/>
  <c r="AL175" i="25"/>
  <c r="AK175" i="25"/>
  <c r="AJ175" i="25"/>
  <c r="AI175" i="25"/>
  <c r="AH175" i="25"/>
  <c r="AG175" i="25"/>
  <c r="AF175" i="25"/>
  <c r="AE175" i="25"/>
  <c r="AD175" i="25"/>
  <c r="AC175" i="25"/>
  <c r="AB175" i="25"/>
  <c r="AA175" i="25"/>
  <c r="Z175" i="25"/>
  <c r="Y175" i="25"/>
  <c r="X175" i="25"/>
  <c r="W175" i="25"/>
  <c r="V175" i="25"/>
  <c r="U175" i="25"/>
  <c r="T175" i="25"/>
  <c r="S175" i="25"/>
  <c r="R175" i="25"/>
  <c r="Q175" i="25"/>
  <c r="P175" i="25"/>
  <c r="O175" i="25"/>
  <c r="N175" i="25"/>
  <c r="M175" i="25"/>
  <c r="L175" i="25"/>
  <c r="K175" i="25"/>
  <c r="J175" i="25"/>
  <c r="H175" i="25"/>
  <c r="G175" i="25"/>
  <c r="C175" i="25"/>
  <c r="D175" i="25" s="1"/>
  <c r="F175" i="25"/>
  <c r="AT174" i="25"/>
  <c r="AS174" i="25"/>
  <c r="AR174" i="25"/>
  <c r="AQ174" i="25"/>
  <c r="AO174" i="25"/>
  <c r="AN174" i="25"/>
  <c r="AM174" i="25"/>
  <c r="AL174" i="25"/>
  <c r="AK174" i="25"/>
  <c r="AJ174" i="25"/>
  <c r="AI174" i="25"/>
  <c r="AH174" i="25"/>
  <c r="AG174" i="25"/>
  <c r="AF174" i="25"/>
  <c r="AE174" i="25"/>
  <c r="AD174" i="25"/>
  <c r="AC174" i="25"/>
  <c r="AB174" i="25"/>
  <c r="AA174" i="25"/>
  <c r="Z174" i="25"/>
  <c r="Y174" i="25"/>
  <c r="X174" i="25"/>
  <c r="W174" i="25"/>
  <c r="V174" i="25"/>
  <c r="U174" i="25"/>
  <c r="T174" i="25"/>
  <c r="S174" i="25"/>
  <c r="R174" i="25"/>
  <c r="Q174" i="25"/>
  <c r="P174" i="25"/>
  <c r="O174" i="25"/>
  <c r="N174" i="25"/>
  <c r="M174" i="25"/>
  <c r="L174" i="25"/>
  <c r="K174" i="25"/>
  <c r="J174" i="25"/>
  <c r="H174" i="25"/>
  <c r="G174" i="25"/>
  <c r="C174" i="25"/>
  <c r="D174" i="25" s="1"/>
  <c r="F174" i="25"/>
  <c r="AT173" i="25"/>
  <c r="AS173" i="25"/>
  <c r="AR173" i="25"/>
  <c r="AQ173" i="25"/>
  <c r="AO173" i="25"/>
  <c r="AN173" i="25"/>
  <c r="AM173" i="25"/>
  <c r="AL173" i="25"/>
  <c r="AK173" i="25"/>
  <c r="AJ173" i="25"/>
  <c r="AI173" i="25"/>
  <c r="AH173" i="25"/>
  <c r="AG173" i="25"/>
  <c r="AF173" i="25"/>
  <c r="AE173" i="25"/>
  <c r="AD173" i="25"/>
  <c r="AC173" i="25"/>
  <c r="AB173" i="25"/>
  <c r="AA173" i="25"/>
  <c r="Z173" i="25"/>
  <c r="Y173" i="25"/>
  <c r="X173" i="25"/>
  <c r="W173" i="25"/>
  <c r="V173" i="25"/>
  <c r="U173" i="25"/>
  <c r="T173" i="25"/>
  <c r="S173" i="25"/>
  <c r="R173" i="25"/>
  <c r="Q173" i="25"/>
  <c r="P173" i="25"/>
  <c r="O173" i="25"/>
  <c r="N173" i="25"/>
  <c r="M173" i="25"/>
  <c r="L173" i="25"/>
  <c r="K173" i="25"/>
  <c r="J173" i="25"/>
  <c r="H173" i="25"/>
  <c r="G173" i="25"/>
  <c r="C173" i="25"/>
  <c r="D173" i="25" s="1"/>
  <c r="F173" i="25"/>
  <c r="AT205" i="25"/>
  <c r="AS205" i="25"/>
  <c r="AR205" i="25"/>
  <c r="AQ205" i="25"/>
  <c r="AO205" i="25"/>
  <c r="AN205" i="25"/>
  <c r="AM205" i="25"/>
  <c r="AL205" i="25"/>
  <c r="AK205" i="25"/>
  <c r="AJ205" i="25"/>
  <c r="AI205" i="25"/>
  <c r="AH205" i="25"/>
  <c r="AG205" i="25"/>
  <c r="AF205" i="25"/>
  <c r="AE205" i="25"/>
  <c r="AD205" i="25"/>
  <c r="AC205" i="25"/>
  <c r="AB205" i="25"/>
  <c r="AA205" i="25"/>
  <c r="Z205" i="25"/>
  <c r="Y205" i="25"/>
  <c r="X205" i="25"/>
  <c r="W205" i="25"/>
  <c r="V205" i="25"/>
  <c r="U205" i="25"/>
  <c r="T205" i="25"/>
  <c r="S205" i="25"/>
  <c r="R205" i="25"/>
  <c r="Q205" i="25"/>
  <c r="P205" i="25"/>
  <c r="O205" i="25"/>
  <c r="N205" i="25"/>
  <c r="M205" i="25"/>
  <c r="L205" i="25"/>
  <c r="K205" i="25"/>
  <c r="J205" i="25"/>
  <c r="H205" i="25"/>
  <c r="G205" i="25"/>
  <c r="C205" i="25"/>
  <c r="D205" i="25" s="1"/>
  <c r="F205" i="25"/>
  <c r="AT204" i="25"/>
  <c r="AS204" i="25"/>
  <c r="AR204" i="25"/>
  <c r="AQ204" i="25"/>
  <c r="AO204" i="25"/>
  <c r="AN204" i="25"/>
  <c r="AM204" i="25"/>
  <c r="AL204" i="25"/>
  <c r="AK204" i="25"/>
  <c r="AJ204" i="25"/>
  <c r="AI204" i="25"/>
  <c r="AH204" i="25"/>
  <c r="AG204" i="25"/>
  <c r="AF204" i="25"/>
  <c r="AE204" i="25"/>
  <c r="AD204" i="25"/>
  <c r="AC204" i="25"/>
  <c r="AB204" i="25"/>
  <c r="AA204" i="25"/>
  <c r="Z204" i="25"/>
  <c r="Y204" i="25"/>
  <c r="X204" i="25"/>
  <c r="W204" i="25"/>
  <c r="V204" i="25"/>
  <c r="U204" i="25"/>
  <c r="T204" i="25"/>
  <c r="S204" i="25"/>
  <c r="R204" i="25"/>
  <c r="Q204" i="25"/>
  <c r="P204" i="25"/>
  <c r="O204" i="25"/>
  <c r="N204" i="25"/>
  <c r="M204" i="25"/>
  <c r="L204" i="25"/>
  <c r="K204" i="25"/>
  <c r="J204" i="25"/>
  <c r="H204" i="25"/>
  <c r="G204" i="25"/>
  <c r="C204" i="25"/>
  <c r="D204" i="25" s="1"/>
  <c r="F204" i="25"/>
  <c r="AT203" i="25"/>
  <c r="AS203" i="25"/>
  <c r="AR203" i="25"/>
  <c r="AQ203" i="25"/>
  <c r="AO203" i="25"/>
  <c r="AN203" i="25"/>
  <c r="AM203" i="25"/>
  <c r="AL203" i="25"/>
  <c r="AK203" i="25"/>
  <c r="AJ203" i="25"/>
  <c r="AI203" i="25"/>
  <c r="AH203" i="25"/>
  <c r="AG203" i="25"/>
  <c r="AF203" i="25"/>
  <c r="AE203" i="25"/>
  <c r="AD203" i="25"/>
  <c r="AC203" i="25"/>
  <c r="AB203" i="25"/>
  <c r="AA203" i="25"/>
  <c r="Z203" i="25"/>
  <c r="Y203" i="25"/>
  <c r="X203" i="25"/>
  <c r="W203" i="25"/>
  <c r="V203" i="25"/>
  <c r="U203" i="25"/>
  <c r="T203" i="25"/>
  <c r="S203" i="25"/>
  <c r="R203" i="25"/>
  <c r="Q203" i="25"/>
  <c r="P203" i="25"/>
  <c r="O203" i="25"/>
  <c r="N203" i="25"/>
  <c r="M203" i="25"/>
  <c r="L203" i="25"/>
  <c r="K203" i="25"/>
  <c r="J203" i="25"/>
  <c r="H203" i="25"/>
  <c r="G203" i="25"/>
  <c r="C203" i="25"/>
  <c r="D203" i="25" s="1"/>
  <c r="F203" i="25"/>
  <c r="AT202" i="25"/>
  <c r="AS202" i="25"/>
  <c r="AR202" i="25"/>
  <c r="AQ202" i="25"/>
  <c r="AO202" i="25"/>
  <c r="AN202" i="25"/>
  <c r="AM202" i="25"/>
  <c r="AL202" i="25"/>
  <c r="AK202" i="25"/>
  <c r="AJ202" i="25"/>
  <c r="AI202" i="25"/>
  <c r="AH202" i="25"/>
  <c r="AG202" i="25"/>
  <c r="AF202" i="25"/>
  <c r="AE202" i="25"/>
  <c r="AD202" i="25"/>
  <c r="AC202" i="25"/>
  <c r="AB202" i="25"/>
  <c r="AA202" i="25"/>
  <c r="Z202" i="25"/>
  <c r="Y202" i="25"/>
  <c r="X202" i="25"/>
  <c r="W202" i="25"/>
  <c r="V202" i="25"/>
  <c r="U202" i="25"/>
  <c r="T202" i="25"/>
  <c r="S202" i="25"/>
  <c r="R202" i="25"/>
  <c r="Q202" i="25"/>
  <c r="P202" i="25"/>
  <c r="O202" i="25"/>
  <c r="N202" i="25"/>
  <c r="M202" i="25"/>
  <c r="L202" i="25"/>
  <c r="K202" i="25"/>
  <c r="J202" i="25"/>
  <c r="H202" i="25"/>
  <c r="G202" i="25"/>
  <c r="C202" i="25"/>
  <c r="D202" i="25" s="1"/>
  <c r="F202" i="25"/>
  <c r="AT197" i="25"/>
  <c r="AS197" i="25"/>
  <c r="AR197" i="25"/>
  <c r="AQ197" i="25"/>
  <c r="AO197" i="25"/>
  <c r="AN197" i="25"/>
  <c r="AM197" i="25"/>
  <c r="AL197" i="25"/>
  <c r="AK197" i="25"/>
  <c r="AJ197" i="25"/>
  <c r="AI197" i="25"/>
  <c r="AH197" i="25"/>
  <c r="AG197" i="25"/>
  <c r="AF197" i="25"/>
  <c r="AE197" i="25"/>
  <c r="AD197" i="25"/>
  <c r="AC197" i="25"/>
  <c r="AB197" i="25"/>
  <c r="AA197" i="25"/>
  <c r="Z197" i="25"/>
  <c r="Y197" i="25"/>
  <c r="X197" i="25"/>
  <c r="W197" i="25"/>
  <c r="V197" i="25"/>
  <c r="U197" i="25"/>
  <c r="T197" i="25"/>
  <c r="S197" i="25"/>
  <c r="R197" i="25"/>
  <c r="Q197" i="25"/>
  <c r="P197" i="25"/>
  <c r="O197" i="25"/>
  <c r="N197" i="25"/>
  <c r="M197" i="25"/>
  <c r="L197" i="25"/>
  <c r="K197" i="25"/>
  <c r="J197" i="25"/>
  <c r="H197" i="25"/>
  <c r="G197" i="25"/>
  <c r="C197" i="25"/>
  <c r="D197" i="25" s="1"/>
  <c r="F197" i="25"/>
  <c r="AT196" i="25"/>
  <c r="AS196" i="25"/>
  <c r="AR196" i="25"/>
  <c r="AQ196" i="25"/>
  <c r="AO196" i="25"/>
  <c r="AN196" i="25"/>
  <c r="AM196" i="25"/>
  <c r="AL196" i="25"/>
  <c r="AK196" i="25"/>
  <c r="AJ196" i="25"/>
  <c r="AI196" i="25"/>
  <c r="AH196" i="25"/>
  <c r="AG196" i="25"/>
  <c r="AF196" i="25"/>
  <c r="AE196" i="25"/>
  <c r="AD196" i="25"/>
  <c r="AC196" i="25"/>
  <c r="AB196" i="25"/>
  <c r="AA196" i="25"/>
  <c r="Z196" i="25"/>
  <c r="Y196" i="25"/>
  <c r="X196" i="25"/>
  <c r="W196" i="25"/>
  <c r="V196" i="25"/>
  <c r="U196" i="25"/>
  <c r="T196" i="25"/>
  <c r="S196" i="25"/>
  <c r="R196" i="25"/>
  <c r="Q196" i="25"/>
  <c r="P196" i="25"/>
  <c r="O196" i="25"/>
  <c r="N196" i="25"/>
  <c r="M196" i="25"/>
  <c r="L196" i="25"/>
  <c r="K196" i="25"/>
  <c r="J196" i="25"/>
  <c r="H196" i="25"/>
  <c r="G196" i="25"/>
  <c r="C196" i="25"/>
  <c r="D196" i="25" s="1"/>
  <c r="F196" i="25"/>
  <c r="AT195" i="25"/>
  <c r="AS195" i="25"/>
  <c r="AR195" i="25"/>
  <c r="AQ195" i="25"/>
  <c r="AO195" i="25"/>
  <c r="AN195" i="25"/>
  <c r="AM195" i="25"/>
  <c r="AL195" i="25"/>
  <c r="AK195" i="25"/>
  <c r="AJ195" i="25"/>
  <c r="AI195" i="25"/>
  <c r="AH195" i="25"/>
  <c r="AG195" i="25"/>
  <c r="AF195" i="25"/>
  <c r="AE195" i="25"/>
  <c r="AD195" i="25"/>
  <c r="AC195" i="25"/>
  <c r="AB195" i="25"/>
  <c r="AA195" i="25"/>
  <c r="Z195" i="25"/>
  <c r="Y195" i="25"/>
  <c r="X195" i="25"/>
  <c r="W195" i="25"/>
  <c r="V195" i="25"/>
  <c r="U195" i="25"/>
  <c r="T195" i="25"/>
  <c r="S195" i="25"/>
  <c r="R195" i="25"/>
  <c r="Q195" i="25"/>
  <c r="P195" i="25"/>
  <c r="O195" i="25"/>
  <c r="N195" i="25"/>
  <c r="M195" i="25"/>
  <c r="L195" i="25"/>
  <c r="K195" i="25"/>
  <c r="J195" i="25"/>
  <c r="H195" i="25"/>
  <c r="G195" i="25"/>
  <c r="C195" i="25"/>
  <c r="D195" i="25" s="1"/>
  <c r="F195" i="25"/>
  <c r="AT194" i="25"/>
  <c r="AS194" i="25"/>
  <c r="AR194" i="25"/>
  <c r="AQ194" i="25"/>
  <c r="AO194" i="25"/>
  <c r="AN194" i="25"/>
  <c r="AM194" i="25"/>
  <c r="AL194" i="25"/>
  <c r="AK194" i="25"/>
  <c r="AJ194" i="25"/>
  <c r="AI194" i="25"/>
  <c r="AH194" i="25"/>
  <c r="AG194" i="25"/>
  <c r="AF194" i="25"/>
  <c r="AE194" i="25"/>
  <c r="AD194" i="25"/>
  <c r="AC194" i="25"/>
  <c r="AB194" i="25"/>
  <c r="AA194" i="25"/>
  <c r="Z194" i="25"/>
  <c r="Y194" i="25"/>
  <c r="X194" i="25"/>
  <c r="W194" i="25"/>
  <c r="V194" i="25"/>
  <c r="U194" i="25"/>
  <c r="T194" i="25"/>
  <c r="S194" i="25"/>
  <c r="R194" i="25"/>
  <c r="Q194" i="25"/>
  <c r="P194" i="25"/>
  <c r="O194" i="25"/>
  <c r="N194" i="25"/>
  <c r="M194" i="25"/>
  <c r="L194" i="25"/>
  <c r="K194" i="25"/>
  <c r="J194" i="25"/>
  <c r="H194" i="25"/>
  <c r="G194" i="25"/>
  <c r="C194" i="25"/>
  <c r="D194" i="25" s="1"/>
  <c r="F194" i="25"/>
  <c r="AT193" i="25"/>
  <c r="AS193" i="25"/>
  <c r="AR193" i="25"/>
  <c r="AQ193" i="25"/>
  <c r="AO193" i="25"/>
  <c r="AN193" i="25"/>
  <c r="AM193" i="25"/>
  <c r="AL193" i="25"/>
  <c r="AK193" i="25"/>
  <c r="AJ193" i="25"/>
  <c r="AI193" i="25"/>
  <c r="AH193" i="25"/>
  <c r="AG193" i="25"/>
  <c r="AF193" i="25"/>
  <c r="AE193" i="25"/>
  <c r="AD193" i="25"/>
  <c r="AC193" i="25"/>
  <c r="AB193" i="25"/>
  <c r="AA193" i="25"/>
  <c r="Z193" i="25"/>
  <c r="Y193" i="25"/>
  <c r="X193" i="25"/>
  <c r="W193" i="25"/>
  <c r="V193" i="25"/>
  <c r="U193" i="25"/>
  <c r="T193" i="25"/>
  <c r="S193" i="25"/>
  <c r="R193" i="25"/>
  <c r="Q193" i="25"/>
  <c r="P193" i="25"/>
  <c r="O193" i="25"/>
  <c r="N193" i="25"/>
  <c r="M193" i="25"/>
  <c r="L193" i="25"/>
  <c r="K193" i="25"/>
  <c r="J193" i="25"/>
  <c r="H193" i="25"/>
  <c r="G193" i="25"/>
  <c r="C193" i="25"/>
  <c r="D193" i="25" s="1"/>
  <c r="F193" i="25"/>
  <c r="AT213" i="25"/>
  <c r="AS213" i="25"/>
  <c r="AR213" i="25"/>
  <c r="AQ213" i="25"/>
  <c r="AO213" i="25"/>
  <c r="AN213" i="25"/>
  <c r="AM213" i="25"/>
  <c r="AL213" i="25"/>
  <c r="AK213" i="25"/>
  <c r="AJ213" i="25"/>
  <c r="AI213" i="25"/>
  <c r="AH213" i="25"/>
  <c r="AG213" i="25"/>
  <c r="AF213" i="25"/>
  <c r="AE213" i="25"/>
  <c r="AD213" i="25"/>
  <c r="AC213" i="25"/>
  <c r="AB213" i="25"/>
  <c r="AA213" i="25"/>
  <c r="Z213" i="25"/>
  <c r="Y213" i="25"/>
  <c r="X213" i="25"/>
  <c r="W213" i="25"/>
  <c r="V213" i="25"/>
  <c r="U213" i="25"/>
  <c r="T213" i="25"/>
  <c r="S213" i="25"/>
  <c r="R213" i="25"/>
  <c r="Q213" i="25"/>
  <c r="P213" i="25"/>
  <c r="O213" i="25"/>
  <c r="N213" i="25"/>
  <c r="M213" i="25"/>
  <c r="L213" i="25"/>
  <c r="K213" i="25"/>
  <c r="J213" i="25"/>
  <c r="H213" i="25"/>
  <c r="G213" i="25"/>
  <c r="C213" i="25"/>
  <c r="D213" i="25" s="1"/>
  <c r="F213" i="25"/>
  <c r="AT212" i="25"/>
  <c r="AS212" i="25"/>
  <c r="AR212" i="25"/>
  <c r="AQ212" i="25"/>
  <c r="AO212" i="25"/>
  <c r="AN212" i="25"/>
  <c r="AM212" i="25"/>
  <c r="AL212" i="25"/>
  <c r="AK212" i="25"/>
  <c r="AJ212" i="25"/>
  <c r="AI212" i="25"/>
  <c r="AH212" i="25"/>
  <c r="AG212" i="25"/>
  <c r="AF212" i="25"/>
  <c r="AE212" i="25"/>
  <c r="AD212" i="25"/>
  <c r="AC212" i="25"/>
  <c r="AB212" i="25"/>
  <c r="AA212" i="25"/>
  <c r="Z212" i="25"/>
  <c r="Y212" i="25"/>
  <c r="X212" i="25"/>
  <c r="W212" i="25"/>
  <c r="V212" i="25"/>
  <c r="U212" i="25"/>
  <c r="T212" i="25"/>
  <c r="S212" i="25"/>
  <c r="R212" i="25"/>
  <c r="Q212" i="25"/>
  <c r="P212" i="25"/>
  <c r="O212" i="25"/>
  <c r="N212" i="25"/>
  <c r="M212" i="25"/>
  <c r="L212" i="25"/>
  <c r="K212" i="25"/>
  <c r="J212" i="25"/>
  <c r="H212" i="25"/>
  <c r="G212" i="25"/>
  <c r="C212" i="25"/>
  <c r="D212" i="25" s="1"/>
  <c r="F212" i="25"/>
  <c r="AT211" i="25"/>
  <c r="AS211" i="25"/>
  <c r="AR211" i="25"/>
  <c r="AQ211" i="25"/>
  <c r="AO211" i="25"/>
  <c r="AN211" i="25"/>
  <c r="AM211" i="25"/>
  <c r="AL211" i="25"/>
  <c r="AK211" i="25"/>
  <c r="AJ211" i="25"/>
  <c r="AI211" i="25"/>
  <c r="AH211" i="25"/>
  <c r="AG211" i="25"/>
  <c r="AF211" i="25"/>
  <c r="AE211" i="25"/>
  <c r="AD211" i="25"/>
  <c r="AC211" i="25"/>
  <c r="AB211" i="25"/>
  <c r="AA211" i="25"/>
  <c r="Z211" i="25"/>
  <c r="Y211" i="25"/>
  <c r="X211" i="25"/>
  <c r="W211" i="25"/>
  <c r="V211" i="25"/>
  <c r="U211" i="25"/>
  <c r="T211" i="25"/>
  <c r="S211" i="25"/>
  <c r="R211" i="25"/>
  <c r="Q211" i="25"/>
  <c r="P211" i="25"/>
  <c r="O211" i="25"/>
  <c r="N211" i="25"/>
  <c r="M211" i="25"/>
  <c r="L211" i="25"/>
  <c r="K211" i="25"/>
  <c r="J211" i="25"/>
  <c r="H211" i="25"/>
  <c r="G211" i="25"/>
  <c r="C211" i="25"/>
  <c r="D211" i="25" s="1"/>
  <c r="F211" i="25"/>
  <c r="AT210" i="25"/>
  <c r="AS210" i="25"/>
  <c r="AR210" i="25"/>
  <c r="AQ210" i="25"/>
  <c r="AO210" i="25"/>
  <c r="AN210" i="25"/>
  <c r="AM210" i="25"/>
  <c r="AL210" i="25"/>
  <c r="AK210" i="25"/>
  <c r="AJ210" i="25"/>
  <c r="AI210" i="25"/>
  <c r="AH210" i="25"/>
  <c r="AG210" i="25"/>
  <c r="AF210" i="25"/>
  <c r="AE210" i="25"/>
  <c r="AD210" i="25"/>
  <c r="AC210" i="25"/>
  <c r="AB210" i="25"/>
  <c r="AA210" i="25"/>
  <c r="Z210" i="25"/>
  <c r="Y210" i="25"/>
  <c r="X210" i="25"/>
  <c r="W210" i="25"/>
  <c r="V210" i="25"/>
  <c r="U210" i="25"/>
  <c r="T210" i="25"/>
  <c r="S210" i="25"/>
  <c r="R210" i="25"/>
  <c r="Q210" i="25"/>
  <c r="P210" i="25"/>
  <c r="O210" i="25"/>
  <c r="N210" i="25"/>
  <c r="M210" i="25"/>
  <c r="L210" i="25"/>
  <c r="K210" i="25"/>
  <c r="J210" i="25"/>
  <c r="H210" i="25"/>
  <c r="G210" i="25"/>
  <c r="C210" i="25"/>
  <c r="D210" i="25" s="1"/>
  <c r="F210" i="25"/>
  <c r="AT201" i="25"/>
  <c r="AS201" i="25"/>
  <c r="AR201" i="25"/>
  <c r="AQ201" i="25"/>
  <c r="AO201" i="25"/>
  <c r="AN201" i="25"/>
  <c r="AM201" i="25"/>
  <c r="AL201" i="25"/>
  <c r="AK201" i="25"/>
  <c r="AJ201" i="25"/>
  <c r="AI201" i="25"/>
  <c r="AH201" i="25"/>
  <c r="AG201" i="25"/>
  <c r="AF201" i="25"/>
  <c r="AE201" i="25"/>
  <c r="AD201" i="25"/>
  <c r="AC201" i="25"/>
  <c r="AB201" i="25"/>
  <c r="AA201" i="25"/>
  <c r="Z201" i="25"/>
  <c r="Y201" i="25"/>
  <c r="X201" i="25"/>
  <c r="W201" i="25"/>
  <c r="V201" i="25"/>
  <c r="U201" i="25"/>
  <c r="T201" i="25"/>
  <c r="S201" i="25"/>
  <c r="R201" i="25"/>
  <c r="Q201" i="25"/>
  <c r="P201" i="25"/>
  <c r="O201" i="25"/>
  <c r="N201" i="25"/>
  <c r="M201" i="25"/>
  <c r="L201" i="25"/>
  <c r="K201" i="25"/>
  <c r="J201" i="25"/>
  <c r="H201" i="25"/>
  <c r="G201" i="25"/>
  <c r="C201" i="25"/>
  <c r="D201" i="25" s="1"/>
  <c r="F201" i="25"/>
  <c r="AT200" i="25"/>
  <c r="AS200" i="25"/>
  <c r="AR200" i="25"/>
  <c r="AQ200" i="25"/>
  <c r="AO200" i="25"/>
  <c r="AN200" i="25"/>
  <c r="AM200" i="25"/>
  <c r="AL200" i="25"/>
  <c r="AK200" i="25"/>
  <c r="AJ200" i="25"/>
  <c r="AI200" i="25"/>
  <c r="AH200" i="25"/>
  <c r="AG200" i="25"/>
  <c r="AF200" i="25"/>
  <c r="AE200" i="25"/>
  <c r="AD200" i="25"/>
  <c r="AC200" i="25"/>
  <c r="AB200" i="25"/>
  <c r="AA200" i="25"/>
  <c r="Z200" i="25"/>
  <c r="Y200" i="25"/>
  <c r="X200" i="25"/>
  <c r="W200" i="25"/>
  <c r="V200" i="25"/>
  <c r="U200" i="25"/>
  <c r="T200" i="25"/>
  <c r="S200" i="25"/>
  <c r="R200" i="25"/>
  <c r="Q200" i="25"/>
  <c r="P200" i="25"/>
  <c r="O200" i="25"/>
  <c r="N200" i="25"/>
  <c r="M200" i="25"/>
  <c r="L200" i="25"/>
  <c r="K200" i="25"/>
  <c r="J200" i="25"/>
  <c r="H200" i="25"/>
  <c r="G200" i="25"/>
  <c r="C200" i="25"/>
  <c r="D200" i="25" s="1"/>
  <c r="F200" i="25"/>
  <c r="AT199" i="25"/>
  <c r="AS199" i="25"/>
  <c r="AR199" i="25"/>
  <c r="AQ199" i="25"/>
  <c r="AO199" i="25"/>
  <c r="AN199" i="25"/>
  <c r="AM199" i="25"/>
  <c r="AL199" i="25"/>
  <c r="AK199" i="25"/>
  <c r="AJ199" i="25"/>
  <c r="AI199" i="25"/>
  <c r="AH199" i="25"/>
  <c r="AG199" i="25"/>
  <c r="AF199" i="25"/>
  <c r="AE199" i="25"/>
  <c r="AD199" i="25"/>
  <c r="AC199" i="25"/>
  <c r="AB199" i="25"/>
  <c r="AA199" i="25"/>
  <c r="Z199" i="25"/>
  <c r="Y199" i="25"/>
  <c r="X199" i="25"/>
  <c r="W199" i="25"/>
  <c r="V199" i="25"/>
  <c r="U199" i="25"/>
  <c r="T199" i="25"/>
  <c r="S199" i="25"/>
  <c r="R199" i="25"/>
  <c r="Q199" i="25"/>
  <c r="P199" i="25"/>
  <c r="O199" i="25"/>
  <c r="N199" i="25"/>
  <c r="M199" i="25"/>
  <c r="L199" i="25"/>
  <c r="K199" i="25"/>
  <c r="J199" i="25"/>
  <c r="H199" i="25"/>
  <c r="G199" i="25"/>
  <c r="C199" i="25"/>
  <c r="D199" i="25" s="1"/>
  <c r="F199" i="25"/>
  <c r="AT198" i="25"/>
  <c r="AS198" i="25"/>
  <c r="AR198" i="25"/>
  <c r="AQ198" i="25"/>
  <c r="AO198" i="25"/>
  <c r="AN198" i="25"/>
  <c r="AM198" i="25"/>
  <c r="AL198" i="25"/>
  <c r="AK198" i="25"/>
  <c r="AJ198" i="25"/>
  <c r="AI198" i="25"/>
  <c r="AH198" i="25"/>
  <c r="AG198" i="25"/>
  <c r="AF198" i="25"/>
  <c r="AE198" i="25"/>
  <c r="AD198" i="25"/>
  <c r="AC198" i="25"/>
  <c r="AB198" i="25"/>
  <c r="AA198" i="25"/>
  <c r="Z198" i="25"/>
  <c r="Y198" i="25"/>
  <c r="X198" i="25"/>
  <c r="W198" i="25"/>
  <c r="V198" i="25"/>
  <c r="U198" i="25"/>
  <c r="T198" i="25"/>
  <c r="S198" i="25"/>
  <c r="R198" i="25"/>
  <c r="Q198" i="25"/>
  <c r="P198" i="25"/>
  <c r="O198" i="25"/>
  <c r="N198" i="25"/>
  <c r="M198" i="25"/>
  <c r="L198" i="25"/>
  <c r="K198" i="25"/>
  <c r="J198" i="25"/>
  <c r="H198" i="25"/>
  <c r="G198" i="25"/>
  <c r="C198" i="25"/>
  <c r="D198" i="25" s="1"/>
  <c r="F198" i="25"/>
  <c r="AT219" i="25"/>
  <c r="AS219" i="25"/>
  <c r="AR219" i="25"/>
  <c r="AQ219" i="25"/>
  <c r="AO219" i="25"/>
  <c r="AN219" i="25"/>
  <c r="AM219" i="25"/>
  <c r="AL219" i="25"/>
  <c r="AK219" i="25"/>
  <c r="AJ219" i="25"/>
  <c r="AI219" i="25"/>
  <c r="AH219" i="25"/>
  <c r="AG219" i="25"/>
  <c r="AF219" i="25"/>
  <c r="AE219" i="25"/>
  <c r="AD219" i="25"/>
  <c r="AC219" i="25"/>
  <c r="AB219" i="25"/>
  <c r="AA219" i="25"/>
  <c r="Z219" i="25"/>
  <c r="Y219" i="25"/>
  <c r="X219" i="25"/>
  <c r="W219" i="25"/>
  <c r="V219" i="25"/>
  <c r="U219" i="25"/>
  <c r="T219" i="25"/>
  <c r="S219" i="25"/>
  <c r="R219" i="25"/>
  <c r="Q219" i="25"/>
  <c r="P219" i="25"/>
  <c r="O219" i="25"/>
  <c r="N219" i="25"/>
  <c r="M219" i="25"/>
  <c r="L219" i="25"/>
  <c r="K219" i="25"/>
  <c r="J219" i="25"/>
  <c r="H219" i="25"/>
  <c r="G219" i="25"/>
  <c r="C219" i="25"/>
  <c r="D219" i="25" s="1"/>
  <c r="F219" i="25"/>
  <c r="AT223" i="25"/>
  <c r="AS223" i="25"/>
  <c r="AR223" i="25"/>
  <c r="AQ223" i="25"/>
  <c r="AO223" i="25"/>
  <c r="AN223" i="25"/>
  <c r="AM223" i="25"/>
  <c r="AL223" i="25"/>
  <c r="AK223" i="25"/>
  <c r="AJ223" i="25"/>
  <c r="AI223" i="25"/>
  <c r="AH223" i="25"/>
  <c r="AG223" i="25"/>
  <c r="AF223" i="25"/>
  <c r="AE223" i="25"/>
  <c r="AD223" i="25"/>
  <c r="AC223" i="25"/>
  <c r="AB223" i="25"/>
  <c r="AA223" i="25"/>
  <c r="Z223" i="25"/>
  <c r="Y223" i="25"/>
  <c r="X223" i="25"/>
  <c r="W223" i="25"/>
  <c r="V223" i="25"/>
  <c r="U223" i="25"/>
  <c r="T223" i="25"/>
  <c r="S223" i="25"/>
  <c r="R223" i="25"/>
  <c r="Q223" i="25"/>
  <c r="P223" i="25"/>
  <c r="O223" i="25"/>
  <c r="N223" i="25"/>
  <c r="M223" i="25"/>
  <c r="L223" i="25"/>
  <c r="K223" i="25"/>
  <c r="J223" i="25"/>
  <c r="H223" i="25"/>
  <c r="G223" i="25"/>
  <c r="C223" i="25"/>
  <c r="D223" i="25" s="1"/>
  <c r="F223" i="25"/>
  <c r="AT222" i="25"/>
  <c r="AS222" i="25"/>
  <c r="AR222" i="25"/>
  <c r="AQ222" i="25"/>
  <c r="AO222" i="25"/>
  <c r="AN222" i="25"/>
  <c r="AM222" i="25"/>
  <c r="AL222" i="25"/>
  <c r="AK222" i="25"/>
  <c r="AJ222" i="25"/>
  <c r="AI222" i="25"/>
  <c r="AH222" i="25"/>
  <c r="AG222" i="25"/>
  <c r="AF222" i="25"/>
  <c r="AE222" i="25"/>
  <c r="AD222" i="25"/>
  <c r="AC222" i="25"/>
  <c r="AB222" i="25"/>
  <c r="AA222" i="25"/>
  <c r="Z222" i="25"/>
  <c r="Y222" i="25"/>
  <c r="X222" i="25"/>
  <c r="W222" i="25"/>
  <c r="V222" i="25"/>
  <c r="U222" i="25"/>
  <c r="T222" i="25"/>
  <c r="S222" i="25"/>
  <c r="R222" i="25"/>
  <c r="Q222" i="25"/>
  <c r="P222" i="25"/>
  <c r="O222" i="25"/>
  <c r="N222" i="25"/>
  <c r="M222" i="25"/>
  <c r="L222" i="25"/>
  <c r="K222" i="25"/>
  <c r="J222" i="25"/>
  <c r="H222" i="25"/>
  <c r="G222" i="25"/>
  <c r="C222" i="25"/>
  <c r="D222" i="25" s="1"/>
  <c r="F222" i="25"/>
  <c r="AT220" i="25"/>
  <c r="AS220" i="25"/>
  <c r="AR220" i="25"/>
  <c r="AQ220" i="25"/>
  <c r="AO220" i="25"/>
  <c r="AN220" i="25"/>
  <c r="AM220" i="25"/>
  <c r="AL220" i="25"/>
  <c r="AK220" i="25"/>
  <c r="AJ220" i="25"/>
  <c r="AI220" i="25"/>
  <c r="AH220" i="25"/>
  <c r="AG220" i="25"/>
  <c r="AF220" i="25"/>
  <c r="AE220" i="25"/>
  <c r="AD220" i="25"/>
  <c r="AC220" i="25"/>
  <c r="AB220" i="25"/>
  <c r="AA220" i="25"/>
  <c r="Z220" i="25"/>
  <c r="Y220" i="25"/>
  <c r="X220" i="25"/>
  <c r="W220" i="25"/>
  <c r="V220" i="25"/>
  <c r="U220" i="25"/>
  <c r="T220" i="25"/>
  <c r="S220" i="25"/>
  <c r="R220" i="25"/>
  <c r="Q220" i="25"/>
  <c r="P220" i="25"/>
  <c r="O220" i="25"/>
  <c r="N220" i="25"/>
  <c r="M220" i="25"/>
  <c r="L220" i="25"/>
  <c r="K220" i="25"/>
  <c r="J220" i="25"/>
  <c r="H220" i="25"/>
  <c r="G220" i="25"/>
  <c r="C220" i="25"/>
  <c r="D220" i="25" s="1"/>
  <c r="F220" i="25"/>
  <c r="AT221" i="25"/>
  <c r="AS221" i="25"/>
  <c r="AR221" i="25"/>
  <c r="AQ221" i="25"/>
  <c r="AO221" i="25"/>
  <c r="AN221" i="25"/>
  <c r="AM221" i="25"/>
  <c r="AL221" i="25"/>
  <c r="AK221" i="25"/>
  <c r="AJ221" i="25"/>
  <c r="AI221" i="25"/>
  <c r="AH221" i="25"/>
  <c r="AG221" i="25"/>
  <c r="AF221" i="25"/>
  <c r="AE221" i="25"/>
  <c r="AD221" i="25"/>
  <c r="AC221" i="25"/>
  <c r="AB221" i="25"/>
  <c r="AA221" i="25"/>
  <c r="Z221" i="25"/>
  <c r="Y221" i="25"/>
  <c r="X221" i="25"/>
  <c r="W221" i="25"/>
  <c r="V221" i="25"/>
  <c r="U221" i="25"/>
  <c r="T221" i="25"/>
  <c r="S221" i="25"/>
  <c r="R221" i="25"/>
  <c r="Q221" i="25"/>
  <c r="P221" i="25"/>
  <c r="O221" i="25"/>
  <c r="N221" i="25"/>
  <c r="M221" i="25"/>
  <c r="L221" i="25"/>
  <c r="K221" i="25"/>
  <c r="J221" i="25"/>
  <c r="H221" i="25"/>
  <c r="G221" i="25"/>
  <c r="C221" i="25"/>
  <c r="D221" i="25" s="1"/>
  <c r="F221" i="25"/>
  <c r="AT218" i="25"/>
  <c r="AS218" i="25"/>
  <c r="AR218" i="25"/>
  <c r="AQ218" i="25"/>
  <c r="AO218" i="25"/>
  <c r="AN218" i="25"/>
  <c r="AM218" i="25"/>
  <c r="AL218" i="25"/>
  <c r="AK218" i="25"/>
  <c r="AJ218" i="25"/>
  <c r="AI218" i="25"/>
  <c r="AH218" i="25"/>
  <c r="AG218" i="25"/>
  <c r="AF218" i="25"/>
  <c r="AE218" i="25"/>
  <c r="AD218" i="25"/>
  <c r="AC218" i="25"/>
  <c r="AB218" i="25"/>
  <c r="AA218" i="25"/>
  <c r="Z218" i="25"/>
  <c r="Y218" i="25"/>
  <c r="X218" i="25"/>
  <c r="W218" i="25"/>
  <c r="V218" i="25"/>
  <c r="U218" i="25"/>
  <c r="T218" i="25"/>
  <c r="S218" i="25"/>
  <c r="R218" i="25"/>
  <c r="Q218" i="25"/>
  <c r="P218" i="25"/>
  <c r="O218" i="25"/>
  <c r="N218" i="25"/>
  <c r="M218" i="25"/>
  <c r="L218" i="25"/>
  <c r="K218" i="25"/>
  <c r="J218" i="25"/>
  <c r="H218" i="25"/>
  <c r="G218" i="25"/>
  <c r="C218" i="25"/>
  <c r="D218" i="25" s="1"/>
  <c r="F218" i="25"/>
  <c r="AT217" i="25"/>
  <c r="AS217" i="25"/>
  <c r="AR217" i="25"/>
  <c r="AQ217" i="25"/>
  <c r="AO217" i="25"/>
  <c r="AN217" i="25"/>
  <c r="AM217" i="25"/>
  <c r="AL217" i="25"/>
  <c r="AK217" i="25"/>
  <c r="AJ217" i="25"/>
  <c r="AI217" i="25"/>
  <c r="AH217" i="25"/>
  <c r="AG217" i="25"/>
  <c r="AF217" i="25"/>
  <c r="AE217" i="25"/>
  <c r="AD217" i="25"/>
  <c r="AC217" i="25"/>
  <c r="AB217" i="25"/>
  <c r="AA217" i="25"/>
  <c r="Z217" i="25"/>
  <c r="Y217" i="25"/>
  <c r="X217" i="25"/>
  <c r="W217" i="25"/>
  <c r="V217" i="25"/>
  <c r="U217" i="25"/>
  <c r="T217" i="25"/>
  <c r="S217" i="25"/>
  <c r="R217" i="25"/>
  <c r="Q217" i="25"/>
  <c r="P217" i="25"/>
  <c r="O217" i="25"/>
  <c r="N217" i="25"/>
  <c r="M217" i="25"/>
  <c r="L217" i="25"/>
  <c r="K217" i="25"/>
  <c r="J217" i="25"/>
  <c r="H217" i="25"/>
  <c r="G217" i="25"/>
  <c r="C217" i="25"/>
  <c r="D217" i="25" s="1"/>
  <c r="F217" i="25"/>
  <c r="AT216" i="25"/>
  <c r="AS216" i="25"/>
  <c r="AR216" i="25"/>
  <c r="AQ216" i="25"/>
  <c r="AO216" i="25"/>
  <c r="AN216" i="25"/>
  <c r="AM216" i="25"/>
  <c r="AL216" i="25"/>
  <c r="AK216" i="25"/>
  <c r="AJ216" i="25"/>
  <c r="AI216" i="25"/>
  <c r="AH216" i="25"/>
  <c r="AG216" i="25"/>
  <c r="AF216" i="25"/>
  <c r="AE216" i="25"/>
  <c r="AD216" i="25"/>
  <c r="AC216" i="25"/>
  <c r="AB216" i="25"/>
  <c r="AA216" i="25"/>
  <c r="Z216" i="25"/>
  <c r="Y216" i="25"/>
  <c r="X216" i="25"/>
  <c r="W216" i="25"/>
  <c r="V216" i="25"/>
  <c r="U216" i="25"/>
  <c r="T216" i="25"/>
  <c r="S216" i="25"/>
  <c r="R216" i="25"/>
  <c r="Q216" i="25"/>
  <c r="P216" i="25"/>
  <c r="O216" i="25"/>
  <c r="N216" i="25"/>
  <c r="M216" i="25"/>
  <c r="L216" i="25"/>
  <c r="K216" i="25"/>
  <c r="J216" i="25"/>
  <c r="H216" i="25"/>
  <c r="G216" i="25"/>
  <c r="C216" i="25"/>
  <c r="D216" i="25" s="1"/>
  <c r="F216" i="25"/>
  <c r="AT215" i="25"/>
  <c r="AS215" i="25"/>
  <c r="AR215" i="25"/>
  <c r="AQ215" i="25"/>
  <c r="AO215" i="25"/>
  <c r="AN215" i="25"/>
  <c r="AM215" i="25"/>
  <c r="AL215" i="25"/>
  <c r="AK215" i="25"/>
  <c r="AJ215" i="25"/>
  <c r="AI215" i="25"/>
  <c r="AH215" i="25"/>
  <c r="AG215" i="25"/>
  <c r="AF215" i="25"/>
  <c r="AE215" i="25"/>
  <c r="AD215" i="25"/>
  <c r="AC215" i="25"/>
  <c r="AB215" i="25"/>
  <c r="AA215" i="25"/>
  <c r="Z215" i="25"/>
  <c r="Y215" i="25"/>
  <c r="X215" i="25"/>
  <c r="W215" i="25"/>
  <c r="V215" i="25"/>
  <c r="U215" i="25"/>
  <c r="T215" i="25"/>
  <c r="S215" i="25"/>
  <c r="R215" i="25"/>
  <c r="Q215" i="25"/>
  <c r="P215" i="25"/>
  <c r="O215" i="25"/>
  <c r="N215" i="25"/>
  <c r="M215" i="25"/>
  <c r="L215" i="25"/>
  <c r="K215" i="25"/>
  <c r="J215" i="25"/>
  <c r="H215" i="25"/>
  <c r="G215" i="25"/>
  <c r="C215" i="25"/>
  <c r="D215" i="25" s="1"/>
  <c r="F215" i="25"/>
  <c r="AT214" i="25"/>
  <c r="AS214" i="25"/>
  <c r="AR214" i="25"/>
  <c r="AQ214" i="25"/>
  <c r="AO214" i="25"/>
  <c r="AN214" i="25"/>
  <c r="AM214" i="25"/>
  <c r="AL214" i="25"/>
  <c r="AK214" i="25"/>
  <c r="AJ214" i="25"/>
  <c r="AI214" i="25"/>
  <c r="AH214" i="25"/>
  <c r="AG214" i="25"/>
  <c r="AF214" i="25"/>
  <c r="AE214" i="25"/>
  <c r="AD214" i="25"/>
  <c r="AC214" i="25"/>
  <c r="AB214" i="25"/>
  <c r="AA214" i="25"/>
  <c r="Z214" i="25"/>
  <c r="Y214" i="25"/>
  <c r="X214" i="25"/>
  <c r="W214" i="25"/>
  <c r="V214" i="25"/>
  <c r="U214" i="25"/>
  <c r="T214" i="25"/>
  <c r="S214" i="25"/>
  <c r="R214" i="25"/>
  <c r="Q214" i="25"/>
  <c r="P214" i="25"/>
  <c r="O214" i="25"/>
  <c r="N214" i="25"/>
  <c r="M214" i="25"/>
  <c r="L214" i="25"/>
  <c r="K214" i="25"/>
  <c r="J214" i="25"/>
  <c r="H214" i="25"/>
  <c r="G214" i="25"/>
  <c r="C214" i="25"/>
  <c r="D214" i="25" s="1"/>
  <c r="F214" i="25"/>
  <c r="AT209" i="25"/>
  <c r="AS209" i="25"/>
  <c r="AR209" i="25"/>
  <c r="AQ209" i="25"/>
  <c r="AO209" i="25"/>
  <c r="AN209" i="25"/>
  <c r="AM209" i="25"/>
  <c r="AL209" i="25"/>
  <c r="AK209" i="25"/>
  <c r="AJ209" i="25"/>
  <c r="AI209" i="25"/>
  <c r="AH209" i="25"/>
  <c r="AG209" i="25"/>
  <c r="AF209" i="25"/>
  <c r="AE209" i="25"/>
  <c r="AD209" i="25"/>
  <c r="AC209" i="25"/>
  <c r="AB209" i="25"/>
  <c r="AA209" i="25"/>
  <c r="Z209" i="25"/>
  <c r="Y209" i="25"/>
  <c r="X209" i="25"/>
  <c r="W209" i="25"/>
  <c r="V209" i="25"/>
  <c r="U209" i="25"/>
  <c r="T209" i="25"/>
  <c r="S209" i="25"/>
  <c r="R209" i="25"/>
  <c r="Q209" i="25"/>
  <c r="P209" i="25"/>
  <c r="O209" i="25"/>
  <c r="N209" i="25"/>
  <c r="M209" i="25"/>
  <c r="L209" i="25"/>
  <c r="K209" i="25"/>
  <c r="J209" i="25"/>
  <c r="H209" i="25"/>
  <c r="G209" i="25"/>
  <c r="C209" i="25"/>
  <c r="D209" i="25" s="1"/>
  <c r="F209" i="25"/>
  <c r="AT208" i="25"/>
  <c r="AS208" i="25"/>
  <c r="AR208" i="25"/>
  <c r="AQ208" i="25"/>
  <c r="AO208" i="25"/>
  <c r="AN208" i="25"/>
  <c r="AM208" i="25"/>
  <c r="AL208" i="25"/>
  <c r="AK208" i="25"/>
  <c r="AJ208" i="25"/>
  <c r="AI208" i="25"/>
  <c r="AH208" i="25"/>
  <c r="AG208" i="25"/>
  <c r="AF208" i="25"/>
  <c r="AE208" i="25"/>
  <c r="AD208" i="25"/>
  <c r="AC208" i="25"/>
  <c r="AB208" i="25"/>
  <c r="AA208" i="25"/>
  <c r="Z208" i="25"/>
  <c r="Y208" i="25"/>
  <c r="X208" i="25"/>
  <c r="W208" i="25"/>
  <c r="V208" i="25"/>
  <c r="U208" i="25"/>
  <c r="T208" i="25"/>
  <c r="S208" i="25"/>
  <c r="R208" i="25"/>
  <c r="Q208" i="25"/>
  <c r="P208" i="25"/>
  <c r="O208" i="25"/>
  <c r="N208" i="25"/>
  <c r="M208" i="25"/>
  <c r="L208" i="25"/>
  <c r="K208" i="25"/>
  <c r="J208" i="25"/>
  <c r="H208" i="25"/>
  <c r="G208" i="25"/>
  <c r="C208" i="25"/>
  <c r="D208" i="25" s="1"/>
  <c r="F208" i="25"/>
  <c r="AT207" i="25"/>
  <c r="AS207" i="25"/>
  <c r="AR207" i="25"/>
  <c r="AQ207" i="25"/>
  <c r="AO207" i="25"/>
  <c r="AN207" i="25"/>
  <c r="AM207" i="25"/>
  <c r="AL207" i="25"/>
  <c r="AK207" i="25"/>
  <c r="AJ207" i="25"/>
  <c r="AI207" i="25"/>
  <c r="AH207" i="25"/>
  <c r="AG207" i="25"/>
  <c r="AF207" i="25"/>
  <c r="AE207" i="25"/>
  <c r="AD207" i="25"/>
  <c r="AC207" i="25"/>
  <c r="AB207" i="25"/>
  <c r="AA207" i="25"/>
  <c r="Z207" i="25"/>
  <c r="Y207" i="25"/>
  <c r="X207" i="25"/>
  <c r="W207" i="25"/>
  <c r="V207" i="25"/>
  <c r="U207" i="25"/>
  <c r="T207" i="25"/>
  <c r="S207" i="25"/>
  <c r="R207" i="25"/>
  <c r="Q207" i="25"/>
  <c r="P207" i="25"/>
  <c r="O207" i="25"/>
  <c r="N207" i="25"/>
  <c r="M207" i="25"/>
  <c r="L207" i="25"/>
  <c r="K207" i="25"/>
  <c r="J207" i="25"/>
  <c r="H207" i="25"/>
  <c r="G207" i="25"/>
  <c r="C207" i="25"/>
  <c r="D207" i="25" s="1"/>
  <c r="F207" i="25"/>
  <c r="AT206" i="25"/>
  <c r="AS206" i="25"/>
  <c r="AR206" i="25"/>
  <c r="AQ206" i="25"/>
  <c r="AO206" i="25"/>
  <c r="AN206" i="25"/>
  <c r="AM206" i="25"/>
  <c r="AL206" i="25"/>
  <c r="AK206" i="25"/>
  <c r="AJ206" i="25"/>
  <c r="AI206" i="25"/>
  <c r="AH206" i="25"/>
  <c r="AG206" i="25"/>
  <c r="AF206" i="25"/>
  <c r="AE206" i="25"/>
  <c r="AD206" i="25"/>
  <c r="AC206" i="25"/>
  <c r="AB206" i="25"/>
  <c r="AA206" i="25"/>
  <c r="Z206" i="25"/>
  <c r="Y206" i="25"/>
  <c r="X206" i="25"/>
  <c r="W206" i="25"/>
  <c r="V206" i="25"/>
  <c r="U206" i="25"/>
  <c r="T206" i="25"/>
  <c r="S206" i="25"/>
  <c r="R206" i="25"/>
  <c r="Q206" i="25"/>
  <c r="P206" i="25"/>
  <c r="O206" i="25"/>
  <c r="N206" i="25"/>
  <c r="M206" i="25"/>
  <c r="L206" i="25"/>
  <c r="K206" i="25"/>
  <c r="J206" i="25"/>
  <c r="H206" i="25"/>
  <c r="G206" i="25"/>
  <c r="C206" i="25"/>
  <c r="D206" i="25" s="1"/>
  <c r="F206" i="25"/>
  <c r="AT321" i="25"/>
  <c r="AS321" i="25"/>
  <c r="AR321" i="25"/>
  <c r="AQ321" i="25"/>
  <c r="AO321" i="25"/>
  <c r="AN321" i="25"/>
  <c r="AM321" i="25"/>
  <c r="AL321" i="25"/>
  <c r="AK321" i="25"/>
  <c r="AJ321" i="25"/>
  <c r="AI321" i="25"/>
  <c r="AH321" i="25"/>
  <c r="AG321" i="25"/>
  <c r="AF321" i="25"/>
  <c r="AE321" i="25"/>
  <c r="AD321" i="25"/>
  <c r="AC321" i="25"/>
  <c r="AB321" i="25"/>
  <c r="AA321" i="25"/>
  <c r="Z321" i="25"/>
  <c r="Y321" i="25"/>
  <c r="X321" i="25"/>
  <c r="W321" i="25"/>
  <c r="V321" i="25"/>
  <c r="U321" i="25"/>
  <c r="T321" i="25"/>
  <c r="S321" i="25"/>
  <c r="R321" i="25"/>
  <c r="Q321" i="25"/>
  <c r="P321" i="25"/>
  <c r="O321" i="25"/>
  <c r="N321" i="25"/>
  <c r="M321" i="25"/>
  <c r="L321" i="25"/>
  <c r="K321" i="25"/>
  <c r="J321" i="25"/>
  <c r="H321" i="25"/>
  <c r="G321" i="25"/>
  <c r="C321" i="25"/>
  <c r="D321" i="25" s="1"/>
  <c r="F321" i="25"/>
  <c r="AT320" i="25"/>
  <c r="AS320" i="25"/>
  <c r="AR320" i="25"/>
  <c r="AQ320" i="25"/>
  <c r="AO320" i="25"/>
  <c r="AN320" i="25"/>
  <c r="AM320" i="25"/>
  <c r="AL320" i="25"/>
  <c r="AK320" i="25"/>
  <c r="AJ320" i="25"/>
  <c r="AI320" i="25"/>
  <c r="AH320" i="25"/>
  <c r="AG320" i="25"/>
  <c r="AF320" i="25"/>
  <c r="AE320" i="25"/>
  <c r="AD320" i="25"/>
  <c r="AC320" i="25"/>
  <c r="AB320" i="25"/>
  <c r="AA320" i="25"/>
  <c r="Z320" i="25"/>
  <c r="Y320" i="25"/>
  <c r="X320" i="25"/>
  <c r="W320" i="25"/>
  <c r="V320" i="25"/>
  <c r="U320" i="25"/>
  <c r="T320" i="25"/>
  <c r="S320" i="25"/>
  <c r="R320" i="25"/>
  <c r="Q320" i="25"/>
  <c r="P320" i="25"/>
  <c r="O320" i="25"/>
  <c r="N320" i="25"/>
  <c r="M320" i="25"/>
  <c r="L320" i="25"/>
  <c r="K320" i="25"/>
  <c r="J320" i="25"/>
  <c r="H320" i="25"/>
  <c r="G320" i="25"/>
  <c r="C320" i="25"/>
  <c r="D320" i="25" s="1"/>
  <c r="F320" i="25"/>
  <c r="AT319" i="25"/>
  <c r="AS319" i="25"/>
  <c r="AR319" i="25"/>
  <c r="AQ319" i="25"/>
  <c r="AO319" i="25"/>
  <c r="AN319" i="25"/>
  <c r="AM319" i="25"/>
  <c r="AL319" i="25"/>
  <c r="AK319" i="25"/>
  <c r="AJ319" i="25"/>
  <c r="AI319" i="25"/>
  <c r="AH319" i="25"/>
  <c r="AG319" i="25"/>
  <c r="AF319" i="25"/>
  <c r="AE319" i="25"/>
  <c r="AD319" i="25"/>
  <c r="AC319" i="25"/>
  <c r="AB319" i="25"/>
  <c r="AA319" i="25"/>
  <c r="Z319" i="25"/>
  <c r="Y319" i="25"/>
  <c r="X319" i="25"/>
  <c r="W319" i="25"/>
  <c r="V319" i="25"/>
  <c r="U319" i="25"/>
  <c r="T319" i="25"/>
  <c r="S319" i="25"/>
  <c r="R319" i="25"/>
  <c r="Q319" i="25"/>
  <c r="P319" i="25"/>
  <c r="O319" i="25"/>
  <c r="N319" i="25"/>
  <c r="M319" i="25"/>
  <c r="L319" i="25"/>
  <c r="K319" i="25"/>
  <c r="J319" i="25"/>
  <c r="H319" i="25"/>
  <c r="G319" i="25"/>
  <c r="C319" i="25"/>
  <c r="D319" i="25" s="1"/>
  <c r="F319" i="25"/>
  <c r="AT318" i="25"/>
  <c r="AS318" i="25"/>
  <c r="AR318" i="25"/>
  <c r="AQ318" i="25"/>
  <c r="AO318" i="25"/>
  <c r="AN318" i="25"/>
  <c r="AM318" i="25"/>
  <c r="AL318" i="25"/>
  <c r="AK318" i="25"/>
  <c r="AJ318" i="25"/>
  <c r="AI318" i="25"/>
  <c r="AH318" i="25"/>
  <c r="AG318" i="25"/>
  <c r="AF318" i="25"/>
  <c r="AE318" i="25"/>
  <c r="AD318" i="25"/>
  <c r="AC318" i="25"/>
  <c r="AB318" i="25"/>
  <c r="AA318" i="25"/>
  <c r="Z318" i="25"/>
  <c r="Y318" i="25"/>
  <c r="X318" i="25"/>
  <c r="W318" i="25"/>
  <c r="V318" i="25"/>
  <c r="U318" i="25"/>
  <c r="T318" i="25"/>
  <c r="S318" i="25"/>
  <c r="R318" i="25"/>
  <c r="Q318" i="25"/>
  <c r="P318" i="25"/>
  <c r="O318" i="25"/>
  <c r="N318" i="25"/>
  <c r="M318" i="25"/>
  <c r="L318" i="25"/>
  <c r="K318" i="25"/>
  <c r="J318" i="25"/>
  <c r="H318" i="25"/>
  <c r="G318" i="25"/>
  <c r="C318" i="25"/>
  <c r="D318" i="25" s="1"/>
  <c r="F318" i="25"/>
  <c r="AT317" i="25"/>
  <c r="AS317" i="25"/>
  <c r="AR317" i="25"/>
  <c r="AQ317" i="25"/>
  <c r="AO317" i="25"/>
  <c r="AN317" i="25"/>
  <c r="AM317" i="25"/>
  <c r="AL317" i="25"/>
  <c r="AK317" i="25"/>
  <c r="AJ317" i="25"/>
  <c r="AI317" i="25"/>
  <c r="AH317" i="25"/>
  <c r="AG317" i="25"/>
  <c r="AF317" i="25"/>
  <c r="AE317" i="25"/>
  <c r="AD317" i="25"/>
  <c r="AC317" i="25"/>
  <c r="AB317" i="25"/>
  <c r="AA317" i="25"/>
  <c r="Z317" i="25"/>
  <c r="Y317" i="25"/>
  <c r="X317" i="25"/>
  <c r="W317" i="25"/>
  <c r="V317" i="25"/>
  <c r="U317" i="25"/>
  <c r="T317" i="25"/>
  <c r="S317" i="25"/>
  <c r="R317" i="25"/>
  <c r="Q317" i="25"/>
  <c r="P317" i="25"/>
  <c r="O317" i="25"/>
  <c r="N317" i="25"/>
  <c r="M317" i="25"/>
  <c r="L317" i="25"/>
  <c r="K317" i="25"/>
  <c r="J317" i="25"/>
  <c r="H317" i="25"/>
  <c r="G317" i="25"/>
  <c r="C317" i="25"/>
  <c r="D317" i="25" s="1"/>
  <c r="F317" i="25"/>
  <c r="AT316" i="25"/>
  <c r="AS316" i="25"/>
  <c r="AR316" i="25"/>
  <c r="AQ316" i="25"/>
  <c r="AO316" i="25"/>
  <c r="AN316" i="25"/>
  <c r="AM316" i="25"/>
  <c r="AL316" i="25"/>
  <c r="AK316" i="25"/>
  <c r="AJ316" i="25"/>
  <c r="AI316" i="25"/>
  <c r="AH316" i="25"/>
  <c r="AG316" i="25"/>
  <c r="AF316" i="25"/>
  <c r="AE316" i="25"/>
  <c r="AD316" i="25"/>
  <c r="AC316" i="25"/>
  <c r="AB316" i="25"/>
  <c r="AA316" i="25"/>
  <c r="Z316" i="25"/>
  <c r="Y316" i="25"/>
  <c r="X316" i="25"/>
  <c r="W316" i="25"/>
  <c r="V316" i="25"/>
  <c r="U316" i="25"/>
  <c r="T316" i="25"/>
  <c r="S316" i="25"/>
  <c r="R316" i="25"/>
  <c r="Q316" i="25"/>
  <c r="P316" i="25"/>
  <c r="O316" i="25"/>
  <c r="N316" i="25"/>
  <c r="M316" i="25"/>
  <c r="L316" i="25"/>
  <c r="K316" i="25"/>
  <c r="J316" i="25"/>
  <c r="H316" i="25"/>
  <c r="G316" i="25"/>
  <c r="C316" i="25"/>
  <c r="D316" i="25" s="1"/>
  <c r="F316" i="25"/>
  <c r="AT315" i="25"/>
  <c r="AS315" i="25"/>
  <c r="AR315" i="25"/>
  <c r="AQ315" i="25"/>
  <c r="AO315" i="25"/>
  <c r="AN315" i="25"/>
  <c r="AM315" i="25"/>
  <c r="AL315" i="25"/>
  <c r="AK315" i="25"/>
  <c r="AJ315" i="25"/>
  <c r="AI315" i="25"/>
  <c r="AH315" i="25"/>
  <c r="AG315" i="25"/>
  <c r="AF315" i="25"/>
  <c r="AE315" i="25"/>
  <c r="AD315" i="25"/>
  <c r="AC315" i="25"/>
  <c r="AB315" i="25"/>
  <c r="AA315" i="25"/>
  <c r="Z315" i="25"/>
  <c r="Y315" i="25"/>
  <c r="X315" i="25"/>
  <c r="W315" i="25"/>
  <c r="V315" i="25"/>
  <c r="U315" i="25"/>
  <c r="T315" i="25"/>
  <c r="S315" i="25"/>
  <c r="R315" i="25"/>
  <c r="Q315" i="25"/>
  <c r="P315" i="25"/>
  <c r="O315" i="25"/>
  <c r="N315" i="25"/>
  <c r="M315" i="25"/>
  <c r="L315" i="25"/>
  <c r="K315" i="25"/>
  <c r="J315" i="25"/>
  <c r="H315" i="25"/>
  <c r="G315" i="25"/>
  <c r="C315" i="25"/>
  <c r="D315" i="25" s="1"/>
  <c r="F315" i="25"/>
  <c r="AT314" i="25"/>
  <c r="AS314" i="25"/>
  <c r="AR314" i="25"/>
  <c r="AQ314" i="25"/>
  <c r="AO314" i="25"/>
  <c r="AN314" i="25"/>
  <c r="AM314" i="25"/>
  <c r="AL314" i="25"/>
  <c r="AK314" i="25"/>
  <c r="AJ314" i="25"/>
  <c r="AI314" i="25"/>
  <c r="AH314" i="25"/>
  <c r="AG314" i="25"/>
  <c r="AF314" i="25"/>
  <c r="AE314" i="25"/>
  <c r="AD314" i="25"/>
  <c r="AC314" i="25"/>
  <c r="AB314" i="25"/>
  <c r="AA314" i="25"/>
  <c r="Z314" i="25"/>
  <c r="Y314" i="25"/>
  <c r="X314" i="25"/>
  <c r="W314" i="25"/>
  <c r="V314" i="25"/>
  <c r="U314" i="25"/>
  <c r="T314" i="25"/>
  <c r="S314" i="25"/>
  <c r="R314" i="25"/>
  <c r="Q314" i="25"/>
  <c r="P314" i="25"/>
  <c r="O314" i="25"/>
  <c r="N314" i="25"/>
  <c r="M314" i="25"/>
  <c r="L314" i="25"/>
  <c r="K314" i="25"/>
  <c r="J314" i="25"/>
  <c r="H314" i="25"/>
  <c r="G314" i="25"/>
  <c r="C314" i="25"/>
  <c r="D314" i="25" s="1"/>
  <c r="F314" i="25"/>
  <c r="AT313" i="25"/>
  <c r="AS313" i="25"/>
  <c r="AR313" i="25"/>
  <c r="AQ313" i="25"/>
  <c r="AO313" i="25"/>
  <c r="AN313" i="25"/>
  <c r="AM313" i="25"/>
  <c r="AL313" i="25"/>
  <c r="AK313" i="25"/>
  <c r="AJ313" i="25"/>
  <c r="AI313" i="25"/>
  <c r="AH313" i="25"/>
  <c r="AG313" i="25"/>
  <c r="AF313" i="25"/>
  <c r="AE313" i="25"/>
  <c r="AD313" i="25"/>
  <c r="AC313" i="25"/>
  <c r="AB313" i="25"/>
  <c r="AA313" i="25"/>
  <c r="Z313" i="25"/>
  <c r="Y313" i="25"/>
  <c r="X313" i="25"/>
  <c r="W313" i="25"/>
  <c r="V313" i="25"/>
  <c r="U313" i="25"/>
  <c r="T313" i="25"/>
  <c r="S313" i="25"/>
  <c r="R313" i="25"/>
  <c r="Q313" i="25"/>
  <c r="P313" i="25"/>
  <c r="O313" i="25"/>
  <c r="N313" i="25"/>
  <c r="M313" i="25"/>
  <c r="L313" i="25"/>
  <c r="K313" i="25"/>
  <c r="J313" i="25"/>
  <c r="H313" i="25"/>
  <c r="G313" i="25"/>
  <c r="C313" i="25"/>
  <c r="D313" i="25" s="1"/>
  <c r="F313" i="25"/>
  <c r="AT292" i="25"/>
  <c r="AS292" i="25"/>
  <c r="AQ292" i="25"/>
  <c r="AO292" i="25"/>
  <c r="AN292" i="25"/>
  <c r="AM292" i="25"/>
  <c r="AL292" i="25"/>
  <c r="AK292" i="25"/>
  <c r="AJ292" i="25"/>
  <c r="AI292" i="25"/>
  <c r="AH292" i="25"/>
  <c r="AG292" i="25"/>
  <c r="AF292" i="25"/>
  <c r="AE292" i="25"/>
  <c r="AD292" i="25"/>
  <c r="AC292" i="25"/>
  <c r="AB292" i="25"/>
  <c r="AA292" i="25"/>
  <c r="Z292" i="25"/>
  <c r="Y292" i="25"/>
  <c r="X292" i="25"/>
  <c r="W292" i="25"/>
  <c r="V292" i="25"/>
  <c r="U292" i="25"/>
  <c r="T292" i="25"/>
  <c r="S292" i="25"/>
  <c r="R292" i="25"/>
  <c r="Q292" i="25"/>
  <c r="P292" i="25"/>
  <c r="O292" i="25"/>
  <c r="N292" i="25"/>
  <c r="M292" i="25"/>
  <c r="L292" i="25"/>
  <c r="K292" i="25"/>
  <c r="J292" i="25"/>
  <c r="H292" i="25"/>
  <c r="G292" i="25"/>
  <c r="C292" i="25"/>
  <c r="D292" i="25" s="1"/>
  <c r="F292" i="25"/>
  <c r="AT291" i="25"/>
  <c r="AS291" i="25"/>
  <c r="AQ291" i="25"/>
  <c r="AO291" i="25"/>
  <c r="AN291" i="25"/>
  <c r="AM291" i="25"/>
  <c r="AL291" i="25"/>
  <c r="AK291" i="25"/>
  <c r="AJ291" i="25"/>
  <c r="AI291" i="25"/>
  <c r="AH291" i="25"/>
  <c r="AG291" i="25"/>
  <c r="AF291" i="25"/>
  <c r="AE291" i="25"/>
  <c r="AD291" i="25"/>
  <c r="AC291" i="25"/>
  <c r="AB291" i="25"/>
  <c r="AA291" i="25"/>
  <c r="Z291" i="25"/>
  <c r="Y291" i="25"/>
  <c r="X291" i="25"/>
  <c r="W291" i="25"/>
  <c r="V291" i="25"/>
  <c r="U291" i="25"/>
  <c r="T291" i="25"/>
  <c r="S291" i="25"/>
  <c r="R291" i="25"/>
  <c r="Q291" i="25"/>
  <c r="P291" i="25"/>
  <c r="O291" i="25"/>
  <c r="N291" i="25"/>
  <c r="M291" i="25"/>
  <c r="L291" i="25"/>
  <c r="K291" i="25"/>
  <c r="J291" i="25"/>
  <c r="H291" i="25"/>
  <c r="G291" i="25"/>
  <c r="C291" i="25"/>
  <c r="D291" i="25" s="1"/>
  <c r="F291" i="25"/>
  <c r="AT290" i="25"/>
  <c r="AS290" i="25"/>
  <c r="AQ290" i="25"/>
  <c r="AO290" i="25"/>
  <c r="AN290" i="25"/>
  <c r="AM290" i="25"/>
  <c r="AL290" i="25"/>
  <c r="AK290" i="25"/>
  <c r="AJ290" i="25"/>
  <c r="AI290" i="25"/>
  <c r="AH290" i="25"/>
  <c r="AG290" i="25"/>
  <c r="AF290" i="25"/>
  <c r="AE290" i="25"/>
  <c r="AD290" i="25"/>
  <c r="AC290" i="25"/>
  <c r="AB290" i="25"/>
  <c r="AA290" i="25"/>
  <c r="Z290" i="25"/>
  <c r="Y290" i="25"/>
  <c r="X290" i="25"/>
  <c r="W290" i="25"/>
  <c r="V290" i="25"/>
  <c r="U290" i="25"/>
  <c r="T290" i="25"/>
  <c r="S290" i="25"/>
  <c r="R290" i="25"/>
  <c r="Q290" i="25"/>
  <c r="P290" i="25"/>
  <c r="O290" i="25"/>
  <c r="N290" i="25"/>
  <c r="M290" i="25"/>
  <c r="L290" i="25"/>
  <c r="K290" i="25"/>
  <c r="J290" i="25"/>
  <c r="H290" i="25"/>
  <c r="G290" i="25"/>
  <c r="C290" i="25"/>
  <c r="D290" i="25" s="1"/>
  <c r="F290" i="25"/>
  <c r="AT289" i="25"/>
  <c r="AS289" i="25"/>
  <c r="AQ289" i="25"/>
  <c r="AO289" i="25"/>
  <c r="AN289" i="25"/>
  <c r="AM289" i="25"/>
  <c r="AL289" i="25"/>
  <c r="AK289" i="25"/>
  <c r="AJ289" i="25"/>
  <c r="AI289" i="25"/>
  <c r="AH289" i="25"/>
  <c r="AG289" i="25"/>
  <c r="AF289" i="25"/>
  <c r="AE289" i="25"/>
  <c r="AD289" i="25"/>
  <c r="AC289" i="25"/>
  <c r="AB289" i="25"/>
  <c r="AA289" i="25"/>
  <c r="Z289" i="25"/>
  <c r="Y289" i="25"/>
  <c r="X289" i="25"/>
  <c r="W289" i="25"/>
  <c r="V289" i="25"/>
  <c r="U289" i="25"/>
  <c r="T289" i="25"/>
  <c r="S289" i="25"/>
  <c r="R289" i="25"/>
  <c r="Q289" i="25"/>
  <c r="P289" i="25"/>
  <c r="O289" i="25"/>
  <c r="N289" i="25"/>
  <c r="M289" i="25"/>
  <c r="L289" i="25"/>
  <c r="K289" i="25"/>
  <c r="J289" i="25"/>
  <c r="H289" i="25"/>
  <c r="G289" i="25"/>
  <c r="C289" i="25"/>
  <c r="D289" i="25" s="1"/>
  <c r="F289" i="25"/>
  <c r="AT297" i="25"/>
  <c r="AS297" i="25"/>
  <c r="AR297" i="25"/>
  <c r="AQ297" i="25"/>
  <c r="AO297" i="25"/>
  <c r="AN297" i="25"/>
  <c r="AM297" i="25"/>
  <c r="AL297" i="25"/>
  <c r="AK297" i="25"/>
  <c r="AJ297" i="25"/>
  <c r="AI297" i="25"/>
  <c r="AH297" i="25"/>
  <c r="AG297" i="25"/>
  <c r="AF297" i="25"/>
  <c r="AE297" i="25"/>
  <c r="AD297" i="25"/>
  <c r="AC297" i="25"/>
  <c r="AB297" i="25"/>
  <c r="AA297" i="25"/>
  <c r="Z297" i="25"/>
  <c r="Y297" i="25"/>
  <c r="X297" i="25"/>
  <c r="W297" i="25"/>
  <c r="V297" i="25"/>
  <c r="U297" i="25"/>
  <c r="T297" i="25"/>
  <c r="S297" i="25"/>
  <c r="R297" i="25"/>
  <c r="Q297" i="25"/>
  <c r="P297" i="25"/>
  <c r="O297" i="25"/>
  <c r="N297" i="25"/>
  <c r="M297" i="25"/>
  <c r="L297" i="25"/>
  <c r="K297" i="25"/>
  <c r="J297" i="25"/>
  <c r="H297" i="25"/>
  <c r="G297" i="25"/>
  <c r="C297" i="25"/>
  <c r="D297" i="25" s="1"/>
  <c r="F297" i="25"/>
  <c r="AT296" i="25"/>
  <c r="AS296" i="25"/>
  <c r="AR296" i="25"/>
  <c r="AQ296" i="25"/>
  <c r="AO296" i="25"/>
  <c r="AN296" i="25"/>
  <c r="AM296" i="25"/>
  <c r="AL296" i="25"/>
  <c r="AK296" i="25"/>
  <c r="AJ296" i="25"/>
  <c r="AI296" i="25"/>
  <c r="AH296" i="25"/>
  <c r="AG296" i="25"/>
  <c r="AF296" i="25"/>
  <c r="AE296" i="25"/>
  <c r="AD296" i="25"/>
  <c r="AC296" i="25"/>
  <c r="AB296" i="25"/>
  <c r="AA296" i="25"/>
  <c r="Z296" i="25"/>
  <c r="Y296" i="25"/>
  <c r="X296" i="25"/>
  <c r="W296" i="25"/>
  <c r="V296" i="25"/>
  <c r="U296" i="25"/>
  <c r="T296" i="25"/>
  <c r="S296" i="25"/>
  <c r="R296" i="25"/>
  <c r="Q296" i="25"/>
  <c r="P296" i="25"/>
  <c r="O296" i="25"/>
  <c r="N296" i="25"/>
  <c r="M296" i="25"/>
  <c r="L296" i="25"/>
  <c r="K296" i="25"/>
  <c r="J296" i="25"/>
  <c r="H296" i="25"/>
  <c r="G296" i="25"/>
  <c r="C296" i="25"/>
  <c r="D296" i="25" s="1"/>
  <c r="F296" i="25"/>
  <c r="AT295" i="25"/>
  <c r="AS295" i="25"/>
  <c r="AR295" i="25"/>
  <c r="AQ295" i="25"/>
  <c r="AO295" i="25"/>
  <c r="AN295" i="25"/>
  <c r="AM295" i="25"/>
  <c r="AL295" i="25"/>
  <c r="AK295" i="25"/>
  <c r="AJ295" i="25"/>
  <c r="AI295" i="25"/>
  <c r="AH295" i="25"/>
  <c r="AG295" i="25"/>
  <c r="AF295" i="25"/>
  <c r="AE295" i="25"/>
  <c r="AD295" i="25"/>
  <c r="AC295" i="25"/>
  <c r="AB295" i="25"/>
  <c r="AA295" i="25"/>
  <c r="Z295" i="25"/>
  <c r="Y295" i="25"/>
  <c r="X295" i="25"/>
  <c r="W295" i="25"/>
  <c r="V295" i="25"/>
  <c r="U295" i="25"/>
  <c r="T295" i="25"/>
  <c r="S295" i="25"/>
  <c r="R295" i="25"/>
  <c r="Q295" i="25"/>
  <c r="P295" i="25"/>
  <c r="O295" i="25"/>
  <c r="N295" i="25"/>
  <c r="M295" i="25"/>
  <c r="L295" i="25"/>
  <c r="K295" i="25"/>
  <c r="J295" i="25"/>
  <c r="H295" i="25"/>
  <c r="G295" i="25"/>
  <c r="C295" i="25"/>
  <c r="D295" i="25" s="1"/>
  <c r="F295" i="25"/>
  <c r="AT294" i="25"/>
  <c r="AS294" i="25"/>
  <c r="AR294" i="25"/>
  <c r="AQ294" i="25"/>
  <c r="AO294" i="25"/>
  <c r="AN294" i="25"/>
  <c r="AM294" i="25"/>
  <c r="AL294" i="25"/>
  <c r="AK294" i="25"/>
  <c r="AJ294" i="25"/>
  <c r="AI294" i="25"/>
  <c r="AH294" i="25"/>
  <c r="AG294" i="25"/>
  <c r="AF294" i="25"/>
  <c r="AE294" i="25"/>
  <c r="AD294" i="25"/>
  <c r="AC294" i="25"/>
  <c r="AB294" i="25"/>
  <c r="AA294" i="25"/>
  <c r="Z294" i="25"/>
  <c r="Y294" i="25"/>
  <c r="X294" i="25"/>
  <c r="W294" i="25"/>
  <c r="V294" i="25"/>
  <c r="U294" i="25"/>
  <c r="T294" i="25"/>
  <c r="S294" i="25"/>
  <c r="R294" i="25"/>
  <c r="Q294" i="25"/>
  <c r="P294" i="25"/>
  <c r="O294" i="25"/>
  <c r="N294" i="25"/>
  <c r="M294" i="25"/>
  <c r="L294" i="25"/>
  <c r="K294" i="25"/>
  <c r="J294" i="25"/>
  <c r="H294" i="25"/>
  <c r="G294" i="25"/>
  <c r="C294" i="25"/>
  <c r="D294" i="25" s="1"/>
  <c r="F294" i="25"/>
  <c r="AT293" i="25"/>
  <c r="AS293" i="25"/>
  <c r="AR293" i="25"/>
  <c r="AQ293" i="25"/>
  <c r="AO293" i="25"/>
  <c r="AN293" i="25"/>
  <c r="AM293" i="25"/>
  <c r="AL293" i="25"/>
  <c r="AK293" i="25"/>
  <c r="AJ293" i="25"/>
  <c r="AI293" i="25"/>
  <c r="AH293" i="25"/>
  <c r="AG293" i="25"/>
  <c r="AF293" i="25"/>
  <c r="AE293" i="25"/>
  <c r="AD293" i="25"/>
  <c r="AC293" i="25"/>
  <c r="AB293" i="25"/>
  <c r="AA293" i="25"/>
  <c r="Z293" i="25"/>
  <c r="Y293" i="25"/>
  <c r="X293" i="25"/>
  <c r="W293" i="25"/>
  <c r="V293" i="25"/>
  <c r="U293" i="25"/>
  <c r="T293" i="25"/>
  <c r="S293" i="25"/>
  <c r="R293" i="25"/>
  <c r="Q293" i="25"/>
  <c r="P293" i="25"/>
  <c r="O293" i="25"/>
  <c r="N293" i="25"/>
  <c r="M293" i="25"/>
  <c r="L293" i="25"/>
  <c r="K293" i="25"/>
  <c r="J293" i="25"/>
  <c r="H293" i="25"/>
  <c r="G293" i="25"/>
  <c r="C293" i="25"/>
  <c r="D293" i="25" s="1"/>
  <c r="F293" i="25"/>
  <c r="AT304" i="25"/>
  <c r="AS304" i="25"/>
  <c r="AR304" i="25"/>
  <c r="AQ304" i="25"/>
  <c r="AO304" i="25"/>
  <c r="AN304" i="25"/>
  <c r="AM304" i="25"/>
  <c r="AL304" i="25"/>
  <c r="AK304" i="25"/>
  <c r="AJ304" i="25"/>
  <c r="AI304" i="25"/>
  <c r="AH304" i="25"/>
  <c r="AG304" i="25"/>
  <c r="AF304" i="25"/>
  <c r="AE304" i="25"/>
  <c r="AD304" i="25"/>
  <c r="AC304" i="25"/>
  <c r="AB304" i="25"/>
  <c r="AA304" i="25"/>
  <c r="Z304" i="25"/>
  <c r="Y304" i="25"/>
  <c r="X304" i="25"/>
  <c r="W304" i="25"/>
  <c r="V304" i="25"/>
  <c r="U304" i="25"/>
  <c r="T304" i="25"/>
  <c r="S304" i="25"/>
  <c r="R304" i="25"/>
  <c r="Q304" i="25"/>
  <c r="P304" i="25"/>
  <c r="O304" i="25"/>
  <c r="N304" i="25"/>
  <c r="M304" i="25"/>
  <c r="L304" i="25"/>
  <c r="K304" i="25"/>
  <c r="J304" i="25"/>
  <c r="H304" i="25"/>
  <c r="G304" i="25"/>
  <c r="C304" i="25"/>
  <c r="D304" i="25" s="1"/>
  <c r="F304" i="25"/>
  <c r="AT303" i="25"/>
  <c r="AS303" i="25"/>
  <c r="AR303" i="25"/>
  <c r="AQ303" i="25"/>
  <c r="AO303" i="25"/>
  <c r="AN303" i="25"/>
  <c r="AM303" i="25"/>
  <c r="AL303" i="25"/>
  <c r="AK303" i="25"/>
  <c r="AJ303" i="25"/>
  <c r="AI303" i="25"/>
  <c r="AH303" i="25"/>
  <c r="AG303" i="25"/>
  <c r="AF303" i="25"/>
  <c r="AE303" i="25"/>
  <c r="AD303" i="25"/>
  <c r="AC303" i="25"/>
  <c r="AB303" i="25"/>
  <c r="AA303" i="25"/>
  <c r="Z303" i="25"/>
  <c r="Y303" i="25"/>
  <c r="X303" i="25"/>
  <c r="W303" i="25"/>
  <c r="V303" i="25"/>
  <c r="U303" i="25"/>
  <c r="T303" i="25"/>
  <c r="S303" i="25"/>
  <c r="R303" i="25"/>
  <c r="Q303" i="25"/>
  <c r="P303" i="25"/>
  <c r="O303" i="25"/>
  <c r="N303" i="25"/>
  <c r="M303" i="25"/>
  <c r="L303" i="25"/>
  <c r="K303" i="25"/>
  <c r="J303" i="25"/>
  <c r="H303" i="25"/>
  <c r="G303" i="25"/>
  <c r="C303" i="25"/>
  <c r="D303" i="25" s="1"/>
  <c r="F303" i="25"/>
  <c r="AT301" i="25"/>
  <c r="AS301" i="25"/>
  <c r="AR301" i="25"/>
  <c r="AQ301" i="25"/>
  <c r="AO301" i="25"/>
  <c r="AN301" i="25"/>
  <c r="AM301" i="25"/>
  <c r="AL301" i="25"/>
  <c r="AK301" i="25"/>
  <c r="AJ301" i="25"/>
  <c r="AI301" i="25"/>
  <c r="AH301" i="25"/>
  <c r="AG301" i="25"/>
  <c r="AF301" i="25"/>
  <c r="AE301" i="25"/>
  <c r="AD301" i="25"/>
  <c r="AC301" i="25"/>
  <c r="AB301" i="25"/>
  <c r="AA301" i="25"/>
  <c r="Z301" i="25"/>
  <c r="Y301" i="25"/>
  <c r="X301" i="25"/>
  <c r="W301" i="25"/>
  <c r="V301" i="25"/>
  <c r="U301" i="25"/>
  <c r="T301" i="25"/>
  <c r="S301" i="25"/>
  <c r="R301" i="25"/>
  <c r="Q301" i="25"/>
  <c r="P301" i="25"/>
  <c r="O301" i="25"/>
  <c r="N301" i="25"/>
  <c r="M301" i="25"/>
  <c r="L301" i="25"/>
  <c r="K301" i="25"/>
  <c r="J301" i="25"/>
  <c r="H301" i="25"/>
  <c r="G301" i="25"/>
  <c r="C301" i="25"/>
  <c r="D301" i="25" s="1"/>
  <c r="F301" i="25"/>
  <c r="AT302" i="25"/>
  <c r="AS302" i="25"/>
  <c r="AR302" i="25"/>
  <c r="AQ302" i="25"/>
  <c r="AO302" i="25"/>
  <c r="AN302" i="25"/>
  <c r="AM302" i="25"/>
  <c r="AL302" i="25"/>
  <c r="AK302" i="25"/>
  <c r="AJ302" i="25"/>
  <c r="AI302" i="25"/>
  <c r="AH302" i="25"/>
  <c r="AG302" i="25"/>
  <c r="AF302" i="25"/>
  <c r="AE302" i="25"/>
  <c r="AD302" i="25"/>
  <c r="AC302" i="25"/>
  <c r="AB302" i="25"/>
  <c r="AA302" i="25"/>
  <c r="Z302" i="25"/>
  <c r="Y302" i="25"/>
  <c r="X302" i="25"/>
  <c r="W302" i="25"/>
  <c r="V302" i="25"/>
  <c r="U302" i="25"/>
  <c r="T302" i="25"/>
  <c r="S302" i="25"/>
  <c r="R302" i="25"/>
  <c r="Q302" i="25"/>
  <c r="P302" i="25"/>
  <c r="O302" i="25"/>
  <c r="N302" i="25"/>
  <c r="M302" i="25"/>
  <c r="L302" i="25"/>
  <c r="K302" i="25"/>
  <c r="J302" i="25"/>
  <c r="H302" i="25"/>
  <c r="G302" i="25"/>
  <c r="C302" i="25"/>
  <c r="D302" i="25" s="1"/>
  <c r="F302" i="25"/>
  <c r="AT300" i="25"/>
  <c r="AS300" i="25"/>
  <c r="AR300" i="25"/>
  <c r="AQ300" i="25"/>
  <c r="AO300" i="25"/>
  <c r="AN300" i="25"/>
  <c r="AM300" i="25"/>
  <c r="AL300" i="25"/>
  <c r="AK300" i="25"/>
  <c r="AJ300" i="25"/>
  <c r="AI300" i="25"/>
  <c r="AH300" i="25"/>
  <c r="AG300" i="25"/>
  <c r="AF300" i="25"/>
  <c r="AE300" i="25"/>
  <c r="AD300" i="25"/>
  <c r="AC300" i="25"/>
  <c r="AB300" i="25"/>
  <c r="AA300" i="25"/>
  <c r="Z300" i="25"/>
  <c r="Y300" i="25"/>
  <c r="X300" i="25"/>
  <c r="W300" i="25"/>
  <c r="V300" i="25"/>
  <c r="U300" i="25"/>
  <c r="T300" i="25"/>
  <c r="S300" i="25"/>
  <c r="R300" i="25"/>
  <c r="Q300" i="25"/>
  <c r="P300" i="25"/>
  <c r="O300" i="25"/>
  <c r="N300" i="25"/>
  <c r="M300" i="25"/>
  <c r="L300" i="25"/>
  <c r="K300" i="25"/>
  <c r="J300" i="25"/>
  <c r="H300" i="25"/>
  <c r="G300" i="25"/>
  <c r="C300" i="25"/>
  <c r="D300" i="25" s="1"/>
  <c r="F300" i="25"/>
  <c r="AT299" i="25"/>
  <c r="AS299" i="25"/>
  <c r="AR299" i="25"/>
  <c r="AQ299" i="25"/>
  <c r="AO299" i="25"/>
  <c r="AN299" i="25"/>
  <c r="AM299" i="25"/>
  <c r="AL299" i="25"/>
  <c r="AK299" i="25"/>
  <c r="AJ299" i="25"/>
  <c r="AI299" i="25"/>
  <c r="AH299" i="25"/>
  <c r="AG299" i="25"/>
  <c r="AF299" i="25"/>
  <c r="AE299" i="25"/>
  <c r="AD299" i="25"/>
  <c r="AC299" i="25"/>
  <c r="AB299" i="25"/>
  <c r="AA299" i="25"/>
  <c r="Z299" i="25"/>
  <c r="Y299" i="25"/>
  <c r="X299" i="25"/>
  <c r="W299" i="25"/>
  <c r="V299" i="25"/>
  <c r="U299" i="25"/>
  <c r="T299" i="25"/>
  <c r="S299" i="25"/>
  <c r="R299" i="25"/>
  <c r="Q299" i="25"/>
  <c r="P299" i="25"/>
  <c r="O299" i="25"/>
  <c r="N299" i="25"/>
  <c r="M299" i="25"/>
  <c r="L299" i="25"/>
  <c r="K299" i="25"/>
  <c r="J299" i="25"/>
  <c r="H299" i="25"/>
  <c r="G299" i="25"/>
  <c r="C299" i="25"/>
  <c r="D299" i="25" s="1"/>
  <c r="F299" i="25"/>
  <c r="AT298" i="25"/>
  <c r="AS298" i="25"/>
  <c r="AR298" i="25"/>
  <c r="AQ298" i="25"/>
  <c r="AO298" i="25"/>
  <c r="AN298" i="25"/>
  <c r="AM298" i="25"/>
  <c r="AL298" i="25"/>
  <c r="AK298" i="25"/>
  <c r="AJ298" i="25"/>
  <c r="AI298" i="25"/>
  <c r="AH298" i="25"/>
  <c r="AG298" i="25"/>
  <c r="AF298" i="25"/>
  <c r="AE298" i="25"/>
  <c r="AD298" i="25"/>
  <c r="AC298" i="25"/>
  <c r="AB298" i="25"/>
  <c r="AA298" i="25"/>
  <c r="Z298" i="25"/>
  <c r="Y298" i="25"/>
  <c r="X298" i="25"/>
  <c r="W298" i="25"/>
  <c r="V298" i="25"/>
  <c r="U298" i="25"/>
  <c r="T298" i="25"/>
  <c r="S298" i="25"/>
  <c r="R298" i="25"/>
  <c r="Q298" i="25"/>
  <c r="P298" i="25"/>
  <c r="O298" i="25"/>
  <c r="N298" i="25"/>
  <c r="M298" i="25"/>
  <c r="L298" i="25"/>
  <c r="K298" i="25"/>
  <c r="J298" i="25"/>
  <c r="H298" i="25"/>
  <c r="G298" i="25"/>
  <c r="C298" i="25"/>
  <c r="D298" i="25" s="1"/>
  <c r="F298" i="25"/>
  <c r="AT172" i="25"/>
  <c r="AS172" i="25"/>
  <c r="AR172" i="25"/>
  <c r="AQ172" i="25"/>
  <c r="AO172" i="25"/>
  <c r="AN172" i="25"/>
  <c r="AM172" i="25"/>
  <c r="AL172" i="25"/>
  <c r="AK172" i="25"/>
  <c r="AJ172" i="25"/>
  <c r="AI172" i="25"/>
  <c r="AH172" i="25"/>
  <c r="AG172" i="25"/>
  <c r="AF172" i="25"/>
  <c r="AE172" i="25"/>
  <c r="AD172" i="25"/>
  <c r="AC172" i="25"/>
  <c r="AB172" i="25"/>
  <c r="AA172" i="25"/>
  <c r="Z172" i="25"/>
  <c r="Y172" i="25"/>
  <c r="X172" i="25"/>
  <c r="W172" i="25"/>
  <c r="V172" i="25"/>
  <c r="U172" i="25"/>
  <c r="T172" i="25"/>
  <c r="S172" i="25"/>
  <c r="R172" i="25"/>
  <c r="Q172" i="25"/>
  <c r="P172" i="25"/>
  <c r="O172" i="25"/>
  <c r="N172" i="25"/>
  <c r="M172" i="25"/>
  <c r="L172" i="25"/>
  <c r="K172" i="25"/>
  <c r="J172" i="25"/>
  <c r="H172" i="25"/>
  <c r="G172" i="25"/>
  <c r="C172" i="25"/>
  <c r="D172" i="25" s="1"/>
  <c r="F172" i="25"/>
  <c r="AT171" i="25"/>
  <c r="AS171" i="25"/>
  <c r="AR171" i="25"/>
  <c r="AQ171" i="25"/>
  <c r="AO171" i="25"/>
  <c r="AN171" i="25"/>
  <c r="AM171" i="25"/>
  <c r="AL171" i="25"/>
  <c r="AK171" i="25"/>
  <c r="AJ171" i="25"/>
  <c r="AI171" i="25"/>
  <c r="AH171" i="25"/>
  <c r="AG171" i="25"/>
  <c r="AF171" i="25"/>
  <c r="AE171" i="25"/>
  <c r="AD171" i="25"/>
  <c r="AC171" i="25"/>
  <c r="AB171" i="25"/>
  <c r="AA171" i="25"/>
  <c r="Z171" i="25"/>
  <c r="Y171" i="25"/>
  <c r="X171" i="25"/>
  <c r="W171" i="25"/>
  <c r="V171" i="25"/>
  <c r="U171" i="25"/>
  <c r="T171" i="25"/>
  <c r="S171" i="25"/>
  <c r="R171" i="25"/>
  <c r="Q171" i="25"/>
  <c r="P171" i="25"/>
  <c r="O171" i="25"/>
  <c r="N171" i="25"/>
  <c r="M171" i="25"/>
  <c r="L171" i="25"/>
  <c r="K171" i="25"/>
  <c r="J171" i="25"/>
  <c r="H171" i="25"/>
  <c r="G171" i="25"/>
  <c r="C171" i="25"/>
  <c r="D171" i="25" s="1"/>
  <c r="F171" i="25"/>
  <c r="AT168" i="25"/>
  <c r="AS168" i="25"/>
  <c r="AR168" i="25"/>
  <c r="AQ168" i="25"/>
  <c r="AO168" i="25"/>
  <c r="AN168" i="25"/>
  <c r="AM168" i="25"/>
  <c r="AL168" i="25"/>
  <c r="AK168" i="25"/>
  <c r="AJ168" i="25"/>
  <c r="AI168" i="25"/>
  <c r="AH168" i="25"/>
  <c r="AG168" i="25"/>
  <c r="AF168" i="25"/>
  <c r="AE168" i="25"/>
  <c r="AD168" i="25"/>
  <c r="AC168" i="25"/>
  <c r="AB168" i="25"/>
  <c r="AA168" i="25"/>
  <c r="Z168" i="25"/>
  <c r="Y168" i="25"/>
  <c r="X168" i="25"/>
  <c r="W168" i="25"/>
  <c r="V168" i="25"/>
  <c r="U168" i="25"/>
  <c r="T168" i="25"/>
  <c r="S168" i="25"/>
  <c r="R168" i="25"/>
  <c r="Q168" i="25"/>
  <c r="P168" i="25"/>
  <c r="O168" i="25"/>
  <c r="N168" i="25"/>
  <c r="M168" i="25"/>
  <c r="L168" i="25"/>
  <c r="K168" i="25"/>
  <c r="J168" i="25"/>
  <c r="H168" i="25"/>
  <c r="G168" i="25"/>
  <c r="C168" i="25"/>
  <c r="D168" i="25" s="1"/>
  <c r="F168" i="25"/>
  <c r="AT170" i="25"/>
  <c r="AS170" i="25"/>
  <c r="AR170" i="25"/>
  <c r="AQ170" i="25"/>
  <c r="AO170" i="25"/>
  <c r="AN170" i="25"/>
  <c r="AM170" i="25"/>
  <c r="AL170" i="25"/>
  <c r="AK170" i="25"/>
  <c r="AJ170" i="25"/>
  <c r="AI170" i="25"/>
  <c r="AH170" i="25"/>
  <c r="AG170" i="25"/>
  <c r="AF170" i="25"/>
  <c r="AE170" i="25"/>
  <c r="AD170" i="25"/>
  <c r="AC170" i="25"/>
  <c r="AB170" i="25"/>
  <c r="AA170" i="25"/>
  <c r="Z170" i="25"/>
  <c r="Y170" i="25"/>
  <c r="X170" i="25"/>
  <c r="W170" i="25"/>
  <c r="V170" i="25"/>
  <c r="U170" i="25"/>
  <c r="T170" i="25"/>
  <c r="S170" i="25"/>
  <c r="R170" i="25"/>
  <c r="Q170" i="25"/>
  <c r="P170" i="25"/>
  <c r="O170" i="25"/>
  <c r="N170" i="25"/>
  <c r="M170" i="25"/>
  <c r="L170" i="25"/>
  <c r="K170" i="25"/>
  <c r="J170" i="25"/>
  <c r="H170" i="25"/>
  <c r="G170" i="25"/>
  <c r="C170" i="25"/>
  <c r="D170" i="25" s="1"/>
  <c r="F170" i="25"/>
  <c r="AT169" i="25"/>
  <c r="AS169" i="25"/>
  <c r="AR169" i="25"/>
  <c r="AQ169" i="25"/>
  <c r="AO169" i="25"/>
  <c r="AN169" i="25"/>
  <c r="AM169" i="25"/>
  <c r="AL169" i="25"/>
  <c r="AK169" i="25"/>
  <c r="AJ169" i="25"/>
  <c r="AI169" i="25"/>
  <c r="AH169" i="25"/>
  <c r="AG169" i="25"/>
  <c r="AF169" i="25"/>
  <c r="AE169" i="25"/>
  <c r="AD169" i="25"/>
  <c r="AC169" i="25"/>
  <c r="AB169" i="25"/>
  <c r="AA169" i="25"/>
  <c r="Z169" i="25"/>
  <c r="Y169" i="25"/>
  <c r="X169" i="25"/>
  <c r="W169" i="25"/>
  <c r="V169" i="25"/>
  <c r="U169" i="25"/>
  <c r="T169" i="25"/>
  <c r="S169" i="25"/>
  <c r="R169" i="25"/>
  <c r="Q169" i="25"/>
  <c r="P169" i="25"/>
  <c r="O169" i="25"/>
  <c r="N169" i="25"/>
  <c r="M169" i="25"/>
  <c r="L169" i="25"/>
  <c r="K169" i="25"/>
  <c r="J169" i="25"/>
  <c r="H169" i="25"/>
  <c r="G169" i="25"/>
  <c r="C169" i="25"/>
  <c r="D169" i="25" s="1"/>
  <c r="F169" i="25"/>
  <c r="AT308" i="25"/>
  <c r="AS308" i="25"/>
  <c r="AR308" i="25"/>
  <c r="AQ308" i="25"/>
  <c r="AO308" i="25"/>
  <c r="AN308" i="25"/>
  <c r="AM308" i="25"/>
  <c r="AL308" i="25"/>
  <c r="AK308" i="25"/>
  <c r="AJ308" i="25"/>
  <c r="AI308" i="25"/>
  <c r="AH308" i="25"/>
  <c r="AG308" i="25"/>
  <c r="AF308" i="25"/>
  <c r="AE308" i="25"/>
  <c r="AD308" i="25"/>
  <c r="AC308" i="25"/>
  <c r="AB308" i="25"/>
  <c r="AA308" i="25"/>
  <c r="Z308" i="25"/>
  <c r="Y308" i="25"/>
  <c r="X308" i="25"/>
  <c r="W308" i="25"/>
  <c r="V308" i="25"/>
  <c r="U308" i="25"/>
  <c r="T308" i="25"/>
  <c r="S308" i="25"/>
  <c r="R308" i="25"/>
  <c r="Q308" i="25"/>
  <c r="P308" i="25"/>
  <c r="O308" i="25"/>
  <c r="N308" i="25"/>
  <c r="M308" i="25"/>
  <c r="L308" i="25"/>
  <c r="K308" i="25"/>
  <c r="J308" i="25"/>
  <c r="H308" i="25"/>
  <c r="G308" i="25"/>
  <c r="C308" i="25"/>
  <c r="D308" i="25" s="1"/>
  <c r="F308" i="25"/>
  <c r="AT307" i="25"/>
  <c r="AS307" i="25"/>
  <c r="AR307" i="25"/>
  <c r="AQ307" i="25"/>
  <c r="AO307" i="25"/>
  <c r="AN307" i="25"/>
  <c r="AM307" i="25"/>
  <c r="AL307" i="25"/>
  <c r="AK307" i="25"/>
  <c r="AJ307" i="25"/>
  <c r="AI307" i="25"/>
  <c r="AH307" i="25"/>
  <c r="AG307" i="25"/>
  <c r="AF307" i="25"/>
  <c r="AE307" i="25"/>
  <c r="AD307" i="25"/>
  <c r="AC307" i="25"/>
  <c r="AB307" i="25"/>
  <c r="AA307" i="25"/>
  <c r="Z307" i="25"/>
  <c r="Y307" i="25"/>
  <c r="X307" i="25"/>
  <c r="W307" i="25"/>
  <c r="V307" i="25"/>
  <c r="U307" i="25"/>
  <c r="T307" i="25"/>
  <c r="S307" i="25"/>
  <c r="R307" i="25"/>
  <c r="Q307" i="25"/>
  <c r="P307" i="25"/>
  <c r="O307" i="25"/>
  <c r="N307" i="25"/>
  <c r="M307" i="25"/>
  <c r="L307" i="25"/>
  <c r="K307" i="25"/>
  <c r="J307" i="25"/>
  <c r="H307" i="25"/>
  <c r="G307" i="25"/>
  <c r="C307" i="25"/>
  <c r="D307" i="25" s="1"/>
  <c r="F307" i="25"/>
  <c r="AT306" i="25"/>
  <c r="AS306" i="25"/>
  <c r="AR306" i="25"/>
  <c r="AQ306" i="25"/>
  <c r="AO306" i="25"/>
  <c r="AN306" i="25"/>
  <c r="AM306" i="25"/>
  <c r="AL306" i="25"/>
  <c r="AK306" i="25"/>
  <c r="AJ306" i="25"/>
  <c r="AI306" i="25"/>
  <c r="AH306" i="25"/>
  <c r="AG306" i="25"/>
  <c r="AF306" i="25"/>
  <c r="AE306" i="25"/>
  <c r="AD306" i="25"/>
  <c r="AC306" i="25"/>
  <c r="AB306" i="25"/>
  <c r="AA306" i="25"/>
  <c r="Z306" i="25"/>
  <c r="Y306" i="25"/>
  <c r="X306" i="25"/>
  <c r="W306" i="25"/>
  <c r="V306" i="25"/>
  <c r="U306" i="25"/>
  <c r="T306" i="25"/>
  <c r="S306" i="25"/>
  <c r="R306" i="25"/>
  <c r="Q306" i="25"/>
  <c r="P306" i="25"/>
  <c r="O306" i="25"/>
  <c r="N306" i="25"/>
  <c r="M306" i="25"/>
  <c r="L306" i="25"/>
  <c r="K306" i="25"/>
  <c r="J306" i="25"/>
  <c r="H306" i="25"/>
  <c r="G306" i="25"/>
  <c r="C306" i="25"/>
  <c r="D306" i="25" s="1"/>
  <c r="F306" i="25"/>
  <c r="AT305" i="25"/>
  <c r="AS305" i="25"/>
  <c r="AR305" i="25"/>
  <c r="AQ305" i="25"/>
  <c r="AO305" i="25"/>
  <c r="AN305" i="25"/>
  <c r="AM305" i="25"/>
  <c r="AL305" i="25"/>
  <c r="AK305" i="25"/>
  <c r="AJ305" i="25"/>
  <c r="AI305" i="25"/>
  <c r="AH305" i="25"/>
  <c r="AG305" i="25"/>
  <c r="AF305" i="25"/>
  <c r="AE305" i="25"/>
  <c r="AD305" i="25"/>
  <c r="AC305" i="25"/>
  <c r="AB305" i="25"/>
  <c r="AA305" i="25"/>
  <c r="Z305" i="25"/>
  <c r="Y305" i="25"/>
  <c r="X305" i="25"/>
  <c r="W305" i="25"/>
  <c r="V305" i="25"/>
  <c r="U305" i="25"/>
  <c r="T305" i="25"/>
  <c r="S305" i="25"/>
  <c r="R305" i="25"/>
  <c r="Q305" i="25"/>
  <c r="P305" i="25"/>
  <c r="O305" i="25"/>
  <c r="N305" i="25"/>
  <c r="M305" i="25"/>
  <c r="L305" i="25"/>
  <c r="K305" i="25"/>
  <c r="J305" i="25"/>
  <c r="H305" i="25"/>
  <c r="G305" i="25"/>
  <c r="C305" i="25"/>
  <c r="D305" i="25" s="1"/>
  <c r="F305" i="25"/>
  <c r="AT160" i="25"/>
  <c r="AS160" i="25"/>
  <c r="AR160" i="25"/>
  <c r="AQ160" i="25"/>
  <c r="AO160" i="25"/>
  <c r="AN160" i="25"/>
  <c r="AM160" i="25"/>
  <c r="AL160" i="25"/>
  <c r="AK160" i="25"/>
  <c r="AJ160" i="25"/>
  <c r="AI160" i="25"/>
  <c r="AH160" i="25"/>
  <c r="AG160" i="25"/>
  <c r="AF160" i="25"/>
  <c r="AE160" i="25"/>
  <c r="AD160" i="25"/>
  <c r="AC160" i="25"/>
  <c r="AB160" i="25"/>
  <c r="AA160" i="25"/>
  <c r="Z160" i="25"/>
  <c r="Y160" i="25"/>
  <c r="X160" i="25"/>
  <c r="W160" i="25"/>
  <c r="V160" i="25"/>
  <c r="U160" i="25"/>
  <c r="T160" i="25"/>
  <c r="S160" i="25"/>
  <c r="R160" i="25"/>
  <c r="Q160" i="25"/>
  <c r="P160" i="25"/>
  <c r="O160" i="25"/>
  <c r="N160" i="25"/>
  <c r="M160" i="25"/>
  <c r="L160" i="25"/>
  <c r="K160" i="25"/>
  <c r="J160" i="25"/>
  <c r="H160" i="25"/>
  <c r="G160" i="25"/>
  <c r="C160" i="25"/>
  <c r="D160" i="25" s="1"/>
  <c r="F160" i="25"/>
  <c r="AT159" i="25"/>
  <c r="AS159" i="25"/>
  <c r="AR159" i="25"/>
  <c r="AQ159" i="25"/>
  <c r="AO159" i="25"/>
  <c r="AN159" i="25"/>
  <c r="AM159" i="25"/>
  <c r="AL159" i="25"/>
  <c r="AK159" i="25"/>
  <c r="AJ159" i="25"/>
  <c r="AI159" i="25"/>
  <c r="AH159" i="25"/>
  <c r="AG159" i="25"/>
  <c r="AF159" i="25"/>
  <c r="AE159" i="25"/>
  <c r="AD159" i="25"/>
  <c r="AC159" i="25"/>
  <c r="AB159" i="25"/>
  <c r="AA159" i="25"/>
  <c r="Z159" i="25"/>
  <c r="Y159" i="25"/>
  <c r="X159" i="25"/>
  <c r="W159" i="25"/>
  <c r="V159" i="25"/>
  <c r="U159" i="25"/>
  <c r="T159" i="25"/>
  <c r="S159" i="25"/>
  <c r="R159" i="25"/>
  <c r="Q159" i="25"/>
  <c r="P159" i="25"/>
  <c r="O159" i="25"/>
  <c r="N159" i="25"/>
  <c r="M159" i="25"/>
  <c r="L159" i="25"/>
  <c r="K159" i="25"/>
  <c r="J159" i="25"/>
  <c r="H159" i="25"/>
  <c r="G159" i="25"/>
  <c r="C159" i="25"/>
  <c r="D159" i="25" s="1"/>
  <c r="F159" i="25"/>
  <c r="AT141" i="25"/>
  <c r="AS141" i="25"/>
  <c r="AR141" i="25"/>
  <c r="AQ141" i="25"/>
  <c r="AO141" i="25"/>
  <c r="AN141" i="25"/>
  <c r="AM141" i="25"/>
  <c r="AL141" i="25"/>
  <c r="AK141" i="25"/>
  <c r="AJ141" i="25"/>
  <c r="AI141" i="25"/>
  <c r="AH141" i="25"/>
  <c r="AG141" i="25"/>
  <c r="AF141" i="25"/>
  <c r="AE141" i="25"/>
  <c r="AD141" i="25"/>
  <c r="AC141" i="25"/>
  <c r="AB141" i="25"/>
  <c r="AA141" i="25"/>
  <c r="Z141" i="25"/>
  <c r="Y141" i="25"/>
  <c r="X141" i="25"/>
  <c r="W141" i="25"/>
  <c r="V141" i="25"/>
  <c r="U141" i="25"/>
  <c r="T141" i="25"/>
  <c r="S141" i="25"/>
  <c r="R141" i="25"/>
  <c r="Q141" i="25"/>
  <c r="P141" i="25"/>
  <c r="O141" i="25"/>
  <c r="N141" i="25"/>
  <c r="M141" i="25"/>
  <c r="L141" i="25"/>
  <c r="K141" i="25"/>
  <c r="J141" i="25"/>
  <c r="H141" i="25"/>
  <c r="G141" i="25"/>
  <c r="C141" i="25"/>
  <c r="D141" i="25" s="1"/>
  <c r="F141" i="25"/>
  <c r="AT140" i="25"/>
  <c r="AS140" i="25"/>
  <c r="AR140" i="25"/>
  <c r="AQ140" i="25"/>
  <c r="AO140" i="25"/>
  <c r="AN140" i="25"/>
  <c r="AM140" i="25"/>
  <c r="AL140" i="25"/>
  <c r="AK140" i="25"/>
  <c r="AJ140" i="25"/>
  <c r="AI140" i="25"/>
  <c r="AH140" i="25"/>
  <c r="AG140" i="25"/>
  <c r="AF140" i="25"/>
  <c r="AE140" i="25"/>
  <c r="AD140" i="25"/>
  <c r="AC140" i="25"/>
  <c r="AB140" i="25"/>
  <c r="AA140" i="25"/>
  <c r="Z140" i="25"/>
  <c r="Y140" i="25"/>
  <c r="X140" i="25"/>
  <c r="W140" i="25"/>
  <c r="V140" i="25"/>
  <c r="U140" i="25"/>
  <c r="T140" i="25"/>
  <c r="S140" i="25"/>
  <c r="R140" i="25"/>
  <c r="Q140" i="25"/>
  <c r="P140" i="25"/>
  <c r="O140" i="25"/>
  <c r="N140" i="25"/>
  <c r="M140" i="25"/>
  <c r="L140" i="25"/>
  <c r="K140" i="25"/>
  <c r="J140" i="25"/>
  <c r="H140" i="25"/>
  <c r="G140" i="25"/>
  <c r="C140" i="25"/>
  <c r="D140" i="25" s="1"/>
  <c r="F140" i="25"/>
  <c r="AT142" i="25"/>
  <c r="AS142" i="25"/>
  <c r="AR142" i="25"/>
  <c r="AQ142" i="25"/>
  <c r="AO142" i="25"/>
  <c r="AN142" i="25"/>
  <c r="AM142" i="25"/>
  <c r="AL142" i="25"/>
  <c r="AK142" i="25"/>
  <c r="AJ142" i="25"/>
  <c r="AI142" i="25"/>
  <c r="AH142" i="25"/>
  <c r="AG142" i="25"/>
  <c r="AF142" i="25"/>
  <c r="AE142" i="25"/>
  <c r="AD142" i="25"/>
  <c r="AC142" i="25"/>
  <c r="AB142" i="25"/>
  <c r="AA142" i="25"/>
  <c r="Z142" i="25"/>
  <c r="Y142" i="25"/>
  <c r="X142" i="25"/>
  <c r="W142" i="25"/>
  <c r="V142" i="25"/>
  <c r="U142" i="25"/>
  <c r="T142" i="25"/>
  <c r="S142" i="25"/>
  <c r="R142" i="25"/>
  <c r="Q142" i="25"/>
  <c r="P142" i="25"/>
  <c r="O142" i="25"/>
  <c r="N142" i="25"/>
  <c r="M142" i="25"/>
  <c r="L142" i="25"/>
  <c r="K142" i="25"/>
  <c r="J142" i="25"/>
  <c r="H142" i="25"/>
  <c r="G142" i="25"/>
  <c r="C142" i="25"/>
  <c r="D142" i="25" s="1"/>
  <c r="F142" i="25"/>
  <c r="AT153" i="25"/>
  <c r="AS153" i="25"/>
  <c r="AR153" i="25"/>
  <c r="AQ153" i="25"/>
  <c r="AO153" i="25"/>
  <c r="AN153" i="25"/>
  <c r="AM153" i="25"/>
  <c r="AL153" i="25"/>
  <c r="AK153" i="25"/>
  <c r="AJ153" i="25"/>
  <c r="AI153" i="25"/>
  <c r="AH153" i="25"/>
  <c r="AG153" i="25"/>
  <c r="AF153" i="25"/>
  <c r="AE153" i="25"/>
  <c r="AD153" i="25"/>
  <c r="AC153" i="25"/>
  <c r="AB153" i="25"/>
  <c r="AA153" i="25"/>
  <c r="Z153" i="25"/>
  <c r="Y153" i="25"/>
  <c r="X153" i="25"/>
  <c r="W153" i="25"/>
  <c r="V153" i="25"/>
  <c r="U153" i="25"/>
  <c r="T153" i="25"/>
  <c r="S153" i="25"/>
  <c r="R153" i="25"/>
  <c r="Q153" i="25"/>
  <c r="P153" i="25"/>
  <c r="O153" i="25"/>
  <c r="N153" i="25"/>
  <c r="M153" i="25"/>
  <c r="L153" i="25"/>
  <c r="K153" i="25"/>
  <c r="J153" i="25"/>
  <c r="H153" i="25"/>
  <c r="G153" i="25"/>
  <c r="C153" i="25"/>
  <c r="D153" i="25" s="1"/>
  <c r="F153" i="25"/>
  <c r="AT152" i="25"/>
  <c r="AS152" i="25"/>
  <c r="AR152" i="25"/>
  <c r="AQ152" i="25"/>
  <c r="AO152" i="25"/>
  <c r="AN152" i="25"/>
  <c r="AM152" i="25"/>
  <c r="AL152" i="25"/>
  <c r="AK152" i="25"/>
  <c r="AJ152" i="25"/>
  <c r="AI152" i="25"/>
  <c r="AH152" i="25"/>
  <c r="AG152" i="25"/>
  <c r="AF152" i="25"/>
  <c r="AE152" i="25"/>
  <c r="AD152" i="25"/>
  <c r="AC152" i="25"/>
  <c r="AB152" i="25"/>
  <c r="AA152" i="25"/>
  <c r="Z152" i="25"/>
  <c r="Y152" i="25"/>
  <c r="X152" i="25"/>
  <c r="W152" i="25"/>
  <c r="V152" i="25"/>
  <c r="U152" i="25"/>
  <c r="T152" i="25"/>
  <c r="S152" i="25"/>
  <c r="R152" i="25"/>
  <c r="Q152" i="25"/>
  <c r="P152" i="25"/>
  <c r="O152" i="25"/>
  <c r="N152" i="25"/>
  <c r="M152" i="25"/>
  <c r="L152" i="25"/>
  <c r="K152" i="25"/>
  <c r="J152" i="25"/>
  <c r="H152" i="25"/>
  <c r="G152" i="25"/>
  <c r="C152" i="25"/>
  <c r="D152" i="25" s="1"/>
  <c r="F152" i="25"/>
  <c r="AT154" i="25"/>
  <c r="AS154" i="25"/>
  <c r="AR154" i="25"/>
  <c r="AQ154" i="25"/>
  <c r="AO154" i="25"/>
  <c r="AN154" i="25"/>
  <c r="AM154" i="25"/>
  <c r="AL154" i="25"/>
  <c r="AK154" i="25"/>
  <c r="AJ154" i="25"/>
  <c r="AI154" i="25"/>
  <c r="AH154" i="25"/>
  <c r="AG154" i="25"/>
  <c r="AF154" i="25"/>
  <c r="AE154" i="25"/>
  <c r="AD154" i="25"/>
  <c r="AC154" i="25"/>
  <c r="AB154" i="25"/>
  <c r="AA154" i="25"/>
  <c r="Z154" i="25"/>
  <c r="Y154" i="25"/>
  <c r="X154" i="25"/>
  <c r="W154" i="25"/>
  <c r="V154" i="25"/>
  <c r="U154" i="25"/>
  <c r="T154" i="25"/>
  <c r="S154" i="25"/>
  <c r="R154" i="25"/>
  <c r="Q154" i="25"/>
  <c r="P154" i="25"/>
  <c r="O154" i="25"/>
  <c r="N154" i="25"/>
  <c r="M154" i="25"/>
  <c r="L154" i="25"/>
  <c r="K154" i="25"/>
  <c r="J154" i="25"/>
  <c r="H154" i="25"/>
  <c r="G154" i="25"/>
  <c r="C154" i="25"/>
  <c r="D154" i="25" s="1"/>
  <c r="F154" i="25"/>
  <c r="AT155" i="25"/>
  <c r="AS155" i="25"/>
  <c r="AR155" i="25"/>
  <c r="AQ155" i="25"/>
  <c r="AO155" i="25"/>
  <c r="AN155" i="25"/>
  <c r="AM155" i="25"/>
  <c r="AL155" i="25"/>
  <c r="AK155" i="25"/>
  <c r="AJ155" i="25"/>
  <c r="AI155" i="25"/>
  <c r="AH155" i="25"/>
  <c r="AG155" i="25"/>
  <c r="AF155" i="25"/>
  <c r="AE155" i="25"/>
  <c r="AD155" i="25"/>
  <c r="AC155" i="25"/>
  <c r="AB155" i="25"/>
  <c r="AA155" i="25"/>
  <c r="Z155" i="25"/>
  <c r="Y155" i="25"/>
  <c r="X155" i="25"/>
  <c r="W155" i="25"/>
  <c r="V155" i="25"/>
  <c r="U155" i="25"/>
  <c r="T155" i="25"/>
  <c r="S155" i="25"/>
  <c r="R155" i="25"/>
  <c r="Q155" i="25"/>
  <c r="P155" i="25"/>
  <c r="O155" i="25"/>
  <c r="N155" i="25"/>
  <c r="M155" i="25"/>
  <c r="L155" i="25"/>
  <c r="K155" i="25"/>
  <c r="J155" i="25"/>
  <c r="H155" i="25"/>
  <c r="G155" i="25"/>
  <c r="C155" i="25"/>
  <c r="D155" i="25" s="1"/>
  <c r="F155" i="25"/>
  <c r="AT143" i="25"/>
  <c r="AS143" i="25"/>
  <c r="AR143" i="25"/>
  <c r="AQ143" i="25"/>
  <c r="AO143" i="25"/>
  <c r="AN143" i="25"/>
  <c r="AM143" i="25"/>
  <c r="AL143" i="25"/>
  <c r="AK143" i="25"/>
  <c r="AJ143" i="25"/>
  <c r="AI143" i="25"/>
  <c r="AH143" i="25"/>
  <c r="AG143" i="25"/>
  <c r="AF143" i="25"/>
  <c r="AE143" i="25"/>
  <c r="AD143" i="25"/>
  <c r="AC143" i="25"/>
  <c r="AB143" i="25"/>
  <c r="AA143" i="25"/>
  <c r="Z143" i="25"/>
  <c r="Y143" i="25"/>
  <c r="X143" i="25"/>
  <c r="W143" i="25"/>
  <c r="V143" i="25"/>
  <c r="U143" i="25"/>
  <c r="T143" i="25"/>
  <c r="S143" i="25"/>
  <c r="R143" i="25"/>
  <c r="Q143" i="25"/>
  <c r="P143" i="25"/>
  <c r="O143" i="25"/>
  <c r="N143" i="25"/>
  <c r="M143" i="25"/>
  <c r="L143" i="25"/>
  <c r="K143" i="25"/>
  <c r="J143" i="25"/>
  <c r="H143" i="25"/>
  <c r="G143" i="25"/>
  <c r="C143" i="25"/>
  <c r="D143" i="25" s="1"/>
  <c r="F143" i="25"/>
  <c r="AT156" i="25"/>
  <c r="AS156" i="25"/>
  <c r="AR156" i="25"/>
  <c r="AQ156" i="25"/>
  <c r="AO156" i="25"/>
  <c r="AN156" i="25"/>
  <c r="AM156" i="25"/>
  <c r="AL156" i="25"/>
  <c r="AK156" i="25"/>
  <c r="AJ156" i="25"/>
  <c r="AI156" i="25"/>
  <c r="AH156" i="25"/>
  <c r="AG156" i="25"/>
  <c r="AF156" i="25"/>
  <c r="AE156" i="25"/>
  <c r="AD156" i="25"/>
  <c r="AC156" i="25"/>
  <c r="AB156" i="25"/>
  <c r="AA156" i="25"/>
  <c r="Z156" i="25"/>
  <c r="Y156" i="25"/>
  <c r="X156" i="25"/>
  <c r="W156" i="25"/>
  <c r="V156" i="25"/>
  <c r="U156" i="25"/>
  <c r="T156" i="25"/>
  <c r="S156" i="25"/>
  <c r="R156" i="25"/>
  <c r="Q156" i="25"/>
  <c r="P156" i="25"/>
  <c r="O156" i="25"/>
  <c r="N156" i="25"/>
  <c r="M156" i="25"/>
  <c r="L156" i="25"/>
  <c r="K156" i="25"/>
  <c r="J156" i="25"/>
  <c r="H156" i="25"/>
  <c r="G156" i="25"/>
  <c r="C156" i="25"/>
  <c r="D156" i="25" s="1"/>
  <c r="F156" i="25"/>
  <c r="AT158" i="25"/>
  <c r="AS158" i="25"/>
  <c r="AR158" i="25"/>
  <c r="AQ158" i="25"/>
  <c r="AO158" i="25"/>
  <c r="AN158" i="25"/>
  <c r="AM158" i="25"/>
  <c r="AL158" i="25"/>
  <c r="AK158" i="25"/>
  <c r="AJ158" i="25"/>
  <c r="AI158" i="25"/>
  <c r="AH158" i="25"/>
  <c r="AG158" i="25"/>
  <c r="AF158" i="25"/>
  <c r="AE158" i="25"/>
  <c r="AD158" i="25"/>
  <c r="AC158" i="25"/>
  <c r="AB158" i="25"/>
  <c r="AA158" i="25"/>
  <c r="Z158" i="25"/>
  <c r="Y158" i="25"/>
  <c r="X158" i="25"/>
  <c r="W158" i="25"/>
  <c r="V158" i="25"/>
  <c r="U158" i="25"/>
  <c r="T158" i="25"/>
  <c r="S158" i="25"/>
  <c r="R158" i="25"/>
  <c r="Q158" i="25"/>
  <c r="P158" i="25"/>
  <c r="O158" i="25"/>
  <c r="N158" i="25"/>
  <c r="M158" i="25"/>
  <c r="L158" i="25"/>
  <c r="K158" i="25"/>
  <c r="J158" i="25"/>
  <c r="H158" i="25"/>
  <c r="G158" i="25"/>
  <c r="C158" i="25"/>
  <c r="D158" i="25" s="1"/>
  <c r="F158" i="25"/>
  <c r="AT157" i="25"/>
  <c r="AS157" i="25"/>
  <c r="AR157" i="25"/>
  <c r="AQ157" i="25"/>
  <c r="AO157" i="25"/>
  <c r="AN157" i="25"/>
  <c r="AM157" i="25"/>
  <c r="AL157" i="25"/>
  <c r="AK157" i="25"/>
  <c r="AJ157" i="25"/>
  <c r="AI157" i="25"/>
  <c r="AH157" i="25"/>
  <c r="AG157" i="25"/>
  <c r="AF157" i="25"/>
  <c r="AE157" i="25"/>
  <c r="AD157" i="25"/>
  <c r="AC157" i="25"/>
  <c r="AB157" i="25"/>
  <c r="AA157" i="25"/>
  <c r="Z157" i="25"/>
  <c r="Y157" i="25"/>
  <c r="X157" i="25"/>
  <c r="W157" i="25"/>
  <c r="V157" i="25"/>
  <c r="U157" i="25"/>
  <c r="T157" i="25"/>
  <c r="S157" i="25"/>
  <c r="R157" i="25"/>
  <c r="Q157" i="25"/>
  <c r="P157" i="25"/>
  <c r="O157" i="25"/>
  <c r="N157" i="25"/>
  <c r="M157" i="25"/>
  <c r="L157" i="25"/>
  <c r="K157" i="25"/>
  <c r="J157" i="25"/>
  <c r="H157" i="25"/>
  <c r="G157" i="25"/>
  <c r="C157" i="25"/>
  <c r="D157" i="25" s="1"/>
  <c r="F157" i="25"/>
  <c r="AT167" i="25"/>
  <c r="AS167" i="25"/>
  <c r="AR167" i="25"/>
  <c r="AQ167" i="25"/>
  <c r="AO167" i="25"/>
  <c r="AN167" i="25"/>
  <c r="AM167" i="25"/>
  <c r="AL167" i="25"/>
  <c r="AK167" i="25"/>
  <c r="AJ167" i="25"/>
  <c r="AI167" i="25"/>
  <c r="AH167" i="25"/>
  <c r="AG167" i="25"/>
  <c r="AF167" i="25"/>
  <c r="AE167" i="25"/>
  <c r="AD167" i="25"/>
  <c r="AC167" i="25"/>
  <c r="AB167" i="25"/>
  <c r="AA167" i="25"/>
  <c r="Z167" i="25"/>
  <c r="Y167" i="25"/>
  <c r="X167" i="25"/>
  <c r="W167" i="25"/>
  <c r="V167" i="25"/>
  <c r="U167" i="25"/>
  <c r="T167" i="25"/>
  <c r="S167" i="25"/>
  <c r="R167" i="25"/>
  <c r="Q167" i="25"/>
  <c r="P167" i="25"/>
  <c r="O167" i="25"/>
  <c r="N167" i="25"/>
  <c r="M167" i="25"/>
  <c r="L167" i="25"/>
  <c r="K167" i="25"/>
  <c r="J167" i="25"/>
  <c r="H167" i="25"/>
  <c r="G167" i="25"/>
  <c r="C167" i="25"/>
  <c r="D167" i="25" s="1"/>
  <c r="F167" i="25"/>
  <c r="AT166" i="25"/>
  <c r="AS166" i="25"/>
  <c r="AR166" i="25"/>
  <c r="AQ166" i="25"/>
  <c r="AO166" i="25"/>
  <c r="AN166" i="25"/>
  <c r="AM166" i="25"/>
  <c r="AL166" i="25"/>
  <c r="AK166" i="25"/>
  <c r="AJ166" i="25"/>
  <c r="AI166" i="25"/>
  <c r="AH166" i="25"/>
  <c r="AG166" i="25"/>
  <c r="AF166" i="25"/>
  <c r="AE166" i="25"/>
  <c r="AD166" i="25"/>
  <c r="AC166" i="25"/>
  <c r="AB166" i="25"/>
  <c r="AA166" i="25"/>
  <c r="Z166" i="25"/>
  <c r="Y166" i="25"/>
  <c r="X166" i="25"/>
  <c r="W166" i="25"/>
  <c r="V166" i="25"/>
  <c r="U166" i="25"/>
  <c r="T166" i="25"/>
  <c r="S166" i="25"/>
  <c r="R166" i="25"/>
  <c r="Q166" i="25"/>
  <c r="P166" i="25"/>
  <c r="O166" i="25"/>
  <c r="N166" i="25"/>
  <c r="M166" i="25"/>
  <c r="L166" i="25"/>
  <c r="K166" i="25"/>
  <c r="J166" i="25"/>
  <c r="H166" i="25"/>
  <c r="G166" i="25"/>
  <c r="C166" i="25"/>
  <c r="D166" i="25" s="1"/>
  <c r="F166" i="25"/>
  <c r="AT165" i="25"/>
  <c r="AS165" i="25"/>
  <c r="AR165" i="25"/>
  <c r="AQ165" i="25"/>
  <c r="AO165" i="25"/>
  <c r="AN165" i="25"/>
  <c r="AM165" i="25"/>
  <c r="AL165" i="25"/>
  <c r="AK165" i="25"/>
  <c r="AJ165" i="25"/>
  <c r="AI165" i="25"/>
  <c r="AH165" i="25"/>
  <c r="AG165" i="25"/>
  <c r="AF165" i="25"/>
  <c r="AE165" i="25"/>
  <c r="AD165" i="25"/>
  <c r="AC165" i="25"/>
  <c r="AB165" i="25"/>
  <c r="AA165" i="25"/>
  <c r="Z165" i="25"/>
  <c r="Y165" i="25"/>
  <c r="X165" i="25"/>
  <c r="W165" i="25"/>
  <c r="V165" i="25"/>
  <c r="U165" i="25"/>
  <c r="T165" i="25"/>
  <c r="S165" i="25"/>
  <c r="R165" i="25"/>
  <c r="Q165" i="25"/>
  <c r="P165" i="25"/>
  <c r="O165" i="25"/>
  <c r="N165" i="25"/>
  <c r="M165" i="25"/>
  <c r="L165" i="25"/>
  <c r="K165" i="25"/>
  <c r="J165" i="25"/>
  <c r="H165" i="25"/>
  <c r="G165" i="25"/>
  <c r="C165" i="25"/>
  <c r="D165" i="25" s="1"/>
  <c r="F165" i="25"/>
  <c r="AT146" i="25"/>
  <c r="AS146" i="25"/>
  <c r="AR146" i="25"/>
  <c r="AQ146" i="25"/>
  <c r="AO146" i="25"/>
  <c r="AN146" i="25"/>
  <c r="AM146" i="25"/>
  <c r="AL146" i="25"/>
  <c r="AK146" i="25"/>
  <c r="AJ146" i="25"/>
  <c r="AI146" i="25"/>
  <c r="AH146" i="25"/>
  <c r="AG146" i="25"/>
  <c r="AF146" i="25"/>
  <c r="AE146" i="25"/>
  <c r="AD146" i="25"/>
  <c r="AC146" i="25"/>
  <c r="AB146" i="25"/>
  <c r="AA146" i="25"/>
  <c r="Z146" i="25"/>
  <c r="Y146" i="25"/>
  <c r="X146" i="25"/>
  <c r="W146" i="25"/>
  <c r="V146" i="25"/>
  <c r="U146" i="25"/>
  <c r="T146" i="25"/>
  <c r="S146" i="25"/>
  <c r="R146" i="25"/>
  <c r="Q146" i="25"/>
  <c r="P146" i="25"/>
  <c r="O146" i="25"/>
  <c r="N146" i="25"/>
  <c r="M146" i="25"/>
  <c r="L146" i="25"/>
  <c r="K146" i="25"/>
  <c r="J146" i="25"/>
  <c r="H146" i="25"/>
  <c r="G146" i="25"/>
  <c r="C146" i="25"/>
  <c r="D146" i="25" s="1"/>
  <c r="F146" i="25"/>
  <c r="AT145" i="25"/>
  <c r="AS145" i="25"/>
  <c r="AR145" i="25"/>
  <c r="AQ145" i="25"/>
  <c r="AO145" i="25"/>
  <c r="AN145" i="25"/>
  <c r="AM145" i="25"/>
  <c r="AL145" i="25"/>
  <c r="AK145" i="25"/>
  <c r="AJ145" i="25"/>
  <c r="AI145" i="25"/>
  <c r="AH145" i="25"/>
  <c r="AG145" i="25"/>
  <c r="AF145" i="25"/>
  <c r="AE145" i="25"/>
  <c r="AD145" i="25"/>
  <c r="AC145" i="25"/>
  <c r="AB145" i="25"/>
  <c r="AA145" i="25"/>
  <c r="Z145" i="25"/>
  <c r="Y145" i="25"/>
  <c r="X145" i="25"/>
  <c r="W145" i="25"/>
  <c r="V145" i="25"/>
  <c r="U145" i="25"/>
  <c r="T145" i="25"/>
  <c r="S145" i="25"/>
  <c r="R145" i="25"/>
  <c r="Q145" i="25"/>
  <c r="P145" i="25"/>
  <c r="O145" i="25"/>
  <c r="N145" i="25"/>
  <c r="M145" i="25"/>
  <c r="L145" i="25"/>
  <c r="K145" i="25"/>
  <c r="J145" i="25"/>
  <c r="H145" i="25"/>
  <c r="G145" i="25"/>
  <c r="C145" i="25"/>
  <c r="D145" i="25" s="1"/>
  <c r="F145" i="25"/>
  <c r="AT144" i="25"/>
  <c r="AS144" i="25"/>
  <c r="AR144" i="25"/>
  <c r="AQ144" i="25"/>
  <c r="AO144" i="25"/>
  <c r="AN144" i="25"/>
  <c r="AM144" i="25"/>
  <c r="AL144" i="25"/>
  <c r="AK144" i="25"/>
  <c r="AJ144" i="25"/>
  <c r="AI144" i="25"/>
  <c r="AH144" i="25"/>
  <c r="AG144" i="25"/>
  <c r="AF144" i="25"/>
  <c r="AE144" i="25"/>
  <c r="AD144" i="25"/>
  <c r="AC144" i="25"/>
  <c r="AB144" i="25"/>
  <c r="AA144" i="25"/>
  <c r="Z144" i="25"/>
  <c r="Y144" i="25"/>
  <c r="X144" i="25"/>
  <c r="W144" i="25"/>
  <c r="V144" i="25"/>
  <c r="U144" i="25"/>
  <c r="T144" i="25"/>
  <c r="S144" i="25"/>
  <c r="R144" i="25"/>
  <c r="Q144" i="25"/>
  <c r="P144" i="25"/>
  <c r="O144" i="25"/>
  <c r="N144" i="25"/>
  <c r="M144" i="25"/>
  <c r="L144" i="25"/>
  <c r="K144" i="25"/>
  <c r="J144" i="25"/>
  <c r="H144" i="25"/>
  <c r="G144" i="25"/>
  <c r="C144" i="25"/>
  <c r="D144" i="25" s="1"/>
  <c r="F144" i="25"/>
  <c r="AT151" i="25"/>
  <c r="AS151" i="25"/>
  <c r="AR151" i="25"/>
  <c r="AQ151" i="25"/>
  <c r="AO151" i="25"/>
  <c r="AN151" i="25"/>
  <c r="AM151" i="25"/>
  <c r="AL151" i="25"/>
  <c r="AK151" i="25"/>
  <c r="AJ151" i="25"/>
  <c r="AI151" i="25"/>
  <c r="AH151" i="25"/>
  <c r="AG151" i="25"/>
  <c r="AF151" i="25"/>
  <c r="AE151" i="25"/>
  <c r="AD151" i="25"/>
  <c r="AC151" i="25"/>
  <c r="AB151" i="25"/>
  <c r="AA151" i="25"/>
  <c r="Z151" i="25"/>
  <c r="Y151" i="25"/>
  <c r="X151" i="25"/>
  <c r="W151" i="25"/>
  <c r="V151" i="25"/>
  <c r="U151" i="25"/>
  <c r="T151" i="25"/>
  <c r="S151" i="25"/>
  <c r="R151" i="25"/>
  <c r="Q151" i="25"/>
  <c r="P151" i="25"/>
  <c r="O151" i="25"/>
  <c r="N151" i="25"/>
  <c r="M151" i="25"/>
  <c r="L151" i="25"/>
  <c r="K151" i="25"/>
  <c r="J151" i="25"/>
  <c r="H151" i="25"/>
  <c r="G151" i="25"/>
  <c r="C151" i="25"/>
  <c r="D151" i="25" s="1"/>
  <c r="F151" i="25"/>
  <c r="AT149" i="25"/>
  <c r="AS149" i="25"/>
  <c r="AR149" i="25"/>
  <c r="AQ149" i="25"/>
  <c r="AO149" i="25"/>
  <c r="AN149" i="25"/>
  <c r="AM149" i="25"/>
  <c r="AL149" i="25"/>
  <c r="AK149" i="25"/>
  <c r="AJ149" i="25"/>
  <c r="AI149" i="25"/>
  <c r="AH149" i="25"/>
  <c r="AG149" i="25"/>
  <c r="AF149" i="25"/>
  <c r="AE149" i="25"/>
  <c r="AD149" i="25"/>
  <c r="AC149" i="25"/>
  <c r="AB149" i="25"/>
  <c r="AA149" i="25"/>
  <c r="Z149" i="25"/>
  <c r="Y149" i="25"/>
  <c r="X149" i="25"/>
  <c r="W149" i="25"/>
  <c r="V149" i="25"/>
  <c r="U149" i="25"/>
  <c r="T149" i="25"/>
  <c r="S149" i="25"/>
  <c r="R149" i="25"/>
  <c r="Q149" i="25"/>
  <c r="P149" i="25"/>
  <c r="O149" i="25"/>
  <c r="N149" i="25"/>
  <c r="M149" i="25"/>
  <c r="L149" i="25"/>
  <c r="K149" i="25"/>
  <c r="J149" i="25"/>
  <c r="H149" i="25"/>
  <c r="G149" i="25"/>
  <c r="C149" i="25"/>
  <c r="D149" i="25" s="1"/>
  <c r="F149" i="25"/>
  <c r="AT150" i="25"/>
  <c r="AS150" i="25"/>
  <c r="AR150" i="25"/>
  <c r="AQ150" i="25"/>
  <c r="AO150" i="25"/>
  <c r="AN150" i="25"/>
  <c r="AM150" i="25"/>
  <c r="AL150" i="25"/>
  <c r="AK150" i="25"/>
  <c r="AJ150" i="25"/>
  <c r="AI150" i="25"/>
  <c r="AH150" i="25"/>
  <c r="AG150" i="25"/>
  <c r="AF150" i="25"/>
  <c r="AE150" i="25"/>
  <c r="AD150" i="25"/>
  <c r="AC150" i="25"/>
  <c r="AB150" i="25"/>
  <c r="AA150" i="25"/>
  <c r="Z150" i="25"/>
  <c r="Y150" i="25"/>
  <c r="X150" i="25"/>
  <c r="W150" i="25"/>
  <c r="V150" i="25"/>
  <c r="U150" i="25"/>
  <c r="T150" i="25"/>
  <c r="S150" i="25"/>
  <c r="R150" i="25"/>
  <c r="Q150" i="25"/>
  <c r="P150" i="25"/>
  <c r="O150" i="25"/>
  <c r="N150" i="25"/>
  <c r="M150" i="25"/>
  <c r="L150" i="25"/>
  <c r="K150" i="25"/>
  <c r="J150" i="25"/>
  <c r="H150" i="25"/>
  <c r="G150" i="25"/>
  <c r="C150" i="25"/>
  <c r="D150" i="25" s="1"/>
  <c r="F150" i="25"/>
  <c r="AT148" i="25"/>
  <c r="AS148" i="25"/>
  <c r="AR148" i="25"/>
  <c r="AQ148" i="25"/>
  <c r="AO148" i="25"/>
  <c r="AN148" i="25"/>
  <c r="AM148" i="25"/>
  <c r="AL148" i="25"/>
  <c r="AK148" i="25"/>
  <c r="AJ148" i="25"/>
  <c r="AI148" i="25"/>
  <c r="AH148" i="25"/>
  <c r="AG148" i="25"/>
  <c r="AF148" i="25"/>
  <c r="AE148" i="25"/>
  <c r="AD148" i="25"/>
  <c r="AC148" i="25"/>
  <c r="AB148" i="25"/>
  <c r="AA148" i="25"/>
  <c r="Z148" i="25"/>
  <c r="Y148" i="25"/>
  <c r="X148" i="25"/>
  <c r="W148" i="25"/>
  <c r="V148" i="25"/>
  <c r="U148" i="25"/>
  <c r="T148" i="25"/>
  <c r="S148" i="25"/>
  <c r="R148" i="25"/>
  <c r="Q148" i="25"/>
  <c r="P148" i="25"/>
  <c r="O148" i="25"/>
  <c r="N148" i="25"/>
  <c r="M148" i="25"/>
  <c r="L148" i="25"/>
  <c r="K148" i="25"/>
  <c r="J148" i="25"/>
  <c r="H148" i="25"/>
  <c r="G148" i="25"/>
  <c r="C148" i="25"/>
  <c r="D148" i="25" s="1"/>
  <c r="F148" i="25"/>
  <c r="AT147" i="25"/>
  <c r="AS147" i="25"/>
  <c r="AR147" i="25"/>
  <c r="AQ147" i="25"/>
  <c r="AO147" i="25"/>
  <c r="AN147" i="25"/>
  <c r="AM147" i="25"/>
  <c r="AL147" i="25"/>
  <c r="AK147" i="25"/>
  <c r="AJ147" i="25"/>
  <c r="AI147" i="25"/>
  <c r="AH147" i="25"/>
  <c r="AG147" i="25"/>
  <c r="AF147" i="25"/>
  <c r="AE147" i="25"/>
  <c r="AD147" i="25"/>
  <c r="AC147" i="25"/>
  <c r="AB147" i="25"/>
  <c r="AA147" i="25"/>
  <c r="Z147" i="25"/>
  <c r="Y147" i="25"/>
  <c r="X147" i="25"/>
  <c r="W147" i="25"/>
  <c r="V147" i="25"/>
  <c r="U147" i="25"/>
  <c r="T147" i="25"/>
  <c r="S147" i="25"/>
  <c r="R147" i="25"/>
  <c r="Q147" i="25"/>
  <c r="P147" i="25"/>
  <c r="O147" i="25"/>
  <c r="N147" i="25"/>
  <c r="M147" i="25"/>
  <c r="L147" i="25"/>
  <c r="K147" i="25"/>
  <c r="J147" i="25"/>
  <c r="H147" i="25"/>
  <c r="G147" i="25"/>
  <c r="C147" i="25"/>
  <c r="D147" i="25" s="1"/>
  <c r="F147" i="25"/>
  <c r="AT161" i="25"/>
  <c r="AS161" i="25"/>
  <c r="AR161" i="25"/>
  <c r="AQ161" i="25"/>
  <c r="AO161" i="25"/>
  <c r="AN161" i="25"/>
  <c r="AM161" i="25"/>
  <c r="AL161" i="25"/>
  <c r="AK161" i="25"/>
  <c r="AJ161" i="25"/>
  <c r="AI161" i="25"/>
  <c r="AH161" i="25"/>
  <c r="AG161" i="25"/>
  <c r="AF161" i="25"/>
  <c r="AE161" i="25"/>
  <c r="AD161" i="25"/>
  <c r="AC161" i="25"/>
  <c r="AB161" i="25"/>
  <c r="AA161" i="25"/>
  <c r="Z161" i="25"/>
  <c r="Y161" i="25"/>
  <c r="X161" i="25"/>
  <c r="W161" i="25"/>
  <c r="V161" i="25"/>
  <c r="U161" i="25"/>
  <c r="T161" i="25"/>
  <c r="S161" i="25"/>
  <c r="R161" i="25"/>
  <c r="Q161" i="25"/>
  <c r="P161" i="25"/>
  <c r="O161" i="25"/>
  <c r="N161" i="25"/>
  <c r="M161" i="25"/>
  <c r="L161" i="25"/>
  <c r="K161" i="25"/>
  <c r="J161" i="25"/>
  <c r="H161" i="25"/>
  <c r="G161" i="25"/>
  <c r="C161" i="25"/>
  <c r="D161" i="25" s="1"/>
  <c r="F161" i="25"/>
  <c r="AT139" i="25"/>
  <c r="AS139" i="25"/>
  <c r="AR139" i="25"/>
  <c r="AQ139" i="25"/>
  <c r="AO139" i="25"/>
  <c r="AN139" i="25"/>
  <c r="AM139" i="25"/>
  <c r="AL139" i="25"/>
  <c r="AK139" i="25"/>
  <c r="AJ139" i="25"/>
  <c r="AI139" i="25"/>
  <c r="AH139" i="25"/>
  <c r="AG139" i="25"/>
  <c r="AF139" i="25"/>
  <c r="AE139" i="25"/>
  <c r="AD139" i="25"/>
  <c r="AC139" i="25"/>
  <c r="AB139" i="25"/>
  <c r="AA139" i="25"/>
  <c r="Z139" i="25"/>
  <c r="Y139" i="25"/>
  <c r="X139" i="25"/>
  <c r="W139" i="25"/>
  <c r="V139" i="25"/>
  <c r="U139" i="25"/>
  <c r="T139" i="25"/>
  <c r="S139" i="25"/>
  <c r="R139" i="25"/>
  <c r="Q139" i="25"/>
  <c r="P139" i="25"/>
  <c r="O139" i="25"/>
  <c r="N139" i="25"/>
  <c r="M139" i="25"/>
  <c r="L139" i="25"/>
  <c r="K139" i="25"/>
  <c r="J139" i="25"/>
  <c r="H139" i="25"/>
  <c r="G139" i="25"/>
  <c r="C139" i="25"/>
  <c r="D139" i="25" s="1"/>
  <c r="F139" i="25"/>
  <c r="AT163" i="25"/>
  <c r="AS163" i="25"/>
  <c r="AR163" i="25"/>
  <c r="AQ163" i="25"/>
  <c r="AO163" i="25"/>
  <c r="AN163" i="25"/>
  <c r="AM163" i="25"/>
  <c r="AL163" i="25"/>
  <c r="AK163" i="25"/>
  <c r="AJ163" i="25"/>
  <c r="AI163" i="25"/>
  <c r="AH163" i="25"/>
  <c r="AG163" i="25"/>
  <c r="AF163" i="25"/>
  <c r="AE163" i="25"/>
  <c r="AD163" i="25"/>
  <c r="AC163" i="25"/>
  <c r="AB163" i="25"/>
  <c r="AA163" i="25"/>
  <c r="Z163" i="25"/>
  <c r="Y163" i="25"/>
  <c r="X163" i="25"/>
  <c r="W163" i="25"/>
  <c r="V163" i="25"/>
  <c r="U163" i="25"/>
  <c r="T163" i="25"/>
  <c r="S163" i="25"/>
  <c r="R163" i="25"/>
  <c r="Q163" i="25"/>
  <c r="P163" i="25"/>
  <c r="O163" i="25"/>
  <c r="N163" i="25"/>
  <c r="M163" i="25"/>
  <c r="L163" i="25"/>
  <c r="K163" i="25"/>
  <c r="J163" i="25"/>
  <c r="H163" i="25"/>
  <c r="G163" i="25"/>
  <c r="C163" i="25"/>
  <c r="D163" i="25" s="1"/>
  <c r="F163" i="25"/>
  <c r="AT162" i="25"/>
  <c r="AS162" i="25"/>
  <c r="AR162" i="25"/>
  <c r="AQ162" i="25"/>
  <c r="AO162" i="25"/>
  <c r="AN162" i="25"/>
  <c r="AM162" i="25"/>
  <c r="AL162" i="25"/>
  <c r="AK162" i="25"/>
  <c r="AJ162" i="25"/>
  <c r="AI162" i="25"/>
  <c r="AH162" i="25"/>
  <c r="AG162" i="25"/>
  <c r="AF162" i="25"/>
  <c r="AE162" i="25"/>
  <c r="AD162" i="25"/>
  <c r="AC162" i="25"/>
  <c r="AB162" i="25"/>
  <c r="AA162" i="25"/>
  <c r="Z162" i="25"/>
  <c r="Y162" i="25"/>
  <c r="X162" i="25"/>
  <c r="W162" i="25"/>
  <c r="V162" i="25"/>
  <c r="U162" i="25"/>
  <c r="T162" i="25"/>
  <c r="S162" i="25"/>
  <c r="R162" i="25"/>
  <c r="Q162" i="25"/>
  <c r="P162" i="25"/>
  <c r="O162" i="25"/>
  <c r="N162" i="25"/>
  <c r="M162" i="25"/>
  <c r="L162" i="25"/>
  <c r="K162" i="25"/>
  <c r="J162" i="25"/>
  <c r="H162" i="25"/>
  <c r="G162" i="25"/>
  <c r="C162" i="25"/>
  <c r="D162" i="25" s="1"/>
  <c r="F162" i="25"/>
  <c r="AT164" i="25"/>
  <c r="AS164" i="25"/>
  <c r="AR164" i="25"/>
  <c r="AQ164" i="25"/>
  <c r="AO164" i="25"/>
  <c r="AN164" i="25"/>
  <c r="AM164" i="25"/>
  <c r="AL164" i="25"/>
  <c r="AK164" i="25"/>
  <c r="AJ164" i="25"/>
  <c r="AI164" i="25"/>
  <c r="AH164" i="25"/>
  <c r="AG164" i="25"/>
  <c r="AF164" i="25"/>
  <c r="AE164" i="25"/>
  <c r="AD164" i="25"/>
  <c r="AC164" i="25"/>
  <c r="AB164" i="25"/>
  <c r="AA164" i="25"/>
  <c r="Z164" i="25"/>
  <c r="Y164" i="25"/>
  <c r="X164" i="25"/>
  <c r="W164" i="25"/>
  <c r="V164" i="25"/>
  <c r="U164" i="25"/>
  <c r="T164" i="25"/>
  <c r="S164" i="25"/>
  <c r="R164" i="25"/>
  <c r="Q164" i="25"/>
  <c r="P164" i="25"/>
  <c r="O164" i="25"/>
  <c r="N164" i="25"/>
  <c r="M164" i="25"/>
  <c r="L164" i="25"/>
  <c r="K164" i="25"/>
  <c r="J164" i="25"/>
  <c r="H164" i="25"/>
  <c r="G164" i="25"/>
  <c r="C164" i="25"/>
  <c r="D164" i="25" s="1"/>
  <c r="F164" i="25"/>
  <c r="AT116" i="25"/>
  <c r="AS116" i="25"/>
  <c r="AR116" i="25"/>
  <c r="AQ116" i="25"/>
  <c r="AO116" i="25"/>
  <c r="AN116" i="25"/>
  <c r="AM116" i="25"/>
  <c r="AL116" i="25"/>
  <c r="AK116" i="25"/>
  <c r="AJ116" i="25"/>
  <c r="AI116" i="25"/>
  <c r="AH116" i="25"/>
  <c r="AG116" i="25"/>
  <c r="AF116" i="25"/>
  <c r="AE116" i="25"/>
  <c r="AD116" i="25"/>
  <c r="AC116" i="25"/>
  <c r="AB116" i="25"/>
  <c r="AA116" i="25"/>
  <c r="Z116" i="25"/>
  <c r="Y116" i="25"/>
  <c r="X116" i="25"/>
  <c r="W116" i="25"/>
  <c r="V116" i="25"/>
  <c r="U116" i="25"/>
  <c r="T116" i="25"/>
  <c r="S116" i="25"/>
  <c r="R116" i="25"/>
  <c r="Q116" i="25"/>
  <c r="P116" i="25"/>
  <c r="O116" i="25"/>
  <c r="N116" i="25"/>
  <c r="M116" i="25"/>
  <c r="L116" i="25"/>
  <c r="K116" i="25"/>
  <c r="J116" i="25"/>
  <c r="H116" i="25"/>
  <c r="G116" i="25"/>
  <c r="C116" i="25"/>
  <c r="D116" i="25" s="1"/>
  <c r="F116" i="25"/>
  <c r="AT115" i="25"/>
  <c r="AS115" i="25"/>
  <c r="AR115" i="25"/>
  <c r="AQ115" i="25"/>
  <c r="AO115" i="25"/>
  <c r="AN115" i="25"/>
  <c r="AM115" i="25"/>
  <c r="AL115" i="25"/>
  <c r="AK115" i="25"/>
  <c r="AJ115" i="25"/>
  <c r="AI115" i="25"/>
  <c r="AH115" i="25"/>
  <c r="AG115" i="25"/>
  <c r="AF115" i="25"/>
  <c r="AE115" i="25"/>
  <c r="AD115" i="25"/>
  <c r="AC115" i="25"/>
  <c r="AB115" i="25"/>
  <c r="AA115" i="25"/>
  <c r="Z115" i="25"/>
  <c r="Y115" i="25"/>
  <c r="X115" i="25"/>
  <c r="W115" i="25"/>
  <c r="V115" i="25"/>
  <c r="U115" i="25"/>
  <c r="T115" i="25"/>
  <c r="S115" i="25"/>
  <c r="R115" i="25"/>
  <c r="Q115" i="25"/>
  <c r="P115" i="25"/>
  <c r="O115" i="25"/>
  <c r="N115" i="25"/>
  <c r="M115" i="25"/>
  <c r="L115" i="25"/>
  <c r="K115" i="25"/>
  <c r="J115" i="25"/>
  <c r="H115" i="25"/>
  <c r="G115" i="25"/>
  <c r="C115" i="25"/>
  <c r="D115" i="25" s="1"/>
  <c r="F115" i="25"/>
  <c r="AT114" i="25"/>
  <c r="AS114" i="25"/>
  <c r="AR114" i="25"/>
  <c r="AQ114" i="25"/>
  <c r="AO114" i="25"/>
  <c r="AN114" i="25"/>
  <c r="AM114" i="25"/>
  <c r="AL114" i="25"/>
  <c r="AK114" i="25"/>
  <c r="AJ114" i="25"/>
  <c r="AI114" i="25"/>
  <c r="AH114" i="25"/>
  <c r="AG114" i="25"/>
  <c r="AF114" i="25"/>
  <c r="AE114" i="25"/>
  <c r="AD114" i="25"/>
  <c r="AC114" i="25"/>
  <c r="AB114" i="25"/>
  <c r="AA114" i="25"/>
  <c r="Z114" i="25"/>
  <c r="Y114" i="25"/>
  <c r="X114" i="25"/>
  <c r="W114" i="25"/>
  <c r="V114" i="25"/>
  <c r="U114" i="25"/>
  <c r="T114" i="25"/>
  <c r="S114" i="25"/>
  <c r="R114" i="25"/>
  <c r="Q114" i="25"/>
  <c r="P114" i="25"/>
  <c r="O114" i="25"/>
  <c r="N114" i="25"/>
  <c r="M114" i="25"/>
  <c r="L114" i="25"/>
  <c r="K114" i="25"/>
  <c r="J114" i="25"/>
  <c r="H114" i="25"/>
  <c r="G114" i="25"/>
  <c r="C114" i="25"/>
  <c r="D114" i="25" s="1"/>
  <c r="F114" i="25"/>
  <c r="AT113" i="25"/>
  <c r="AS113" i="25"/>
  <c r="AR113" i="25"/>
  <c r="AQ113" i="25"/>
  <c r="AO113" i="25"/>
  <c r="AN113" i="25"/>
  <c r="AM113" i="25"/>
  <c r="AL113" i="25"/>
  <c r="AK113" i="25"/>
  <c r="AJ113" i="25"/>
  <c r="AI113" i="25"/>
  <c r="AH113" i="25"/>
  <c r="AG113" i="25"/>
  <c r="AF113" i="25"/>
  <c r="AE113" i="25"/>
  <c r="AD113" i="25"/>
  <c r="AC113" i="25"/>
  <c r="AB113" i="25"/>
  <c r="AA113" i="25"/>
  <c r="Z113" i="25"/>
  <c r="Y113" i="25"/>
  <c r="X113" i="25"/>
  <c r="W113" i="25"/>
  <c r="V113" i="25"/>
  <c r="U113" i="25"/>
  <c r="T113" i="25"/>
  <c r="S113" i="25"/>
  <c r="R113" i="25"/>
  <c r="Q113" i="25"/>
  <c r="P113" i="25"/>
  <c r="O113" i="25"/>
  <c r="N113" i="25"/>
  <c r="M113" i="25"/>
  <c r="L113" i="25"/>
  <c r="K113" i="25"/>
  <c r="J113" i="25"/>
  <c r="H113" i="25"/>
  <c r="G113" i="25"/>
  <c r="C113" i="25"/>
  <c r="D113" i="25" s="1"/>
  <c r="F113" i="25"/>
  <c r="AT112" i="25"/>
  <c r="AS112" i="25"/>
  <c r="AQ112" i="25"/>
  <c r="AO112" i="25"/>
  <c r="AN112" i="25"/>
  <c r="AM112" i="25"/>
  <c r="AL112" i="25"/>
  <c r="AK112" i="25"/>
  <c r="AJ112" i="25"/>
  <c r="AI112" i="25"/>
  <c r="AH112" i="25"/>
  <c r="AG112" i="25"/>
  <c r="AF112" i="25"/>
  <c r="AE112" i="25"/>
  <c r="AD112" i="25"/>
  <c r="AC112" i="25"/>
  <c r="AB112" i="25"/>
  <c r="AA112" i="25"/>
  <c r="Z112" i="25"/>
  <c r="Y112" i="25"/>
  <c r="X112" i="25"/>
  <c r="W112" i="25"/>
  <c r="V112" i="25"/>
  <c r="U112" i="25"/>
  <c r="T112" i="25"/>
  <c r="S112" i="25"/>
  <c r="R112" i="25"/>
  <c r="Q112" i="25"/>
  <c r="P112" i="25"/>
  <c r="O112" i="25"/>
  <c r="N112" i="25"/>
  <c r="M112" i="25"/>
  <c r="L112" i="25"/>
  <c r="K112" i="25"/>
  <c r="J112" i="25"/>
  <c r="H112" i="25"/>
  <c r="G112" i="25"/>
  <c r="C112" i="25"/>
  <c r="D112" i="25" s="1"/>
  <c r="F112" i="25"/>
  <c r="AT107" i="25"/>
  <c r="AS107" i="25"/>
  <c r="AR107" i="25"/>
  <c r="AQ107" i="25"/>
  <c r="AO107" i="25"/>
  <c r="AN107" i="25"/>
  <c r="AM107" i="25"/>
  <c r="AL107" i="25"/>
  <c r="AK107" i="25"/>
  <c r="AJ107" i="25"/>
  <c r="AI107" i="25"/>
  <c r="AH107" i="25"/>
  <c r="AG107" i="25"/>
  <c r="AF107" i="25"/>
  <c r="AE107" i="25"/>
  <c r="AD107" i="25"/>
  <c r="AC107" i="25"/>
  <c r="AB107" i="25"/>
  <c r="AA107" i="25"/>
  <c r="Z107" i="25"/>
  <c r="Y107" i="25"/>
  <c r="X107" i="25"/>
  <c r="W107" i="25"/>
  <c r="V107" i="25"/>
  <c r="U107" i="25"/>
  <c r="T107" i="25"/>
  <c r="S107" i="25"/>
  <c r="R107" i="25"/>
  <c r="Q107" i="25"/>
  <c r="P107" i="25"/>
  <c r="O107" i="25"/>
  <c r="N107" i="25"/>
  <c r="M107" i="25"/>
  <c r="L107" i="25"/>
  <c r="K107" i="25"/>
  <c r="J107" i="25"/>
  <c r="H107" i="25"/>
  <c r="G107" i="25"/>
  <c r="C107" i="25"/>
  <c r="D107" i="25" s="1"/>
  <c r="F107" i="25"/>
  <c r="AT106" i="25"/>
  <c r="AS106" i="25"/>
  <c r="AR106" i="25"/>
  <c r="AQ106" i="25"/>
  <c r="AO106" i="25"/>
  <c r="AN106" i="25"/>
  <c r="AM106" i="25"/>
  <c r="AL106" i="25"/>
  <c r="AK106" i="25"/>
  <c r="AJ106" i="25"/>
  <c r="AI106" i="25"/>
  <c r="AH106" i="25"/>
  <c r="AG106" i="25"/>
  <c r="AF106" i="25"/>
  <c r="AE106" i="25"/>
  <c r="AD106" i="25"/>
  <c r="AC106" i="25"/>
  <c r="AB106" i="25"/>
  <c r="AA106" i="25"/>
  <c r="Z106" i="25"/>
  <c r="Y106" i="25"/>
  <c r="X106" i="25"/>
  <c r="W106" i="25"/>
  <c r="V106" i="25"/>
  <c r="U106" i="25"/>
  <c r="T106" i="25"/>
  <c r="S106" i="25"/>
  <c r="R106" i="25"/>
  <c r="Q106" i="25"/>
  <c r="P106" i="25"/>
  <c r="O106" i="25"/>
  <c r="N106" i="25"/>
  <c r="M106" i="25"/>
  <c r="L106" i="25"/>
  <c r="K106" i="25"/>
  <c r="J106" i="25"/>
  <c r="H106" i="25"/>
  <c r="G106" i="25"/>
  <c r="C106" i="25"/>
  <c r="D106" i="25" s="1"/>
  <c r="F106" i="25"/>
  <c r="AT105" i="25"/>
  <c r="AS105" i="25"/>
  <c r="AR105" i="25"/>
  <c r="AQ105" i="25"/>
  <c r="AO105" i="25"/>
  <c r="AN105" i="25"/>
  <c r="AM105" i="25"/>
  <c r="AL105" i="25"/>
  <c r="AK105" i="25"/>
  <c r="AJ105" i="25"/>
  <c r="AI105" i="25"/>
  <c r="AH105" i="25"/>
  <c r="AG105" i="25"/>
  <c r="AF105" i="25"/>
  <c r="AE105" i="25"/>
  <c r="AD105" i="25"/>
  <c r="AC105" i="25"/>
  <c r="AB105" i="25"/>
  <c r="AA105" i="25"/>
  <c r="Z105" i="25"/>
  <c r="Y105" i="25"/>
  <c r="X105" i="25"/>
  <c r="W105" i="25"/>
  <c r="V105" i="25"/>
  <c r="U105" i="25"/>
  <c r="T105" i="25"/>
  <c r="S105" i="25"/>
  <c r="R105" i="25"/>
  <c r="Q105" i="25"/>
  <c r="P105" i="25"/>
  <c r="O105" i="25"/>
  <c r="N105" i="25"/>
  <c r="M105" i="25"/>
  <c r="L105" i="25"/>
  <c r="K105" i="25"/>
  <c r="J105" i="25"/>
  <c r="H105" i="25"/>
  <c r="G105" i="25"/>
  <c r="C105" i="25"/>
  <c r="D105" i="25" s="1"/>
  <c r="F105" i="25"/>
  <c r="AT47" i="25"/>
  <c r="AS47" i="25"/>
  <c r="AR47" i="25"/>
  <c r="AQ47" i="25"/>
  <c r="AO47" i="25"/>
  <c r="AN47" i="25"/>
  <c r="AM47" i="25"/>
  <c r="AL47" i="25"/>
  <c r="AK47" i="25"/>
  <c r="AJ47" i="25"/>
  <c r="AI47" i="25"/>
  <c r="AH47" i="25"/>
  <c r="AG47" i="25"/>
  <c r="AF47" i="25"/>
  <c r="AE47" i="25"/>
  <c r="AD47" i="25"/>
  <c r="AC47" i="25"/>
  <c r="AB47" i="25"/>
  <c r="AA47" i="25"/>
  <c r="Z47" i="25"/>
  <c r="Y47" i="25"/>
  <c r="X47" i="25"/>
  <c r="W47" i="25"/>
  <c r="V47" i="25"/>
  <c r="U47" i="25"/>
  <c r="T47" i="25"/>
  <c r="S47" i="25"/>
  <c r="R47" i="25"/>
  <c r="Q47" i="25"/>
  <c r="P47" i="25"/>
  <c r="O47" i="25"/>
  <c r="N47" i="25"/>
  <c r="M47" i="25"/>
  <c r="L47" i="25"/>
  <c r="K47" i="25"/>
  <c r="J47" i="25"/>
  <c r="H47" i="25"/>
  <c r="G47" i="25"/>
  <c r="C47" i="25"/>
  <c r="D47" i="25" s="1"/>
  <c r="F47" i="25"/>
  <c r="AT46" i="25"/>
  <c r="AS46" i="25"/>
  <c r="AR46" i="25"/>
  <c r="AQ46" i="25"/>
  <c r="AO46" i="25"/>
  <c r="AN46" i="25"/>
  <c r="AM46" i="25"/>
  <c r="AL46" i="25"/>
  <c r="AK46" i="25"/>
  <c r="AJ46" i="25"/>
  <c r="AI46" i="25"/>
  <c r="AH46" i="25"/>
  <c r="AG46" i="25"/>
  <c r="AF46" i="25"/>
  <c r="AE46" i="25"/>
  <c r="AD46" i="25"/>
  <c r="AC46" i="25"/>
  <c r="AB46" i="25"/>
  <c r="AA46" i="25"/>
  <c r="Z46" i="25"/>
  <c r="Y46" i="25"/>
  <c r="X46" i="25"/>
  <c r="W46" i="25"/>
  <c r="V46" i="25"/>
  <c r="U46" i="25"/>
  <c r="T46" i="25"/>
  <c r="S46" i="25"/>
  <c r="R46" i="25"/>
  <c r="Q46" i="25"/>
  <c r="P46" i="25"/>
  <c r="O46" i="25"/>
  <c r="N46" i="25"/>
  <c r="M46" i="25"/>
  <c r="L46" i="25"/>
  <c r="K46" i="25"/>
  <c r="J46" i="25"/>
  <c r="H46" i="25"/>
  <c r="G46" i="25"/>
  <c r="C46" i="25"/>
  <c r="D46" i="25" s="1"/>
  <c r="F46" i="25"/>
  <c r="AT45" i="25"/>
  <c r="AS45" i="25"/>
  <c r="AR45" i="25"/>
  <c r="AQ45" i="25"/>
  <c r="AO45" i="25"/>
  <c r="AN45" i="25"/>
  <c r="AM45" i="25"/>
  <c r="AL45" i="25"/>
  <c r="AK45" i="25"/>
  <c r="AJ45" i="25"/>
  <c r="AI45" i="25"/>
  <c r="AH45" i="25"/>
  <c r="AG45" i="25"/>
  <c r="AF45" i="25"/>
  <c r="AE45" i="25"/>
  <c r="AD45" i="25"/>
  <c r="AC45" i="25"/>
  <c r="AB45" i="25"/>
  <c r="AA45" i="25"/>
  <c r="Z45" i="25"/>
  <c r="Y45" i="25"/>
  <c r="X45" i="25"/>
  <c r="W45" i="25"/>
  <c r="V45" i="25"/>
  <c r="U45" i="25"/>
  <c r="T45" i="25"/>
  <c r="S45" i="25"/>
  <c r="R45" i="25"/>
  <c r="Q45" i="25"/>
  <c r="P45" i="25"/>
  <c r="O45" i="25"/>
  <c r="N45" i="25"/>
  <c r="M45" i="25"/>
  <c r="L45" i="25"/>
  <c r="K45" i="25"/>
  <c r="J45" i="25"/>
  <c r="H45" i="25"/>
  <c r="G45" i="25"/>
  <c r="C45" i="25"/>
  <c r="D45" i="25" s="1"/>
  <c r="F45" i="25"/>
  <c r="AT44" i="25"/>
  <c r="AS44" i="25"/>
  <c r="AR44" i="25"/>
  <c r="AQ44" i="25"/>
  <c r="AO44" i="25"/>
  <c r="AN44" i="25"/>
  <c r="AM44" i="25"/>
  <c r="AL44" i="25"/>
  <c r="AK44" i="25"/>
  <c r="AJ44" i="25"/>
  <c r="AI44" i="25"/>
  <c r="AH44" i="25"/>
  <c r="AG44" i="25"/>
  <c r="AF44" i="25"/>
  <c r="AE44" i="25"/>
  <c r="AD44" i="25"/>
  <c r="AC44" i="25"/>
  <c r="AB44" i="25"/>
  <c r="AA44" i="25"/>
  <c r="Z44" i="25"/>
  <c r="Y44" i="25"/>
  <c r="X44" i="25"/>
  <c r="W44" i="25"/>
  <c r="V44" i="25"/>
  <c r="U44" i="25"/>
  <c r="T44" i="25"/>
  <c r="S44" i="25"/>
  <c r="R44" i="25"/>
  <c r="Q44" i="25"/>
  <c r="P44" i="25"/>
  <c r="O44" i="25"/>
  <c r="N44" i="25"/>
  <c r="M44" i="25"/>
  <c r="L44" i="25"/>
  <c r="K44" i="25"/>
  <c r="J44" i="25"/>
  <c r="H44" i="25"/>
  <c r="G44" i="25"/>
  <c r="C44" i="25"/>
  <c r="D44" i="25" s="1"/>
  <c r="F44" i="25"/>
  <c r="AT125" i="25"/>
  <c r="AS125" i="25"/>
  <c r="AR125" i="25"/>
  <c r="AQ125" i="25"/>
  <c r="AO125" i="25"/>
  <c r="AN125" i="25"/>
  <c r="AM125" i="25"/>
  <c r="AL125" i="25"/>
  <c r="AK125" i="25"/>
  <c r="AJ125" i="25"/>
  <c r="AI125" i="25"/>
  <c r="AH125" i="25"/>
  <c r="AG125" i="25"/>
  <c r="AF125" i="25"/>
  <c r="AE125" i="25"/>
  <c r="AD125" i="25"/>
  <c r="AC125" i="25"/>
  <c r="AB125" i="25"/>
  <c r="AA125" i="25"/>
  <c r="Z125" i="25"/>
  <c r="Y125" i="25"/>
  <c r="X125" i="25"/>
  <c r="W125" i="25"/>
  <c r="V125" i="25"/>
  <c r="U125" i="25"/>
  <c r="T125" i="25"/>
  <c r="S125" i="25"/>
  <c r="R125" i="25"/>
  <c r="Q125" i="25"/>
  <c r="P125" i="25"/>
  <c r="O125" i="25"/>
  <c r="N125" i="25"/>
  <c r="M125" i="25"/>
  <c r="L125" i="25"/>
  <c r="K125" i="25"/>
  <c r="J125" i="25"/>
  <c r="H125" i="25"/>
  <c r="G125" i="25"/>
  <c r="C125" i="25"/>
  <c r="D125" i="25" s="1"/>
  <c r="F125" i="25"/>
  <c r="AT124" i="25"/>
  <c r="AS124" i="25"/>
  <c r="AR124" i="25"/>
  <c r="AQ124" i="25"/>
  <c r="AO124" i="25"/>
  <c r="AN124" i="25"/>
  <c r="AM124" i="25"/>
  <c r="AL124" i="25"/>
  <c r="AK124" i="25"/>
  <c r="AJ124" i="25"/>
  <c r="AI124" i="25"/>
  <c r="AH124" i="25"/>
  <c r="AG124" i="25"/>
  <c r="AF124" i="25"/>
  <c r="AE124" i="25"/>
  <c r="AD124" i="25"/>
  <c r="AC124" i="25"/>
  <c r="AB124" i="25"/>
  <c r="AA124" i="25"/>
  <c r="Z124" i="25"/>
  <c r="Y124" i="25"/>
  <c r="X124" i="25"/>
  <c r="W124" i="25"/>
  <c r="V124" i="25"/>
  <c r="U124" i="25"/>
  <c r="T124" i="25"/>
  <c r="S124" i="25"/>
  <c r="R124" i="25"/>
  <c r="Q124" i="25"/>
  <c r="P124" i="25"/>
  <c r="O124" i="25"/>
  <c r="N124" i="25"/>
  <c r="M124" i="25"/>
  <c r="L124" i="25"/>
  <c r="K124" i="25"/>
  <c r="J124" i="25"/>
  <c r="H124" i="25"/>
  <c r="G124" i="25"/>
  <c r="C124" i="25"/>
  <c r="D124" i="25" s="1"/>
  <c r="F124" i="25"/>
  <c r="AT123" i="25"/>
  <c r="AS123" i="25"/>
  <c r="AQ123" i="25"/>
  <c r="AO123" i="25"/>
  <c r="AN123" i="25"/>
  <c r="AM123" i="25"/>
  <c r="AL123" i="25"/>
  <c r="AK123" i="25"/>
  <c r="AJ123" i="25"/>
  <c r="AI123" i="25"/>
  <c r="AH123" i="25"/>
  <c r="AG123" i="25"/>
  <c r="AF123" i="25"/>
  <c r="AE123" i="25"/>
  <c r="AD123" i="25"/>
  <c r="AC123" i="25"/>
  <c r="AB123" i="25"/>
  <c r="AA123" i="25"/>
  <c r="Z123" i="25"/>
  <c r="Y123" i="25"/>
  <c r="X123" i="25"/>
  <c r="W123" i="25"/>
  <c r="V123" i="25"/>
  <c r="U123" i="25"/>
  <c r="T123" i="25"/>
  <c r="S123" i="25"/>
  <c r="R123" i="25"/>
  <c r="Q123" i="25"/>
  <c r="P123" i="25"/>
  <c r="O123" i="25"/>
  <c r="N123" i="25"/>
  <c r="M123" i="25"/>
  <c r="L123" i="25"/>
  <c r="K123" i="25"/>
  <c r="J123" i="25"/>
  <c r="H123" i="25"/>
  <c r="G123" i="25"/>
  <c r="C123" i="25"/>
  <c r="D123" i="25" s="1"/>
  <c r="F123" i="25"/>
  <c r="AT122" i="25"/>
  <c r="AS122" i="25"/>
  <c r="AQ122" i="25"/>
  <c r="AO122" i="25"/>
  <c r="AN122" i="25"/>
  <c r="AM122" i="25"/>
  <c r="AL122" i="25"/>
  <c r="AK122" i="25"/>
  <c r="AJ122" i="25"/>
  <c r="AI122" i="25"/>
  <c r="AH122" i="25"/>
  <c r="AG122" i="25"/>
  <c r="AF122" i="25"/>
  <c r="AE122" i="25"/>
  <c r="AD122" i="25"/>
  <c r="AC122" i="25"/>
  <c r="AB122" i="25"/>
  <c r="AA122" i="25"/>
  <c r="Z122" i="25"/>
  <c r="Y122" i="25"/>
  <c r="X122" i="25"/>
  <c r="W122" i="25"/>
  <c r="V122" i="25"/>
  <c r="U122" i="25"/>
  <c r="T122" i="25"/>
  <c r="S122" i="25"/>
  <c r="R122" i="25"/>
  <c r="Q122" i="25"/>
  <c r="P122" i="25"/>
  <c r="O122" i="25"/>
  <c r="N122" i="25"/>
  <c r="M122" i="25"/>
  <c r="L122" i="25"/>
  <c r="K122" i="25"/>
  <c r="J122" i="25"/>
  <c r="H122" i="25"/>
  <c r="G122" i="25"/>
  <c r="C122" i="25"/>
  <c r="D122" i="25" s="1"/>
  <c r="F122" i="25"/>
  <c r="AT111" i="25"/>
  <c r="AS111" i="25"/>
  <c r="AR111" i="25"/>
  <c r="AQ111" i="25"/>
  <c r="AO111" i="25"/>
  <c r="AN111" i="25"/>
  <c r="AM111" i="25"/>
  <c r="AL111" i="25"/>
  <c r="AK111" i="25"/>
  <c r="AJ111" i="25"/>
  <c r="AI111" i="25"/>
  <c r="AH111" i="25"/>
  <c r="AG111" i="25"/>
  <c r="AF111" i="25"/>
  <c r="AE111" i="25"/>
  <c r="AD111" i="25"/>
  <c r="AC111" i="25"/>
  <c r="AB111" i="25"/>
  <c r="AA111" i="25"/>
  <c r="Z111" i="25"/>
  <c r="Y111" i="25"/>
  <c r="X111" i="25"/>
  <c r="W111" i="25"/>
  <c r="V111" i="25"/>
  <c r="U111" i="25"/>
  <c r="T111" i="25"/>
  <c r="S111" i="25"/>
  <c r="R111" i="25"/>
  <c r="Q111" i="25"/>
  <c r="P111" i="25"/>
  <c r="O111" i="25"/>
  <c r="N111" i="25"/>
  <c r="M111" i="25"/>
  <c r="L111" i="25"/>
  <c r="K111" i="25"/>
  <c r="J111" i="25"/>
  <c r="H111" i="25"/>
  <c r="G111" i="25"/>
  <c r="C111" i="25"/>
  <c r="D111" i="25" s="1"/>
  <c r="F111" i="25"/>
  <c r="AT49" i="25"/>
  <c r="AS49" i="25"/>
  <c r="AR49" i="25"/>
  <c r="AQ49" i="25"/>
  <c r="AO49" i="25"/>
  <c r="AN49" i="25"/>
  <c r="AM49" i="25"/>
  <c r="AL49" i="25"/>
  <c r="AK49" i="25"/>
  <c r="AJ49" i="25"/>
  <c r="AI49" i="25"/>
  <c r="AH49" i="25"/>
  <c r="AG49" i="25"/>
  <c r="AF49" i="25"/>
  <c r="AE49" i="25"/>
  <c r="AD49" i="25"/>
  <c r="AC49" i="25"/>
  <c r="AB49" i="25"/>
  <c r="AA49" i="25"/>
  <c r="Z49" i="25"/>
  <c r="Y49" i="25"/>
  <c r="X49" i="25"/>
  <c r="W49" i="25"/>
  <c r="V49" i="25"/>
  <c r="U49" i="25"/>
  <c r="T49" i="25"/>
  <c r="S49" i="25"/>
  <c r="R49" i="25"/>
  <c r="Q49" i="25"/>
  <c r="P49" i="25"/>
  <c r="O49" i="25"/>
  <c r="N49" i="25"/>
  <c r="M49" i="25"/>
  <c r="L49" i="25"/>
  <c r="K49" i="25"/>
  <c r="J49" i="25"/>
  <c r="H49" i="25"/>
  <c r="G49" i="25"/>
  <c r="C49" i="25"/>
  <c r="D49" i="25" s="1"/>
  <c r="F49" i="25"/>
  <c r="AT48" i="25"/>
  <c r="AS48" i="25"/>
  <c r="AR48" i="25"/>
  <c r="AQ48" i="25"/>
  <c r="AO48" i="25"/>
  <c r="AN48" i="25"/>
  <c r="AM48" i="25"/>
  <c r="AL48" i="25"/>
  <c r="AK48" i="25"/>
  <c r="AJ48" i="25"/>
  <c r="AI48" i="25"/>
  <c r="AH48" i="25"/>
  <c r="AG48" i="25"/>
  <c r="AF48" i="25"/>
  <c r="AE48" i="25"/>
  <c r="AD48" i="25"/>
  <c r="AC48" i="25"/>
  <c r="AB48" i="25"/>
  <c r="AA48" i="25"/>
  <c r="Z48" i="25"/>
  <c r="Y48" i="25"/>
  <c r="X48" i="25"/>
  <c r="W48" i="25"/>
  <c r="V48" i="25"/>
  <c r="U48" i="25"/>
  <c r="T48" i="25"/>
  <c r="S48" i="25"/>
  <c r="R48" i="25"/>
  <c r="Q48" i="25"/>
  <c r="P48" i="25"/>
  <c r="O48" i="25"/>
  <c r="N48" i="25"/>
  <c r="M48" i="25"/>
  <c r="L48" i="25"/>
  <c r="K48" i="25"/>
  <c r="J48" i="25"/>
  <c r="H48" i="25"/>
  <c r="G48" i="25"/>
  <c r="C48" i="25"/>
  <c r="D48" i="25" s="1"/>
  <c r="F48" i="25"/>
  <c r="AT121" i="25"/>
  <c r="AS121" i="25"/>
  <c r="AQ121" i="25"/>
  <c r="AO121" i="25"/>
  <c r="AN121" i="25"/>
  <c r="AM121" i="25"/>
  <c r="AL121" i="25"/>
  <c r="AK121" i="25"/>
  <c r="AJ121" i="25"/>
  <c r="AI121" i="25"/>
  <c r="AH121" i="25"/>
  <c r="AG121" i="25"/>
  <c r="AF121" i="25"/>
  <c r="AE121" i="25"/>
  <c r="AD121" i="25"/>
  <c r="AC121" i="25"/>
  <c r="AB121" i="25"/>
  <c r="AA121" i="25"/>
  <c r="Z121" i="25"/>
  <c r="Y121" i="25"/>
  <c r="X121" i="25"/>
  <c r="W121" i="25"/>
  <c r="V121" i="25"/>
  <c r="U121" i="25"/>
  <c r="T121" i="25"/>
  <c r="S121" i="25"/>
  <c r="R121" i="25"/>
  <c r="Q121" i="25"/>
  <c r="P121" i="25"/>
  <c r="O121" i="25"/>
  <c r="N121" i="25"/>
  <c r="M121" i="25"/>
  <c r="L121" i="25"/>
  <c r="K121" i="25"/>
  <c r="J121" i="25"/>
  <c r="H121" i="25"/>
  <c r="G121" i="25"/>
  <c r="C121" i="25"/>
  <c r="D121" i="25" s="1"/>
  <c r="F121" i="25"/>
  <c r="AT120" i="25"/>
  <c r="AS120" i="25"/>
  <c r="AQ120" i="25"/>
  <c r="AO120" i="25"/>
  <c r="AN120" i="25"/>
  <c r="AM120" i="25"/>
  <c r="AL120" i="25"/>
  <c r="AK120" i="25"/>
  <c r="AJ120" i="25"/>
  <c r="AI120" i="25"/>
  <c r="AH120" i="25"/>
  <c r="AG120" i="25"/>
  <c r="AF120" i="25"/>
  <c r="AE120" i="25"/>
  <c r="AD120" i="25"/>
  <c r="AC120" i="25"/>
  <c r="AB120" i="25"/>
  <c r="AA120" i="25"/>
  <c r="Z120" i="25"/>
  <c r="Y120" i="25"/>
  <c r="X120" i="25"/>
  <c r="W120" i="25"/>
  <c r="V120" i="25"/>
  <c r="U120" i="25"/>
  <c r="T120" i="25"/>
  <c r="S120" i="25"/>
  <c r="R120" i="25"/>
  <c r="Q120" i="25"/>
  <c r="P120" i="25"/>
  <c r="O120" i="25"/>
  <c r="N120" i="25"/>
  <c r="M120" i="25"/>
  <c r="L120" i="25"/>
  <c r="K120" i="25"/>
  <c r="J120" i="25"/>
  <c r="H120" i="25"/>
  <c r="G120" i="25"/>
  <c r="C120" i="25"/>
  <c r="D120" i="25" s="1"/>
  <c r="F120" i="25"/>
  <c r="AT119" i="25"/>
  <c r="AS119" i="25"/>
  <c r="AQ119" i="25"/>
  <c r="AO119" i="25"/>
  <c r="AN119" i="25"/>
  <c r="AM119" i="25"/>
  <c r="AL119" i="25"/>
  <c r="AK119" i="25"/>
  <c r="AJ119" i="25"/>
  <c r="AI119" i="25"/>
  <c r="AH119" i="25"/>
  <c r="AG119" i="25"/>
  <c r="AF119" i="25"/>
  <c r="AE119" i="25"/>
  <c r="AD119" i="25"/>
  <c r="AC119" i="25"/>
  <c r="AB119" i="25"/>
  <c r="AA119" i="25"/>
  <c r="Z119" i="25"/>
  <c r="Y119" i="25"/>
  <c r="X119" i="25"/>
  <c r="W119" i="25"/>
  <c r="V119" i="25"/>
  <c r="U119" i="25"/>
  <c r="T119" i="25"/>
  <c r="S119" i="25"/>
  <c r="R119" i="25"/>
  <c r="Q119" i="25"/>
  <c r="P119" i="25"/>
  <c r="O119" i="25"/>
  <c r="N119" i="25"/>
  <c r="M119" i="25"/>
  <c r="L119" i="25"/>
  <c r="K119" i="25"/>
  <c r="J119" i="25"/>
  <c r="H119" i="25"/>
  <c r="G119" i="25"/>
  <c r="C119" i="25"/>
  <c r="D119" i="25" s="1"/>
  <c r="F119" i="25"/>
  <c r="AT118" i="25"/>
  <c r="AS118" i="25"/>
  <c r="AQ118" i="25"/>
  <c r="AO118" i="25"/>
  <c r="AN118" i="25"/>
  <c r="AM118" i="25"/>
  <c r="AL118" i="25"/>
  <c r="AK118" i="25"/>
  <c r="AJ118" i="25"/>
  <c r="AI118" i="25"/>
  <c r="AH118" i="25"/>
  <c r="AG118" i="25"/>
  <c r="AF118" i="25"/>
  <c r="AE118" i="25"/>
  <c r="AD118" i="25"/>
  <c r="AC118" i="25"/>
  <c r="AB118" i="25"/>
  <c r="AA118" i="25"/>
  <c r="Z118" i="25"/>
  <c r="Y118" i="25"/>
  <c r="X118" i="25"/>
  <c r="W118" i="25"/>
  <c r="V118" i="25"/>
  <c r="U118" i="25"/>
  <c r="T118" i="25"/>
  <c r="S118" i="25"/>
  <c r="R118" i="25"/>
  <c r="Q118" i="25"/>
  <c r="P118" i="25"/>
  <c r="O118" i="25"/>
  <c r="N118" i="25"/>
  <c r="M118" i="25"/>
  <c r="L118" i="25"/>
  <c r="K118" i="25"/>
  <c r="J118" i="25"/>
  <c r="H118" i="25"/>
  <c r="G118" i="25"/>
  <c r="C118" i="25"/>
  <c r="D118" i="25" s="1"/>
  <c r="F118" i="25"/>
  <c r="AT117" i="25"/>
  <c r="AS117" i="25"/>
  <c r="AQ117" i="25"/>
  <c r="AO117" i="25"/>
  <c r="AN117" i="25"/>
  <c r="AM117" i="25"/>
  <c r="AL117" i="25"/>
  <c r="AK117" i="25"/>
  <c r="AJ117" i="25"/>
  <c r="AI117" i="25"/>
  <c r="AH117" i="25"/>
  <c r="AG117" i="25"/>
  <c r="AF117" i="25"/>
  <c r="AE117" i="25"/>
  <c r="AD117" i="25"/>
  <c r="AC117" i="25"/>
  <c r="AB117" i="25"/>
  <c r="AA117" i="25"/>
  <c r="Z117" i="25"/>
  <c r="Y117" i="25"/>
  <c r="X117" i="25"/>
  <c r="W117" i="25"/>
  <c r="V117" i="25"/>
  <c r="U117" i="25"/>
  <c r="T117" i="25"/>
  <c r="S117" i="25"/>
  <c r="R117" i="25"/>
  <c r="Q117" i="25"/>
  <c r="P117" i="25"/>
  <c r="O117" i="25"/>
  <c r="N117" i="25"/>
  <c r="M117" i="25"/>
  <c r="L117" i="25"/>
  <c r="K117" i="25"/>
  <c r="J117" i="25"/>
  <c r="H117" i="25"/>
  <c r="G117" i="25"/>
  <c r="C117" i="25"/>
  <c r="D117" i="25" s="1"/>
  <c r="F117" i="25"/>
  <c r="AT100" i="25"/>
  <c r="AS100" i="25"/>
  <c r="AR100" i="25"/>
  <c r="AQ100" i="25"/>
  <c r="AO100" i="25"/>
  <c r="AN100" i="25"/>
  <c r="AM100" i="25"/>
  <c r="AL100" i="25"/>
  <c r="AK100" i="25"/>
  <c r="AJ100" i="25"/>
  <c r="AI100" i="25"/>
  <c r="AH100" i="25"/>
  <c r="AG100" i="25"/>
  <c r="AF100" i="25"/>
  <c r="AE100" i="25"/>
  <c r="AD100" i="25"/>
  <c r="AC100" i="25"/>
  <c r="AB100" i="25"/>
  <c r="AA100" i="25"/>
  <c r="Z100" i="25"/>
  <c r="Y100" i="25"/>
  <c r="X100" i="25"/>
  <c r="W100" i="25"/>
  <c r="V100" i="25"/>
  <c r="U100" i="25"/>
  <c r="T100" i="25"/>
  <c r="S100" i="25"/>
  <c r="R100" i="25"/>
  <c r="Q100" i="25"/>
  <c r="P100" i="25"/>
  <c r="O100" i="25"/>
  <c r="N100" i="25"/>
  <c r="M100" i="25"/>
  <c r="L100" i="25"/>
  <c r="K100" i="25"/>
  <c r="J100" i="25"/>
  <c r="H100" i="25"/>
  <c r="G100" i="25"/>
  <c r="C100" i="25"/>
  <c r="D100" i="25" s="1"/>
  <c r="F100" i="25"/>
  <c r="AT99" i="25"/>
  <c r="AS99" i="25"/>
  <c r="AR99" i="25"/>
  <c r="AQ99" i="25"/>
  <c r="AO99" i="25"/>
  <c r="AN99" i="25"/>
  <c r="AM99" i="25"/>
  <c r="AL99" i="25"/>
  <c r="AK99" i="25"/>
  <c r="AJ99" i="25"/>
  <c r="AI99" i="25"/>
  <c r="AH99" i="25"/>
  <c r="AG99" i="25"/>
  <c r="AF99" i="25"/>
  <c r="AE99" i="25"/>
  <c r="AD99" i="25"/>
  <c r="AC99" i="25"/>
  <c r="AB99" i="25"/>
  <c r="AA99" i="25"/>
  <c r="Z99" i="25"/>
  <c r="Y99" i="25"/>
  <c r="X99" i="25"/>
  <c r="W99" i="25"/>
  <c r="V99" i="25"/>
  <c r="U99" i="25"/>
  <c r="T99" i="25"/>
  <c r="S99" i="25"/>
  <c r="R99" i="25"/>
  <c r="Q99" i="25"/>
  <c r="P99" i="25"/>
  <c r="O99" i="25"/>
  <c r="N99" i="25"/>
  <c r="M99" i="25"/>
  <c r="L99" i="25"/>
  <c r="K99" i="25"/>
  <c r="J99" i="25"/>
  <c r="H99" i="25"/>
  <c r="G99" i="25"/>
  <c r="C99" i="25"/>
  <c r="D99" i="25" s="1"/>
  <c r="F99" i="25"/>
  <c r="AT104" i="25"/>
  <c r="AS104" i="25"/>
  <c r="AR104" i="25"/>
  <c r="AQ104" i="25"/>
  <c r="AO104" i="25"/>
  <c r="AN104" i="25"/>
  <c r="AM104" i="25"/>
  <c r="AL104" i="25"/>
  <c r="AK104" i="25"/>
  <c r="AJ104" i="25"/>
  <c r="AI104" i="25"/>
  <c r="AH104" i="25"/>
  <c r="AG104" i="25"/>
  <c r="AF104" i="25"/>
  <c r="AE104" i="25"/>
  <c r="AD104" i="25"/>
  <c r="AC104" i="25"/>
  <c r="AB104" i="25"/>
  <c r="AA104" i="25"/>
  <c r="Z104" i="25"/>
  <c r="Y104" i="25"/>
  <c r="X104" i="25"/>
  <c r="W104" i="25"/>
  <c r="V104" i="25"/>
  <c r="U104" i="25"/>
  <c r="T104" i="25"/>
  <c r="S104" i="25"/>
  <c r="R104" i="25"/>
  <c r="Q104" i="25"/>
  <c r="P104" i="25"/>
  <c r="O104" i="25"/>
  <c r="N104" i="25"/>
  <c r="M104" i="25"/>
  <c r="L104" i="25"/>
  <c r="K104" i="25"/>
  <c r="J104" i="25"/>
  <c r="H104" i="25"/>
  <c r="G104" i="25"/>
  <c r="C104" i="25"/>
  <c r="D104" i="25" s="1"/>
  <c r="F104" i="25"/>
  <c r="AT103" i="25"/>
  <c r="AS103" i="25"/>
  <c r="AR103" i="25"/>
  <c r="AQ103" i="25"/>
  <c r="AO103" i="25"/>
  <c r="AN103" i="25"/>
  <c r="AM103" i="25"/>
  <c r="AL103" i="25"/>
  <c r="AK103" i="25"/>
  <c r="AJ103" i="25"/>
  <c r="AI103" i="25"/>
  <c r="AH103" i="25"/>
  <c r="AG103" i="25"/>
  <c r="AF103" i="25"/>
  <c r="AE103" i="25"/>
  <c r="AD103" i="25"/>
  <c r="AC103" i="25"/>
  <c r="AB103" i="25"/>
  <c r="AA103" i="25"/>
  <c r="Z103" i="25"/>
  <c r="Y103" i="25"/>
  <c r="X103" i="25"/>
  <c r="W103" i="25"/>
  <c r="V103" i="25"/>
  <c r="U103" i="25"/>
  <c r="T103" i="25"/>
  <c r="S103" i="25"/>
  <c r="R103" i="25"/>
  <c r="Q103" i="25"/>
  <c r="P103" i="25"/>
  <c r="O103" i="25"/>
  <c r="N103" i="25"/>
  <c r="M103" i="25"/>
  <c r="L103" i="25"/>
  <c r="K103" i="25"/>
  <c r="J103" i="25"/>
  <c r="H103" i="25"/>
  <c r="G103" i="25"/>
  <c r="C103" i="25"/>
  <c r="D103" i="25" s="1"/>
  <c r="F103" i="25"/>
  <c r="AT102" i="25"/>
  <c r="AS102" i="25"/>
  <c r="AR102" i="25"/>
  <c r="AQ102" i="25"/>
  <c r="AO102" i="25"/>
  <c r="AN102" i="25"/>
  <c r="AM102" i="25"/>
  <c r="AL102" i="25"/>
  <c r="AK102" i="25"/>
  <c r="AJ102" i="25"/>
  <c r="AI102" i="25"/>
  <c r="AH102" i="25"/>
  <c r="AG102" i="25"/>
  <c r="AF102" i="25"/>
  <c r="AE102" i="25"/>
  <c r="AD102" i="25"/>
  <c r="AC102" i="25"/>
  <c r="AB102" i="25"/>
  <c r="AA102" i="25"/>
  <c r="Z102" i="25"/>
  <c r="Y102" i="25"/>
  <c r="X102" i="25"/>
  <c r="W102" i="25"/>
  <c r="V102" i="25"/>
  <c r="U102" i="25"/>
  <c r="T102" i="25"/>
  <c r="S102" i="25"/>
  <c r="R102" i="25"/>
  <c r="Q102" i="25"/>
  <c r="P102" i="25"/>
  <c r="O102" i="25"/>
  <c r="N102" i="25"/>
  <c r="M102" i="25"/>
  <c r="L102" i="25"/>
  <c r="K102" i="25"/>
  <c r="J102" i="25"/>
  <c r="H102" i="25"/>
  <c r="G102" i="25"/>
  <c r="C102" i="25"/>
  <c r="D102" i="25" s="1"/>
  <c r="F102" i="25"/>
  <c r="AT101" i="25"/>
  <c r="AS101" i="25"/>
  <c r="AR101" i="25"/>
  <c r="AQ101" i="25"/>
  <c r="AO101" i="25"/>
  <c r="AN101" i="25"/>
  <c r="AM101" i="25"/>
  <c r="AL101" i="25"/>
  <c r="AK101" i="25"/>
  <c r="AJ101" i="25"/>
  <c r="AI101" i="25"/>
  <c r="AH101" i="25"/>
  <c r="AG101" i="25"/>
  <c r="AF101" i="25"/>
  <c r="AE101" i="25"/>
  <c r="AD101" i="25"/>
  <c r="AC101" i="25"/>
  <c r="AB101" i="25"/>
  <c r="AA101" i="25"/>
  <c r="Z101" i="25"/>
  <c r="Y101" i="25"/>
  <c r="X101" i="25"/>
  <c r="W101" i="25"/>
  <c r="V101" i="25"/>
  <c r="U101" i="25"/>
  <c r="T101" i="25"/>
  <c r="S101" i="25"/>
  <c r="R101" i="25"/>
  <c r="Q101" i="25"/>
  <c r="P101" i="25"/>
  <c r="O101" i="25"/>
  <c r="N101" i="25"/>
  <c r="M101" i="25"/>
  <c r="L101" i="25"/>
  <c r="K101" i="25"/>
  <c r="J101" i="25"/>
  <c r="H101" i="25"/>
  <c r="G101" i="25"/>
  <c r="C101" i="25"/>
  <c r="D101" i="25" s="1"/>
  <c r="F101" i="25"/>
  <c r="AT43" i="25"/>
  <c r="AS43" i="25"/>
  <c r="AR43" i="25"/>
  <c r="AQ43" i="25"/>
  <c r="AO43" i="25"/>
  <c r="AN43" i="25"/>
  <c r="AM43" i="25"/>
  <c r="AL43" i="25"/>
  <c r="AK43" i="25"/>
  <c r="AJ43" i="25"/>
  <c r="AI43" i="25"/>
  <c r="AH43" i="25"/>
  <c r="AG43" i="25"/>
  <c r="AF43" i="25"/>
  <c r="AE43" i="25"/>
  <c r="AD43" i="25"/>
  <c r="AC43" i="25"/>
  <c r="AB43" i="25"/>
  <c r="AA43" i="25"/>
  <c r="Z43" i="25"/>
  <c r="Y43" i="25"/>
  <c r="X43" i="25"/>
  <c r="W43" i="25"/>
  <c r="V43" i="25"/>
  <c r="U43" i="25"/>
  <c r="T43" i="25"/>
  <c r="S43" i="25"/>
  <c r="R43" i="25"/>
  <c r="Q43" i="25"/>
  <c r="P43" i="25"/>
  <c r="O43" i="25"/>
  <c r="N43" i="25"/>
  <c r="M43" i="25"/>
  <c r="L43" i="25"/>
  <c r="K43" i="25"/>
  <c r="J43" i="25"/>
  <c r="H43" i="25"/>
  <c r="G43" i="25"/>
  <c r="C43" i="25"/>
  <c r="D43" i="25" s="1"/>
  <c r="F43" i="25"/>
  <c r="AT42" i="25"/>
  <c r="AS42" i="25"/>
  <c r="AR42" i="25"/>
  <c r="AQ42" i="25"/>
  <c r="AO42" i="25"/>
  <c r="AN42" i="25"/>
  <c r="AM42" i="25"/>
  <c r="AL42" i="25"/>
  <c r="AK42" i="25"/>
  <c r="AJ42" i="25"/>
  <c r="AI42" i="25"/>
  <c r="AH42" i="25"/>
  <c r="AG42" i="25"/>
  <c r="AF42" i="25"/>
  <c r="AE42" i="25"/>
  <c r="AD42" i="25"/>
  <c r="AC42" i="25"/>
  <c r="AB42" i="25"/>
  <c r="AA42" i="25"/>
  <c r="Z42" i="25"/>
  <c r="Y42" i="25"/>
  <c r="X42" i="25"/>
  <c r="W42" i="25"/>
  <c r="V42" i="25"/>
  <c r="U42" i="25"/>
  <c r="T42" i="25"/>
  <c r="S42" i="25"/>
  <c r="R42" i="25"/>
  <c r="Q42" i="25"/>
  <c r="P42" i="25"/>
  <c r="O42" i="25"/>
  <c r="N42" i="25"/>
  <c r="M42" i="25"/>
  <c r="L42" i="25"/>
  <c r="K42" i="25"/>
  <c r="J42" i="25"/>
  <c r="H42" i="25"/>
  <c r="G42" i="25"/>
  <c r="C42" i="25"/>
  <c r="D42" i="25" s="1"/>
  <c r="F42" i="25"/>
  <c r="AT41" i="25"/>
  <c r="AS41" i="25"/>
  <c r="AR41" i="25"/>
  <c r="AQ41" i="25"/>
  <c r="AO41" i="25"/>
  <c r="AN41" i="25"/>
  <c r="AM41" i="25"/>
  <c r="AL41" i="25"/>
  <c r="AK41" i="25"/>
  <c r="AJ41" i="25"/>
  <c r="AI41" i="25"/>
  <c r="AH41" i="25"/>
  <c r="AG41" i="25"/>
  <c r="AF41" i="25"/>
  <c r="AE41" i="25"/>
  <c r="AD41" i="25"/>
  <c r="AC41" i="25"/>
  <c r="AB41" i="25"/>
  <c r="AA41" i="25"/>
  <c r="Z41" i="25"/>
  <c r="Y41" i="25"/>
  <c r="X41" i="25"/>
  <c r="W41" i="25"/>
  <c r="V41" i="25"/>
  <c r="U41" i="25"/>
  <c r="T41" i="25"/>
  <c r="S41" i="25"/>
  <c r="R41" i="25"/>
  <c r="Q41" i="25"/>
  <c r="P41" i="25"/>
  <c r="O41" i="25"/>
  <c r="N41" i="25"/>
  <c r="M41" i="25"/>
  <c r="L41" i="25"/>
  <c r="K41" i="25"/>
  <c r="J41" i="25"/>
  <c r="H41" i="25"/>
  <c r="G41" i="25"/>
  <c r="C41" i="25"/>
  <c r="D41" i="25" s="1"/>
  <c r="F41" i="25"/>
  <c r="AT110" i="25"/>
  <c r="AS110" i="25"/>
  <c r="AR110" i="25"/>
  <c r="AQ110" i="25"/>
  <c r="AO110" i="25"/>
  <c r="AN110" i="25"/>
  <c r="AM110" i="25"/>
  <c r="AL110" i="25"/>
  <c r="AK110" i="25"/>
  <c r="AJ110" i="25"/>
  <c r="AI110" i="25"/>
  <c r="AH110" i="25"/>
  <c r="AG110" i="25"/>
  <c r="AF110" i="25"/>
  <c r="AE110" i="25"/>
  <c r="AD110" i="25"/>
  <c r="AC110" i="25"/>
  <c r="AB110" i="25"/>
  <c r="AA110" i="25"/>
  <c r="Z110" i="25"/>
  <c r="Y110" i="25"/>
  <c r="X110" i="25"/>
  <c r="W110" i="25"/>
  <c r="V110" i="25"/>
  <c r="U110" i="25"/>
  <c r="T110" i="25"/>
  <c r="S110" i="25"/>
  <c r="R110" i="25"/>
  <c r="Q110" i="25"/>
  <c r="P110" i="25"/>
  <c r="O110" i="25"/>
  <c r="N110" i="25"/>
  <c r="M110" i="25"/>
  <c r="L110" i="25"/>
  <c r="K110" i="25"/>
  <c r="J110" i="25"/>
  <c r="H110" i="25"/>
  <c r="G110" i="25"/>
  <c r="C110" i="25"/>
  <c r="D110" i="25" s="1"/>
  <c r="F110" i="25"/>
  <c r="AT109" i="25"/>
  <c r="AS109" i="25"/>
  <c r="AQ109" i="25"/>
  <c r="AO109" i="25"/>
  <c r="AN109" i="25"/>
  <c r="AM109" i="25"/>
  <c r="AL109" i="25"/>
  <c r="AK109" i="25"/>
  <c r="AJ109" i="25"/>
  <c r="AI109" i="25"/>
  <c r="AH109" i="25"/>
  <c r="AG109" i="25"/>
  <c r="AF109" i="25"/>
  <c r="AE109" i="25"/>
  <c r="AD109" i="25"/>
  <c r="AC109" i="25"/>
  <c r="AB109" i="25"/>
  <c r="AA109" i="25"/>
  <c r="Z109" i="25"/>
  <c r="Y109" i="25"/>
  <c r="X109" i="25"/>
  <c r="W109" i="25"/>
  <c r="V109" i="25"/>
  <c r="U109" i="25"/>
  <c r="T109" i="25"/>
  <c r="S109" i="25"/>
  <c r="R109" i="25"/>
  <c r="Q109" i="25"/>
  <c r="P109" i="25"/>
  <c r="O109" i="25"/>
  <c r="N109" i="25"/>
  <c r="M109" i="25"/>
  <c r="L109" i="25"/>
  <c r="K109" i="25"/>
  <c r="J109" i="25"/>
  <c r="H109" i="25"/>
  <c r="G109" i="25"/>
  <c r="C109" i="25"/>
  <c r="D109" i="25" s="1"/>
  <c r="F109" i="25"/>
  <c r="AT108" i="25"/>
  <c r="AS108" i="25"/>
  <c r="AR108" i="25"/>
  <c r="AQ108" i="25"/>
  <c r="AO108" i="25"/>
  <c r="AN108" i="25"/>
  <c r="AM108" i="25"/>
  <c r="AL108" i="25"/>
  <c r="AK108" i="25"/>
  <c r="AJ108" i="25"/>
  <c r="AI108" i="25"/>
  <c r="AH108" i="25"/>
  <c r="AG108" i="25"/>
  <c r="AF108" i="25"/>
  <c r="AE108" i="25"/>
  <c r="AD108" i="25"/>
  <c r="AC108" i="25"/>
  <c r="AB108" i="25"/>
  <c r="AA108" i="25"/>
  <c r="Z108" i="25"/>
  <c r="Y108" i="25"/>
  <c r="X108" i="25"/>
  <c r="W108" i="25"/>
  <c r="V108" i="25"/>
  <c r="U108" i="25"/>
  <c r="T108" i="25"/>
  <c r="S108" i="25"/>
  <c r="R108" i="25"/>
  <c r="Q108" i="25"/>
  <c r="P108" i="25"/>
  <c r="O108" i="25"/>
  <c r="N108" i="25"/>
  <c r="M108" i="25"/>
  <c r="L108" i="25"/>
  <c r="K108" i="25"/>
  <c r="J108" i="25"/>
  <c r="H108" i="25"/>
  <c r="G108" i="25"/>
  <c r="C108" i="25"/>
  <c r="D108" i="25" s="1"/>
  <c r="F108" i="25"/>
  <c r="AT138" i="25"/>
  <c r="AS138" i="25"/>
  <c r="AR138" i="25"/>
  <c r="AQ138" i="25"/>
  <c r="AO138" i="25"/>
  <c r="AN138" i="25"/>
  <c r="AM138" i="25"/>
  <c r="AL138" i="25"/>
  <c r="AK138" i="25"/>
  <c r="AJ138" i="25"/>
  <c r="AI138" i="25"/>
  <c r="AH138" i="25"/>
  <c r="AG138" i="25"/>
  <c r="AF138" i="25"/>
  <c r="AE138" i="25"/>
  <c r="AD138" i="25"/>
  <c r="AC138" i="25"/>
  <c r="AB138" i="25"/>
  <c r="AA138" i="25"/>
  <c r="Z138" i="25"/>
  <c r="Y138" i="25"/>
  <c r="X138" i="25"/>
  <c r="W138" i="25"/>
  <c r="V138" i="25"/>
  <c r="U138" i="25"/>
  <c r="T138" i="25"/>
  <c r="S138" i="25"/>
  <c r="R138" i="25"/>
  <c r="Q138" i="25"/>
  <c r="P138" i="25"/>
  <c r="O138" i="25"/>
  <c r="N138" i="25"/>
  <c r="M138" i="25"/>
  <c r="L138" i="25"/>
  <c r="K138" i="25"/>
  <c r="J138" i="25"/>
  <c r="H138" i="25"/>
  <c r="G138" i="25"/>
  <c r="C138" i="25"/>
  <c r="D138" i="25" s="1"/>
  <c r="F138" i="25"/>
  <c r="AT137" i="25"/>
  <c r="AS137" i="25"/>
  <c r="AR137" i="25"/>
  <c r="AQ137" i="25"/>
  <c r="AO137" i="25"/>
  <c r="AN137" i="25"/>
  <c r="AM137" i="25"/>
  <c r="AL137" i="25"/>
  <c r="AK137" i="25"/>
  <c r="AJ137" i="25"/>
  <c r="AI137" i="25"/>
  <c r="AH137" i="25"/>
  <c r="AG137" i="25"/>
  <c r="AF137" i="25"/>
  <c r="AE137" i="25"/>
  <c r="AD137" i="25"/>
  <c r="AC137" i="25"/>
  <c r="AB137" i="25"/>
  <c r="AA137" i="25"/>
  <c r="Z137" i="25"/>
  <c r="Y137" i="25"/>
  <c r="X137" i="25"/>
  <c r="W137" i="25"/>
  <c r="V137" i="25"/>
  <c r="U137" i="25"/>
  <c r="T137" i="25"/>
  <c r="S137" i="25"/>
  <c r="R137" i="25"/>
  <c r="Q137" i="25"/>
  <c r="P137" i="25"/>
  <c r="O137" i="25"/>
  <c r="N137" i="25"/>
  <c r="M137" i="25"/>
  <c r="L137" i="25"/>
  <c r="K137" i="25"/>
  <c r="J137" i="25"/>
  <c r="H137" i="25"/>
  <c r="G137" i="25"/>
  <c r="C137" i="25"/>
  <c r="D137" i="25" s="1"/>
  <c r="F137" i="25"/>
  <c r="AT136" i="25"/>
  <c r="AS136" i="25"/>
  <c r="AR136" i="25"/>
  <c r="AQ136" i="25"/>
  <c r="AO136" i="25"/>
  <c r="AN136" i="25"/>
  <c r="AM136" i="25"/>
  <c r="AL136" i="25"/>
  <c r="AK136" i="25"/>
  <c r="AJ136" i="25"/>
  <c r="AI136" i="25"/>
  <c r="AH136" i="25"/>
  <c r="AG136" i="25"/>
  <c r="AF136" i="25"/>
  <c r="AE136" i="25"/>
  <c r="AD136" i="25"/>
  <c r="AC136" i="25"/>
  <c r="AB136" i="25"/>
  <c r="AA136" i="25"/>
  <c r="Z136" i="25"/>
  <c r="Y136" i="25"/>
  <c r="X136" i="25"/>
  <c r="W136" i="25"/>
  <c r="V136" i="25"/>
  <c r="U136" i="25"/>
  <c r="T136" i="25"/>
  <c r="S136" i="25"/>
  <c r="R136" i="25"/>
  <c r="Q136" i="25"/>
  <c r="P136" i="25"/>
  <c r="O136" i="25"/>
  <c r="N136" i="25"/>
  <c r="M136" i="25"/>
  <c r="L136" i="25"/>
  <c r="K136" i="25"/>
  <c r="J136" i="25"/>
  <c r="H136" i="25"/>
  <c r="G136" i="25"/>
  <c r="C136" i="25"/>
  <c r="D136" i="25" s="1"/>
  <c r="F136" i="25"/>
  <c r="AT135" i="25"/>
  <c r="AS135" i="25"/>
  <c r="AR135" i="25"/>
  <c r="AQ135" i="25"/>
  <c r="AO135" i="25"/>
  <c r="AN135" i="25"/>
  <c r="AM135" i="25"/>
  <c r="AL135" i="25"/>
  <c r="AK135" i="25"/>
  <c r="AJ135" i="25"/>
  <c r="AI135" i="25"/>
  <c r="AH135" i="25"/>
  <c r="AG135" i="25"/>
  <c r="AF135" i="25"/>
  <c r="AE135" i="25"/>
  <c r="AD135" i="25"/>
  <c r="AC135" i="25"/>
  <c r="AB135" i="25"/>
  <c r="AA135" i="25"/>
  <c r="Z135" i="25"/>
  <c r="Y135" i="25"/>
  <c r="X135" i="25"/>
  <c r="W135" i="25"/>
  <c r="V135" i="25"/>
  <c r="U135" i="25"/>
  <c r="T135" i="25"/>
  <c r="S135" i="25"/>
  <c r="R135" i="25"/>
  <c r="Q135" i="25"/>
  <c r="P135" i="25"/>
  <c r="O135" i="25"/>
  <c r="N135" i="25"/>
  <c r="M135" i="25"/>
  <c r="L135" i="25"/>
  <c r="K135" i="25"/>
  <c r="J135" i="25"/>
  <c r="H135" i="25"/>
  <c r="G135" i="25"/>
  <c r="C135" i="25"/>
  <c r="D135" i="25" s="1"/>
  <c r="F135" i="25"/>
  <c r="AT132" i="25"/>
  <c r="AS132" i="25"/>
  <c r="AR132" i="25"/>
  <c r="AQ132" i="25"/>
  <c r="AO132" i="25"/>
  <c r="AN132" i="25"/>
  <c r="AM132" i="25"/>
  <c r="AL132" i="25"/>
  <c r="AK132" i="25"/>
  <c r="AJ132" i="25"/>
  <c r="AI132" i="25"/>
  <c r="AH132" i="25"/>
  <c r="AG132" i="25"/>
  <c r="AF132" i="25"/>
  <c r="AE132" i="25"/>
  <c r="AD132" i="25"/>
  <c r="AC132" i="25"/>
  <c r="AB132" i="25"/>
  <c r="AA132" i="25"/>
  <c r="Z132" i="25"/>
  <c r="Y132" i="25"/>
  <c r="X132" i="25"/>
  <c r="W132" i="25"/>
  <c r="V132" i="25"/>
  <c r="U132" i="25"/>
  <c r="T132" i="25"/>
  <c r="S132" i="25"/>
  <c r="R132" i="25"/>
  <c r="Q132" i="25"/>
  <c r="P132" i="25"/>
  <c r="O132" i="25"/>
  <c r="N132" i="25"/>
  <c r="M132" i="25"/>
  <c r="L132" i="25"/>
  <c r="K132" i="25"/>
  <c r="J132" i="25"/>
  <c r="H132" i="25"/>
  <c r="G132" i="25"/>
  <c r="C132" i="25"/>
  <c r="D132" i="25" s="1"/>
  <c r="F132" i="25"/>
  <c r="AT131" i="25"/>
  <c r="AS131" i="25"/>
  <c r="AR131" i="25"/>
  <c r="AQ131" i="25"/>
  <c r="AO131" i="25"/>
  <c r="AN131" i="25"/>
  <c r="AM131" i="25"/>
  <c r="AL131" i="25"/>
  <c r="AK131" i="25"/>
  <c r="AJ131" i="25"/>
  <c r="AI131" i="25"/>
  <c r="AH131" i="25"/>
  <c r="AG131" i="25"/>
  <c r="AF131" i="25"/>
  <c r="AE131" i="25"/>
  <c r="AD131" i="25"/>
  <c r="AC131" i="25"/>
  <c r="AB131" i="25"/>
  <c r="AA131" i="25"/>
  <c r="Z131" i="25"/>
  <c r="Y131" i="25"/>
  <c r="X131" i="25"/>
  <c r="W131" i="25"/>
  <c r="V131" i="25"/>
  <c r="U131" i="25"/>
  <c r="T131" i="25"/>
  <c r="S131" i="25"/>
  <c r="R131" i="25"/>
  <c r="Q131" i="25"/>
  <c r="P131" i="25"/>
  <c r="O131" i="25"/>
  <c r="N131" i="25"/>
  <c r="M131" i="25"/>
  <c r="L131" i="25"/>
  <c r="K131" i="25"/>
  <c r="J131" i="25"/>
  <c r="H131" i="25"/>
  <c r="G131" i="25"/>
  <c r="C131" i="25"/>
  <c r="D131" i="25" s="1"/>
  <c r="F131" i="25"/>
  <c r="AT130" i="25"/>
  <c r="AS130" i="25"/>
  <c r="AR130" i="25"/>
  <c r="AQ130" i="25"/>
  <c r="AO130" i="25"/>
  <c r="AN130" i="25"/>
  <c r="AM130" i="25"/>
  <c r="AL130" i="25"/>
  <c r="AK130" i="25"/>
  <c r="AJ130" i="25"/>
  <c r="AI130" i="25"/>
  <c r="AH130" i="25"/>
  <c r="AG130" i="25"/>
  <c r="AF130" i="25"/>
  <c r="AE130" i="25"/>
  <c r="AD130" i="25"/>
  <c r="AC130" i="25"/>
  <c r="AB130" i="25"/>
  <c r="AA130" i="25"/>
  <c r="Z130" i="25"/>
  <c r="Y130" i="25"/>
  <c r="X130" i="25"/>
  <c r="W130" i="25"/>
  <c r="V130" i="25"/>
  <c r="U130" i="25"/>
  <c r="T130" i="25"/>
  <c r="S130" i="25"/>
  <c r="R130" i="25"/>
  <c r="Q130" i="25"/>
  <c r="P130" i="25"/>
  <c r="O130" i="25"/>
  <c r="N130" i="25"/>
  <c r="M130" i="25"/>
  <c r="L130" i="25"/>
  <c r="K130" i="25"/>
  <c r="J130" i="25"/>
  <c r="H130" i="25"/>
  <c r="G130" i="25"/>
  <c r="C130" i="25"/>
  <c r="D130" i="25" s="1"/>
  <c r="F130" i="25"/>
  <c r="AT129" i="25"/>
  <c r="AS129" i="25"/>
  <c r="AR129" i="25"/>
  <c r="AQ129" i="25"/>
  <c r="AO129" i="25"/>
  <c r="AN129" i="25"/>
  <c r="AM129" i="25"/>
  <c r="AL129" i="25"/>
  <c r="AK129" i="25"/>
  <c r="AJ129" i="25"/>
  <c r="AI129" i="25"/>
  <c r="AH129" i="25"/>
  <c r="AG129" i="25"/>
  <c r="AF129" i="25"/>
  <c r="AE129" i="25"/>
  <c r="AD129" i="25"/>
  <c r="AC129" i="25"/>
  <c r="AB129" i="25"/>
  <c r="AA129" i="25"/>
  <c r="Z129" i="25"/>
  <c r="Y129" i="25"/>
  <c r="X129" i="25"/>
  <c r="W129" i="25"/>
  <c r="V129" i="25"/>
  <c r="U129" i="25"/>
  <c r="T129" i="25"/>
  <c r="S129" i="25"/>
  <c r="R129" i="25"/>
  <c r="Q129" i="25"/>
  <c r="P129" i="25"/>
  <c r="O129" i="25"/>
  <c r="N129" i="25"/>
  <c r="M129" i="25"/>
  <c r="L129" i="25"/>
  <c r="K129" i="25"/>
  <c r="J129" i="25"/>
  <c r="H129" i="25"/>
  <c r="G129" i="25"/>
  <c r="C129" i="25"/>
  <c r="D129" i="25" s="1"/>
  <c r="F129" i="25"/>
  <c r="AT128" i="25"/>
  <c r="AS128" i="25"/>
  <c r="AR128" i="25"/>
  <c r="AQ128" i="25"/>
  <c r="AO128" i="25"/>
  <c r="AN128" i="25"/>
  <c r="AM128" i="25"/>
  <c r="AL128" i="25"/>
  <c r="AK128" i="25"/>
  <c r="AJ128" i="25"/>
  <c r="AI128" i="25"/>
  <c r="AH128" i="25"/>
  <c r="AG128" i="25"/>
  <c r="AF128" i="25"/>
  <c r="AE128" i="25"/>
  <c r="AD128" i="25"/>
  <c r="AC128" i="25"/>
  <c r="AB128" i="25"/>
  <c r="AA128" i="25"/>
  <c r="Z128" i="25"/>
  <c r="Y128" i="25"/>
  <c r="X128" i="25"/>
  <c r="W128" i="25"/>
  <c r="V128" i="25"/>
  <c r="U128" i="25"/>
  <c r="T128" i="25"/>
  <c r="S128" i="25"/>
  <c r="R128" i="25"/>
  <c r="Q128" i="25"/>
  <c r="P128" i="25"/>
  <c r="O128" i="25"/>
  <c r="N128" i="25"/>
  <c r="M128" i="25"/>
  <c r="L128" i="25"/>
  <c r="K128" i="25"/>
  <c r="J128" i="25"/>
  <c r="H128" i="25"/>
  <c r="G128" i="25"/>
  <c r="C128" i="25"/>
  <c r="D128" i="25" s="1"/>
  <c r="F128" i="25"/>
  <c r="AT134" i="25"/>
  <c r="AS134" i="25"/>
  <c r="AR134" i="25"/>
  <c r="AQ134" i="25"/>
  <c r="AO134" i="25"/>
  <c r="AN134" i="25"/>
  <c r="AM134" i="25"/>
  <c r="AL134" i="25"/>
  <c r="AK134" i="25"/>
  <c r="AJ134" i="25"/>
  <c r="AI134" i="25"/>
  <c r="AH134" i="25"/>
  <c r="AG134" i="25"/>
  <c r="AF134" i="25"/>
  <c r="AE134" i="25"/>
  <c r="AD134" i="25"/>
  <c r="AC134" i="25"/>
  <c r="AB134" i="25"/>
  <c r="AA134" i="25"/>
  <c r="Z134" i="25"/>
  <c r="Y134" i="25"/>
  <c r="X134" i="25"/>
  <c r="W134" i="25"/>
  <c r="V134" i="25"/>
  <c r="U134" i="25"/>
  <c r="T134" i="25"/>
  <c r="S134" i="25"/>
  <c r="R134" i="25"/>
  <c r="Q134" i="25"/>
  <c r="P134" i="25"/>
  <c r="O134" i="25"/>
  <c r="N134" i="25"/>
  <c r="M134" i="25"/>
  <c r="L134" i="25"/>
  <c r="K134" i="25"/>
  <c r="J134" i="25"/>
  <c r="H134" i="25"/>
  <c r="G134" i="25"/>
  <c r="C134" i="25"/>
  <c r="D134" i="25" s="1"/>
  <c r="F134" i="25"/>
  <c r="AT133" i="25"/>
  <c r="AS133" i="25"/>
  <c r="AR133" i="25"/>
  <c r="AQ133" i="25"/>
  <c r="AO133" i="25"/>
  <c r="AN133" i="25"/>
  <c r="AM133" i="25"/>
  <c r="AL133" i="25"/>
  <c r="AK133" i="25"/>
  <c r="AJ133" i="25"/>
  <c r="AI133" i="25"/>
  <c r="AH133" i="25"/>
  <c r="AG133" i="25"/>
  <c r="AF133" i="25"/>
  <c r="AE133" i="25"/>
  <c r="AD133" i="25"/>
  <c r="AC133" i="25"/>
  <c r="AB133" i="25"/>
  <c r="AA133" i="25"/>
  <c r="Z133" i="25"/>
  <c r="Y133" i="25"/>
  <c r="X133" i="25"/>
  <c r="W133" i="25"/>
  <c r="V133" i="25"/>
  <c r="U133" i="25"/>
  <c r="T133" i="25"/>
  <c r="S133" i="25"/>
  <c r="R133" i="25"/>
  <c r="Q133" i="25"/>
  <c r="P133" i="25"/>
  <c r="O133" i="25"/>
  <c r="N133" i="25"/>
  <c r="M133" i="25"/>
  <c r="L133" i="25"/>
  <c r="K133" i="25"/>
  <c r="J133" i="25"/>
  <c r="H133" i="25"/>
  <c r="G133" i="25"/>
  <c r="C133" i="25"/>
  <c r="D133" i="25" s="1"/>
  <c r="F133" i="25"/>
  <c r="AT84" i="25"/>
  <c r="AS84" i="25"/>
  <c r="AR84" i="25"/>
  <c r="AQ84" i="25"/>
  <c r="AO84" i="25"/>
  <c r="AN84" i="25"/>
  <c r="AM84" i="25"/>
  <c r="AL84" i="25"/>
  <c r="AK84" i="25"/>
  <c r="AJ84" i="25"/>
  <c r="AI84" i="25"/>
  <c r="AH84" i="25"/>
  <c r="AG84" i="25"/>
  <c r="AF84" i="25"/>
  <c r="AE84" i="25"/>
  <c r="AD84" i="25"/>
  <c r="AC84" i="25"/>
  <c r="AB84" i="25"/>
  <c r="AA84" i="25"/>
  <c r="Z84" i="25"/>
  <c r="Y84" i="25"/>
  <c r="X84" i="25"/>
  <c r="W84" i="25"/>
  <c r="V84" i="25"/>
  <c r="U84" i="25"/>
  <c r="T84" i="25"/>
  <c r="S84" i="25"/>
  <c r="R84" i="25"/>
  <c r="Q84" i="25"/>
  <c r="P84" i="25"/>
  <c r="O84" i="25"/>
  <c r="N84" i="25"/>
  <c r="M84" i="25"/>
  <c r="L84" i="25"/>
  <c r="K84" i="25"/>
  <c r="J84" i="25"/>
  <c r="H84" i="25"/>
  <c r="G84" i="25"/>
  <c r="C84" i="25"/>
  <c r="D84" i="25" s="1"/>
  <c r="F84" i="25"/>
  <c r="AT83" i="25"/>
  <c r="AS83" i="25"/>
  <c r="AR83" i="25"/>
  <c r="AQ83" i="25"/>
  <c r="AO83" i="25"/>
  <c r="AN83" i="25"/>
  <c r="AM83" i="25"/>
  <c r="AL83" i="25"/>
  <c r="AK83" i="25"/>
  <c r="AJ83" i="25"/>
  <c r="AI83" i="25"/>
  <c r="AH83" i="25"/>
  <c r="AG83" i="25"/>
  <c r="AF83" i="25"/>
  <c r="AE83" i="25"/>
  <c r="AD83" i="25"/>
  <c r="AC83" i="25"/>
  <c r="AB83" i="25"/>
  <c r="AA83" i="25"/>
  <c r="Z83" i="25"/>
  <c r="Y83" i="25"/>
  <c r="X83" i="25"/>
  <c r="W83" i="25"/>
  <c r="V83" i="25"/>
  <c r="U83" i="25"/>
  <c r="T83" i="25"/>
  <c r="S83" i="25"/>
  <c r="R83" i="25"/>
  <c r="Q83" i="25"/>
  <c r="P83" i="25"/>
  <c r="O83" i="25"/>
  <c r="N83" i="25"/>
  <c r="M83" i="25"/>
  <c r="L83" i="25"/>
  <c r="K83" i="25"/>
  <c r="J83" i="25"/>
  <c r="H83" i="25"/>
  <c r="G83" i="25"/>
  <c r="C83" i="25"/>
  <c r="D83" i="25" s="1"/>
  <c r="F83" i="25"/>
  <c r="AT82" i="25"/>
  <c r="AS82" i="25"/>
  <c r="AR82" i="25"/>
  <c r="AQ82" i="25"/>
  <c r="AO82" i="25"/>
  <c r="AN82" i="25"/>
  <c r="AM82" i="25"/>
  <c r="AL82" i="25"/>
  <c r="AK82" i="25"/>
  <c r="AJ82" i="25"/>
  <c r="AI82" i="25"/>
  <c r="AH82" i="25"/>
  <c r="AG82" i="25"/>
  <c r="AF82" i="25"/>
  <c r="AE82" i="25"/>
  <c r="AD82" i="25"/>
  <c r="AC82" i="25"/>
  <c r="AB82" i="25"/>
  <c r="AA82" i="25"/>
  <c r="Z82" i="25"/>
  <c r="Y82" i="25"/>
  <c r="X82" i="25"/>
  <c r="W82" i="25"/>
  <c r="V82" i="25"/>
  <c r="U82" i="25"/>
  <c r="T82" i="25"/>
  <c r="S82" i="25"/>
  <c r="R82" i="25"/>
  <c r="Q82" i="25"/>
  <c r="P82" i="25"/>
  <c r="O82" i="25"/>
  <c r="N82" i="25"/>
  <c r="M82" i="25"/>
  <c r="L82" i="25"/>
  <c r="K82" i="25"/>
  <c r="J82" i="25"/>
  <c r="H82" i="25"/>
  <c r="G82" i="25"/>
  <c r="C82" i="25"/>
  <c r="D82" i="25" s="1"/>
  <c r="F82" i="25"/>
  <c r="AT81" i="25"/>
  <c r="AS81" i="25"/>
  <c r="AR81" i="25"/>
  <c r="AQ81" i="25"/>
  <c r="AO81" i="25"/>
  <c r="AN81" i="25"/>
  <c r="AM81" i="25"/>
  <c r="AL81" i="25"/>
  <c r="AK81" i="25"/>
  <c r="AJ81" i="25"/>
  <c r="AI81" i="25"/>
  <c r="AH81" i="25"/>
  <c r="AG81" i="25"/>
  <c r="AF81" i="25"/>
  <c r="AE81" i="25"/>
  <c r="AD81" i="25"/>
  <c r="AC81" i="25"/>
  <c r="AB81" i="25"/>
  <c r="AA81" i="25"/>
  <c r="Z81" i="25"/>
  <c r="Y81" i="25"/>
  <c r="X81" i="25"/>
  <c r="W81" i="25"/>
  <c r="V81" i="25"/>
  <c r="U81" i="25"/>
  <c r="T81" i="25"/>
  <c r="S81" i="25"/>
  <c r="R81" i="25"/>
  <c r="Q81" i="25"/>
  <c r="P81" i="25"/>
  <c r="O81" i="25"/>
  <c r="N81" i="25"/>
  <c r="M81" i="25"/>
  <c r="L81" i="25"/>
  <c r="K81" i="25"/>
  <c r="J81" i="25"/>
  <c r="H81" i="25"/>
  <c r="G81" i="25"/>
  <c r="C81" i="25"/>
  <c r="D81" i="25" s="1"/>
  <c r="F81" i="25"/>
  <c r="AT80" i="25"/>
  <c r="AS80" i="25"/>
  <c r="AR80" i="25"/>
  <c r="AQ80" i="25"/>
  <c r="AO80" i="25"/>
  <c r="AN80" i="25"/>
  <c r="AM80" i="25"/>
  <c r="AL80" i="25"/>
  <c r="AK80" i="25"/>
  <c r="AJ80" i="25"/>
  <c r="AI80" i="25"/>
  <c r="AH80" i="25"/>
  <c r="AG80" i="25"/>
  <c r="AF80" i="25"/>
  <c r="AE80" i="25"/>
  <c r="AD80" i="25"/>
  <c r="AC80" i="25"/>
  <c r="AB80" i="25"/>
  <c r="AA80" i="25"/>
  <c r="Z80" i="25"/>
  <c r="Y80" i="25"/>
  <c r="X80" i="25"/>
  <c r="W80" i="25"/>
  <c r="V80" i="25"/>
  <c r="U80" i="25"/>
  <c r="T80" i="25"/>
  <c r="S80" i="25"/>
  <c r="R80" i="25"/>
  <c r="Q80" i="25"/>
  <c r="P80" i="25"/>
  <c r="O80" i="25"/>
  <c r="N80" i="25"/>
  <c r="M80" i="25"/>
  <c r="L80" i="25"/>
  <c r="K80" i="25"/>
  <c r="J80" i="25"/>
  <c r="H80" i="25"/>
  <c r="G80" i="25"/>
  <c r="C80" i="25"/>
  <c r="D80" i="25" s="1"/>
  <c r="F80" i="25"/>
  <c r="AT79" i="25"/>
  <c r="AS79" i="25"/>
  <c r="AR79" i="25"/>
  <c r="AQ79" i="25"/>
  <c r="AO79" i="25"/>
  <c r="AN79" i="25"/>
  <c r="AM79" i="25"/>
  <c r="AL79" i="25"/>
  <c r="AK79" i="25"/>
  <c r="AJ79" i="25"/>
  <c r="AI79" i="25"/>
  <c r="AH79" i="25"/>
  <c r="AG79" i="25"/>
  <c r="AF79" i="25"/>
  <c r="AE79" i="25"/>
  <c r="AD79" i="25"/>
  <c r="AC79" i="25"/>
  <c r="AB79" i="25"/>
  <c r="AA79" i="25"/>
  <c r="Z79" i="25"/>
  <c r="Y79" i="25"/>
  <c r="X79" i="25"/>
  <c r="W79" i="25"/>
  <c r="V79" i="25"/>
  <c r="U79" i="25"/>
  <c r="T79" i="25"/>
  <c r="S79" i="25"/>
  <c r="R79" i="25"/>
  <c r="Q79" i="25"/>
  <c r="P79" i="25"/>
  <c r="O79" i="25"/>
  <c r="N79" i="25"/>
  <c r="M79" i="25"/>
  <c r="L79" i="25"/>
  <c r="K79" i="25"/>
  <c r="J79" i="25"/>
  <c r="H79" i="25"/>
  <c r="G79" i="25"/>
  <c r="C79" i="25"/>
  <c r="D79" i="25" s="1"/>
  <c r="F79" i="25"/>
  <c r="AT78" i="25"/>
  <c r="AS78" i="25"/>
  <c r="AR78" i="25"/>
  <c r="AQ78" i="25"/>
  <c r="AO78" i="25"/>
  <c r="AN78" i="25"/>
  <c r="AM78" i="25"/>
  <c r="AL78" i="25"/>
  <c r="AK78" i="25"/>
  <c r="AJ78" i="25"/>
  <c r="AI78" i="25"/>
  <c r="AH78" i="25"/>
  <c r="AG78" i="25"/>
  <c r="AF78" i="25"/>
  <c r="AE78" i="25"/>
  <c r="AD78" i="25"/>
  <c r="AC78" i="25"/>
  <c r="AB78" i="25"/>
  <c r="AA78" i="25"/>
  <c r="Z78" i="25"/>
  <c r="Y78" i="25"/>
  <c r="X78" i="25"/>
  <c r="W78" i="25"/>
  <c r="V78" i="25"/>
  <c r="U78" i="25"/>
  <c r="T78" i="25"/>
  <c r="S78" i="25"/>
  <c r="R78" i="25"/>
  <c r="Q78" i="25"/>
  <c r="P78" i="25"/>
  <c r="O78" i="25"/>
  <c r="N78" i="25"/>
  <c r="M78" i="25"/>
  <c r="L78" i="25"/>
  <c r="K78" i="25"/>
  <c r="J78" i="25"/>
  <c r="H78" i="25"/>
  <c r="G78" i="25"/>
  <c r="C78" i="25"/>
  <c r="D78" i="25" s="1"/>
  <c r="F78" i="25"/>
  <c r="AT77" i="25"/>
  <c r="AS77" i="25"/>
  <c r="AR77" i="25"/>
  <c r="AQ77" i="25"/>
  <c r="AO77" i="25"/>
  <c r="AN77" i="25"/>
  <c r="AM77" i="25"/>
  <c r="AL77" i="25"/>
  <c r="AK77" i="25"/>
  <c r="AJ77" i="25"/>
  <c r="AI77" i="25"/>
  <c r="AH77" i="25"/>
  <c r="AG77" i="25"/>
  <c r="AF77" i="25"/>
  <c r="AE77" i="25"/>
  <c r="AD77" i="25"/>
  <c r="AC77" i="25"/>
  <c r="AB77" i="25"/>
  <c r="AA77" i="25"/>
  <c r="Z77" i="25"/>
  <c r="Y77" i="25"/>
  <c r="X77" i="25"/>
  <c r="W77" i="25"/>
  <c r="V77" i="25"/>
  <c r="U77" i="25"/>
  <c r="T77" i="25"/>
  <c r="S77" i="25"/>
  <c r="R77" i="25"/>
  <c r="Q77" i="25"/>
  <c r="P77" i="25"/>
  <c r="O77" i="25"/>
  <c r="N77" i="25"/>
  <c r="M77" i="25"/>
  <c r="L77" i="25"/>
  <c r="K77" i="25"/>
  <c r="J77" i="25"/>
  <c r="H77" i="25"/>
  <c r="G77" i="25"/>
  <c r="C77" i="25"/>
  <c r="D77" i="25" s="1"/>
  <c r="F77" i="25"/>
  <c r="AT76" i="25"/>
  <c r="AS76" i="25"/>
  <c r="AR76" i="25"/>
  <c r="AQ76" i="25"/>
  <c r="AO76" i="25"/>
  <c r="AN76" i="25"/>
  <c r="AM76" i="25"/>
  <c r="AL76" i="25"/>
  <c r="AK76" i="25"/>
  <c r="AJ76" i="25"/>
  <c r="AI76" i="25"/>
  <c r="AH76" i="25"/>
  <c r="AG76" i="25"/>
  <c r="AF76" i="25"/>
  <c r="AE76" i="25"/>
  <c r="AD76" i="25"/>
  <c r="AC76" i="25"/>
  <c r="AB76" i="25"/>
  <c r="AA76" i="25"/>
  <c r="Z76" i="25"/>
  <c r="Y76" i="25"/>
  <c r="X76" i="25"/>
  <c r="W76" i="25"/>
  <c r="V76" i="25"/>
  <c r="U76" i="25"/>
  <c r="T76" i="25"/>
  <c r="S76" i="25"/>
  <c r="R76" i="25"/>
  <c r="Q76" i="25"/>
  <c r="P76" i="25"/>
  <c r="O76" i="25"/>
  <c r="N76" i="25"/>
  <c r="M76" i="25"/>
  <c r="L76" i="25"/>
  <c r="K76" i="25"/>
  <c r="J76" i="25"/>
  <c r="H76" i="25"/>
  <c r="G76" i="25"/>
  <c r="C76" i="25"/>
  <c r="D76" i="25" s="1"/>
  <c r="F76" i="25"/>
  <c r="AT66" i="25"/>
  <c r="AS66" i="25"/>
  <c r="AR66" i="25"/>
  <c r="AQ66" i="25"/>
  <c r="AO66" i="25"/>
  <c r="AN66" i="25"/>
  <c r="AM66" i="25"/>
  <c r="AL66" i="25"/>
  <c r="AK66" i="25"/>
  <c r="AJ66" i="25"/>
  <c r="AI66" i="25"/>
  <c r="AH66" i="25"/>
  <c r="AG66" i="25"/>
  <c r="AF66" i="25"/>
  <c r="AE66" i="25"/>
  <c r="AD66" i="25"/>
  <c r="AC66" i="25"/>
  <c r="AB66" i="25"/>
  <c r="AA66" i="25"/>
  <c r="Z66" i="25"/>
  <c r="Y66" i="25"/>
  <c r="X66" i="25"/>
  <c r="W66" i="25"/>
  <c r="V66" i="25"/>
  <c r="U66" i="25"/>
  <c r="T66" i="25"/>
  <c r="S66" i="25"/>
  <c r="R66" i="25"/>
  <c r="Q66" i="25"/>
  <c r="P66" i="25"/>
  <c r="O66" i="25"/>
  <c r="N66" i="25"/>
  <c r="M66" i="25"/>
  <c r="L66" i="25"/>
  <c r="K66" i="25"/>
  <c r="J66" i="25"/>
  <c r="H66" i="25"/>
  <c r="G66" i="25"/>
  <c r="C66" i="25"/>
  <c r="D66" i="25" s="1"/>
  <c r="F66" i="25"/>
  <c r="AT65" i="25"/>
  <c r="AS65" i="25"/>
  <c r="AR65" i="25"/>
  <c r="AQ65" i="25"/>
  <c r="AO65" i="25"/>
  <c r="AN65" i="25"/>
  <c r="AM65" i="25"/>
  <c r="AL65" i="25"/>
  <c r="AK65" i="25"/>
  <c r="AJ65" i="25"/>
  <c r="AI65" i="25"/>
  <c r="AH65" i="25"/>
  <c r="AG65" i="25"/>
  <c r="AF65" i="25"/>
  <c r="AE65" i="25"/>
  <c r="AD65" i="25"/>
  <c r="AC65" i="25"/>
  <c r="AB65" i="25"/>
  <c r="AA65" i="25"/>
  <c r="Z65" i="25"/>
  <c r="Y65" i="25"/>
  <c r="X65" i="25"/>
  <c r="W65" i="25"/>
  <c r="V65" i="25"/>
  <c r="U65" i="25"/>
  <c r="T65" i="25"/>
  <c r="S65" i="25"/>
  <c r="R65" i="25"/>
  <c r="Q65" i="25"/>
  <c r="P65" i="25"/>
  <c r="O65" i="25"/>
  <c r="N65" i="25"/>
  <c r="M65" i="25"/>
  <c r="L65" i="25"/>
  <c r="K65" i="25"/>
  <c r="J65" i="25"/>
  <c r="H65" i="25"/>
  <c r="G65" i="25"/>
  <c r="C65" i="25"/>
  <c r="D65" i="25" s="1"/>
  <c r="F65" i="25"/>
  <c r="AT64" i="25"/>
  <c r="AS64" i="25"/>
  <c r="AR64" i="25"/>
  <c r="AQ64" i="25"/>
  <c r="AO64" i="25"/>
  <c r="AN64" i="25"/>
  <c r="AM64" i="25"/>
  <c r="AL64" i="25"/>
  <c r="AK64" i="25"/>
  <c r="AJ64" i="25"/>
  <c r="AI64" i="25"/>
  <c r="AH64" i="25"/>
  <c r="AG64" i="25"/>
  <c r="AF64" i="25"/>
  <c r="AE64" i="25"/>
  <c r="AD64" i="25"/>
  <c r="AC64" i="25"/>
  <c r="AB64" i="25"/>
  <c r="AA64" i="25"/>
  <c r="Z64" i="25"/>
  <c r="Y64" i="25"/>
  <c r="X64" i="25"/>
  <c r="W64" i="25"/>
  <c r="V64" i="25"/>
  <c r="U64" i="25"/>
  <c r="T64" i="25"/>
  <c r="S64" i="25"/>
  <c r="R64" i="25"/>
  <c r="Q64" i="25"/>
  <c r="P64" i="25"/>
  <c r="O64" i="25"/>
  <c r="N64" i="25"/>
  <c r="M64" i="25"/>
  <c r="L64" i="25"/>
  <c r="K64" i="25"/>
  <c r="J64" i="25"/>
  <c r="H64" i="25"/>
  <c r="G64" i="25"/>
  <c r="C64" i="25"/>
  <c r="D64" i="25" s="1"/>
  <c r="F64" i="25"/>
  <c r="AT63" i="25"/>
  <c r="AS63" i="25"/>
  <c r="AR63" i="25"/>
  <c r="AQ63" i="25"/>
  <c r="AO63" i="25"/>
  <c r="AN63" i="25"/>
  <c r="AM63" i="25"/>
  <c r="AL63" i="25"/>
  <c r="AK63" i="25"/>
  <c r="AJ63" i="25"/>
  <c r="AI63" i="25"/>
  <c r="AH63" i="25"/>
  <c r="AG63" i="25"/>
  <c r="AF63" i="25"/>
  <c r="AE63" i="25"/>
  <c r="AD63" i="25"/>
  <c r="AC63" i="25"/>
  <c r="AB63" i="25"/>
  <c r="AA63" i="25"/>
  <c r="Z63" i="25"/>
  <c r="Y63" i="25"/>
  <c r="X63" i="25"/>
  <c r="W63" i="25"/>
  <c r="V63" i="25"/>
  <c r="U63" i="25"/>
  <c r="T63" i="25"/>
  <c r="S63" i="25"/>
  <c r="R63" i="25"/>
  <c r="Q63" i="25"/>
  <c r="P63" i="25"/>
  <c r="O63" i="25"/>
  <c r="N63" i="25"/>
  <c r="M63" i="25"/>
  <c r="L63" i="25"/>
  <c r="K63" i="25"/>
  <c r="J63" i="25"/>
  <c r="H63" i="25"/>
  <c r="G63" i="25"/>
  <c r="C63" i="25"/>
  <c r="D63" i="25" s="1"/>
  <c r="F63" i="25"/>
  <c r="AT62" i="25"/>
  <c r="AS62" i="25"/>
  <c r="AR62" i="25"/>
  <c r="AQ62" i="25"/>
  <c r="AO62" i="25"/>
  <c r="AN62" i="25"/>
  <c r="AM62" i="25"/>
  <c r="AL62" i="25"/>
  <c r="AK62" i="25"/>
  <c r="AJ62" i="25"/>
  <c r="AI62" i="25"/>
  <c r="AH62" i="25"/>
  <c r="AG62" i="25"/>
  <c r="AF62" i="25"/>
  <c r="AE62" i="25"/>
  <c r="AD62" i="25"/>
  <c r="AC62" i="25"/>
  <c r="AB62" i="25"/>
  <c r="AA62" i="25"/>
  <c r="Z62" i="25"/>
  <c r="Y62" i="25"/>
  <c r="X62" i="25"/>
  <c r="W62" i="25"/>
  <c r="V62" i="25"/>
  <c r="U62" i="25"/>
  <c r="T62" i="25"/>
  <c r="S62" i="25"/>
  <c r="R62" i="25"/>
  <c r="Q62" i="25"/>
  <c r="P62" i="25"/>
  <c r="O62" i="25"/>
  <c r="N62" i="25"/>
  <c r="M62" i="25"/>
  <c r="L62" i="25"/>
  <c r="K62" i="25"/>
  <c r="J62" i="25"/>
  <c r="H62" i="25"/>
  <c r="G62" i="25"/>
  <c r="C62" i="25"/>
  <c r="D62" i="25" s="1"/>
  <c r="F62" i="25"/>
  <c r="AT88" i="25"/>
  <c r="AS88" i="25"/>
  <c r="AR88" i="25"/>
  <c r="AQ88" i="25"/>
  <c r="AO88" i="25"/>
  <c r="AN88" i="25"/>
  <c r="AM88" i="25"/>
  <c r="AL88" i="25"/>
  <c r="AK88" i="25"/>
  <c r="AJ88" i="25"/>
  <c r="AI88" i="25"/>
  <c r="AH88" i="25"/>
  <c r="AG88" i="25"/>
  <c r="AF88" i="25"/>
  <c r="AE88" i="25"/>
  <c r="AD88" i="25"/>
  <c r="AC88" i="25"/>
  <c r="AB88" i="25"/>
  <c r="AA88" i="25"/>
  <c r="Z88" i="25"/>
  <c r="Y88" i="25"/>
  <c r="X88" i="25"/>
  <c r="W88" i="25"/>
  <c r="V88" i="25"/>
  <c r="U88" i="25"/>
  <c r="T88" i="25"/>
  <c r="S88" i="25"/>
  <c r="R88" i="25"/>
  <c r="Q88" i="25"/>
  <c r="P88" i="25"/>
  <c r="O88" i="25"/>
  <c r="N88" i="25"/>
  <c r="M88" i="25"/>
  <c r="L88" i="25"/>
  <c r="K88" i="25"/>
  <c r="J88" i="25"/>
  <c r="H88" i="25"/>
  <c r="G88" i="25"/>
  <c r="C88" i="25"/>
  <c r="D88" i="25" s="1"/>
  <c r="F88" i="25"/>
  <c r="AT87" i="25"/>
  <c r="AS87" i="25"/>
  <c r="AR87" i="25"/>
  <c r="AQ87" i="25"/>
  <c r="AO87" i="25"/>
  <c r="AN87" i="25"/>
  <c r="AM87" i="25"/>
  <c r="AL87" i="25"/>
  <c r="AK87" i="25"/>
  <c r="AJ87" i="25"/>
  <c r="AI87" i="25"/>
  <c r="AH87" i="25"/>
  <c r="AG87" i="25"/>
  <c r="AF87" i="25"/>
  <c r="AE87" i="25"/>
  <c r="AD87" i="25"/>
  <c r="AC87" i="25"/>
  <c r="AB87" i="25"/>
  <c r="AA87" i="25"/>
  <c r="Z87" i="25"/>
  <c r="Y87" i="25"/>
  <c r="X87" i="25"/>
  <c r="W87" i="25"/>
  <c r="V87" i="25"/>
  <c r="U87" i="25"/>
  <c r="T87" i="25"/>
  <c r="S87" i="25"/>
  <c r="R87" i="25"/>
  <c r="Q87" i="25"/>
  <c r="P87" i="25"/>
  <c r="O87" i="25"/>
  <c r="N87" i="25"/>
  <c r="M87" i="25"/>
  <c r="L87" i="25"/>
  <c r="K87" i="25"/>
  <c r="J87" i="25"/>
  <c r="H87" i="25"/>
  <c r="G87" i="25"/>
  <c r="C87" i="25"/>
  <c r="D87" i="25" s="1"/>
  <c r="F87" i="25"/>
  <c r="AT86" i="25"/>
  <c r="AS86" i="25"/>
  <c r="AR86" i="25"/>
  <c r="AQ86" i="25"/>
  <c r="AO86" i="25"/>
  <c r="AN86" i="25"/>
  <c r="AM86" i="25"/>
  <c r="AL86" i="25"/>
  <c r="AK86" i="25"/>
  <c r="AJ86" i="25"/>
  <c r="AI86" i="25"/>
  <c r="AH86" i="25"/>
  <c r="AG86" i="25"/>
  <c r="AF86" i="25"/>
  <c r="AE86" i="25"/>
  <c r="AD86" i="25"/>
  <c r="AC86" i="25"/>
  <c r="AB86" i="25"/>
  <c r="AA86" i="25"/>
  <c r="Z86" i="25"/>
  <c r="Y86" i="25"/>
  <c r="X86" i="25"/>
  <c r="W86" i="25"/>
  <c r="V86" i="25"/>
  <c r="U86" i="25"/>
  <c r="T86" i="25"/>
  <c r="S86" i="25"/>
  <c r="R86" i="25"/>
  <c r="Q86" i="25"/>
  <c r="P86" i="25"/>
  <c r="O86" i="25"/>
  <c r="N86" i="25"/>
  <c r="M86" i="25"/>
  <c r="L86" i="25"/>
  <c r="K86" i="25"/>
  <c r="J86" i="25"/>
  <c r="H86" i="25"/>
  <c r="G86" i="25"/>
  <c r="C86" i="25"/>
  <c r="D86" i="25" s="1"/>
  <c r="F86" i="25"/>
  <c r="AT85" i="25"/>
  <c r="AS85" i="25"/>
  <c r="AR85" i="25"/>
  <c r="AQ85" i="25"/>
  <c r="AO85" i="25"/>
  <c r="AN85" i="25"/>
  <c r="AM85" i="25"/>
  <c r="AL85" i="25"/>
  <c r="AK85" i="25"/>
  <c r="AJ85" i="25"/>
  <c r="AI85" i="25"/>
  <c r="AH85" i="25"/>
  <c r="AG85" i="25"/>
  <c r="AF85" i="25"/>
  <c r="AE85" i="25"/>
  <c r="AD85" i="25"/>
  <c r="AC85" i="25"/>
  <c r="AB85" i="25"/>
  <c r="AA85" i="25"/>
  <c r="Z85" i="25"/>
  <c r="Y85" i="25"/>
  <c r="X85" i="25"/>
  <c r="W85" i="25"/>
  <c r="V85" i="25"/>
  <c r="U85" i="25"/>
  <c r="T85" i="25"/>
  <c r="S85" i="25"/>
  <c r="R85" i="25"/>
  <c r="Q85" i="25"/>
  <c r="P85" i="25"/>
  <c r="O85" i="25"/>
  <c r="N85" i="25"/>
  <c r="M85" i="25"/>
  <c r="L85" i="25"/>
  <c r="K85" i="25"/>
  <c r="J85" i="25"/>
  <c r="H85" i="25"/>
  <c r="G85" i="25"/>
  <c r="C85" i="25"/>
  <c r="D85" i="25" s="1"/>
  <c r="F85" i="25"/>
  <c r="AT68" i="25"/>
  <c r="AS68" i="25"/>
  <c r="AR68" i="25"/>
  <c r="AQ68" i="25"/>
  <c r="AO68" i="25"/>
  <c r="AN68" i="25"/>
  <c r="AM68" i="25"/>
  <c r="AL68" i="25"/>
  <c r="AK68" i="25"/>
  <c r="AJ68" i="25"/>
  <c r="AI68" i="25"/>
  <c r="AH68" i="25"/>
  <c r="AG68" i="25"/>
  <c r="AF68" i="25"/>
  <c r="AE68" i="25"/>
  <c r="AD68" i="25"/>
  <c r="AC68" i="25"/>
  <c r="AB68" i="25"/>
  <c r="AA68" i="25"/>
  <c r="Z68" i="25"/>
  <c r="Y68" i="25"/>
  <c r="X68" i="25"/>
  <c r="W68" i="25"/>
  <c r="V68" i="25"/>
  <c r="U68" i="25"/>
  <c r="T68" i="25"/>
  <c r="S68" i="25"/>
  <c r="R68" i="25"/>
  <c r="Q68" i="25"/>
  <c r="P68" i="25"/>
  <c r="O68" i="25"/>
  <c r="N68" i="25"/>
  <c r="M68" i="25"/>
  <c r="L68" i="25"/>
  <c r="K68" i="25"/>
  <c r="J68" i="25"/>
  <c r="H68" i="25"/>
  <c r="G68" i="25"/>
  <c r="C68" i="25"/>
  <c r="D68" i="25" s="1"/>
  <c r="F68" i="25"/>
  <c r="AT67" i="25"/>
  <c r="AS67" i="25"/>
  <c r="AR67" i="25"/>
  <c r="AQ67" i="25"/>
  <c r="AO67" i="25"/>
  <c r="AN67" i="25"/>
  <c r="AM67" i="25"/>
  <c r="AL67" i="25"/>
  <c r="AK67" i="25"/>
  <c r="AJ67" i="25"/>
  <c r="AI67" i="25"/>
  <c r="AH67" i="25"/>
  <c r="AG67" i="25"/>
  <c r="AF67" i="25"/>
  <c r="AE67" i="25"/>
  <c r="AD67" i="25"/>
  <c r="AC67" i="25"/>
  <c r="AB67" i="25"/>
  <c r="AA67" i="25"/>
  <c r="Z67" i="25"/>
  <c r="Y67" i="25"/>
  <c r="X67" i="25"/>
  <c r="W67" i="25"/>
  <c r="V67" i="25"/>
  <c r="U67" i="25"/>
  <c r="T67" i="25"/>
  <c r="S67" i="25"/>
  <c r="R67" i="25"/>
  <c r="Q67" i="25"/>
  <c r="P67" i="25"/>
  <c r="O67" i="25"/>
  <c r="N67" i="25"/>
  <c r="M67" i="25"/>
  <c r="L67" i="25"/>
  <c r="K67" i="25"/>
  <c r="J67" i="25"/>
  <c r="H67" i="25"/>
  <c r="G67" i="25"/>
  <c r="C67" i="25"/>
  <c r="D67" i="25" s="1"/>
  <c r="F67" i="25"/>
  <c r="AT73" i="25"/>
  <c r="AS73" i="25"/>
  <c r="AR73" i="25"/>
  <c r="AQ73" i="25"/>
  <c r="AO73" i="25"/>
  <c r="AN73" i="25"/>
  <c r="AM73" i="25"/>
  <c r="AL73" i="25"/>
  <c r="AK73" i="25"/>
  <c r="AJ73" i="25"/>
  <c r="AI73" i="25"/>
  <c r="AH73" i="25"/>
  <c r="AG73" i="25"/>
  <c r="AF73" i="25"/>
  <c r="AE73" i="25"/>
  <c r="AD73" i="25"/>
  <c r="AC73" i="25"/>
  <c r="AB73" i="25"/>
  <c r="AA73" i="25"/>
  <c r="Z73" i="25"/>
  <c r="Y73" i="25"/>
  <c r="X73" i="25"/>
  <c r="W73" i="25"/>
  <c r="V73" i="25"/>
  <c r="U73" i="25"/>
  <c r="T73" i="25"/>
  <c r="S73" i="25"/>
  <c r="R73" i="25"/>
  <c r="Q73" i="25"/>
  <c r="P73" i="25"/>
  <c r="O73" i="25"/>
  <c r="N73" i="25"/>
  <c r="M73" i="25"/>
  <c r="L73" i="25"/>
  <c r="K73" i="25"/>
  <c r="J73" i="25"/>
  <c r="H73" i="25"/>
  <c r="G73" i="25"/>
  <c r="C73" i="25"/>
  <c r="D73" i="25" s="1"/>
  <c r="F73" i="25"/>
  <c r="AT72" i="25"/>
  <c r="AS72" i="25"/>
  <c r="AR72" i="25"/>
  <c r="AQ72" i="25"/>
  <c r="AO72" i="25"/>
  <c r="AN72" i="25"/>
  <c r="AM72" i="25"/>
  <c r="AL72" i="25"/>
  <c r="AK72" i="25"/>
  <c r="AJ72" i="25"/>
  <c r="AI72" i="25"/>
  <c r="AH72" i="25"/>
  <c r="AG72" i="25"/>
  <c r="AF72" i="25"/>
  <c r="AE72" i="25"/>
  <c r="AD72" i="25"/>
  <c r="AC72" i="25"/>
  <c r="AB72" i="25"/>
  <c r="AA72" i="25"/>
  <c r="Z72" i="25"/>
  <c r="Y72" i="25"/>
  <c r="X72" i="25"/>
  <c r="W72" i="25"/>
  <c r="V72" i="25"/>
  <c r="U72" i="25"/>
  <c r="T72" i="25"/>
  <c r="S72" i="25"/>
  <c r="R72" i="25"/>
  <c r="Q72" i="25"/>
  <c r="P72" i="25"/>
  <c r="O72" i="25"/>
  <c r="N72" i="25"/>
  <c r="M72" i="25"/>
  <c r="L72" i="25"/>
  <c r="K72" i="25"/>
  <c r="J72" i="25"/>
  <c r="H72" i="25"/>
  <c r="G72" i="25"/>
  <c r="C72" i="25"/>
  <c r="D72" i="25" s="1"/>
  <c r="F72" i="25"/>
  <c r="AT71" i="25"/>
  <c r="AS71" i="25"/>
  <c r="AR71" i="25"/>
  <c r="AQ71" i="25"/>
  <c r="AO71" i="25"/>
  <c r="AN71" i="25"/>
  <c r="AM71" i="25"/>
  <c r="AL71" i="25"/>
  <c r="AK71" i="25"/>
  <c r="AJ71" i="25"/>
  <c r="AI71" i="25"/>
  <c r="AH71" i="25"/>
  <c r="AG71" i="25"/>
  <c r="AF71" i="25"/>
  <c r="AE71" i="25"/>
  <c r="AD71" i="25"/>
  <c r="AC71" i="25"/>
  <c r="AB71" i="25"/>
  <c r="AA71" i="25"/>
  <c r="Z71" i="25"/>
  <c r="Y71" i="25"/>
  <c r="X71" i="25"/>
  <c r="W71" i="25"/>
  <c r="V71" i="25"/>
  <c r="U71" i="25"/>
  <c r="T71" i="25"/>
  <c r="S71" i="25"/>
  <c r="R71" i="25"/>
  <c r="Q71" i="25"/>
  <c r="P71" i="25"/>
  <c r="O71" i="25"/>
  <c r="N71" i="25"/>
  <c r="M71" i="25"/>
  <c r="L71" i="25"/>
  <c r="K71" i="25"/>
  <c r="J71" i="25"/>
  <c r="H71" i="25"/>
  <c r="G71" i="25"/>
  <c r="C71" i="25"/>
  <c r="D71" i="25" s="1"/>
  <c r="F71" i="25"/>
  <c r="AT70" i="25"/>
  <c r="AS70" i="25"/>
  <c r="AR70" i="25"/>
  <c r="AQ70" i="25"/>
  <c r="AO70" i="25"/>
  <c r="AN70" i="25"/>
  <c r="AM70" i="25"/>
  <c r="AL70" i="25"/>
  <c r="AK70" i="25"/>
  <c r="AJ70" i="25"/>
  <c r="AI70" i="25"/>
  <c r="AH70" i="25"/>
  <c r="AG70" i="25"/>
  <c r="AF70" i="25"/>
  <c r="AE70" i="25"/>
  <c r="AD70" i="25"/>
  <c r="AC70" i="25"/>
  <c r="AB70" i="25"/>
  <c r="AA70" i="25"/>
  <c r="Z70" i="25"/>
  <c r="Y70" i="25"/>
  <c r="X70" i="25"/>
  <c r="W70" i="25"/>
  <c r="V70" i="25"/>
  <c r="U70" i="25"/>
  <c r="T70" i="25"/>
  <c r="S70" i="25"/>
  <c r="R70" i="25"/>
  <c r="Q70" i="25"/>
  <c r="P70" i="25"/>
  <c r="O70" i="25"/>
  <c r="N70" i="25"/>
  <c r="M70" i="25"/>
  <c r="L70" i="25"/>
  <c r="K70" i="25"/>
  <c r="J70" i="25"/>
  <c r="H70" i="25"/>
  <c r="G70" i="25"/>
  <c r="C70" i="25"/>
  <c r="D70" i="25" s="1"/>
  <c r="F70" i="25"/>
  <c r="AT69" i="25"/>
  <c r="AS69" i="25"/>
  <c r="AR69" i="25"/>
  <c r="AQ69" i="25"/>
  <c r="AO69" i="25"/>
  <c r="AN69" i="25"/>
  <c r="AM69" i="25"/>
  <c r="AL69" i="25"/>
  <c r="AK69" i="25"/>
  <c r="AJ69" i="25"/>
  <c r="AI69" i="25"/>
  <c r="AH69" i="25"/>
  <c r="AG69" i="25"/>
  <c r="AF69" i="25"/>
  <c r="AE69" i="25"/>
  <c r="AD69" i="25"/>
  <c r="AC69" i="25"/>
  <c r="AB69" i="25"/>
  <c r="AA69" i="25"/>
  <c r="Z69" i="25"/>
  <c r="Y69" i="25"/>
  <c r="X69" i="25"/>
  <c r="W69" i="25"/>
  <c r="V69" i="25"/>
  <c r="U69" i="25"/>
  <c r="T69" i="25"/>
  <c r="S69" i="25"/>
  <c r="R69" i="25"/>
  <c r="Q69" i="25"/>
  <c r="P69" i="25"/>
  <c r="O69" i="25"/>
  <c r="N69" i="25"/>
  <c r="M69" i="25"/>
  <c r="L69" i="25"/>
  <c r="K69" i="25"/>
  <c r="J69" i="25"/>
  <c r="H69" i="25"/>
  <c r="G69" i="25"/>
  <c r="C69" i="25"/>
  <c r="D69" i="25" s="1"/>
  <c r="F69" i="25"/>
  <c r="AT98" i="25"/>
  <c r="AS98" i="25"/>
  <c r="AR98" i="25"/>
  <c r="AQ98" i="25"/>
  <c r="AO98" i="25"/>
  <c r="AN98" i="25"/>
  <c r="AM98" i="25"/>
  <c r="AL98" i="25"/>
  <c r="AK98" i="25"/>
  <c r="AJ98" i="25"/>
  <c r="AI98" i="25"/>
  <c r="AH98" i="25"/>
  <c r="AG98" i="25"/>
  <c r="AF98" i="25"/>
  <c r="AE98" i="25"/>
  <c r="AD98" i="25"/>
  <c r="AC98" i="25"/>
  <c r="AB98" i="25"/>
  <c r="AA98" i="25"/>
  <c r="Z98" i="25"/>
  <c r="Y98" i="25"/>
  <c r="X98" i="25"/>
  <c r="W98" i="25"/>
  <c r="V98" i="25"/>
  <c r="U98" i="25"/>
  <c r="T98" i="25"/>
  <c r="S98" i="25"/>
  <c r="R98" i="25"/>
  <c r="Q98" i="25"/>
  <c r="P98" i="25"/>
  <c r="O98" i="25"/>
  <c r="N98" i="25"/>
  <c r="M98" i="25"/>
  <c r="L98" i="25"/>
  <c r="K98" i="25"/>
  <c r="J98" i="25"/>
  <c r="H98" i="25"/>
  <c r="G98" i="25"/>
  <c r="C98" i="25"/>
  <c r="D98" i="25" s="1"/>
  <c r="F98" i="25"/>
  <c r="AT97" i="25"/>
  <c r="AS97" i="25"/>
  <c r="AR97" i="25"/>
  <c r="AQ97" i="25"/>
  <c r="AO97" i="25"/>
  <c r="AN97" i="25"/>
  <c r="AM97" i="25"/>
  <c r="AL97" i="25"/>
  <c r="AK97" i="25"/>
  <c r="AJ97" i="25"/>
  <c r="AI97" i="25"/>
  <c r="AH97" i="25"/>
  <c r="AG97" i="25"/>
  <c r="AF97" i="25"/>
  <c r="AE97" i="25"/>
  <c r="AD97" i="25"/>
  <c r="AC97" i="25"/>
  <c r="AB97" i="25"/>
  <c r="AA97" i="25"/>
  <c r="Z97" i="25"/>
  <c r="Y97" i="25"/>
  <c r="X97" i="25"/>
  <c r="W97" i="25"/>
  <c r="V97" i="25"/>
  <c r="U97" i="25"/>
  <c r="T97" i="25"/>
  <c r="S97" i="25"/>
  <c r="R97" i="25"/>
  <c r="Q97" i="25"/>
  <c r="P97" i="25"/>
  <c r="O97" i="25"/>
  <c r="N97" i="25"/>
  <c r="M97" i="25"/>
  <c r="L97" i="25"/>
  <c r="K97" i="25"/>
  <c r="J97" i="25"/>
  <c r="H97" i="25"/>
  <c r="G97" i="25"/>
  <c r="C97" i="25"/>
  <c r="D97" i="25" s="1"/>
  <c r="F97" i="25"/>
  <c r="AT96" i="25"/>
  <c r="AS96" i="25"/>
  <c r="AQ96" i="25"/>
  <c r="AO96" i="25"/>
  <c r="AN96" i="25"/>
  <c r="AM96" i="25"/>
  <c r="AL96" i="25"/>
  <c r="AK96" i="25"/>
  <c r="AJ96" i="25"/>
  <c r="AI96" i="25"/>
  <c r="AH96" i="25"/>
  <c r="AG96" i="25"/>
  <c r="AF96" i="25"/>
  <c r="AE96" i="25"/>
  <c r="AD96" i="25"/>
  <c r="AC96" i="25"/>
  <c r="AB96" i="25"/>
  <c r="AA96" i="25"/>
  <c r="Z96" i="25"/>
  <c r="Y96" i="25"/>
  <c r="X96" i="25"/>
  <c r="W96" i="25"/>
  <c r="V96" i="25"/>
  <c r="U96" i="25"/>
  <c r="T96" i="25"/>
  <c r="S96" i="25"/>
  <c r="R96" i="25"/>
  <c r="Q96" i="25"/>
  <c r="P96" i="25"/>
  <c r="O96" i="25"/>
  <c r="N96" i="25"/>
  <c r="M96" i="25"/>
  <c r="L96" i="25"/>
  <c r="K96" i="25"/>
  <c r="J96" i="25"/>
  <c r="H96" i="25"/>
  <c r="G96" i="25"/>
  <c r="C96" i="25"/>
  <c r="D96" i="25" s="1"/>
  <c r="F96" i="25"/>
  <c r="AT95" i="25"/>
  <c r="AS95" i="25"/>
  <c r="AQ95" i="25"/>
  <c r="AO95" i="25"/>
  <c r="AN95" i="25"/>
  <c r="AM95" i="25"/>
  <c r="AL95" i="25"/>
  <c r="AK95" i="25"/>
  <c r="AJ95" i="25"/>
  <c r="AI95" i="25"/>
  <c r="AH95" i="25"/>
  <c r="AG95" i="25"/>
  <c r="AF95" i="25"/>
  <c r="AE95" i="25"/>
  <c r="AD95" i="25"/>
  <c r="AC95" i="25"/>
  <c r="AB95" i="25"/>
  <c r="AA95" i="25"/>
  <c r="Z95" i="25"/>
  <c r="Y95" i="25"/>
  <c r="X95" i="25"/>
  <c r="W95" i="25"/>
  <c r="V95" i="25"/>
  <c r="U95" i="25"/>
  <c r="T95" i="25"/>
  <c r="S95" i="25"/>
  <c r="R95" i="25"/>
  <c r="Q95" i="25"/>
  <c r="P95" i="25"/>
  <c r="O95" i="25"/>
  <c r="N95" i="25"/>
  <c r="M95" i="25"/>
  <c r="L95" i="25"/>
  <c r="K95" i="25"/>
  <c r="J95" i="25"/>
  <c r="H95" i="25"/>
  <c r="G95" i="25"/>
  <c r="C95" i="25"/>
  <c r="D95" i="25" s="1"/>
  <c r="F95" i="25"/>
  <c r="AT94" i="25"/>
  <c r="AS94" i="25"/>
  <c r="AR94" i="25"/>
  <c r="AQ94" i="25"/>
  <c r="AO94" i="25"/>
  <c r="AN94" i="25"/>
  <c r="AM94" i="25"/>
  <c r="AL94" i="25"/>
  <c r="AK94" i="25"/>
  <c r="AJ94" i="25"/>
  <c r="AI94" i="25"/>
  <c r="AH94" i="25"/>
  <c r="AG94" i="25"/>
  <c r="AF94" i="25"/>
  <c r="AE94" i="25"/>
  <c r="AD94" i="25"/>
  <c r="AC94" i="25"/>
  <c r="AB94" i="25"/>
  <c r="AA94" i="25"/>
  <c r="Z94" i="25"/>
  <c r="Y94" i="25"/>
  <c r="X94" i="25"/>
  <c r="W94" i="25"/>
  <c r="V94" i="25"/>
  <c r="U94" i="25"/>
  <c r="T94" i="25"/>
  <c r="S94" i="25"/>
  <c r="R94" i="25"/>
  <c r="Q94" i="25"/>
  <c r="P94" i="25"/>
  <c r="O94" i="25"/>
  <c r="N94" i="25"/>
  <c r="M94" i="25"/>
  <c r="L94" i="25"/>
  <c r="K94" i="25"/>
  <c r="J94" i="25"/>
  <c r="H94" i="25"/>
  <c r="G94" i="25"/>
  <c r="C94" i="25"/>
  <c r="D94" i="25" s="1"/>
  <c r="F94" i="25"/>
  <c r="AT93" i="25"/>
  <c r="AS93" i="25"/>
  <c r="AQ93" i="25"/>
  <c r="AO93" i="25"/>
  <c r="AN93" i="25"/>
  <c r="AM93" i="25"/>
  <c r="AL93" i="25"/>
  <c r="AK93" i="25"/>
  <c r="AJ93" i="25"/>
  <c r="AI93" i="25"/>
  <c r="AH93" i="25"/>
  <c r="AG93" i="25"/>
  <c r="AF93" i="25"/>
  <c r="AE93" i="25"/>
  <c r="AD93" i="25"/>
  <c r="AC93" i="25"/>
  <c r="AB93" i="25"/>
  <c r="AA93" i="25"/>
  <c r="Z93" i="25"/>
  <c r="Y93" i="25"/>
  <c r="X93" i="25"/>
  <c r="W93" i="25"/>
  <c r="V93" i="25"/>
  <c r="U93" i="25"/>
  <c r="T93" i="25"/>
  <c r="S93" i="25"/>
  <c r="R93" i="25"/>
  <c r="Q93" i="25"/>
  <c r="P93" i="25"/>
  <c r="O93" i="25"/>
  <c r="N93" i="25"/>
  <c r="M93" i="25"/>
  <c r="L93" i="25"/>
  <c r="K93" i="25"/>
  <c r="J93" i="25"/>
  <c r="H93" i="25"/>
  <c r="G93" i="25"/>
  <c r="C93" i="25"/>
  <c r="D93" i="25" s="1"/>
  <c r="F93" i="25"/>
  <c r="AT92" i="25"/>
  <c r="AS92" i="25"/>
  <c r="AR92" i="25"/>
  <c r="AQ92" i="25"/>
  <c r="AO92" i="25"/>
  <c r="AN92" i="25"/>
  <c r="AM92" i="25"/>
  <c r="AL92" i="25"/>
  <c r="AK92" i="25"/>
  <c r="AJ92" i="25"/>
  <c r="AI92" i="25"/>
  <c r="AH92" i="25"/>
  <c r="AG92" i="25"/>
  <c r="AF92" i="25"/>
  <c r="AE92" i="25"/>
  <c r="AD92" i="25"/>
  <c r="AC92" i="25"/>
  <c r="AB92" i="25"/>
  <c r="AA92" i="25"/>
  <c r="Z92" i="25"/>
  <c r="Y92" i="25"/>
  <c r="X92" i="25"/>
  <c r="W92" i="25"/>
  <c r="V92" i="25"/>
  <c r="U92" i="25"/>
  <c r="T92" i="25"/>
  <c r="S92" i="25"/>
  <c r="R92" i="25"/>
  <c r="Q92" i="25"/>
  <c r="P92" i="25"/>
  <c r="O92" i="25"/>
  <c r="N92" i="25"/>
  <c r="M92" i="25"/>
  <c r="L92" i="25"/>
  <c r="K92" i="25"/>
  <c r="J92" i="25"/>
  <c r="H92" i="25"/>
  <c r="G92" i="25"/>
  <c r="C92" i="25"/>
  <c r="D92" i="25" s="1"/>
  <c r="F92" i="25"/>
  <c r="AT91" i="25"/>
  <c r="AS91" i="25"/>
  <c r="AR91" i="25"/>
  <c r="AQ91" i="25"/>
  <c r="AO91" i="25"/>
  <c r="AN91" i="25"/>
  <c r="AM91" i="25"/>
  <c r="AL91" i="25"/>
  <c r="AK91" i="25"/>
  <c r="AJ91" i="25"/>
  <c r="AI91" i="25"/>
  <c r="AH91" i="25"/>
  <c r="AG91" i="25"/>
  <c r="AF91" i="25"/>
  <c r="AE91" i="25"/>
  <c r="AD91" i="25"/>
  <c r="AC91" i="25"/>
  <c r="AB91" i="25"/>
  <c r="AA91" i="25"/>
  <c r="Z91" i="25"/>
  <c r="Y91" i="25"/>
  <c r="X91" i="25"/>
  <c r="W91" i="25"/>
  <c r="V91" i="25"/>
  <c r="U91" i="25"/>
  <c r="T91" i="25"/>
  <c r="S91" i="25"/>
  <c r="R91" i="25"/>
  <c r="Q91" i="25"/>
  <c r="P91" i="25"/>
  <c r="O91" i="25"/>
  <c r="N91" i="25"/>
  <c r="M91" i="25"/>
  <c r="L91" i="25"/>
  <c r="K91" i="25"/>
  <c r="J91" i="25"/>
  <c r="H91" i="25"/>
  <c r="G91" i="25"/>
  <c r="C91" i="25"/>
  <c r="D91" i="25" s="1"/>
  <c r="F91" i="25"/>
  <c r="AT90" i="25"/>
  <c r="AS90" i="25"/>
  <c r="AR90" i="25"/>
  <c r="AQ90" i="25"/>
  <c r="AO90" i="25"/>
  <c r="AN90" i="25"/>
  <c r="AM90" i="25"/>
  <c r="AL90" i="25"/>
  <c r="AK90" i="25"/>
  <c r="AJ90" i="25"/>
  <c r="AI90" i="25"/>
  <c r="AH90" i="25"/>
  <c r="AG90" i="25"/>
  <c r="AF90" i="25"/>
  <c r="AE90" i="25"/>
  <c r="AD90" i="25"/>
  <c r="AC90" i="25"/>
  <c r="AB90" i="25"/>
  <c r="AA90" i="25"/>
  <c r="Z90" i="25"/>
  <c r="Y90" i="25"/>
  <c r="X90" i="25"/>
  <c r="W90" i="25"/>
  <c r="V90" i="25"/>
  <c r="U90" i="25"/>
  <c r="T90" i="25"/>
  <c r="S90" i="25"/>
  <c r="R90" i="25"/>
  <c r="Q90" i="25"/>
  <c r="P90" i="25"/>
  <c r="O90" i="25"/>
  <c r="N90" i="25"/>
  <c r="M90" i="25"/>
  <c r="L90" i="25"/>
  <c r="K90" i="25"/>
  <c r="J90" i="25"/>
  <c r="H90" i="25"/>
  <c r="G90" i="25"/>
  <c r="C90" i="25"/>
  <c r="D90" i="25" s="1"/>
  <c r="F90" i="25"/>
  <c r="AT89" i="25"/>
  <c r="AS89" i="25"/>
  <c r="AR89" i="25"/>
  <c r="AQ89" i="25"/>
  <c r="AO89" i="25"/>
  <c r="AN89" i="25"/>
  <c r="AM89" i="25"/>
  <c r="AL89" i="25"/>
  <c r="AK89" i="25"/>
  <c r="AJ89" i="25"/>
  <c r="AI89" i="25"/>
  <c r="AH89" i="25"/>
  <c r="AG89" i="25"/>
  <c r="AF89" i="25"/>
  <c r="AE89" i="25"/>
  <c r="AD89" i="25"/>
  <c r="AC89" i="25"/>
  <c r="AB89" i="25"/>
  <c r="AA89" i="25"/>
  <c r="Z89" i="25"/>
  <c r="Y89" i="25"/>
  <c r="X89" i="25"/>
  <c r="W89" i="25"/>
  <c r="V89" i="25"/>
  <c r="U89" i="25"/>
  <c r="T89" i="25"/>
  <c r="S89" i="25"/>
  <c r="R89" i="25"/>
  <c r="Q89" i="25"/>
  <c r="P89" i="25"/>
  <c r="O89" i="25"/>
  <c r="N89" i="25"/>
  <c r="M89" i="25"/>
  <c r="L89" i="25"/>
  <c r="K89" i="25"/>
  <c r="J89" i="25"/>
  <c r="H89" i="25"/>
  <c r="G89" i="25"/>
  <c r="C89" i="25"/>
  <c r="D89" i="25" s="1"/>
  <c r="F89" i="25"/>
  <c r="AT75" i="25"/>
  <c r="AS75" i="25"/>
  <c r="AR75" i="25"/>
  <c r="AQ75" i="25"/>
  <c r="AO75" i="25"/>
  <c r="AN75" i="25"/>
  <c r="AM75" i="25"/>
  <c r="AL75" i="25"/>
  <c r="AK75" i="25"/>
  <c r="AJ75" i="25"/>
  <c r="AI75" i="25"/>
  <c r="AH75" i="25"/>
  <c r="AG75" i="25"/>
  <c r="AF75" i="25"/>
  <c r="AE75" i="25"/>
  <c r="AD75" i="25"/>
  <c r="AC75" i="25"/>
  <c r="AB75" i="25"/>
  <c r="AA75" i="25"/>
  <c r="Z75" i="25"/>
  <c r="Y75" i="25"/>
  <c r="X75" i="25"/>
  <c r="W75" i="25"/>
  <c r="V75" i="25"/>
  <c r="U75" i="25"/>
  <c r="T75" i="25"/>
  <c r="S75" i="25"/>
  <c r="R75" i="25"/>
  <c r="Q75" i="25"/>
  <c r="P75" i="25"/>
  <c r="O75" i="25"/>
  <c r="N75" i="25"/>
  <c r="M75" i="25"/>
  <c r="L75" i="25"/>
  <c r="K75" i="25"/>
  <c r="J75" i="25"/>
  <c r="H75" i="25"/>
  <c r="G75" i="25"/>
  <c r="C75" i="25"/>
  <c r="D75" i="25" s="1"/>
  <c r="F75" i="25"/>
  <c r="AT74" i="25"/>
  <c r="AS74" i="25"/>
  <c r="AQ74" i="25"/>
  <c r="AO74" i="25"/>
  <c r="AN74" i="25"/>
  <c r="AM74" i="25"/>
  <c r="AL74" i="25"/>
  <c r="AK74" i="25"/>
  <c r="AJ74" i="25"/>
  <c r="AI74" i="25"/>
  <c r="AH74" i="25"/>
  <c r="AG74" i="25"/>
  <c r="AF74" i="25"/>
  <c r="AE74" i="25"/>
  <c r="AD74" i="25"/>
  <c r="AC74" i="25"/>
  <c r="AB74" i="25"/>
  <c r="AA74" i="25"/>
  <c r="Z74" i="25"/>
  <c r="Y74" i="25"/>
  <c r="X74" i="25"/>
  <c r="W74" i="25"/>
  <c r="V74" i="25"/>
  <c r="U74" i="25"/>
  <c r="T74" i="25"/>
  <c r="S74" i="25"/>
  <c r="R74" i="25"/>
  <c r="Q74" i="25"/>
  <c r="P74" i="25"/>
  <c r="O74" i="25"/>
  <c r="N74" i="25"/>
  <c r="M74" i="25"/>
  <c r="L74" i="25"/>
  <c r="K74" i="25"/>
  <c r="J74" i="25"/>
  <c r="H74" i="25"/>
  <c r="G74" i="25"/>
  <c r="C74" i="25"/>
  <c r="D74" i="25" s="1"/>
  <c r="F74" i="25"/>
  <c r="AT61" i="25"/>
  <c r="AS61" i="25"/>
  <c r="AR61" i="25"/>
  <c r="AQ61" i="25"/>
  <c r="AO61" i="25"/>
  <c r="AN61" i="25"/>
  <c r="AM61" i="25"/>
  <c r="AL61" i="25"/>
  <c r="AK61" i="25"/>
  <c r="AJ61" i="25"/>
  <c r="AI61" i="25"/>
  <c r="AH61" i="25"/>
  <c r="AG61" i="25"/>
  <c r="AF61" i="25"/>
  <c r="AE61" i="25"/>
  <c r="AD61" i="25"/>
  <c r="AC61" i="25"/>
  <c r="AB61" i="25"/>
  <c r="AA61" i="25"/>
  <c r="Z61" i="25"/>
  <c r="Y61" i="25"/>
  <c r="X61" i="25"/>
  <c r="W61" i="25"/>
  <c r="V61" i="25"/>
  <c r="U61" i="25"/>
  <c r="T61" i="25"/>
  <c r="S61" i="25"/>
  <c r="R61" i="25"/>
  <c r="Q61" i="25"/>
  <c r="P61" i="25"/>
  <c r="O61" i="25"/>
  <c r="N61" i="25"/>
  <c r="M61" i="25"/>
  <c r="L61" i="25"/>
  <c r="K61" i="25"/>
  <c r="J61" i="25"/>
  <c r="H61" i="25"/>
  <c r="G61" i="25"/>
  <c r="C61" i="25"/>
  <c r="D61" i="25" s="1"/>
  <c r="F61" i="25"/>
  <c r="AT60" i="25"/>
  <c r="AS60" i="25"/>
  <c r="AR60" i="25"/>
  <c r="AQ60" i="25"/>
  <c r="AO60" i="25"/>
  <c r="AN60" i="25"/>
  <c r="AM60" i="25"/>
  <c r="AL60" i="25"/>
  <c r="AK60" i="25"/>
  <c r="AJ60" i="25"/>
  <c r="AI60" i="25"/>
  <c r="AH60" i="25"/>
  <c r="AG60" i="25"/>
  <c r="AF60" i="25"/>
  <c r="AE60" i="25"/>
  <c r="AD60" i="25"/>
  <c r="AC60" i="25"/>
  <c r="AB60" i="25"/>
  <c r="AA60" i="25"/>
  <c r="Z60" i="25"/>
  <c r="Y60" i="25"/>
  <c r="X60" i="25"/>
  <c r="W60" i="25"/>
  <c r="V60" i="25"/>
  <c r="U60" i="25"/>
  <c r="T60" i="25"/>
  <c r="S60" i="25"/>
  <c r="R60" i="25"/>
  <c r="Q60" i="25"/>
  <c r="P60" i="25"/>
  <c r="O60" i="25"/>
  <c r="N60" i="25"/>
  <c r="M60" i="25"/>
  <c r="L60" i="25"/>
  <c r="K60" i="25"/>
  <c r="J60" i="25"/>
  <c r="H60" i="25"/>
  <c r="G60" i="25"/>
  <c r="C60" i="25"/>
  <c r="D60" i="25" s="1"/>
  <c r="F60" i="25"/>
  <c r="AT59" i="25"/>
  <c r="AS59" i="25"/>
  <c r="AR59" i="25"/>
  <c r="AQ59" i="25"/>
  <c r="AO59" i="25"/>
  <c r="AN59" i="25"/>
  <c r="AM59" i="25"/>
  <c r="AL59" i="25"/>
  <c r="AK59" i="25"/>
  <c r="AJ59" i="25"/>
  <c r="AI59" i="25"/>
  <c r="AH59" i="25"/>
  <c r="AG59" i="25"/>
  <c r="AF59" i="25"/>
  <c r="AE59" i="25"/>
  <c r="AD59" i="25"/>
  <c r="AC59" i="25"/>
  <c r="AB59" i="25"/>
  <c r="AA59" i="25"/>
  <c r="Z59" i="25"/>
  <c r="Y59" i="25"/>
  <c r="X59" i="25"/>
  <c r="W59" i="25"/>
  <c r="V59" i="25"/>
  <c r="U59" i="25"/>
  <c r="T59" i="25"/>
  <c r="S59" i="25"/>
  <c r="R59" i="25"/>
  <c r="Q59" i="25"/>
  <c r="P59" i="25"/>
  <c r="O59" i="25"/>
  <c r="N59" i="25"/>
  <c r="M59" i="25"/>
  <c r="L59" i="25"/>
  <c r="K59" i="25"/>
  <c r="J59" i="25"/>
  <c r="H59" i="25"/>
  <c r="G59" i="25"/>
  <c r="C59" i="25"/>
  <c r="D59" i="25" s="1"/>
  <c r="F59" i="25"/>
  <c r="AT58" i="25"/>
  <c r="AS58" i="25"/>
  <c r="AR58" i="25"/>
  <c r="AQ58" i="25"/>
  <c r="AO58" i="25"/>
  <c r="AN58" i="25"/>
  <c r="AM58" i="25"/>
  <c r="AL58" i="25"/>
  <c r="AK58" i="25"/>
  <c r="AJ58" i="25"/>
  <c r="AI58" i="25"/>
  <c r="AH58" i="25"/>
  <c r="AG58" i="25"/>
  <c r="AF58" i="25"/>
  <c r="AE58" i="25"/>
  <c r="AD58" i="25"/>
  <c r="AC58" i="25"/>
  <c r="AB58" i="25"/>
  <c r="AA58" i="25"/>
  <c r="Z58" i="25"/>
  <c r="Y58" i="25"/>
  <c r="X58" i="25"/>
  <c r="W58" i="25"/>
  <c r="V58" i="25"/>
  <c r="U58" i="25"/>
  <c r="T58" i="25"/>
  <c r="S58" i="25"/>
  <c r="R58" i="25"/>
  <c r="Q58" i="25"/>
  <c r="P58" i="25"/>
  <c r="O58" i="25"/>
  <c r="N58" i="25"/>
  <c r="M58" i="25"/>
  <c r="L58" i="25"/>
  <c r="K58" i="25"/>
  <c r="J58" i="25"/>
  <c r="H58" i="25"/>
  <c r="G58" i="25"/>
  <c r="C58" i="25"/>
  <c r="D58" i="25" s="1"/>
  <c r="F58" i="25"/>
  <c r="AT57" i="25"/>
  <c r="AS57" i="25"/>
  <c r="AQ57" i="25"/>
  <c r="AO57" i="25"/>
  <c r="AN57" i="25"/>
  <c r="AM57" i="25"/>
  <c r="AL57" i="25"/>
  <c r="AK57" i="25"/>
  <c r="AJ57" i="25"/>
  <c r="AI57" i="25"/>
  <c r="AH57" i="25"/>
  <c r="AG57" i="25"/>
  <c r="AF57" i="25"/>
  <c r="AE57" i="25"/>
  <c r="AD57" i="25"/>
  <c r="AC57" i="25"/>
  <c r="AB57" i="25"/>
  <c r="AA57" i="25"/>
  <c r="Z57" i="25"/>
  <c r="Y57" i="25"/>
  <c r="X57" i="25"/>
  <c r="W57" i="25"/>
  <c r="V57" i="25"/>
  <c r="U57" i="25"/>
  <c r="T57" i="25"/>
  <c r="S57" i="25"/>
  <c r="R57" i="25"/>
  <c r="Q57" i="25"/>
  <c r="P57" i="25"/>
  <c r="O57" i="25"/>
  <c r="N57" i="25"/>
  <c r="M57" i="25"/>
  <c r="L57" i="25"/>
  <c r="K57" i="25"/>
  <c r="J57" i="25"/>
  <c r="H57" i="25"/>
  <c r="G57" i="25"/>
  <c r="C57" i="25"/>
  <c r="D57" i="25" s="1"/>
  <c r="F57" i="25"/>
  <c r="AT56" i="25"/>
  <c r="AS56" i="25"/>
  <c r="AR56" i="25"/>
  <c r="AQ56" i="25"/>
  <c r="AO56" i="25"/>
  <c r="AN56" i="25"/>
  <c r="AM56" i="25"/>
  <c r="AL56" i="25"/>
  <c r="AK56" i="25"/>
  <c r="AJ56" i="25"/>
  <c r="AI56" i="25"/>
  <c r="AH56" i="25"/>
  <c r="AG56" i="25"/>
  <c r="AF56" i="25"/>
  <c r="AE56" i="25"/>
  <c r="AD56" i="25"/>
  <c r="AC56" i="25"/>
  <c r="AB56" i="25"/>
  <c r="AA56" i="25"/>
  <c r="Z56" i="25"/>
  <c r="Y56" i="25"/>
  <c r="X56" i="25"/>
  <c r="W56" i="25"/>
  <c r="V56" i="25"/>
  <c r="U56" i="25"/>
  <c r="T56" i="25"/>
  <c r="S56" i="25"/>
  <c r="R56" i="25"/>
  <c r="Q56" i="25"/>
  <c r="P56" i="25"/>
  <c r="O56" i="25"/>
  <c r="N56" i="25"/>
  <c r="M56" i="25"/>
  <c r="L56" i="25"/>
  <c r="K56" i="25"/>
  <c r="J56" i="25"/>
  <c r="H56" i="25"/>
  <c r="G56" i="25"/>
  <c r="C56" i="25"/>
  <c r="D56" i="25" s="1"/>
  <c r="F56" i="25"/>
  <c r="AT55" i="25"/>
  <c r="AS55" i="25"/>
  <c r="AR55" i="25"/>
  <c r="AQ55" i="25"/>
  <c r="AO55" i="25"/>
  <c r="AN55" i="25"/>
  <c r="AM55" i="25"/>
  <c r="AL55" i="25"/>
  <c r="AK55" i="25"/>
  <c r="AJ55" i="25"/>
  <c r="AI55" i="25"/>
  <c r="AH55" i="25"/>
  <c r="AG55" i="25"/>
  <c r="AF55" i="25"/>
  <c r="AE55" i="25"/>
  <c r="AD55" i="25"/>
  <c r="AC55" i="25"/>
  <c r="AB55" i="25"/>
  <c r="AA55" i="25"/>
  <c r="Z55" i="25"/>
  <c r="Y55" i="25"/>
  <c r="X55" i="25"/>
  <c r="W55" i="25"/>
  <c r="V55" i="25"/>
  <c r="U55" i="25"/>
  <c r="T55" i="25"/>
  <c r="S55" i="25"/>
  <c r="R55" i="25"/>
  <c r="Q55" i="25"/>
  <c r="P55" i="25"/>
  <c r="O55" i="25"/>
  <c r="N55" i="25"/>
  <c r="M55" i="25"/>
  <c r="L55" i="25"/>
  <c r="K55" i="25"/>
  <c r="J55" i="25"/>
  <c r="H55" i="25"/>
  <c r="G55" i="25"/>
  <c r="C55" i="25"/>
  <c r="D55" i="25" s="1"/>
  <c r="F55" i="25"/>
  <c r="AT54" i="25"/>
  <c r="AS54" i="25"/>
  <c r="AQ54" i="25"/>
  <c r="AO54" i="25"/>
  <c r="AN54" i="25"/>
  <c r="AM54" i="25"/>
  <c r="AL54" i="25"/>
  <c r="AK54" i="25"/>
  <c r="AJ54" i="25"/>
  <c r="AI54" i="25"/>
  <c r="AH54" i="25"/>
  <c r="AG54" i="25"/>
  <c r="AF54" i="25"/>
  <c r="AE54" i="25"/>
  <c r="AD54" i="25"/>
  <c r="AC54" i="25"/>
  <c r="AB54" i="25"/>
  <c r="AA54" i="25"/>
  <c r="Z54" i="25"/>
  <c r="Y54" i="25"/>
  <c r="X54" i="25"/>
  <c r="W54" i="25"/>
  <c r="V54" i="25"/>
  <c r="U54" i="25"/>
  <c r="T54" i="25"/>
  <c r="S54" i="25"/>
  <c r="R54" i="25"/>
  <c r="Q54" i="25"/>
  <c r="P54" i="25"/>
  <c r="O54" i="25"/>
  <c r="N54" i="25"/>
  <c r="M54" i="25"/>
  <c r="L54" i="25"/>
  <c r="K54" i="25"/>
  <c r="J54" i="25"/>
  <c r="H54" i="25"/>
  <c r="G54" i="25"/>
  <c r="C54" i="25"/>
  <c r="D54" i="25" s="1"/>
  <c r="F54" i="25"/>
  <c r="AT53" i="25"/>
  <c r="AS53" i="25"/>
  <c r="AQ53" i="25"/>
  <c r="AO53" i="25"/>
  <c r="AN53" i="25"/>
  <c r="AM53" i="25"/>
  <c r="AL53" i="25"/>
  <c r="AK53" i="25"/>
  <c r="AJ53" i="25"/>
  <c r="AI53" i="25"/>
  <c r="AH53" i="25"/>
  <c r="AG53" i="25"/>
  <c r="AF53" i="25"/>
  <c r="AE53" i="25"/>
  <c r="AD53" i="25"/>
  <c r="AC53" i="25"/>
  <c r="AB53" i="25"/>
  <c r="AA53" i="25"/>
  <c r="Z53" i="25"/>
  <c r="Y53" i="25"/>
  <c r="X53" i="25"/>
  <c r="W53" i="25"/>
  <c r="V53" i="25"/>
  <c r="U53" i="25"/>
  <c r="T53" i="25"/>
  <c r="S53" i="25"/>
  <c r="R53" i="25"/>
  <c r="Q53" i="25"/>
  <c r="P53" i="25"/>
  <c r="O53" i="25"/>
  <c r="N53" i="25"/>
  <c r="M53" i="25"/>
  <c r="L53" i="25"/>
  <c r="K53" i="25"/>
  <c r="J53" i="25"/>
  <c r="H53" i="25"/>
  <c r="G53" i="25"/>
  <c r="C53" i="25"/>
  <c r="D53" i="25" s="1"/>
  <c r="F53" i="25"/>
  <c r="AT52" i="25"/>
  <c r="AS52" i="25"/>
  <c r="AR52" i="25"/>
  <c r="AQ52" i="25"/>
  <c r="AO52" i="25"/>
  <c r="AN52" i="25"/>
  <c r="AM52" i="25"/>
  <c r="AL52" i="25"/>
  <c r="AK52" i="25"/>
  <c r="AJ52" i="25"/>
  <c r="AI52" i="25"/>
  <c r="AH52" i="25"/>
  <c r="AG52" i="25"/>
  <c r="AF52" i="25"/>
  <c r="AE52" i="25"/>
  <c r="AD52" i="25"/>
  <c r="AC52" i="25"/>
  <c r="AB52" i="25"/>
  <c r="AA52" i="25"/>
  <c r="Z52" i="25"/>
  <c r="Y52" i="25"/>
  <c r="X52" i="25"/>
  <c r="W52" i="25"/>
  <c r="V52" i="25"/>
  <c r="U52" i="25"/>
  <c r="T52" i="25"/>
  <c r="S52" i="25"/>
  <c r="R52" i="25"/>
  <c r="Q52" i="25"/>
  <c r="P52" i="25"/>
  <c r="O52" i="25"/>
  <c r="N52" i="25"/>
  <c r="M52" i="25"/>
  <c r="L52" i="25"/>
  <c r="K52" i="25"/>
  <c r="J52" i="25"/>
  <c r="H52" i="25"/>
  <c r="G52" i="25"/>
  <c r="C52" i="25"/>
  <c r="D52" i="25" s="1"/>
  <c r="F52" i="25"/>
  <c r="AT51" i="25"/>
  <c r="AS51" i="25"/>
  <c r="AQ51" i="25"/>
  <c r="AO51" i="25"/>
  <c r="AN51" i="25"/>
  <c r="AM51" i="25"/>
  <c r="AL51" i="25"/>
  <c r="AK51" i="25"/>
  <c r="AJ51" i="25"/>
  <c r="AI51" i="25"/>
  <c r="AH51" i="25"/>
  <c r="AG51" i="25"/>
  <c r="AF51" i="25"/>
  <c r="AE51" i="25"/>
  <c r="AD51" i="25"/>
  <c r="AC51" i="25"/>
  <c r="AB51" i="25"/>
  <c r="AA51" i="25"/>
  <c r="Z51" i="25"/>
  <c r="Y51" i="25"/>
  <c r="X51" i="25"/>
  <c r="W51" i="25"/>
  <c r="V51" i="25"/>
  <c r="U51" i="25"/>
  <c r="T51" i="25"/>
  <c r="S51" i="25"/>
  <c r="R51" i="25"/>
  <c r="Q51" i="25"/>
  <c r="P51" i="25"/>
  <c r="O51" i="25"/>
  <c r="N51" i="25"/>
  <c r="M51" i="25"/>
  <c r="L51" i="25"/>
  <c r="K51" i="25"/>
  <c r="J51" i="25"/>
  <c r="H51" i="25"/>
  <c r="G51" i="25"/>
  <c r="C51" i="25"/>
  <c r="D51" i="25" s="1"/>
  <c r="F51" i="25"/>
  <c r="AT50" i="25"/>
  <c r="AS50" i="25"/>
  <c r="AR50" i="25"/>
  <c r="AQ50" i="25"/>
  <c r="AO50" i="25"/>
  <c r="AN50" i="25"/>
  <c r="AM50" i="25"/>
  <c r="AL50" i="25"/>
  <c r="AK50" i="25"/>
  <c r="AJ50" i="25"/>
  <c r="AI50" i="25"/>
  <c r="AH50" i="25"/>
  <c r="AG50" i="25"/>
  <c r="AF50" i="25"/>
  <c r="AE50" i="25"/>
  <c r="AD50" i="25"/>
  <c r="AC50" i="25"/>
  <c r="AB50" i="25"/>
  <c r="AA50" i="25"/>
  <c r="Z50" i="25"/>
  <c r="Y50" i="25"/>
  <c r="X50" i="25"/>
  <c r="W50" i="25"/>
  <c r="V50" i="25"/>
  <c r="U50" i="25"/>
  <c r="T50" i="25"/>
  <c r="S50" i="25"/>
  <c r="R50" i="25"/>
  <c r="Q50" i="25"/>
  <c r="P50" i="25"/>
  <c r="O50" i="25"/>
  <c r="N50" i="25"/>
  <c r="M50" i="25"/>
  <c r="L50" i="25"/>
  <c r="K50" i="25"/>
  <c r="J50" i="25"/>
  <c r="H50" i="25"/>
  <c r="G50" i="25"/>
  <c r="C50" i="25"/>
  <c r="D50" i="25" s="1"/>
  <c r="F50" i="25"/>
  <c r="AT127" i="25"/>
  <c r="AS127" i="25"/>
  <c r="AQ127" i="25"/>
  <c r="AO127" i="25"/>
  <c r="AN127" i="25"/>
  <c r="AM127" i="25"/>
  <c r="AL127" i="25"/>
  <c r="AK127" i="25"/>
  <c r="AJ127" i="25"/>
  <c r="AI127" i="25"/>
  <c r="AH127" i="25"/>
  <c r="AG127" i="25"/>
  <c r="AF127" i="25"/>
  <c r="AE127" i="25"/>
  <c r="AD127" i="25"/>
  <c r="AC127" i="25"/>
  <c r="AB127" i="25"/>
  <c r="AA127" i="25"/>
  <c r="Z127" i="25"/>
  <c r="Y127" i="25"/>
  <c r="X127" i="25"/>
  <c r="W127" i="25"/>
  <c r="V127" i="25"/>
  <c r="U127" i="25"/>
  <c r="T127" i="25"/>
  <c r="S127" i="25"/>
  <c r="R127" i="25"/>
  <c r="Q127" i="25"/>
  <c r="P127" i="25"/>
  <c r="O127" i="25"/>
  <c r="N127" i="25"/>
  <c r="M127" i="25"/>
  <c r="L127" i="25"/>
  <c r="K127" i="25"/>
  <c r="J127" i="25"/>
  <c r="H127" i="25"/>
  <c r="G127" i="25"/>
  <c r="C127" i="25"/>
  <c r="D127" i="25" s="1"/>
  <c r="F127" i="25"/>
  <c r="AT126" i="25"/>
  <c r="AS126" i="25"/>
  <c r="AR126" i="25"/>
  <c r="AQ126" i="25"/>
  <c r="AO126" i="25"/>
  <c r="AN126" i="25"/>
  <c r="AM126" i="25"/>
  <c r="AL126" i="25"/>
  <c r="AK126" i="25"/>
  <c r="AJ126" i="25"/>
  <c r="AI126" i="25"/>
  <c r="AH126" i="25"/>
  <c r="AG126" i="25"/>
  <c r="AF126" i="25"/>
  <c r="AE126" i="25"/>
  <c r="AD126" i="25"/>
  <c r="AC126" i="25"/>
  <c r="AB126" i="25"/>
  <c r="AA126" i="25"/>
  <c r="Z126" i="25"/>
  <c r="Y126" i="25"/>
  <c r="X126" i="25"/>
  <c r="W126" i="25"/>
  <c r="V126" i="25"/>
  <c r="U126" i="25"/>
  <c r="T126" i="25"/>
  <c r="S126" i="25"/>
  <c r="R126" i="25"/>
  <c r="Q126" i="25"/>
  <c r="P126" i="25"/>
  <c r="O126" i="25"/>
  <c r="N126" i="25"/>
  <c r="M126" i="25"/>
  <c r="L126" i="25"/>
  <c r="K126" i="25"/>
  <c r="J126" i="25"/>
  <c r="H126" i="25"/>
  <c r="G126" i="25"/>
  <c r="C126" i="25"/>
  <c r="D126" i="25" s="1"/>
  <c r="F126" i="25"/>
  <c r="AT10" i="25"/>
  <c r="AS10" i="25"/>
  <c r="AR10" i="25"/>
  <c r="AQ10" i="25"/>
  <c r="AO10" i="25"/>
  <c r="AN10" i="25"/>
  <c r="AM10" i="25"/>
  <c r="AL10" i="25"/>
  <c r="AK10" i="25"/>
  <c r="AJ10" i="25"/>
  <c r="AI10"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H10" i="25"/>
  <c r="G10" i="25"/>
  <c r="C10" i="25"/>
  <c r="D10" i="25" s="1"/>
  <c r="F10" i="25"/>
  <c r="AT9" i="25"/>
  <c r="AS9" i="25"/>
  <c r="AR9" i="25"/>
  <c r="AQ9" i="25"/>
  <c r="AO9" i="25"/>
  <c r="AN9" i="25"/>
  <c r="AM9" i="25"/>
  <c r="AL9" i="25"/>
  <c r="AK9" i="25"/>
  <c r="AJ9" i="25"/>
  <c r="AI9" i="25"/>
  <c r="AH9" i="25"/>
  <c r="AG9" i="25"/>
  <c r="AF9" i="25"/>
  <c r="AE9" i="25"/>
  <c r="AD9" i="25"/>
  <c r="AC9" i="25"/>
  <c r="AB9" i="25"/>
  <c r="AA9" i="25"/>
  <c r="Z9" i="25"/>
  <c r="Y9" i="25"/>
  <c r="X9" i="25"/>
  <c r="W9" i="25"/>
  <c r="V9" i="25"/>
  <c r="U9" i="25"/>
  <c r="T9" i="25"/>
  <c r="S9" i="25"/>
  <c r="R9" i="25"/>
  <c r="Q9" i="25"/>
  <c r="P9" i="25"/>
  <c r="O9" i="25"/>
  <c r="N9" i="25"/>
  <c r="M9" i="25"/>
  <c r="L9" i="25"/>
  <c r="K9" i="25"/>
  <c r="J9" i="25"/>
  <c r="H9" i="25"/>
  <c r="G9" i="25"/>
  <c r="C9" i="25"/>
  <c r="D9" i="25" s="1"/>
  <c r="F9" i="25"/>
  <c r="AT8" i="25"/>
  <c r="AS8" i="25"/>
  <c r="AR8" i="25"/>
  <c r="AQ8" i="25"/>
  <c r="AO8" i="25"/>
  <c r="AN8" i="25"/>
  <c r="AM8" i="25"/>
  <c r="AL8" i="25"/>
  <c r="AK8" i="25"/>
  <c r="AJ8" i="25"/>
  <c r="AI8" i="25"/>
  <c r="AH8" i="25"/>
  <c r="AG8" i="25"/>
  <c r="AF8" i="25"/>
  <c r="AE8" i="25"/>
  <c r="AD8" i="25"/>
  <c r="AC8" i="25"/>
  <c r="AB8" i="25"/>
  <c r="AA8" i="25"/>
  <c r="Z8" i="25"/>
  <c r="Y8" i="25"/>
  <c r="X8" i="25"/>
  <c r="W8" i="25"/>
  <c r="V8" i="25"/>
  <c r="U8" i="25"/>
  <c r="T8" i="25"/>
  <c r="S8" i="25"/>
  <c r="R8" i="25"/>
  <c r="Q8" i="25"/>
  <c r="P8" i="25"/>
  <c r="O8" i="25"/>
  <c r="N8" i="25"/>
  <c r="M8" i="25"/>
  <c r="L8" i="25"/>
  <c r="K8" i="25"/>
  <c r="J8" i="25"/>
  <c r="H8" i="25"/>
  <c r="G8" i="25"/>
  <c r="C8" i="25"/>
  <c r="D8" i="25" s="1"/>
  <c r="F8" i="25"/>
  <c r="AT7" i="25"/>
  <c r="AS7" i="25"/>
  <c r="AR7" i="25"/>
  <c r="AQ7" i="25"/>
  <c r="AO7" i="25"/>
  <c r="AN7" i="25"/>
  <c r="AM7" i="25"/>
  <c r="AL7" i="25"/>
  <c r="AK7" i="25"/>
  <c r="AJ7" i="25"/>
  <c r="AI7" i="25"/>
  <c r="AH7" i="25"/>
  <c r="AG7" i="25"/>
  <c r="AF7" i="25"/>
  <c r="AE7" i="25"/>
  <c r="AD7" i="25"/>
  <c r="AC7" i="25"/>
  <c r="AB7" i="25"/>
  <c r="AA7" i="25"/>
  <c r="Z7" i="25"/>
  <c r="Y7" i="25"/>
  <c r="X7" i="25"/>
  <c r="W7" i="25"/>
  <c r="V7" i="25"/>
  <c r="U7" i="25"/>
  <c r="T7" i="25"/>
  <c r="S7" i="25"/>
  <c r="R7" i="25"/>
  <c r="Q7" i="25"/>
  <c r="P7" i="25"/>
  <c r="O7" i="25"/>
  <c r="N7" i="25"/>
  <c r="M7" i="25"/>
  <c r="L7" i="25"/>
  <c r="K7" i="25"/>
  <c r="J7" i="25"/>
  <c r="H7" i="25"/>
  <c r="G7" i="25"/>
  <c r="C7" i="25"/>
  <c r="D7" i="25" s="1"/>
  <c r="F7" i="25"/>
  <c r="AT6" i="25"/>
  <c r="AS6" i="25"/>
  <c r="AR6" i="25"/>
  <c r="AQ6" i="25"/>
  <c r="AO6" i="25"/>
  <c r="AN6" i="25"/>
  <c r="AM6" i="25"/>
  <c r="AL6" i="25"/>
  <c r="AK6" i="25"/>
  <c r="AJ6" i="25"/>
  <c r="AI6" i="25"/>
  <c r="AH6" i="25"/>
  <c r="AG6" i="25"/>
  <c r="AF6" i="25"/>
  <c r="AE6" i="25"/>
  <c r="AD6" i="25"/>
  <c r="AC6" i="25"/>
  <c r="AB6" i="25"/>
  <c r="AA6" i="25"/>
  <c r="Z6" i="25"/>
  <c r="Y6" i="25"/>
  <c r="X6" i="25"/>
  <c r="W6" i="25"/>
  <c r="V6" i="25"/>
  <c r="U6" i="25"/>
  <c r="T6" i="25"/>
  <c r="S6" i="25"/>
  <c r="R6" i="25"/>
  <c r="Q6" i="25"/>
  <c r="P6" i="25"/>
  <c r="O6" i="25"/>
  <c r="N6" i="25"/>
  <c r="M6" i="25"/>
  <c r="L6" i="25"/>
  <c r="K6" i="25"/>
  <c r="J6" i="25"/>
  <c r="H6" i="25"/>
  <c r="G6" i="25"/>
  <c r="C6" i="25"/>
  <c r="D6" i="25" s="1"/>
  <c r="F6" i="25"/>
  <c r="AT5" i="25"/>
  <c r="AS5" i="25"/>
  <c r="AR5" i="25"/>
  <c r="AQ5" i="25"/>
  <c r="AO5" i="25"/>
  <c r="AN5" i="25"/>
  <c r="AM5" i="25"/>
  <c r="AL5" i="25"/>
  <c r="AK5" i="25"/>
  <c r="AJ5" i="25"/>
  <c r="AI5" i="25"/>
  <c r="AH5" i="25"/>
  <c r="AG5" i="25"/>
  <c r="AF5" i="25"/>
  <c r="AE5" i="25"/>
  <c r="AD5" i="25"/>
  <c r="AC5" i="25"/>
  <c r="AB5" i="25"/>
  <c r="AA5" i="25"/>
  <c r="Z5" i="25"/>
  <c r="Y5" i="25"/>
  <c r="X5" i="25"/>
  <c r="W5" i="25"/>
  <c r="V5" i="25"/>
  <c r="U5" i="25"/>
  <c r="T5" i="25"/>
  <c r="S5" i="25"/>
  <c r="R5" i="25"/>
  <c r="Q5" i="25"/>
  <c r="P5" i="25"/>
  <c r="O5" i="25"/>
  <c r="N5" i="25"/>
  <c r="M5" i="25"/>
  <c r="L5" i="25"/>
  <c r="K5" i="25"/>
  <c r="J5" i="25"/>
  <c r="H5" i="25"/>
  <c r="G5" i="25"/>
  <c r="C5" i="25"/>
  <c r="D5" i="25" s="1"/>
  <c r="F5" i="25"/>
  <c r="AT4" i="25"/>
  <c r="AS4" i="25"/>
  <c r="AR4" i="25"/>
  <c r="AQ4" i="25"/>
  <c r="AO4" i="25"/>
  <c r="AN4" i="25"/>
  <c r="AM4" i="25"/>
  <c r="AL4" i="25"/>
  <c r="AK4" i="25"/>
  <c r="AJ4" i="25"/>
  <c r="AI4" i="25"/>
  <c r="AH4" i="25"/>
  <c r="AG4" i="25"/>
  <c r="AF4" i="25"/>
  <c r="AE4" i="25"/>
  <c r="AD4" i="25"/>
  <c r="AC4" i="25"/>
  <c r="AB4" i="25"/>
  <c r="AA4" i="25"/>
  <c r="Z4" i="25"/>
  <c r="Y4" i="25"/>
  <c r="X4" i="25"/>
  <c r="W4" i="25"/>
  <c r="V4" i="25"/>
  <c r="U4" i="25"/>
  <c r="T4" i="25"/>
  <c r="S4" i="25"/>
  <c r="R4" i="25"/>
  <c r="Q4" i="25"/>
  <c r="P4" i="25"/>
  <c r="O4" i="25"/>
  <c r="N4" i="25"/>
  <c r="M4" i="25"/>
  <c r="L4" i="25"/>
  <c r="K4" i="25"/>
  <c r="J4" i="25"/>
  <c r="H4" i="25"/>
  <c r="G4" i="25"/>
  <c r="C4" i="25"/>
  <c r="D4" i="25" s="1"/>
  <c r="F4" i="25"/>
  <c r="AT3" i="25"/>
  <c r="AS3" i="25"/>
  <c r="AR3" i="25"/>
  <c r="AQ3" i="25"/>
  <c r="AO3" i="25"/>
  <c r="AN3" i="25"/>
  <c r="AM3" i="25"/>
  <c r="AL3" i="25"/>
  <c r="AK3" i="25"/>
  <c r="AJ3" i="25"/>
  <c r="AI3" i="25"/>
  <c r="AH3" i="25"/>
  <c r="AG3" i="25"/>
  <c r="AF3" i="25"/>
  <c r="AE3" i="25"/>
  <c r="AD3" i="25"/>
  <c r="AC3" i="25"/>
  <c r="AB3" i="25"/>
  <c r="AA3" i="25"/>
  <c r="Z3" i="25"/>
  <c r="Y3" i="25"/>
  <c r="X3" i="25"/>
  <c r="W3" i="25"/>
  <c r="V3" i="25"/>
  <c r="U3" i="25"/>
  <c r="T3" i="25"/>
  <c r="S3" i="25"/>
  <c r="R3" i="25"/>
  <c r="Q3" i="25"/>
  <c r="P3" i="25"/>
  <c r="O3" i="25"/>
  <c r="N3" i="25"/>
  <c r="M3" i="25"/>
  <c r="L3" i="25"/>
  <c r="K3" i="25"/>
  <c r="J3" i="25"/>
  <c r="H3" i="25"/>
  <c r="G3" i="25"/>
  <c r="C3" i="25"/>
  <c r="D3" i="25" s="1"/>
  <c r="F3" i="25"/>
  <c r="AT2" i="25"/>
  <c r="AS2" i="25"/>
  <c r="AR2" i="25"/>
  <c r="AQ2" i="25"/>
  <c r="AO2" i="25"/>
  <c r="AN2" i="25"/>
  <c r="AM2" i="25"/>
  <c r="AL2" i="25"/>
  <c r="AK2" i="25"/>
  <c r="AJ2" i="25"/>
  <c r="AI2" i="25"/>
  <c r="AH2" i="25"/>
  <c r="AG2" i="25"/>
  <c r="AF2" i="25"/>
  <c r="AE2" i="25"/>
  <c r="AD2" i="25"/>
  <c r="AC2" i="25"/>
  <c r="AB2" i="25"/>
  <c r="AA2" i="25"/>
  <c r="Z2" i="25"/>
  <c r="Y2" i="25"/>
  <c r="X2" i="25"/>
  <c r="W2" i="25"/>
  <c r="V2" i="25"/>
  <c r="U2" i="25"/>
  <c r="T2" i="25"/>
  <c r="S2" i="25"/>
  <c r="R2" i="25"/>
  <c r="Q2" i="25"/>
  <c r="P2" i="25"/>
  <c r="O2" i="25"/>
  <c r="N2" i="25"/>
  <c r="M2" i="25"/>
  <c r="L2" i="25"/>
  <c r="K2" i="25"/>
  <c r="J2" i="25"/>
  <c r="H2" i="25"/>
  <c r="G2" i="25"/>
  <c r="C2" i="25"/>
  <c r="D2" i="25" s="1"/>
  <c r="F2" i="25"/>
  <c r="AT11" i="25"/>
  <c r="AS11" i="25"/>
  <c r="AR11" i="25"/>
  <c r="AQ11" i="25"/>
  <c r="AO11" i="25"/>
  <c r="AN11" i="25"/>
  <c r="AM11" i="25"/>
  <c r="AL11" i="25"/>
  <c r="AK11" i="25"/>
  <c r="AJ11" i="25"/>
  <c r="AI11" i="25"/>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H11" i="25"/>
  <c r="G11" i="25"/>
  <c r="C11" i="25"/>
  <c r="D11" i="25" s="1"/>
  <c r="F11" i="25"/>
  <c r="AT14" i="25"/>
  <c r="AS14" i="25"/>
  <c r="AR14" i="25"/>
  <c r="AQ14" i="25"/>
  <c r="AO14" i="25"/>
  <c r="AN14" i="25"/>
  <c r="AM14" i="25"/>
  <c r="AL14" i="25"/>
  <c r="AK14" i="25"/>
  <c r="AJ14" i="25"/>
  <c r="AI14" i="25"/>
  <c r="AH14" i="25"/>
  <c r="AG14" i="25"/>
  <c r="AF14" i="25"/>
  <c r="AE14" i="25"/>
  <c r="AD14" i="25"/>
  <c r="AC14" i="25"/>
  <c r="AB14" i="25"/>
  <c r="AA14" i="25"/>
  <c r="Z14" i="25"/>
  <c r="Y14" i="25"/>
  <c r="X14" i="25"/>
  <c r="W14" i="25"/>
  <c r="V14" i="25"/>
  <c r="U14" i="25"/>
  <c r="T14" i="25"/>
  <c r="S14" i="25"/>
  <c r="R14" i="25"/>
  <c r="Q14" i="25"/>
  <c r="P14" i="25"/>
  <c r="O14" i="25"/>
  <c r="N14" i="25"/>
  <c r="M14" i="25"/>
  <c r="L14" i="25"/>
  <c r="K14" i="25"/>
  <c r="J14" i="25"/>
  <c r="H14" i="25"/>
  <c r="G14" i="25"/>
  <c r="C14" i="25"/>
  <c r="D14" i="25" s="1"/>
  <c r="F14" i="25"/>
  <c r="AT13" i="25"/>
  <c r="AS13" i="25"/>
  <c r="AR13" i="25"/>
  <c r="AQ13" i="25"/>
  <c r="AO13" i="25"/>
  <c r="AN13" i="25"/>
  <c r="AM13" i="25"/>
  <c r="AL13" i="25"/>
  <c r="AK13" i="25"/>
  <c r="AJ13" i="25"/>
  <c r="AI13" i="25"/>
  <c r="AH13" i="25"/>
  <c r="AG13" i="25"/>
  <c r="AF13" i="25"/>
  <c r="AE13" i="25"/>
  <c r="AD13" i="25"/>
  <c r="AC13" i="25"/>
  <c r="AB13" i="25"/>
  <c r="AA13" i="25"/>
  <c r="Z13" i="25"/>
  <c r="Y13" i="25"/>
  <c r="X13" i="25"/>
  <c r="W13" i="25"/>
  <c r="V13" i="25"/>
  <c r="U13" i="25"/>
  <c r="T13" i="25"/>
  <c r="S13" i="25"/>
  <c r="R13" i="25"/>
  <c r="Q13" i="25"/>
  <c r="P13" i="25"/>
  <c r="O13" i="25"/>
  <c r="N13" i="25"/>
  <c r="M13" i="25"/>
  <c r="L13" i="25"/>
  <c r="K13" i="25"/>
  <c r="J13" i="25"/>
  <c r="H13" i="25"/>
  <c r="G13" i="25"/>
  <c r="C13" i="25"/>
  <c r="D13" i="25" s="1"/>
  <c r="F13" i="25"/>
  <c r="AT12" i="25"/>
  <c r="AS12" i="25"/>
  <c r="AR12" i="25"/>
  <c r="AQ12" i="25"/>
  <c r="AO12" i="25"/>
  <c r="AN12" i="25"/>
  <c r="AM12" i="25"/>
  <c r="AL12" i="25"/>
  <c r="AK12" i="25"/>
  <c r="AJ12" i="25"/>
  <c r="AI12" i="25"/>
  <c r="AH12" i="25"/>
  <c r="AG12" i="25"/>
  <c r="AF12" i="25"/>
  <c r="AE12" i="25"/>
  <c r="AD12" i="25"/>
  <c r="AC12" i="25"/>
  <c r="AB12" i="25"/>
  <c r="AA12" i="25"/>
  <c r="Z12" i="25"/>
  <c r="Y12" i="25"/>
  <c r="X12" i="25"/>
  <c r="W12" i="25"/>
  <c r="V12" i="25"/>
  <c r="U12" i="25"/>
  <c r="T12" i="25"/>
  <c r="S12" i="25"/>
  <c r="R12" i="25"/>
  <c r="Q12" i="25"/>
  <c r="P12" i="25"/>
  <c r="O12" i="25"/>
  <c r="N12" i="25"/>
  <c r="M12" i="25"/>
  <c r="L12" i="25"/>
  <c r="K12" i="25"/>
  <c r="J12" i="25"/>
  <c r="H12" i="25"/>
  <c r="G12" i="25"/>
  <c r="C12" i="25"/>
  <c r="D12" i="25" s="1"/>
  <c r="F12" i="25"/>
  <c r="AT15" i="25"/>
  <c r="AS15" i="25"/>
  <c r="AR15" i="25"/>
  <c r="AQ15" i="25"/>
  <c r="AO15" i="25"/>
  <c r="AN15" i="25"/>
  <c r="AM15" i="25"/>
  <c r="AL15" i="25"/>
  <c r="AK15" i="25"/>
  <c r="AJ15" i="25"/>
  <c r="AI15" i="25"/>
  <c r="AH15" i="25"/>
  <c r="AG15" i="25"/>
  <c r="AF15" i="25"/>
  <c r="AE15" i="25"/>
  <c r="AD15" i="25"/>
  <c r="AC15" i="25"/>
  <c r="AB15" i="25"/>
  <c r="AA15" i="25"/>
  <c r="Z15" i="25"/>
  <c r="Y15" i="25"/>
  <c r="X15" i="25"/>
  <c r="W15" i="25"/>
  <c r="V15" i="25"/>
  <c r="U15" i="25"/>
  <c r="T15" i="25"/>
  <c r="S15" i="25"/>
  <c r="R15" i="25"/>
  <c r="Q15" i="25"/>
  <c r="P15" i="25"/>
  <c r="O15" i="25"/>
  <c r="N15" i="25"/>
  <c r="M15" i="25"/>
  <c r="L15" i="25"/>
  <c r="K15" i="25"/>
  <c r="J15" i="25"/>
  <c r="H15" i="25"/>
  <c r="G15" i="25"/>
  <c r="C15" i="25"/>
  <c r="D15" i="25" s="1"/>
  <c r="F15" i="25"/>
  <c r="AT20" i="25"/>
  <c r="AS20" i="25"/>
  <c r="AR20" i="25"/>
  <c r="AQ20" i="25"/>
  <c r="AO20" i="25"/>
  <c r="AN20" i="25"/>
  <c r="AM20" i="25"/>
  <c r="AL20" i="25"/>
  <c r="AK20" i="25"/>
  <c r="AJ20" i="25"/>
  <c r="AI20" i="25"/>
  <c r="AH20" i="25"/>
  <c r="AG20" i="25"/>
  <c r="AF20" i="25"/>
  <c r="AE20" i="25"/>
  <c r="AD20" i="25"/>
  <c r="AC20" i="25"/>
  <c r="AB20" i="25"/>
  <c r="AA20" i="25"/>
  <c r="Z20" i="25"/>
  <c r="Y20" i="25"/>
  <c r="X20" i="25"/>
  <c r="W20" i="25"/>
  <c r="V20" i="25"/>
  <c r="U20" i="25"/>
  <c r="T20" i="25"/>
  <c r="S20" i="25"/>
  <c r="R20" i="25"/>
  <c r="Q20" i="25"/>
  <c r="P20" i="25"/>
  <c r="O20" i="25"/>
  <c r="N20" i="25"/>
  <c r="M20" i="25"/>
  <c r="L20" i="25"/>
  <c r="K20" i="25"/>
  <c r="J20" i="25"/>
  <c r="H20" i="25"/>
  <c r="G20" i="25"/>
  <c r="C20" i="25"/>
  <c r="D20" i="25" s="1"/>
  <c r="F20" i="25"/>
  <c r="AT19" i="25"/>
  <c r="AS19" i="25"/>
  <c r="AR19" i="25"/>
  <c r="AQ19" i="25"/>
  <c r="AO19" i="25"/>
  <c r="AN19" i="25"/>
  <c r="AM19" i="25"/>
  <c r="AL19" i="25"/>
  <c r="AK19" i="25"/>
  <c r="AJ19" i="25"/>
  <c r="AI19" i="25"/>
  <c r="AH19" i="25"/>
  <c r="AG19" i="25"/>
  <c r="AF19" i="25"/>
  <c r="AE19" i="25"/>
  <c r="AD19" i="25"/>
  <c r="AC19" i="25"/>
  <c r="AB19" i="25"/>
  <c r="AA19" i="25"/>
  <c r="Z19" i="25"/>
  <c r="Y19" i="25"/>
  <c r="X19" i="25"/>
  <c r="W19" i="25"/>
  <c r="V19" i="25"/>
  <c r="U19" i="25"/>
  <c r="T19" i="25"/>
  <c r="S19" i="25"/>
  <c r="R19" i="25"/>
  <c r="Q19" i="25"/>
  <c r="P19" i="25"/>
  <c r="O19" i="25"/>
  <c r="N19" i="25"/>
  <c r="M19" i="25"/>
  <c r="L19" i="25"/>
  <c r="K19" i="25"/>
  <c r="J19" i="25"/>
  <c r="H19" i="25"/>
  <c r="G19" i="25"/>
  <c r="C19" i="25"/>
  <c r="D19" i="25" s="1"/>
  <c r="F19" i="25"/>
  <c r="AT18" i="25"/>
  <c r="AS18" i="25"/>
  <c r="AR18" i="25"/>
  <c r="AQ18" i="25"/>
  <c r="AO18" i="25"/>
  <c r="AN18" i="25"/>
  <c r="AM18" i="25"/>
  <c r="AL18" i="25"/>
  <c r="AK18" i="25"/>
  <c r="AJ18" i="25"/>
  <c r="AI18" i="25"/>
  <c r="AH18" i="25"/>
  <c r="AG18" i="25"/>
  <c r="AF18" i="25"/>
  <c r="AE18" i="25"/>
  <c r="AD18" i="25"/>
  <c r="AC18" i="25"/>
  <c r="AB18" i="25"/>
  <c r="AA18" i="25"/>
  <c r="Z18" i="25"/>
  <c r="Y18" i="25"/>
  <c r="X18" i="25"/>
  <c r="W18" i="25"/>
  <c r="V18" i="25"/>
  <c r="U18" i="25"/>
  <c r="T18" i="25"/>
  <c r="S18" i="25"/>
  <c r="R18" i="25"/>
  <c r="Q18" i="25"/>
  <c r="P18" i="25"/>
  <c r="O18" i="25"/>
  <c r="N18" i="25"/>
  <c r="M18" i="25"/>
  <c r="L18" i="25"/>
  <c r="K18" i="25"/>
  <c r="J18" i="25"/>
  <c r="H18" i="25"/>
  <c r="G18" i="25"/>
  <c r="C18" i="25"/>
  <c r="D18" i="25" s="1"/>
  <c r="F18" i="25"/>
  <c r="AT17" i="25"/>
  <c r="AS17" i="25"/>
  <c r="AR17" i="25"/>
  <c r="AQ17" i="25"/>
  <c r="AO17" i="25"/>
  <c r="AN17" i="25"/>
  <c r="AM17" i="25"/>
  <c r="AL17" i="25"/>
  <c r="AK17" i="25"/>
  <c r="AJ17" i="25"/>
  <c r="AI17" i="25"/>
  <c r="AH17" i="25"/>
  <c r="AG17" i="25"/>
  <c r="AF17" i="25"/>
  <c r="AE17" i="25"/>
  <c r="AD17" i="25"/>
  <c r="AC17" i="25"/>
  <c r="AB17" i="25"/>
  <c r="AA17" i="25"/>
  <c r="Z17" i="25"/>
  <c r="Y17" i="25"/>
  <c r="X17" i="25"/>
  <c r="W17" i="25"/>
  <c r="V17" i="25"/>
  <c r="U17" i="25"/>
  <c r="T17" i="25"/>
  <c r="S17" i="25"/>
  <c r="R17" i="25"/>
  <c r="Q17" i="25"/>
  <c r="P17" i="25"/>
  <c r="O17" i="25"/>
  <c r="N17" i="25"/>
  <c r="M17" i="25"/>
  <c r="L17" i="25"/>
  <c r="K17" i="25"/>
  <c r="J17" i="25"/>
  <c r="H17" i="25"/>
  <c r="G17" i="25"/>
  <c r="C17" i="25"/>
  <c r="D17" i="25" s="1"/>
  <c r="F17" i="25"/>
  <c r="AT16" i="25"/>
  <c r="AS16" i="25"/>
  <c r="AR16" i="25"/>
  <c r="AQ16" i="25"/>
  <c r="AO16" i="25"/>
  <c r="AN16" i="25"/>
  <c r="AM16" i="25"/>
  <c r="AL16" i="25"/>
  <c r="AK16" i="25"/>
  <c r="AJ16" i="25"/>
  <c r="AI16" i="25"/>
  <c r="AH16" i="25"/>
  <c r="AG16" i="25"/>
  <c r="AF16" i="25"/>
  <c r="AE16" i="25"/>
  <c r="AD16" i="25"/>
  <c r="AC16" i="25"/>
  <c r="AB16" i="25"/>
  <c r="AA16" i="25"/>
  <c r="Z16" i="25"/>
  <c r="Y16" i="25"/>
  <c r="X16" i="25"/>
  <c r="W16" i="25"/>
  <c r="V16" i="25"/>
  <c r="U16" i="25"/>
  <c r="T16" i="25"/>
  <c r="S16" i="25"/>
  <c r="R16" i="25"/>
  <c r="Q16" i="25"/>
  <c r="P16" i="25"/>
  <c r="O16" i="25"/>
  <c r="N16" i="25"/>
  <c r="M16" i="25"/>
  <c r="L16" i="25"/>
  <c r="K16" i="25"/>
  <c r="J16" i="25"/>
  <c r="H16" i="25"/>
  <c r="G16" i="25"/>
  <c r="C16" i="25"/>
  <c r="D16" i="25" s="1"/>
  <c r="F16" i="25"/>
  <c r="AT25" i="25"/>
  <c r="AS25" i="25"/>
  <c r="AR25" i="25"/>
  <c r="AQ25" i="25"/>
  <c r="AO25" i="25"/>
  <c r="AN25" i="25"/>
  <c r="AM25" i="25"/>
  <c r="AL25" i="25"/>
  <c r="AK25" i="25"/>
  <c r="AJ25" i="25"/>
  <c r="AI25" i="25"/>
  <c r="AH25" i="25"/>
  <c r="AG25" i="25"/>
  <c r="AF25" i="25"/>
  <c r="AE25" i="25"/>
  <c r="AD25" i="25"/>
  <c r="AC25" i="25"/>
  <c r="AB25" i="25"/>
  <c r="AA25" i="25"/>
  <c r="Z25" i="25"/>
  <c r="Y25" i="25"/>
  <c r="X25" i="25"/>
  <c r="W25" i="25"/>
  <c r="V25" i="25"/>
  <c r="U25" i="25"/>
  <c r="T25" i="25"/>
  <c r="S25" i="25"/>
  <c r="R25" i="25"/>
  <c r="Q25" i="25"/>
  <c r="P25" i="25"/>
  <c r="O25" i="25"/>
  <c r="N25" i="25"/>
  <c r="M25" i="25"/>
  <c r="L25" i="25"/>
  <c r="K25" i="25"/>
  <c r="J25" i="25"/>
  <c r="H25" i="25"/>
  <c r="G25" i="25"/>
  <c r="C25" i="25"/>
  <c r="D25" i="25" s="1"/>
  <c r="F25" i="25"/>
  <c r="AT24" i="25"/>
  <c r="AS24" i="25"/>
  <c r="AR24" i="25"/>
  <c r="AQ24" i="25"/>
  <c r="AO24" i="25"/>
  <c r="AN24" i="25"/>
  <c r="AM24" i="25"/>
  <c r="AL24" i="25"/>
  <c r="AK24" i="25"/>
  <c r="AJ24" i="25"/>
  <c r="AI24" i="25"/>
  <c r="AH24" i="25"/>
  <c r="AG24" i="25"/>
  <c r="AF24" i="25"/>
  <c r="AE24" i="25"/>
  <c r="AD24" i="25"/>
  <c r="AC24" i="25"/>
  <c r="AB24" i="25"/>
  <c r="AA24" i="25"/>
  <c r="Z24" i="25"/>
  <c r="Y24" i="25"/>
  <c r="X24" i="25"/>
  <c r="W24" i="25"/>
  <c r="V24" i="25"/>
  <c r="U24" i="25"/>
  <c r="T24" i="25"/>
  <c r="S24" i="25"/>
  <c r="R24" i="25"/>
  <c r="Q24" i="25"/>
  <c r="P24" i="25"/>
  <c r="O24" i="25"/>
  <c r="N24" i="25"/>
  <c r="M24" i="25"/>
  <c r="L24" i="25"/>
  <c r="K24" i="25"/>
  <c r="J24" i="25"/>
  <c r="H24" i="25"/>
  <c r="G24" i="25"/>
  <c r="C24" i="25"/>
  <c r="D24" i="25" s="1"/>
  <c r="F24" i="25"/>
  <c r="AT23" i="25"/>
  <c r="AS23" i="25"/>
  <c r="AR23" i="25"/>
  <c r="AQ23" i="25"/>
  <c r="AO23" i="25"/>
  <c r="AN23" i="25"/>
  <c r="AM23" i="25"/>
  <c r="AL23" i="25"/>
  <c r="AK23" i="25"/>
  <c r="AJ23" i="25"/>
  <c r="AI23" i="25"/>
  <c r="AH23" i="25"/>
  <c r="AG23" i="25"/>
  <c r="AF23" i="25"/>
  <c r="AE23" i="25"/>
  <c r="AD23" i="25"/>
  <c r="AC23" i="25"/>
  <c r="AB23" i="25"/>
  <c r="AA23" i="25"/>
  <c r="Z23" i="25"/>
  <c r="Y23" i="25"/>
  <c r="X23" i="25"/>
  <c r="W23" i="25"/>
  <c r="V23" i="25"/>
  <c r="U23" i="25"/>
  <c r="T23" i="25"/>
  <c r="S23" i="25"/>
  <c r="R23" i="25"/>
  <c r="Q23" i="25"/>
  <c r="P23" i="25"/>
  <c r="O23" i="25"/>
  <c r="N23" i="25"/>
  <c r="M23" i="25"/>
  <c r="L23" i="25"/>
  <c r="K23" i="25"/>
  <c r="J23" i="25"/>
  <c r="H23" i="25"/>
  <c r="G23" i="25"/>
  <c r="C23" i="25"/>
  <c r="D23" i="25" s="1"/>
  <c r="F23" i="25"/>
  <c r="AT22" i="25"/>
  <c r="AS22" i="25"/>
  <c r="AR22" i="25"/>
  <c r="AQ22" i="25"/>
  <c r="AO22" i="25"/>
  <c r="AN22" i="25"/>
  <c r="AM22" i="25"/>
  <c r="AL22" i="25"/>
  <c r="AK22" i="25"/>
  <c r="AJ22" i="25"/>
  <c r="AI22" i="25"/>
  <c r="AH22" i="25"/>
  <c r="AG22" i="25"/>
  <c r="AF22" i="25"/>
  <c r="AE22" i="25"/>
  <c r="AD22" i="25"/>
  <c r="AC22" i="25"/>
  <c r="AB22" i="25"/>
  <c r="AA22" i="25"/>
  <c r="Z22" i="25"/>
  <c r="Y22" i="25"/>
  <c r="X22" i="25"/>
  <c r="W22" i="25"/>
  <c r="V22" i="25"/>
  <c r="U22" i="25"/>
  <c r="T22" i="25"/>
  <c r="S22" i="25"/>
  <c r="R22" i="25"/>
  <c r="Q22" i="25"/>
  <c r="P22" i="25"/>
  <c r="O22" i="25"/>
  <c r="N22" i="25"/>
  <c r="M22" i="25"/>
  <c r="L22" i="25"/>
  <c r="K22" i="25"/>
  <c r="J22" i="25"/>
  <c r="H22" i="25"/>
  <c r="G22" i="25"/>
  <c r="C22" i="25"/>
  <c r="D22" i="25" s="1"/>
  <c r="F22" i="25"/>
  <c r="AT21" i="25"/>
  <c r="AS21" i="25"/>
  <c r="AR21" i="25"/>
  <c r="AQ21" i="25"/>
  <c r="AO21" i="25"/>
  <c r="AN21" i="25"/>
  <c r="AM21" i="25"/>
  <c r="AL21" i="25"/>
  <c r="AK21" i="25"/>
  <c r="AJ21" i="25"/>
  <c r="AI21" i="25"/>
  <c r="AH21" i="25"/>
  <c r="AG21" i="25"/>
  <c r="AF21" i="25"/>
  <c r="AE21" i="25"/>
  <c r="AD21" i="25"/>
  <c r="AC21" i="25"/>
  <c r="AB21" i="25"/>
  <c r="AA21" i="25"/>
  <c r="Z21" i="25"/>
  <c r="Y21" i="25"/>
  <c r="X21" i="25"/>
  <c r="W21" i="25"/>
  <c r="V21" i="25"/>
  <c r="U21" i="25"/>
  <c r="T21" i="25"/>
  <c r="S21" i="25"/>
  <c r="R21" i="25"/>
  <c r="Q21" i="25"/>
  <c r="P21" i="25"/>
  <c r="O21" i="25"/>
  <c r="N21" i="25"/>
  <c r="M21" i="25"/>
  <c r="L21" i="25"/>
  <c r="K21" i="25"/>
  <c r="J21" i="25"/>
  <c r="H21" i="25"/>
  <c r="G21" i="25"/>
  <c r="C21" i="25"/>
  <c r="D21" i="25" s="1"/>
  <c r="F21" i="25"/>
  <c r="AT40" i="25"/>
  <c r="AS40" i="25"/>
  <c r="AR40" i="25"/>
  <c r="AQ40" i="25"/>
  <c r="AO40" i="25"/>
  <c r="AN40" i="25"/>
  <c r="AM40" i="25"/>
  <c r="AL40" i="25"/>
  <c r="AK40" i="25"/>
  <c r="AJ40" i="25"/>
  <c r="AI40" i="25"/>
  <c r="AH40" i="25"/>
  <c r="AG40" i="25"/>
  <c r="AF40" i="25"/>
  <c r="AE40" i="25"/>
  <c r="AD40" i="25"/>
  <c r="AC40" i="25"/>
  <c r="AB40" i="25"/>
  <c r="AA40" i="25"/>
  <c r="Z40" i="25"/>
  <c r="Y40" i="25"/>
  <c r="X40" i="25"/>
  <c r="W40" i="25"/>
  <c r="V40" i="25"/>
  <c r="U40" i="25"/>
  <c r="T40" i="25"/>
  <c r="S40" i="25"/>
  <c r="R40" i="25"/>
  <c r="Q40" i="25"/>
  <c r="P40" i="25"/>
  <c r="O40" i="25"/>
  <c r="N40" i="25"/>
  <c r="M40" i="25"/>
  <c r="L40" i="25"/>
  <c r="K40" i="25"/>
  <c r="J40" i="25"/>
  <c r="H40" i="25"/>
  <c r="G40" i="25"/>
  <c r="C40" i="25"/>
  <c r="D40" i="25" s="1"/>
  <c r="F40" i="25"/>
  <c r="AT39" i="25"/>
  <c r="AS39" i="25"/>
  <c r="AR39" i="25"/>
  <c r="AQ39" i="25"/>
  <c r="AO39" i="25"/>
  <c r="AN39" i="25"/>
  <c r="AM39" i="25"/>
  <c r="AL39" i="25"/>
  <c r="AK39" i="25"/>
  <c r="AJ39" i="25"/>
  <c r="AI39" i="25"/>
  <c r="AH39" i="25"/>
  <c r="AG39" i="25"/>
  <c r="AF39" i="25"/>
  <c r="AE39" i="25"/>
  <c r="AD39" i="25"/>
  <c r="AC39" i="25"/>
  <c r="AB39" i="25"/>
  <c r="AA39" i="25"/>
  <c r="Z39" i="25"/>
  <c r="Y39" i="25"/>
  <c r="X39" i="25"/>
  <c r="W39" i="25"/>
  <c r="V39" i="25"/>
  <c r="U39" i="25"/>
  <c r="T39" i="25"/>
  <c r="S39" i="25"/>
  <c r="R39" i="25"/>
  <c r="Q39" i="25"/>
  <c r="P39" i="25"/>
  <c r="O39" i="25"/>
  <c r="N39" i="25"/>
  <c r="M39" i="25"/>
  <c r="L39" i="25"/>
  <c r="K39" i="25"/>
  <c r="J39" i="25"/>
  <c r="H39" i="25"/>
  <c r="G39" i="25"/>
  <c r="C39" i="25"/>
  <c r="D39" i="25" s="1"/>
  <c r="F39" i="25"/>
  <c r="AT38" i="25"/>
  <c r="AS38" i="25"/>
  <c r="AR38" i="25"/>
  <c r="AQ38" i="25"/>
  <c r="AO38" i="25"/>
  <c r="AN38" i="25"/>
  <c r="AM38" i="25"/>
  <c r="AL38" i="25"/>
  <c r="AK38" i="25"/>
  <c r="AJ38" i="25"/>
  <c r="AI38" i="25"/>
  <c r="AH38" i="25"/>
  <c r="AG38" i="25"/>
  <c r="AF38" i="25"/>
  <c r="AE38" i="25"/>
  <c r="AD38" i="25"/>
  <c r="AC38" i="25"/>
  <c r="AB38" i="25"/>
  <c r="AA38" i="25"/>
  <c r="Z38" i="25"/>
  <c r="Y38" i="25"/>
  <c r="X38" i="25"/>
  <c r="W38" i="25"/>
  <c r="V38" i="25"/>
  <c r="U38" i="25"/>
  <c r="T38" i="25"/>
  <c r="S38" i="25"/>
  <c r="R38" i="25"/>
  <c r="Q38" i="25"/>
  <c r="P38" i="25"/>
  <c r="O38" i="25"/>
  <c r="N38" i="25"/>
  <c r="M38" i="25"/>
  <c r="L38" i="25"/>
  <c r="K38" i="25"/>
  <c r="J38" i="25"/>
  <c r="H38" i="25"/>
  <c r="G38" i="25"/>
  <c r="C38" i="25"/>
  <c r="D38" i="25" s="1"/>
  <c r="F38" i="25"/>
  <c r="AT37" i="25"/>
  <c r="AS37" i="25"/>
  <c r="AR37" i="25"/>
  <c r="AQ37" i="25"/>
  <c r="AO37" i="25"/>
  <c r="AN37" i="25"/>
  <c r="AM37" i="25"/>
  <c r="AL37" i="25"/>
  <c r="AK37" i="25"/>
  <c r="AJ37" i="25"/>
  <c r="AI37" i="25"/>
  <c r="AH37" i="25"/>
  <c r="AG37" i="25"/>
  <c r="AF37" i="25"/>
  <c r="AE37" i="25"/>
  <c r="AD37" i="25"/>
  <c r="AC37" i="25"/>
  <c r="AB37" i="25"/>
  <c r="AA37" i="25"/>
  <c r="Z37" i="25"/>
  <c r="Y37" i="25"/>
  <c r="X37" i="25"/>
  <c r="W37" i="25"/>
  <c r="V37" i="25"/>
  <c r="U37" i="25"/>
  <c r="T37" i="25"/>
  <c r="S37" i="25"/>
  <c r="R37" i="25"/>
  <c r="Q37" i="25"/>
  <c r="P37" i="25"/>
  <c r="O37" i="25"/>
  <c r="N37" i="25"/>
  <c r="M37" i="25"/>
  <c r="L37" i="25"/>
  <c r="K37" i="25"/>
  <c r="J37" i="25"/>
  <c r="H37" i="25"/>
  <c r="G37" i="25"/>
  <c r="C37" i="25"/>
  <c r="D37" i="25" s="1"/>
  <c r="F37" i="25"/>
  <c r="AT36" i="25"/>
  <c r="AS36" i="25"/>
  <c r="AR36" i="25"/>
  <c r="AQ36" i="25"/>
  <c r="AO36" i="25"/>
  <c r="AN36" i="25"/>
  <c r="AM36" i="25"/>
  <c r="AL36" i="25"/>
  <c r="AK36" i="25"/>
  <c r="AJ36" i="25"/>
  <c r="AI36" i="25"/>
  <c r="AH36" i="25"/>
  <c r="AG36" i="25"/>
  <c r="AF36" i="25"/>
  <c r="AE36" i="25"/>
  <c r="AD36" i="25"/>
  <c r="AC36" i="25"/>
  <c r="AB36" i="25"/>
  <c r="AA36" i="25"/>
  <c r="Z36" i="25"/>
  <c r="Y36" i="25"/>
  <c r="X36" i="25"/>
  <c r="W36" i="25"/>
  <c r="V36" i="25"/>
  <c r="U36" i="25"/>
  <c r="T36" i="25"/>
  <c r="S36" i="25"/>
  <c r="R36" i="25"/>
  <c r="Q36" i="25"/>
  <c r="P36" i="25"/>
  <c r="O36" i="25"/>
  <c r="N36" i="25"/>
  <c r="M36" i="25"/>
  <c r="L36" i="25"/>
  <c r="K36" i="25"/>
  <c r="J36" i="25"/>
  <c r="H36" i="25"/>
  <c r="G36" i="25"/>
  <c r="C36" i="25"/>
  <c r="D36" i="25" s="1"/>
  <c r="F36" i="25"/>
  <c r="AT35" i="25"/>
  <c r="AS35" i="25"/>
  <c r="AR35" i="25"/>
  <c r="AQ35" i="25"/>
  <c r="AO35" i="25"/>
  <c r="AN35" i="25"/>
  <c r="AM35" i="25"/>
  <c r="AL35" i="25"/>
  <c r="AK35" i="25"/>
  <c r="AJ35" i="25"/>
  <c r="AI35" i="25"/>
  <c r="AH35" i="25"/>
  <c r="AG35" i="25"/>
  <c r="AF35" i="25"/>
  <c r="AE35" i="25"/>
  <c r="AD35" i="25"/>
  <c r="AC35" i="25"/>
  <c r="AB35" i="25"/>
  <c r="AA35" i="25"/>
  <c r="Z35" i="25"/>
  <c r="Y35" i="25"/>
  <c r="X35" i="25"/>
  <c r="W35" i="25"/>
  <c r="V35" i="25"/>
  <c r="U35" i="25"/>
  <c r="T35" i="25"/>
  <c r="S35" i="25"/>
  <c r="R35" i="25"/>
  <c r="Q35" i="25"/>
  <c r="P35" i="25"/>
  <c r="O35" i="25"/>
  <c r="N35" i="25"/>
  <c r="M35" i="25"/>
  <c r="L35" i="25"/>
  <c r="K35" i="25"/>
  <c r="J35" i="25"/>
  <c r="H35" i="25"/>
  <c r="G35" i="25"/>
  <c r="C35" i="25"/>
  <c r="D35" i="25" s="1"/>
  <c r="F35" i="25"/>
  <c r="AT34" i="25"/>
  <c r="AS34" i="25"/>
  <c r="AR34" i="25"/>
  <c r="AQ34" i="25"/>
  <c r="AO34" i="25"/>
  <c r="AN34" i="25"/>
  <c r="AM34" i="25"/>
  <c r="AL34" i="25"/>
  <c r="AK34" i="25"/>
  <c r="AJ34" i="25"/>
  <c r="AI34" i="25"/>
  <c r="AH34" i="25"/>
  <c r="AG34" i="25"/>
  <c r="AF34" i="25"/>
  <c r="AE34" i="25"/>
  <c r="AD34" i="25"/>
  <c r="AC34" i="25"/>
  <c r="AB34" i="25"/>
  <c r="AA34" i="25"/>
  <c r="Z34" i="25"/>
  <c r="Y34" i="25"/>
  <c r="X34" i="25"/>
  <c r="W34" i="25"/>
  <c r="V34" i="25"/>
  <c r="U34" i="25"/>
  <c r="T34" i="25"/>
  <c r="S34" i="25"/>
  <c r="R34" i="25"/>
  <c r="Q34" i="25"/>
  <c r="P34" i="25"/>
  <c r="O34" i="25"/>
  <c r="N34" i="25"/>
  <c r="M34" i="25"/>
  <c r="L34" i="25"/>
  <c r="K34" i="25"/>
  <c r="J34" i="25"/>
  <c r="H34" i="25"/>
  <c r="G34" i="25"/>
  <c r="C34" i="25"/>
  <c r="D34" i="25" s="1"/>
  <c r="F34" i="25"/>
  <c r="AT33" i="25"/>
  <c r="AS33" i="25"/>
  <c r="AR33" i="25"/>
  <c r="AQ33" i="25"/>
  <c r="AO33" i="25"/>
  <c r="AN33" i="25"/>
  <c r="AM33" i="25"/>
  <c r="AL33" i="25"/>
  <c r="AK33" i="25"/>
  <c r="AJ33" i="25"/>
  <c r="AI33" i="25"/>
  <c r="AH33" i="25"/>
  <c r="AG33" i="25"/>
  <c r="AF33" i="25"/>
  <c r="AE33" i="25"/>
  <c r="AD33" i="25"/>
  <c r="AC33" i="25"/>
  <c r="AB33" i="25"/>
  <c r="AA33" i="25"/>
  <c r="Z33" i="25"/>
  <c r="Y33" i="25"/>
  <c r="X33" i="25"/>
  <c r="W33" i="25"/>
  <c r="V33" i="25"/>
  <c r="U33" i="25"/>
  <c r="T33" i="25"/>
  <c r="S33" i="25"/>
  <c r="R33" i="25"/>
  <c r="Q33" i="25"/>
  <c r="P33" i="25"/>
  <c r="O33" i="25"/>
  <c r="N33" i="25"/>
  <c r="M33" i="25"/>
  <c r="L33" i="25"/>
  <c r="K33" i="25"/>
  <c r="J33" i="25"/>
  <c r="H33" i="25"/>
  <c r="G33" i="25"/>
  <c r="C33" i="25"/>
  <c r="D33" i="25" s="1"/>
  <c r="F33" i="25"/>
  <c r="AT32" i="25"/>
  <c r="AS32" i="25"/>
  <c r="AR32" i="25"/>
  <c r="AQ32" i="25"/>
  <c r="AO32" i="25"/>
  <c r="AN32" i="25"/>
  <c r="AM32" i="25"/>
  <c r="AL32" i="25"/>
  <c r="AK32" i="25"/>
  <c r="AJ32" i="25"/>
  <c r="AI32" i="25"/>
  <c r="AH32" i="25"/>
  <c r="AG32" i="25"/>
  <c r="AF32" i="25"/>
  <c r="AE32" i="25"/>
  <c r="AD32" i="25"/>
  <c r="AC32" i="25"/>
  <c r="AB32" i="25"/>
  <c r="AA32" i="25"/>
  <c r="Z32" i="25"/>
  <c r="Y32" i="25"/>
  <c r="X32" i="25"/>
  <c r="W32" i="25"/>
  <c r="V32" i="25"/>
  <c r="U32" i="25"/>
  <c r="T32" i="25"/>
  <c r="S32" i="25"/>
  <c r="R32" i="25"/>
  <c r="Q32" i="25"/>
  <c r="P32" i="25"/>
  <c r="O32" i="25"/>
  <c r="N32" i="25"/>
  <c r="M32" i="25"/>
  <c r="L32" i="25"/>
  <c r="K32" i="25"/>
  <c r="J32" i="25"/>
  <c r="H32" i="25"/>
  <c r="G32" i="25"/>
  <c r="C32" i="25"/>
  <c r="D32" i="25" s="1"/>
  <c r="F32" i="25"/>
  <c r="AT31" i="25"/>
  <c r="AS31" i="25"/>
  <c r="AR31" i="25"/>
  <c r="AQ31" i="25"/>
  <c r="AO31" i="25"/>
  <c r="AN31" i="25"/>
  <c r="AM31" i="25"/>
  <c r="AL31" i="25"/>
  <c r="AK31" i="25"/>
  <c r="AJ31" i="25"/>
  <c r="AI31" i="25"/>
  <c r="AH31" i="25"/>
  <c r="AG31" i="25"/>
  <c r="AF31" i="25"/>
  <c r="AE31" i="25"/>
  <c r="AD31" i="25"/>
  <c r="AC31" i="25"/>
  <c r="AB31" i="25"/>
  <c r="AA31" i="25"/>
  <c r="Z31" i="25"/>
  <c r="Y31" i="25"/>
  <c r="X31" i="25"/>
  <c r="W31" i="25"/>
  <c r="V31" i="25"/>
  <c r="U31" i="25"/>
  <c r="T31" i="25"/>
  <c r="S31" i="25"/>
  <c r="R31" i="25"/>
  <c r="Q31" i="25"/>
  <c r="P31" i="25"/>
  <c r="O31" i="25"/>
  <c r="N31" i="25"/>
  <c r="M31" i="25"/>
  <c r="L31" i="25"/>
  <c r="K31" i="25"/>
  <c r="J31" i="25"/>
  <c r="H31" i="25"/>
  <c r="G31" i="25"/>
  <c r="C31" i="25"/>
  <c r="D31" i="25" s="1"/>
  <c r="F31" i="25"/>
  <c r="AT30" i="25"/>
  <c r="AS30" i="25"/>
  <c r="AR30" i="25"/>
  <c r="AQ30" i="25"/>
  <c r="AO30" i="25"/>
  <c r="AN30" i="25"/>
  <c r="AM30" i="25"/>
  <c r="AL30" i="25"/>
  <c r="AK30" i="25"/>
  <c r="AJ30" i="25"/>
  <c r="AI30" i="25"/>
  <c r="AH30" i="25"/>
  <c r="AG30" i="25"/>
  <c r="AF30" i="25"/>
  <c r="AE30" i="25"/>
  <c r="AD30" i="25"/>
  <c r="AC30" i="25"/>
  <c r="AB30" i="25"/>
  <c r="AA30" i="25"/>
  <c r="Z30" i="25"/>
  <c r="Y30" i="25"/>
  <c r="X30" i="25"/>
  <c r="W30" i="25"/>
  <c r="V30" i="25"/>
  <c r="U30" i="25"/>
  <c r="T30" i="25"/>
  <c r="S30" i="25"/>
  <c r="R30" i="25"/>
  <c r="Q30" i="25"/>
  <c r="P30" i="25"/>
  <c r="O30" i="25"/>
  <c r="N30" i="25"/>
  <c r="M30" i="25"/>
  <c r="L30" i="25"/>
  <c r="K30" i="25"/>
  <c r="J30" i="25"/>
  <c r="H30" i="25"/>
  <c r="G30" i="25"/>
  <c r="C30" i="25"/>
  <c r="D30" i="25" s="1"/>
  <c r="F30" i="25"/>
  <c r="AT29" i="25"/>
  <c r="AS29" i="25"/>
  <c r="AR29" i="25"/>
  <c r="AQ29" i="25"/>
  <c r="AO29" i="25"/>
  <c r="AN29" i="25"/>
  <c r="AM29" i="25"/>
  <c r="AL29" i="25"/>
  <c r="AK29" i="25"/>
  <c r="AJ29" i="25"/>
  <c r="AI29" i="25"/>
  <c r="AH29" i="25"/>
  <c r="AG29" i="25"/>
  <c r="AF29" i="25"/>
  <c r="AE29" i="25"/>
  <c r="AD29" i="25"/>
  <c r="AC29" i="25"/>
  <c r="AB29" i="25"/>
  <c r="AA29" i="25"/>
  <c r="Z29" i="25"/>
  <c r="Y29" i="25"/>
  <c r="X29" i="25"/>
  <c r="W29" i="25"/>
  <c r="V29" i="25"/>
  <c r="U29" i="25"/>
  <c r="T29" i="25"/>
  <c r="S29" i="25"/>
  <c r="R29" i="25"/>
  <c r="Q29" i="25"/>
  <c r="P29" i="25"/>
  <c r="O29" i="25"/>
  <c r="N29" i="25"/>
  <c r="M29" i="25"/>
  <c r="L29" i="25"/>
  <c r="K29" i="25"/>
  <c r="J29" i="25"/>
  <c r="H29" i="25"/>
  <c r="G29" i="25"/>
  <c r="C29" i="25"/>
  <c r="D29" i="25" s="1"/>
  <c r="F29" i="25"/>
  <c r="AT28" i="25"/>
  <c r="AS28" i="25"/>
  <c r="AR28" i="25"/>
  <c r="AQ28" i="25"/>
  <c r="AO28" i="25"/>
  <c r="AN28" i="25"/>
  <c r="AM28" i="25"/>
  <c r="AL28" i="25"/>
  <c r="AK28" i="25"/>
  <c r="AJ28" i="25"/>
  <c r="AI28" i="25"/>
  <c r="AH28" i="25"/>
  <c r="AG28" i="25"/>
  <c r="AF28" i="25"/>
  <c r="AE28" i="25"/>
  <c r="AD28" i="25"/>
  <c r="AC28" i="25"/>
  <c r="AB28" i="25"/>
  <c r="AA28" i="25"/>
  <c r="Z28" i="25"/>
  <c r="Y28" i="25"/>
  <c r="X28" i="25"/>
  <c r="W28" i="25"/>
  <c r="V28" i="25"/>
  <c r="U28" i="25"/>
  <c r="T28" i="25"/>
  <c r="S28" i="25"/>
  <c r="R28" i="25"/>
  <c r="Q28" i="25"/>
  <c r="P28" i="25"/>
  <c r="O28" i="25"/>
  <c r="N28" i="25"/>
  <c r="M28" i="25"/>
  <c r="L28" i="25"/>
  <c r="K28" i="25"/>
  <c r="J28" i="25"/>
  <c r="H28" i="25"/>
  <c r="G28" i="25"/>
  <c r="C28" i="25"/>
  <c r="D28" i="25" s="1"/>
  <c r="F28" i="25"/>
  <c r="AT27" i="25"/>
  <c r="AS27" i="25"/>
  <c r="AR27" i="25"/>
  <c r="AQ27" i="25"/>
  <c r="AO27" i="25"/>
  <c r="AN27" i="25"/>
  <c r="AM27" i="25"/>
  <c r="AL27" i="25"/>
  <c r="AK27" i="25"/>
  <c r="AJ27" i="25"/>
  <c r="AI27" i="25"/>
  <c r="AH27" i="25"/>
  <c r="AG27" i="25"/>
  <c r="AF27" i="25"/>
  <c r="AE27" i="25"/>
  <c r="AD27" i="25"/>
  <c r="AC27" i="25"/>
  <c r="AB27" i="25"/>
  <c r="AA27" i="25"/>
  <c r="Z27" i="25"/>
  <c r="Y27" i="25"/>
  <c r="X27" i="25"/>
  <c r="W27" i="25"/>
  <c r="V27" i="25"/>
  <c r="U27" i="25"/>
  <c r="T27" i="25"/>
  <c r="S27" i="25"/>
  <c r="R27" i="25"/>
  <c r="Q27" i="25"/>
  <c r="P27" i="25"/>
  <c r="O27" i="25"/>
  <c r="N27" i="25"/>
  <c r="M27" i="25"/>
  <c r="L27" i="25"/>
  <c r="K27" i="25"/>
  <c r="J27" i="25"/>
  <c r="H27" i="25"/>
  <c r="G27" i="25"/>
  <c r="C27" i="25"/>
  <c r="D27" i="25" s="1"/>
  <c r="F27" i="25"/>
  <c r="AT26" i="25"/>
  <c r="AS26" i="25"/>
  <c r="AR26" i="25"/>
  <c r="AQ26" i="25"/>
  <c r="AO26" i="25"/>
  <c r="AN26" i="25"/>
  <c r="AM26" i="25"/>
  <c r="AL26" i="25"/>
  <c r="AK26" i="25"/>
  <c r="AJ26" i="25"/>
  <c r="AI26" i="25"/>
  <c r="AH26" i="25"/>
  <c r="AG26" i="25"/>
  <c r="AF26" i="25"/>
  <c r="AE26" i="25"/>
  <c r="AD26" i="25"/>
  <c r="AC26" i="25"/>
  <c r="AB26" i="25"/>
  <c r="AA26" i="25"/>
  <c r="Z26" i="25"/>
  <c r="Y26" i="25"/>
  <c r="X26" i="25"/>
  <c r="W26" i="25"/>
  <c r="V26" i="25"/>
  <c r="U26" i="25"/>
  <c r="T26" i="25"/>
  <c r="S26" i="25"/>
  <c r="R26" i="25"/>
  <c r="Q26" i="25"/>
  <c r="P26" i="25"/>
  <c r="O26" i="25"/>
  <c r="N26" i="25"/>
  <c r="M26" i="25"/>
  <c r="L26" i="25"/>
  <c r="K26" i="25"/>
  <c r="J26" i="25"/>
  <c r="H26" i="25"/>
  <c r="G26" i="25"/>
  <c r="C26" i="25"/>
  <c r="D26" i="25" s="1"/>
  <c r="F26" i="25"/>
  <c r="AT1" i="25"/>
  <c r="AS1" i="25"/>
  <c r="AR1" i="25"/>
  <c r="AQ1" i="25"/>
  <c r="AP1" i="25"/>
  <c r="AO1" i="25"/>
  <c r="AN1" i="25"/>
  <c r="AM1" i="25"/>
  <c r="AL1" i="25"/>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I45" i="24"/>
  <c r="I46" i="24"/>
  <c r="I47" i="24"/>
  <c r="I48" i="24"/>
  <c r="I49" i="24"/>
  <c r="I50" i="24"/>
  <c r="I51" i="24"/>
  <c r="I52" i="24"/>
  <c r="I53" i="24"/>
  <c r="I54" i="24"/>
  <c r="I55" i="24"/>
  <c r="I56" i="24"/>
  <c r="I57" i="24"/>
  <c r="I58" i="24"/>
  <c r="I59" i="24"/>
  <c r="I60" i="24"/>
  <c r="I61" i="24"/>
  <c r="I62" i="24"/>
  <c r="I63" i="24"/>
  <c r="I64" i="24"/>
  <c r="I65" i="24"/>
  <c r="I66" i="24"/>
  <c r="I67" i="24"/>
  <c r="I68" i="24"/>
  <c r="I69" i="24"/>
  <c r="I70" i="24"/>
  <c r="I71" i="24"/>
  <c r="I72" i="24"/>
  <c r="I73" i="24"/>
  <c r="I74" i="24"/>
  <c r="I75" i="24"/>
  <c r="I76" i="24"/>
  <c r="I77" i="24"/>
  <c r="I78" i="24"/>
  <c r="I79" i="24"/>
  <c r="I80" i="24"/>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2" i="24"/>
  <c r="H92" i="13"/>
  <c r="C92" i="13" s="1"/>
  <c r="B92" i="13" s="1"/>
  <c r="D92" i="13"/>
  <c r="H93" i="13"/>
  <c r="D93" i="13"/>
  <c r="C93" i="13" s="1"/>
  <c r="B93" i="13" s="1"/>
  <c r="H94" i="13"/>
  <c r="C94" i="13" s="1"/>
  <c r="B94" i="13" s="1"/>
  <c r="D94" i="13"/>
  <c r="H95" i="13"/>
  <c r="C95" i="13" s="1"/>
  <c r="B95" i="13" s="1"/>
  <c r="D95" i="13"/>
  <c r="H149" i="13"/>
  <c r="C149" i="13" s="1"/>
  <c r="B149" i="13" s="1"/>
  <c r="D149" i="13"/>
  <c r="H150" i="13"/>
  <c r="D150" i="13"/>
  <c r="C150" i="13"/>
  <c r="B150" i="13" s="1"/>
  <c r="H151" i="13"/>
  <c r="C151" i="13" s="1"/>
  <c r="B151" i="13" s="1"/>
  <c r="D151" i="13"/>
  <c r="H152" i="13"/>
  <c r="D152" i="13"/>
  <c r="C152" i="13" s="1"/>
  <c r="B152" i="13" s="1"/>
  <c r="H153" i="13"/>
  <c r="C153" i="13" s="1"/>
  <c r="B153" i="13" s="1"/>
  <c r="D153" i="13"/>
  <c r="H144" i="13"/>
  <c r="D144" i="13"/>
  <c r="C144" i="13" s="1"/>
  <c r="B144" i="13" s="1"/>
  <c r="H145" i="13"/>
  <c r="C145" i="13" s="1"/>
  <c r="B145" i="13" s="1"/>
  <c r="D145" i="13"/>
  <c r="H146" i="13"/>
  <c r="D146" i="13"/>
  <c r="H147" i="13"/>
  <c r="C147" i="13" s="1"/>
  <c r="B147" i="13" s="1"/>
  <c r="D147" i="13"/>
  <c r="H148" i="13"/>
  <c r="C148" i="13" s="1"/>
  <c r="B148" i="13" s="1"/>
  <c r="D148" i="13"/>
  <c r="H100" i="13"/>
  <c r="D100" i="13"/>
  <c r="H101" i="13"/>
  <c r="C101" i="13" s="1"/>
  <c r="B101" i="13" s="1"/>
  <c r="D101" i="13"/>
  <c r="H102" i="13"/>
  <c r="C102" i="13" s="1"/>
  <c r="B102" i="13" s="1"/>
  <c r="D102" i="13"/>
  <c r="H103" i="13"/>
  <c r="D103" i="13"/>
  <c r="C103" i="13"/>
  <c r="B103" i="13" s="1"/>
  <c r="H104" i="13"/>
  <c r="C104" i="13" s="1"/>
  <c r="B104" i="13" s="1"/>
  <c r="D104" i="13"/>
  <c r="H105" i="13"/>
  <c r="D105" i="13"/>
  <c r="C105" i="13" s="1"/>
  <c r="B105" i="13" s="1"/>
  <c r="H106" i="13"/>
  <c r="C106" i="13" s="1"/>
  <c r="B106" i="13" s="1"/>
  <c r="D106" i="13"/>
  <c r="H107" i="13"/>
  <c r="C107" i="13" s="1"/>
  <c r="B107" i="13" s="1"/>
  <c r="D107" i="13"/>
  <c r="H108" i="13"/>
  <c r="D108" i="13"/>
  <c r="H109" i="13"/>
  <c r="C109" i="13" s="1"/>
  <c r="B109" i="13" s="1"/>
  <c r="D109" i="13"/>
  <c r="H477" i="13"/>
  <c r="C477" i="13" s="1"/>
  <c r="D477" i="13"/>
  <c r="X2" i="21"/>
  <c r="X3" i="21"/>
  <c r="X4" i="21"/>
  <c r="U2" i="21"/>
  <c r="C2" i="20"/>
  <c r="C3" i="20"/>
  <c r="C4" i="20"/>
  <c r="P9" i="21" s="1"/>
  <c r="C5" i="20"/>
  <c r="C6" i="20"/>
  <c r="C7" i="20"/>
  <c r="C8" i="20"/>
  <c r="P33" i="21" s="1"/>
  <c r="C9" i="20"/>
  <c r="C10" i="20"/>
  <c r="C11" i="20"/>
  <c r="C12" i="20"/>
  <c r="C13" i="20"/>
  <c r="C14" i="20"/>
  <c r="C15" i="20"/>
  <c r="C16" i="20"/>
  <c r="C17" i="20"/>
  <c r="C18" i="20"/>
  <c r="C19" i="20"/>
  <c r="C20" i="20"/>
  <c r="C21" i="20"/>
  <c r="C22" i="20"/>
  <c r="C23" i="20"/>
  <c r="C24" i="20"/>
  <c r="C25" i="20"/>
  <c r="C26" i="20"/>
  <c r="C27" i="20"/>
  <c r="C28" i="20"/>
  <c r="C29" i="20"/>
  <c r="C30" i="20"/>
  <c r="C31" i="20"/>
  <c r="C32" i="20"/>
  <c r="C33" i="20"/>
  <c r="C34" i="20"/>
  <c r="C35" i="20"/>
  <c r="C36" i="20"/>
  <c r="C37" i="20"/>
  <c r="C38" i="20"/>
  <c r="C39" i="20"/>
  <c r="C40" i="20"/>
  <c r="C41" i="20"/>
  <c r="C42" i="20"/>
  <c r="C43" i="20"/>
  <c r="C44" i="20"/>
  <c r="C45" i="20"/>
  <c r="C46" i="20"/>
  <c r="C47" i="20"/>
  <c r="C48" i="20"/>
  <c r="C49" i="20"/>
  <c r="C50" i="20"/>
  <c r="C51" i="20"/>
  <c r="C52" i="20"/>
  <c r="C53" i="20"/>
  <c r="C54" i="20"/>
  <c r="C55" i="20"/>
  <c r="C56" i="20"/>
  <c r="C57" i="20"/>
  <c r="C58" i="20"/>
  <c r="C59" i="20"/>
  <c r="C60" i="20"/>
  <c r="C61" i="20"/>
  <c r="C62" i="20"/>
  <c r="C63" i="20"/>
  <c r="C64" i="20"/>
  <c r="C65" i="20"/>
  <c r="C66" i="20"/>
  <c r="C67" i="20"/>
  <c r="C68" i="20"/>
  <c r="C69" i="20"/>
  <c r="C70" i="20"/>
  <c r="C71" i="20"/>
  <c r="C72" i="20"/>
  <c r="C73" i="20"/>
  <c r="C74" i="20"/>
  <c r="C75" i="20"/>
  <c r="C76" i="20"/>
  <c r="C77" i="20"/>
  <c r="C78" i="20"/>
  <c r="C79" i="20"/>
  <c r="C80" i="20"/>
  <c r="C81" i="20"/>
  <c r="C82" i="20"/>
  <c r="C83" i="20"/>
  <c r="C84" i="20"/>
  <c r="C85" i="20"/>
  <c r="C86" i="20"/>
  <c r="C87" i="20"/>
  <c r="C88" i="20"/>
  <c r="C89" i="20"/>
  <c r="C90" i="20"/>
  <c r="C91" i="20"/>
  <c r="C92" i="20"/>
  <c r="C93" i="20"/>
  <c r="C94" i="20"/>
  <c r="C95" i="20"/>
  <c r="C96" i="20"/>
  <c r="C97" i="20"/>
  <c r="C98" i="20"/>
  <c r="C99" i="20"/>
  <c r="C100" i="20"/>
  <c r="C101" i="20"/>
  <c r="C102" i="20"/>
  <c r="C103" i="20"/>
  <c r="C104" i="20"/>
  <c r="C105" i="20"/>
  <c r="C106" i="20"/>
  <c r="C107" i="20"/>
  <c r="C108" i="20"/>
  <c r="C109" i="20"/>
  <c r="C110" i="20"/>
  <c r="C111" i="20"/>
  <c r="C112" i="20"/>
  <c r="C113" i="20"/>
  <c r="C114" i="20"/>
  <c r="C115" i="20"/>
  <c r="C116" i="20"/>
  <c r="C117" i="20"/>
  <c r="C118" i="20"/>
  <c r="C119" i="20"/>
  <c r="C120" i="20"/>
  <c r="C121" i="20"/>
  <c r="C122" i="20"/>
  <c r="C123" i="20"/>
  <c r="C124" i="20"/>
  <c r="C125" i="20"/>
  <c r="C126" i="20"/>
  <c r="C127" i="20"/>
  <c r="C128" i="20"/>
  <c r="C129" i="20"/>
  <c r="C130" i="20"/>
  <c r="C131" i="20"/>
  <c r="C132" i="20"/>
  <c r="C133" i="20"/>
  <c r="C134" i="20"/>
  <c r="C135" i="20"/>
  <c r="C136" i="20"/>
  <c r="C137" i="20"/>
  <c r="C138" i="20"/>
  <c r="C139" i="20"/>
  <c r="C140" i="20"/>
  <c r="C141" i="20"/>
  <c r="C142" i="20"/>
  <c r="C143" i="20"/>
  <c r="C144" i="20"/>
  <c r="C145" i="20"/>
  <c r="C146" i="20"/>
  <c r="C147" i="20"/>
  <c r="P2" i="21"/>
  <c r="Q2" i="21"/>
  <c r="R2" i="21" s="1"/>
  <c r="Q3" i="21"/>
  <c r="R3" i="21" s="1"/>
  <c r="Q4" i="21"/>
  <c r="R4" i="21" s="1"/>
  <c r="Q5" i="21"/>
  <c r="R5" i="21" s="1"/>
  <c r="Q6" i="21"/>
  <c r="R6" i="21" s="1"/>
  <c r="Q7" i="21"/>
  <c r="R7" i="21" s="1"/>
  <c r="Q8" i="21"/>
  <c r="R8" i="21" s="1"/>
  <c r="Q9" i="21"/>
  <c r="R9" i="21"/>
  <c r="Q10" i="21"/>
  <c r="R10" i="21" s="1"/>
  <c r="Q11" i="21"/>
  <c r="R11" i="21"/>
  <c r="Q12" i="21"/>
  <c r="R12" i="21" s="1"/>
  <c r="Q13" i="21"/>
  <c r="R13" i="21"/>
  <c r="Q14" i="21"/>
  <c r="R14" i="21" s="1"/>
  <c r="G2" i="20"/>
  <c r="G3" i="20"/>
  <c r="G4" i="20"/>
  <c r="G5" i="20"/>
  <c r="P40" i="21" s="1"/>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Q15" i="21"/>
  <c r="R15" i="21"/>
  <c r="Q16" i="21"/>
  <c r="R16" i="21" s="1"/>
  <c r="Q17" i="21"/>
  <c r="R17" i="21" s="1"/>
  <c r="Q18" i="21"/>
  <c r="R18" i="21" s="1"/>
  <c r="P19" i="21"/>
  <c r="Q19" i="21"/>
  <c r="R19" i="21" s="1"/>
  <c r="Q20" i="21"/>
  <c r="R20" i="21" s="1"/>
  <c r="Q21" i="21"/>
  <c r="R21" i="21" s="1"/>
  <c r="Q22" i="21"/>
  <c r="R22" i="21"/>
  <c r="Q23" i="21"/>
  <c r="R23" i="21" s="1"/>
  <c r="Q24" i="21"/>
  <c r="R24" i="21" s="1"/>
  <c r="Q25" i="21"/>
  <c r="R25" i="21" s="1"/>
  <c r="Q26" i="21"/>
  <c r="R26" i="21" s="1"/>
  <c r="Q27" i="21"/>
  <c r="R27" i="21"/>
  <c r="Q28" i="21"/>
  <c r="R28" i="21" s="1"/>
  <c r="Q29" i="21"/>
  <c r="R29" i="21" s="1"/>
  <c r="Q30" i="21"/>
  <c r="R30" i="21" s="1"/>
  <c r="Q31" i="21"/>
  <c r="R31" i="21"/>
  <c r="Q32" i="21"/>
  <c r="R32" i="21" s="1"/>
  <c r="Q33" i="21"/>
  <c r="R33" i="21" s="1"/>
  <c r="Q34" i="21"/>
  <c r="R34" i="21"/>
  <c r="Q35" i="21"/>
  <c r="R35" i="21" s="1"/>
  <c r="Q36" i="21"/>
  <c r="R36" i="21" s="1"/>
  <c r="P37" i="21"/>
  <c r="Q37" i="21"/>
  <c r="R37" i="21" s="1"/>
  <c r="Q38" i="21"/>
  <c r="R38" i="21" s="1"/>
  <c r="Q39" i="21"/>
  <c r="R39" i="21"/>
  <c r="Q40" i="21"/>
  <c r="R40" i="21"/>
  <c r="Q41" i="21"/>
  <c r="R41" i="21" s="1"/>
  <c r="Q42" i="21"/>
  <c r="R42" i="21" s="1"/>
  <c r="Q43" i="21"/>
  <c r="R43" i="21" s="1"/>
  <c r="P44" i="21"/>
  <c r="Q44" i="21"/>
  <c r="R44" i="21" s="1"/>
  <c r="Q45" i="21"/>
  <c r="R45" i="21"/>
  <c r="P46" i="21"/>
  <c r="Q46" i="21"/>
  <c r="R46" i="21" s="1"/>
  <c r="Q47" i="21"/>
  <c r="R47" i="21"/>
  <c r="Q48" i="21"/>
  <c r="R48" i="21" s="1"/>
  <c r="Q49" i="21"/>
  <c r="R49" i="21" s="1"/>
  <c r="Q50" i="21"/>
  <c r="R50" i="21" s="1"/>
  <c r="Q51" i="21"/>
  <c r="R51" i="21" s="1"/>
  <c r="Q52" i="21"/>
  <c r="R52" i="21" s="1"/>
  <c r="P53" i="21"/>
  <c r="Q53" i="21"/>
  <c r="R53" i="21" s="1"/>
  <c r="Q54" i="21"/>
  <c r="R54" i="21" s="1"/>
  <c r="Q55" i="21"/>
  <c r="R55" i="21" s="1"/>
  <c r="Q56" i="21"/>
  <c r="R56" i="21" s="1"/>
  <c r="Q57" i="21"/>
  <c r="R57" i="21" s="1"/>
  <c r="Q58" i="21"/>
  <c r="R58" i="21" s="1"/>
  <c r="Q59" i="21"/>
  <c r="R59" i="21" s="1"/>
  <c r="Q60" i="21"/>
  <c r="R60" i="21" s="1"/>
  <c r="Q61" i="21"/>
  <c r="R61" i="21" s="1"/>
  <c r="Q62" i="21"/>
  <c r="R62" i="21" s="1"/>
  <c r="Q63" i="21"/>
  <c r="R63" i="21" s="1"/>
  <c r="Q64" i="21"/>
  <c r="R64" i="21"/>
  <c r="P65" i="21"/>
  <c r="Q65" i="21"/>
  <c r="R65" i="21" s="1"/>
  <c r="Q66" i="21"/>
  <c r="R66" i="21" s="1"/>
  <c r="Q67" i="21"/>
  <c r="R67" i="21"/>
  <c r="V2" i="21"/>
  <c r="AA2" i="21"/>
  <c r="AB2" i="21"/>
  <c r="AC2" i="21"/>
  <c r="U3" i="21"/>
  <c r="V3" i="21"/>
  <c r="AA3" i="21"/>
  <c r="AB3" i="21"/>
  <c r="AC3" i="21"/>
  <c r="U4" i="21"/>
  <c r="V4" i="21"/>
  <c r="AC4" i="21"/>
  <c r="X5" i="21"/>
  <c r="U5" i="21"/>
  <c r="V5" i="21"/>
  <c r="AC5" i="21"/>
  <c r="X6" i="21"/>
  <c r="U6" i="21"/>
  <c r="V6" i="21"/>
  <c r="AA6" i="21"/>
  <c r="AB6" i="21"/>
  <c r="AC6" i="21"/>
  <c r="X7" i="21"/>
  <c r="U7" i="21"/>
  <c r="V7" i="21"/>
  <c r="AA7" i="21"/>
  <c r="AB7" i="21"/>
  <c r="AC7" i="21"/>
  <c r="X8" i="21"/>
  <c r="U8" i="21"/>
  <c r="V8" i="21"/>
  <c r="AA8" i="21"/>
  <c r="AB8" i="21"/>
  <c r="AC8" i="21"/>
  <c r="X9" i="21"/>
  <c r="U9" i="21"/>
  <c r="V9" i="21"/>
  <c r="AA9" i="21"/>
  <c r="AB9" i="21"/>
  <c r="AC9" i="21"/>
  <c r="X10" i="21"/>
  <c r="U10" i="21"/>
  <c r="V10" i="21"/>
  <c r="AA10" i="21"/>
  <c r="AB10" i="21"/>
  <c r="AC10" i="21"/>
  <c r="X11" i="21"/>
  <c r="U11" i="21"/>
  <c r="V11" i="21"/>
  <c r="AA11" i="21"/>
  <c r="AB11" i="21"/>
  <c r="AC11" i="21"/>
  <c r="X12" i="21"/>
  <c r="U12" i="21"/>
  <c r="V12" i="21"/>
  <c r="AA12" i="21"/>
  <c r="AB12" i="21"/>
  <c r="AC12" i="21"/>
  <c r="X13" i="21"/>
  <c r="U13" i="21"/>
  <c r="V13" i="21"/>
  <c r="AA13" i="21"/>
  <c r="AB13" i="21"/>
  <c r="AC13" i="21"/>
  <c r="X14" i="21"/>
  <c r="U14" i="21"/>
  <c r="V14" i="21"/>
  <c r="AA14" i="21"/>
  <c r="AB14" i="21"/>
  <c r="AC14" i="21"/>
  <c r="X15" i="21"/>
  <c r="U15" i="21"/>
  <c r="V15" i="21"/>
  <c r="AC15" i="21"/>
  <c r="X16" i="21"/>
  <c r="U16" i="21"/>
  <c r="V16" i="21"/>
  <c r="AC16" i="21"/>
  <c r="X17" i="21"/>
  <c r="U17" i="21"/>
  <c r="V17" i="21"/>
  <c r="AA17" i="21"/>
  <c r="AB17" i="21"/>
  <c r="AC17" i="21"/>
  <c r="X18" i="21"/>
  <c r="U18" i="21"/>
  <c r="V18" i="21"/>
  <c r="AA18" i="21"/>
  <c r="AB18" i="21"/>
  <c r="AC18" i="21"/>
  <c r="X19" i="21"/>
  <c r="U19" i="21"/>
  <c r="V19" i="21"/>
  <c r="AA19" i="21"/>
  <c r="AB19" i="21"/>
  <c r="AC19" i="21"/>
  <c r="X20" i="21"/>
  <c r="U20" i="21"/>
  <c r="V20" i="21"/>
  <c r="AA20" i="21"/>
  <c r="AB20" i="21"/>
  <c r="AC20" i="21"/>
  <c r="X21" i="21"/>
  <c r="U21" i="21"/>
  <c r="V21" i="21"/>
  <c r="AC21" i="21"/>
  <c r="X22" i="21"/>
  <c r="U22" i="21"/>
  <c r="V22" i="21"/>
  <c r="AA22" i="21"/>
  <c r="AB22" i="21"/>
  <c r="AC22" i="21"/>
  <c r="X23" i="21"/>
  <c r="U23" i="21"/>
  <c r="V23" i="21"/>
  <c r="AA23" i="21"/>
  <c r="AB23" i="21"/>
  <c r="AC23" i="21"/>
  <c r="X24" i="21"/>
  <c r="U24" i="21"/>
  <c r="V24" i="21"/>
  <c r="AA24" i="21"/>
  <c r="AB24" i="21"/>
  <c r="AC24" i="21"/>
  <c r="X25" i="21"/>
  <c r="U25" i="21"/>
  <c r="V25" i="21"/>
  <c r="AA25" i="21"/>
  <c r="AB25" i="21"/>
  <c r="AC25" i="21"/>
  <c r="X26" i="21"/>
  <c r="U26" i="21"/>
  <c r="V26" i="21"/>
  <c r="AA26" i="21"/>
  <c r="AB26" i="21"/>
  <c r="AC26" i="21"/>
  <c r="X27" i="21"/>
  <c r="U27" i="21"/>
  <c r="V27" i="21"/>
  <c r="AA27" i="21"/>
  <c r="AB27" i="21"/>
  <c r="AC27" i="21"/>
  <c r="X28" i="21"/>
  <c r="U28" i="21"/>
  <c r="V28" i="21"/>
  <c r="AA28" i="21"/>
  <c r="AB28" i="21"/>
  <c r="AC28" i="21"/>
  <c r="X29" i="21"/>
  <c r="U29" i="21"/>
  <c r="V29" i="21"/>
  <c r="AA29" i="21"/>
  <c r="AB29" i="21"/>
  <c r="AC29" i="21"/>
  <c r="X30" i="21"/>
  <c r="U30" i="21"/>
  <c r="V30" i="21"/>
  <c r="AA30" i="21"/>
  <c r="AB30" i="21"/>
  <c r="AC30" i="21"/>
  <c r="X31" i="21"/>
  <c r="U31" i="21"/>
  <c r="V31" i="21"/>
  <c r="AA31" i="21"/>
  <c r="AB31" i="21"/>
  <c r="AC31" i="21"/>
  <c r="X32" i="21"/>
  <c r="U32" i="21"/>
  <c r="V32" i="21"/>
  <c r="AC32" i="21"/>
  <c r="X33" i="21"/>
  <c r="U33" i="21"/>
  <c r="V33" i="21"/>
  <c r="AC33" i="21"/>
  <c r="X34" i="21"/>
  <c r="U34" i="21"/>
  <c r="V34" i="21"/>
  <c r="AC34" i="21"/>
  <c r="X35" i="21"/>
  <c r="U35" i="21"/>
  <c r="V35" i="21"/>
  <c r="AC35" i="21"/>
  <c r="X36" i="21"/>
  <c r="U36" i="21"/>
  <c r="V36" i="21"/>
  <c r="AA36" i="21"/>
  <c r="AB36" i="21"/>
  <c r="AC36" i="21"/>
  <c r="X37" i="21"/>
  <c r="U37" i="21"/>
  <c r="V37" i="21"/>
  <c r="AA37" i="21"/>
  <c r="AB37" i="21"/>
  <c r="AC37" i="21"/>
  <c r="X38" i="21"/>
  <c r="U38" i="21"/>
  <c r="V38" i="21"/>
  <c r="AA38" i="21"/>
  <c r="AB38" i="21"/>
  <c r="AC38" i="21"/>
  <c r="X39" i="21"/>
  <c r="U39" i="21"/>
  <c r="V39" i="21"/>
  <c r="AA39" i="21"/>
  <c r="AB39" i="21"/>
  <c r="AC39" i="21"/>
  <c r="X40" i="21"/>
  <c r="U40" i="21"/>
  <c r="V40" i="21"/>
  <c r="AA40" i="21"/>
  <c r="AB40" i="21"/>
  <c r="AC40" i="21"/>
  <c r="X41" i="21"/>
  <c r="U41" i="21"/>
  <c r="V41" i="21"/>
  <c r="AA41" i="21"/>
  <c r="AB41" i="21"/>
  <c r="AC41" i="21"/>
  <c r="X42" i="21"/>
  <c r="U42" i="21"/>
  <c r="V42" i="21"/>
  <c r="AA42" i="21"/>
  <c r="AB42" i="21"/>
  <c r="AC42" i="21"/>
  <c r="X43" i="21"/>
  <c r="U43" i="21"/>
  <c r="V43" i="21"/>
  <c r="AA43" i="21"/>
  <c r="AB43" i="21"/>
  <c r="AC43" i="21"/>
  <c r="X44" i="21"/>
  <c r="U44" i="21"/>
  <c r="V44" i="21"/>
  <c r="AA44" i="21"/>
  <c r="AB44" i="21"/>
  <c r="AC44" i="21"/>
  <c r="X45" i="21"/>
  <c r="U45" i="21"/>
  <c r="V45" i="21"/>
  <c r="AC45" i="21"/>
  <c r="X46" i="21"/>
  <c r="U46" i="21"/>
  <c r="V46" i="21"/>
  <c r="AC46" i="21"/>
  <c r="X47" i="21"/>
  <c r="U47" i="21"/>
  <c r="V47" i="21"/>
  <c r="AC47" i="21"/>
  <c r="X48" i="21"/>
  <c r="U48" i="21"/>
  <c r="V48" i="21"/>
  <c r="AC48" i="21"/>
  <c r="X49" i="21"/>
  <c r="U49" i="21"/>
  <c r="V49" i="21"/>
  <c r="AA49" i="21"/>
  <c r="AB49" i="21"/>
  <c r="AC49" i="21"/>
  <c r="X50" i="21"/>
  <c r="U50" i="21"/>
  <c r="V50" i="21"/>
  <c r="AA50" i="21"/>
  <c r="AB50" i="21"/>
  <c r="AC50" i="21"/>
  <c r="X51" i="21"/>
  <c r="U51" i="21"/>
  <c r="V51" i="21"/>
  <c r="AA51" i="21"/>
  <c r="AB51" i="21"/>
  <c r="AC51" i="21"/>
  <c r="X52" i="21"/>
  <c r="U52" i="21"/>
  <c r="V52" i="21"/>
  <c r="AA52" i="21"/>
  <c r="AB52" i="21"/>
  <c r="AC52" i="21"/>
  <c r="X53" i="21"/>
  <c r="U53" i="21"/>
  <c r="V53" i="21"/>
  <c r="AA53" i="21"/>
  <c r="AB53" i="21"/>
  <c r="AC53" i="21"/>
  <c r="X54" i="21"/>
  <c r="U54" i="21"/>
  <c r="V54" i="21"/>
  <c r="AA54" i="21"/>
  <c r="AB54" i="21"/>
  <c r="AC54" i="21"/>
  <c r="X55" i="21"/>
  <c r="U55" i="21"/>
  <c r="V55" i="21"/>
  <c r="AA55" i="21"/>
  <c r="AB55" i="21"/>
  <c r="AC55" i="21"/>
  <c r="X56" i="21"/>
  <c r="U56" i="21"/>
  <c r="V56" i="21"/>
  <c r="AC56" i="21"/>
  <c r="X57" i="21"/>
  <c r="U57" i="21"/>
  <c r="V57" i="21"/>
  <c r="AC57" i="21"/>
  <c r="X58" i="21"/>
  <c r="U58" i="21"/>
  <c r="V58" i="21"/>
  <c r="AA58" i="21"/>
  <c r="AB58" i="21"/>
  <c r="AC58" i="21"/>
  <c r="X59" i="21"/>
  <c r="U59" i="21"/>
  <c r="V59" i="21"/>
  <c r="AA59" i="21"/>
  <c r="AB59" i="21"/>
  <c r="AC59" i="21"/>
  <c r="X60" i="21"/>
  <c r="U60" i="21"/>
  <c r="V60" i="21"/>
  <c r="AA60" i="21"/>
  <c r="AB60" i="21"/>
  <c r="AC60" i="21"/>
  <c r="X61" i="21"/>
  <c r="U61" i="21"/>
  <c r="V61" i="21"/>
  <c r="AA61" i="21"/>
  <c r="AB61" i="21"/>
  <c r="AC61" i="21"/>
  <c r="X62" i="21"/>
  <c r="U62" i="21"/>
  <c r="V62" i="21"/>
  <c r="AA62" i="21"/>
  <c r="AB62" i="21"/>
  <c r="AC62" i="21"/>
  <c r="X63" i="21"/>
  <c r="U63" i="21"/>
  <c r="V63" i="21"/>
  <c r="AA63" i="21"/>
  <c r="AB63" i="21"/>
  <c r="AC63" i="21"/>
  <c r="X64" i="21"/>
  <c r="U64" i="21"/>
  <c r="V64" i="21"/>
  <c r="AA64" i="21"/>
  <c r="AB64" i="21"/>
  <c r="AC64" i="21"/>
  <c r="X65" i="21"/>
  <c r="U65" i="21"/>
  <c r="V65" i="21"/>
  <c r="AA65" i="21"/>
  <c r="AB65" i="21"/>
  <c r="AC65" i="21"/>
  <c r="X66" i="21"/>
  <c r="U66" i="21"/>
  <c r="V66" i="21"/>
  <c r="AA66" i="21"/>
  <c r="AB66" i="21"/>
  <c r="AC66" i="21"/>
  <c r="X67" i="21"/>
  <c r="U67" i="21"/>
  <c r="V67" i="21"/>
  <c r="AC67" i="21"/>
  <c r="X68" i="21"/>
  <c r="U68" i="21"/>
  <c r="V68" i="21"/>
  <c r="AA68" i="21"/>
  <c r="AB68" i="21"/>
  <c r="AC68" i="21"/>
  <c r="X69" i="21"/>
  <c r="U69" i="21"/>
  <c r="V69" i="21"/>
  <c r="AA69" i="21"/>
  <c r="AB69" i="21"/>
  <c r="AC69" i="21"/>
  <c r="X70" i="21"/>
  <c r="U70" i="21"/>
  <c r="V70" i="21"/>
  <c r="AA70" i="21"/>
  <c r="AB70" i="21"/>
  <c r="AC70" i="21"/>
  <c r="X71" i="21"/>
  <c r="U71" i="21"/>
  <c r="V71" i="21"/>
  <c r="AA71" i="21"/>
  <c r="AB71" i="21"/>
  <c r="AC71" i="21"/>
  <c r="X72" i="21"/>
  <c r="U72" i="21"/>
  <c r="V72" i="21"/>
  <c r="AA72" i="21"/>
  <c r="AB72" i="21"/>
  <c r="AC72" i="21"/>
  <c r="X73" i="21"/>
  <c r="U73" i="21"/>
  <c r="V73" i="21"/>
  <c r="AA73" i="21"/>
  <c r="AB73" i="21"/>
  <c r="AC73" i="21"/>
  <c r="X74" i="21"/>
  <c r="U74" i="21"/>
  <c r="V74" i="21"/>
  <c r="AA74" i="21"/>
  <c r="AB74" i="21"/>
  <c r="AC74" i="21"/>
  <c r="X75" i="21"/>
  <c r="U75" i="21"/>
  <c r="V75" i="21"/>
  <c r="AA75" i="21"/>
  <c r="AB75" i="21"/>
  <c r="AC75" i="21"/>
  <c r="X76" i="21"/>
  <c r="U76" i="21"/>
  <c r="V76" i="21"/>
  <c r="AA76" i="21"/>
  <c r="AB76" i="21"/>
  <c r="AC76" i="21"/>
  <c r="X77" i="21"/>
  <c r="AA77" i="21" s="1"/>
  <c r="U77" i="21"/>
  <c r="V77" i="21"/>
  <c r="AB77" i="21"/>
  <c r="AC77" i="21"/>
  <c r="X78" i="21"/>
  <c r="U78" i="21"/>
  <c r="V78" i="21"/>
  <c r="AA78" i="21"/>
  <c r="AB78" i="21"/>
  <c r="AC78" i="21"/>
  <c r="X79" i="21"/>
  <c r="AA79" i="21" s="1"/>
  <c r="U79" i="21"/>
  <c r="V79" i="21"/>
  <c r="AB79" i="21"/>
  <c r="AC79" i="21"/>
  <c r="X80" i="21"/>
  <c r="U80" i="21"/>
  <c r="V80" i="21"/>
  <c r="AA80" i="21"/>
  <c r="AB80" i="21"/>
  <c r="AC80" i="21"/>
  <c r="X81" i="21"/>
  <c r="AB81" i="21" s="1"/>
  <c r="U81" i="21"/>
  <c r="V81" i="21"/>
  <c r="AC81" i="21"/>
  <c r="X82" i="21"/>
  <c r="U82" i="21"/>
  <c r="V82" i="21"/>
  <c r="AC82" i="21"/>
  <c r="X83" i="21"/>
  <c r="AA83" i="21" s="1"/>
  <c r="U83" i="21"/>
  <c r="V83" i="21"/>
  <c r="AC83" i="21"/>
  <c r="X84" i="21"/>
  <c r="U84" i="21"/>
  <c r="V84" i="21"/>
  <c r="AA84" i="21"/>
  <c r="AB84" i="21"/>
  <c r="AC84" i="21"/>
  <c r="X85" i="21"/>
  <c r="AA85" i="21" s="1"/>
  <c r="U85" i="21"/>
  <c r="V85" i="21"/>
  <c r="AB85" i="21"/>
  <c r="AC85" i="21"/>
  <c r="X86" i="21"/>
  <c r="AA86" i="21" s="1"/>
  <c r="U86" i="21"/>
  <c r="V86" i="21"/>
  <c r="AB86" i="21"/>
  <c r="AC86" i="21"/>
  <c r="X87" i="21"/>
  <c r="U87" i="21"/>
  <c r="V87" i="21"/>
  <c r="AA87" i="21"/>
  <c r="AB87" i="21"/>
  <c r="AC87" i="21"/>
  <c r="X88" i="21"/>
  <c r="AA88" i="21" s="1"/>
  <c r="U88" i="21"/>
  <c r="V88" i="21"/>
  <c r="AB88" i="21"/>
  <c r="AC88" i="21"/>
  <c r="X89" i="21"/>
  <c r="AB89" i="21" s="1"/>
  <c r="U89" i="21"/>
  <c r="V89" i="21"/>
  <c r="AC89" i="21"/>
  <c r="X90" i="21"/>
  <c r="U90" i="21"/>
  <c r="V90" i="21"/>
  <c r="AC90" i="21"/>
  <c r="X91" i="21"/>
  <c r="U91" i="21"/>
  <c r="V91" i="21"/>
  <c r="AA91" i="21"/>
  <c r="AB91" i="21"/>
  <c r="AC91" i="21"/>
  <c r="X92" i="21"/>
  <c r="U92" i="21"/>
  <c r="V92" i="21"/>
  <c r="AA92" i="21"/>
  <c r="AB92" i="21"/>
  <c r="AC92" i="21"/>
  <c r="X93" i="21"/>
  <c r="U93" i="21"/>
  <c r="V93" i="21"/>
  <c r="AA93" i="21"/>
  <c r="AB93" i="21"/>
  <c r="AC93" i="21"/>
  <c r="X94" i="21"/>
  <c r="U94" i="21"/>
  <c r="V94" i="21"/>
  <c r="AA94" i="21"/>
  <c r="AB94" i="21"/>
  <c r="AC94" i="21"/>
  <c r="X95" i="21"/>
  <c r="U95" i="21"/>
  <c r="V95" i="21"/>
  <c r="AA95" i="21"/>
  <c r="AB95" i="21"/>
  <c r="AC95" i="21"/>
  <c r="X96" i="21"/>
  <c r="AA96" i="21" s="1"/>
  <c r="U96" i="21"/>
  <c r="V96" i="21"/>
  <c r="AB96" i="21"/>
  <c r="AC96" i="21"/>
  <c r="X97" i="21"/>
  <c r="AB97" i="21" s="1"/>
  <c r="U97" i="21"/>
  <c r="V97" i="21"/>
  <c r="AA97" i="21"/>
  <c r="AC97" i="21"/>
  <c r="X98" i="21"/>
  <c r="U98" i="21"/>
  <c r="V98" i="21"/>
  <c r="AC98" i="21"/>
  <c r="X99" i="21"/>
  <c r="U99" i="21"/>
  <c r="V99" i="21"/>
  <c r="AC99" i="21"/>
  <c r="X100" i="21"/>
  <c r="AB100" i="21" s="1"/>
  <c r="U100" i="21"/>
  <c r="V100" i="21"/>
  <c r="AA100" i="21"/>
  <c r="AC100" i="21"/>
  <c r="X101" i="21"/>
  <c r="AB101" i="21" s="1"/>
  <c r="U101" i="21"/>
  <c r="V101" i="21"/>
  <c r="AC101" i="21"/>
  <c r="X102" i="21"/>
  <c r="AB102" i="21" s="1"/>
  <c r="U102" i="21"/>
  <c r="V102" i="21"/>
  <c r="AC102" i="21"/>
  <c r="X103" i="21"/>
  <c r="U103" i="21"/>
  <c r="V103" i="21"/>
  <c r="AA103" i="21"/>
  <c r="AB103" i="21"/>
  <c r="AC103" i="21"/>
  <c r="X104" i="21"/>
  <c r="AA104" i="21" s="1"/>
  <c r="U104" i="21"/>
  <c r="V104" i="21"/>
  <c r="AB104" i="21"/>
  <c r="AC104" i="21"/>
  <c r="X105" i="21"/>
  <c r="U105" i="21"/>
  <c r="V105" i="21"/>
  <c r="AA105" i="21"/>
  <c r="AB105" i="21"/>
  <c r="AC105" i="21"/>
  <c r="X106" i="21"/>
  <c r="U106" i="21"/>
  <c r="V106" i="21"/>
  <c r="AC106" i="21"/>
  <c r="X107" i="21"/>
  <c r="AA107" i="21" s="1"/>
  <c r="U107" i="21"/>
  <c r="V107" i="21"/>
  <c r="AC107" i="21"/>
  <c r="X108" i="21"/>
  <c r="AA108" i="21" s="1"/>
  <c r="U108" i="21"/>
  <c r="V108" i="21"/>
  <c r="AC108" i="21"/>
  <c r="X109" i="21"/>
  <c r="AA109" i="21" s="1"/>
  <c r="U109" i="21"/>
  <c r="V109" i="21"/>
  <c r="AC109" i="21"/>
  <c r="X110" i="21"/>
  <c r="AA110" i="21" s="1"/>
  <c r="U110" i="21"/>
  <c r="V110" i="21"/>
  <c r="AB110" i="21"/>
  <c r="AC110" i="21"/>
  <c r="X111" i="21"/>
  <c r="U111" i="21"/>
  <c r="V111" i="21"/>
  <c r="AA111" i="21"/>
  <c r="AB111" i="21"/>
  <c r="AC111" i="21"/>
  <c r="X112" i="21"/>
  <c r="AA112" i="21" s="1"/>
  <c r="U112" i="21"/>
  <c r="V112" i="21"/>
  <c r="AB112" i="21"/>
  <c r="AC112" i="21"/>
  <c r="X113" i="21"/>
  <c r="AB113" i="21" s="1"/>
  <c r="U113" i="21"/>
  <c r="V113" i="21"/>
  <c r="AA113" i="21"/>
  <c r="AC113" i="21"/>
  <c r="X114" i="21"/>
  <c r="AA114" i="21" s="1"/>
  <c r="U114" i="21"/>
  <c r="V114" i="21"/>
  <c r="AB114" i="21"/>
  <c r="AC114" i="21"/>
  <c r="X115" i="21"/>
  <c r="AA115" i="21" s="1"/>
  <c r="U115" i="21"/>
  <c r="V115" i="21"/>
  <c r="AB115" i="21"/>
  <c r="AC115" i="21"/>
  <c r="X116" i="21"/>
  <c r="AB116" i="21" s="1"/>
  <c r="U116" i="21"/>
  <c r="V116" i="21"/>
  <c r="AA116" i="21"/>
  <c r="AC116" i="21"/>
  <c r="X117" i="21"/>
  <c r="AB117" i="21" s="1"/>
  <c r="U117" i="21"/>
  <c r="V117" i="21"/>
  <c r="AC117" i="21"/>
  <c r="X118" i="21"/>
  <c r="U118" i="21"/>
  <c r="V118" i="21"/>
  <c r="AC118" i="21"/>
  <c r="X119" i="21"/>
  <c r="AA119" i="21" s="1"/>
  <c r="U119" i="21"/>
  <c r="V119" i="21"/>
  <c r="AC119" i="21"/>
  <c r="X120" i="21"/>
  <c r="AA120" i="21" s="1"/>
  <c r="U120" i="21"/>
  <c r="V120" i="21"/>
  <c r="AC120" i="21"/>
  <c r="X121" i="21"/>
  <c r="AA121" i="21" s="1"/>
  <c r="U121" i="21"/>
  <c r="V121" i="21"/>
  <c r="AC121" i="21"/>
  <c r="X122" i="21"/>
  <c r="AA122" i="21" s="1"/>
  <c r="U122" i="21"/>
  <c r="V122" i="21"/>
  <c r="AC122" i="21"/>
  <c r="X123" i="21"/>
  <c r="U123" i="21"/>
  <c r="V123" i="21"/>
  <c r="AA123" i="21"/>
  <c r="AB123" i="21"/>
  <c r="AC123" i="21"/>
  <c r="X124" i="21"/>
  <c r="AA124" i="21" s="1"/>
  <c r="U124" i="21"/>
  <c r="V124" i="21"/>
  <c r="AB124" i="21"/>
  <c r="AC124" i="21"/>
  <c r="X125" i="21"/>
  <c r="U125" i="21"/>
  <c r="V125" i="21"/>
  <c r="AA125" i="21"/>
  <c r="AB125" i="21"/>
  <c r="AC125" i="21"/>
  <c r="X126" i="21"/>
  <c r="U126" i="21"/>
  <c r="V126" i="21"/>
  <c r="AC126" i="21"/>
  <c r="X127" i="21"/>
  <c r="AA127" i="21" s="1"/>
  <c r="U127" i="21"/>
  <c r="V127" i="21"/>
  <c r="AC127" i="21"/>
  <c r="X128" i="21"/>
  <c r="AA128" i="21" s="1"/>
  <c r="U128" i="21"/>
  <c r="V128" i="21"/>
  <c r="AB128" i="21"/>
  <c r="AC128" i="21"/>
  <c r="X129" i="21"/>
  <c r="U129" i="21"/>
  <c r="V129" i="21"/>
  <c r="AA129" i="21"/>
  <c r="AB129" i="21"/>
  <c r="AC129" i="21"/>
  <c r="X130" i="21"/>
  <c r="AA130" i="21" s="1"/>
  <c r="U130" i="21"/>
  <c r="V130" i="21"/>
  <c r="AB130" i="21"/>
  <c r="AC130" i="21"/>
  <c r="X131" i="21"/>
  <c r="U131" i="21"/>
  <c r="V131" i="21"/>
  <c r="AA131" i="21"/>
  <c r="AB131" i="21"/>
  <c r="AC131" i="21"/>
  <c r="X132" i="21"/>
  <c r="AA132" i="21" s="1"/>
  <c r="U132" i="21"/>
  <c r="V132" i="21"/>
  <c r="AB132" i="21"/>
  <c r="AC132" i="21"/>
  <c r="X133" i="21"/>
  <c r="AB133" i="21" s="1"/>
  <c r="U133" i="21"/>
  <c r="V133" i="21"/>
  <c r="AA133" i="21"/>
  <c r="AC133" i="21"/>
  <c r="X134" i="21"/>
  <c r="U134" i="21"/>
  <c r="V134" i="21"/>
  <c r="AC134" i="21"/>
  <c r="X135" i="21"/>
  <c r="AA135" i="21" s="1"/>
  <c r="U135" i="21"/>
  <c r="V135" i="21"/>
  <c r="AC135" i="21"/>
  <c r="X136" i="21"/>
  <c r="AB136" i="21" s="1"/>
  <c r="U136" i="21"/>
  <c r="Y136" i="21" s="1"/>
  <c r="AD136" i="21" s="1"/>
  <c r="V136" i="21"/>
  <c r="AA136" i="21"/>
  <c r="AC136" i="21"/>
  <c r="X137" i="21"/>
  <c r="AA137" i="21" s="1"/>
  <c r="U137" i="21"/>
  <c r="Y137" i="21" s="1"/>
  <c r="AD137" i="21" s="1"/>
  <c r="V137" i="21"/>
  <c r="AB137" i="21"/>
  <c r="AC137" i="21"/>
  <c r="X138" i="21"/>
  <c r="AA138" i="21" s="1"/>
  <c r="U138" i="21"/>
  <c r="V138" i="21"/>
  <c r="AB138" i="21"/>
  <c r="AC138" i="21"/>
  <c r="X139" i="21"/>
  <c r="U139" i="21"/>
  <c r="V139" i="21"/>
  <c r="AA139" i="21"/>
  <c r="AB139" i="21"/>
  <c r="AC139" i="21"/>
  <c r="X140" i="21"/>
  <c r="AA140" i="21" s="1"/>
  <c r="U140" i="21"/>
  <c r="V140" i="21"/>
  <c r="AB140" i="21"/>
  <c r="AC140" i="21"/>
  <c r="X141" i="21"/>
  <c r="U141" i="21"/>
  <c r="V141" i="21"/>
  <c r="AA141" i="21"/>
  <c r="AB141" i="21"/>
  <c r="AC141" i="21"/>
  <c r="X142" i="21"/>
  <c r="U142" i="21"/>
  <c r="V142" i="21"/>
  <c r="AA142" i="21"/>
  <c r="AB142" i="21"/>
  <c r="AC142" i="21"/>
  <c r="X143" i="21"/>
  <c r="U143" i="21"/>
  <c r="V143" i="21"/>
  <c r="AA143" i="21"/>
  <c r="AB143" i="21"/>
  <c r="AC143" i="21"/>
  <c r="X144" i="21"/>
  <c r="U144" i="21"/>
  <c r="V144" i="21"/>
  <c r="AA144" i="21"/>
  <c r="AB144" i="21"/>
  <c r="AC144" i="21"/>
  <c r="X145" i="21"/>
  <c r="U145" i="21"/>
  <c r="V145" i="21"/>
  <c r="AA145" i="21"/>
  <c r="AB145" i="21"/>
  <c r="AC145" i="21"/>
  <c r="X146" i="21"/>
  <c r="U146" i="21"/>
  <c r="V146" i="21"/>
  <c r="AA146" i="21"/>
  <c r="AB146" i="21"/>
  <c r="AC146" i="21"/>
  <c r="X147" i="21"/>
  <c r="U147" i="21"/>
  <c r="V147" i="21"/>
  <c r="AA147" i="21"/>
  <c r="AB147" i="21"/>
  <c r="AC147" i="21"/>
  <c r="X148" i="21"/>
  <c r="U148" i="21"/>
  <c r="V148" i="21"/>
  <c r="AA148" i="21"/>
  <c r="AB148" i="21"/>
  <c r="AC148" i="21"/>
  <c r="X149" i="21"/>
  <c r="U149" i="21"/>
  <c r="V149" i="21"/>
  <c r="AA149" i="21"/>
  <c r="AB149" i="21"/>
  <c r="AC149" i="21"/>
  <c r="X150" i="21"/>
  <c r="U150" i="21"/>
  <c r="V150" i="21"/>
  <c r="W150" i="21"/>
  <c r="AC150" i="21"/>
  <c r="X151" i="21"/>
  <c r="U151" i="21"/>
  <c r="V151" i="21"/>
  <c r="W151" i="21"/>
  <c r="AC151" i="21"/>
  <c r="X152" i="21"/>
  <c r="U152" i="21"/>
  <c r="V152" i="21"/>
  <c r="W152" i="21"/>
  <c r="AC152" i="21"/>
  <c r="X153" i="21"/>
  <c r="U153" i="21"/>
  <c r="V153" i="21"/>
  <c r="W153" i="21"/>
  <c r="AC153" i="21"/>
  <c r="X154" i="21"/>
  <c r="U154" i="21"/>
  <c r="V154" i="21"/>
  <c r="W154" i="21"/>
  <c r="AC154" i="21"/>
  <c r="X155" i="21"/>
  <c r="U155" i="21"/>
  <c r="V155" i="21"/>
  <c r="W155" i="21"/>
  <c r="AC155" i="21"/>
  <c r="X156" i="21"/>
  <c r="U156" i="21"/>
  <c r="V156" i="21"/>
  <c r="W156" i="21"/>
  <c r="AC156" i="21"/>
  <c r="X157" i="21"/>
  <c r="U157" i="21"/>
  <c r="V157" i="21"/>
  <c r="W157" i="21"/>
  <c r="AC157" i="21"/>
  <c r="X158" i="21"/>
  <c r="U158" i="21"/>
  <c r="V158" i="21"/>
  <c r="W158" i="21"/>
  <c r="AC158" i="21"/>
  <c r="X159" i="21"/>
  <c r="U159" i="21"/>
  <c r="V159" i="21"/>
  <c r="W159" i="21"/>
  <c r="AC159" i="21"/>
  <c r="X160" i="21"/>
  <c r="U160" i="21"/>
  <c r="V160" i="21"/>
  <c r="W160" i="21"/>
  <c r="AC160" i="21"/>
  <c r="X161" i="21"/>
  <c r="U161" i="21"/>
  <c r="V161" i="21"/>
  <c r="W161" i="21"/>
  <c r="AC161" i="21"/>
  <c r="X162" i="21"/>
  <c r="U162" i="21"/>
  <c r="V162" i="21"/>
  <c r="W162" i="21"/>
  <c r="AC162" i="21"/>
  <c r="X163" i="21"/>
  <c r="U163" i="21"/>
  <c r="V163" i="21"/>
  <c r="W163" i="21"/>
  <c r="AC163" i="21"/>
  <c r="X164" i="21"/>
  <c r="U164" i="21"/>
  <c r="V164" i="21"/>
  <c r="W164" i="21"/>
  <c r="AC164" i="21"/>
  <c r="X165" i="21"/>
  <c r="U165" i="21"/>
  <c r="V165" i="21"/>
  <c r="W165" i="21"/>
  <c r="AC165" i="21"/>
  <c r="X166" i="21"/>
  <c r="U166" i="21"/>
  <c r="V166" i="21"/>
  <c r="W166" i="21"/>
  <c r="AC166" i="21"/>
  <c r="X167" i="21"/>
  <c r="U167" i="21"/>
  <c r="V167" i="21"/>
  <c r="W167" i="21"/>
  <c r="AC167" i="21"/>
  <c r="X168" i="21"/>
  <c r="U168" i="21"/>
  <c r="V168" i="21"/>
  <c r="W168" i="21"/>
  <c r="AC168" i="21"/>
  <c r="X169" i="21"/>
  <c r="U169" i="21"/>
  <c r="V169" i="21"/>
  <c r="W169" i="21"/>
  <c r="AC169" i="21"/>
  <c r="X170" i="21"/>
  <c r="U170" i="21"/>
  <c r="V170" i="21"/>
  <c r="W170" i="21"/>
  <c r="AC170" i="21"/>
  <c r="X171" i="21"/>
  <c r="U171" i="21"/>
  <c r="V171" i="21"/>
  <c r="W171" i="21"/>
  <c r="AC171" i="21"/>
  <c r="X172" i="21"/>
  <c r="U172" i="21"/>
  <c r="V172" i="21"/>
  <c r="W172" i="21"/>
  <c r="AC172" i="21"/>
  <c r="X173" i="21"/>
  <c r="U173" i="21"/>
  <c r="V173" i="21"/>
  <c r="W173" i="21"/>
  <c r="AC173" i="21"/>
  <c r="X174" i="21"/>
  <c r="U174" i="21"/>
  <c r="V174" i="21"/>
  <c r="W174" i="21"/>
  <c r="AC174" i="21"/>
  <c r="H478" i="13"/>
  <c r="C478" i="13" s="1"/>
  <c r="D478" i="13"/>
  <c r="H479" i="13"/>
  <c r="D479" i="13"/>
  <c r="H480" i="13"/>
  <c r="C480" i="13" s="1"/>
  <c r="D480" i="13"/>
  <c r="H481" i="13"/>
  <c r="C481" i="13" s="1"/>
  <c r="D481" i="13"/>
  <c r="H96" i="13"/>
  <c r="D96" i="13"/>
  <c r="C96" i="13"/>
  <c r="B96" i="13" s="1"/>
  <c r="H97" i="13"/>
  <c r="C97" i="13" s="1"/>
  <c r="B97" i="13" s="1"/>
  <c r="D97" i="13"/>
  <c r="H98" i="13"/>
  <c r="D98" i="13"/>
  <c r="C98" i="13" s="1"/>
  <c r="B98" i="13" s="1"/>
  <c r="H99" i="13"/>
  <c r="D99" i="13"/>
  <c r="H6" i="13"/>
  <c r="C6" i="13" s="1"/>
  <c r="B6" i="13" s="1"/>
  <c r="D6" i="13"/>
  <c r="H7" i="13"/>
  <c r="D7" i="13"/>
  <c r="H8" i="13"/>
  <c r="C8" i="13" s="1"/>
  <c r="B8" i="13" s="1"/>
  <c r="D8" i="13"/>
  <c r="H9" i="13"/>
  <c r="C9" i="13" s="1"/>
  <c r="B9" i="13" s="1"/>
  <c r="D9" i="13"/>
  <c r="H10" i="13"/>
  <c r="D10" i="13"/>
  <c r="C10" i="13"/>
  <c r="B10" i="13" s="1"/>
  <c r="H242" i="13"/>
  <c r="C242" i="13" s="1"/>
  <c r="B242" i="13" s="1"/>
  <c r="D242" i="13"/>
  <c r="H243" i="13"/>
  <c r="D243" i="13"/>
  <c r="C243" i="13" s="1"/>
  <c r="B243" i="13" s="1"/>
  <c r="H213" i="13"/>
  <c r="D213" i="13"/>
  <c r="H214" i="13"/>
  <c r="C214" i="13" s="1"/>
  <c r="B214" i="13" s="1"/>
  <c r="D214" i="13"/>
  <c r="H215" i="13"/>
  <c r="D215" i="13"/>
  <c r="H216" i="13"/>
  <c r="C216" i="13" s="1"/>
  <c r="B216" i="13" s="1"/>
  <c r="D216" i="13"/>
  <c r="H317" i="13"/>
  <c r="C317" i="13" s="1"/>
  <c r="B317" i="13" s="1"/>
  <c r="D317" i="13"/>
  <c r="H318" i="13"/>
  <c r="D318" i="13"/>
  <c r="C318" i="13"/>
  <c r="B318" i="13" s="1"/>
  <c r="H319" i="13"/>
  <c r="C319" i="13" s="1"/>
  <c r="B319" i="13" s="1"/>
  <c r="D319" i="13"/>
  <c r="H320" i="13"/>
  <c r="D320" i="13"/>
  <c r="C320" i="13" s="1"/>
  <c r="B320" i="13" s="1"/>
  <c r="H321" i="13"/>
  <c r="D321" i="13"/>
  <c r="H322" i="13"/>
  <c r="C322" i="13" s="1"/>
  <c r="B322" i="13" s="1"/>
  <c r="D322" i="13"/>
  <c r="H323" i="13"/>
  <c r="D323" i="13"/>
  <c r="H324" i="13"/>
  <c r="C324" i="13" s="1"/>
  <c r="B324" i="13" s="1"/>
  <c r="D324" i="13"/>
  <c r="H236" i="13"/>
  <c r="C236" i="13" s="1"/>
  <c r="B236" i="13" s="1"/>
  <c r="D236" i="13"/>
  <c r="H237" i="13"/>
  <c r="D237" i="13"/>
  <c r="C237" i="13"/>
  <c r="B237" i="13" s="1"/>
  <c r="H199" i="13"/>
  <c r="C199" i="13" s="1"/>
  <c r="B199" i="13" s="1"/>
  <c r="D199" i="13"/>
  <c r="H200" i="13"/>
  <c r="D200" i="13"/>
  <c r="C200" i="13" s="1"/>
  <c r="B200" i="13" s="1"/>
  <c r="H201" i="13"/>
  <c r="D201" i="13"/>
  <c r="H202" i="13"/>
  <c r="C202" i="13" s="1"/>
  <c r="B202" i="13" s="1"/>
  <c r="D202" i="13"/>
  <c r="H11" i="13"/>
  <c r="C11" i="13" s="1"/>
  <c r="B11" i="13" s="1"/>
  <c r="D11" i="13"/>
  <c r="H12" i="13"/>
  <c r="D12" i="13"/>
  <c r="C12" i="13"/>
  <c r="B12" i="13" s="1"/>
  <c r="H13" i="13"/>
  <c r="C13" i="13" s="1"/>
  <c r="B13" i="13" s="1"/>
  <c r="D13" i="13"/>
  <c r="H14" i="13"/>
  <c r="D14" i="13"/>
  <c r="C14" i="13" s="1"/>
  <c r="B14" i="13" s="1"/>
  <c r="H190" i="13"/>
  <c r="D190" i="13"/>
  <c r="H191" i="13"/>
  <c r="C191" i="13" s="1"/>
  <c r="B191" i="13" s="1"/>
  <c r="D191" i="13"/>
  <c r="H178" i="13"/>
  <c r="C178" i="13" s="1"/>
  <c r="B178" i="13" s="1"/>
  <c r="D178" i="13"/>
  <c r="H179" i="13"/>
  <c r="D179" i="13"/>
  <c r="C179" i="13"/>
  <c r="B179" i="13" s="1"/>
  <c r="H180" i="13"/>
  <c r="C180" i="13" s="1"/>
  <c r="B180" i="13" s="1"/>
  <c r="D180" i="13"/>
  <c r="H181" i="13"/>
  <c r="C181" i="13" s="1"/>
  <c r="B181" i="13" s="1"/>
  <c r="D181" i="13"/>
  <c r="H182" i="13"/>
  <c r="D182" i="13"/>
  <c r="H247" i="13"/>
  <c r="D247" i="13"/>
  <c r="C247" i="13"/>
  <c r="B247" i="13" s="1"/>
  <c r="H248" i="13"/>
  <c r="C248" i="13" s="1"/>
  <c r="B248" i="13" s="1"/>
  <c r="D248" i="13"/>
  <c r="H195" i="13"/>
  <c r="D195" i="13"/>
  <c r="C195" i="13"/>
  <c r="B195" i="13" s="1"/>
  <c r="H196" i="13"/>
  <c r="C196" i="13" s="1"/>
  <c r="B196" i="13" s="1"/>
  <c r="D196" i="13"/>
  <c r="H197" i="13"/>
  <c r="C197" i="13" s="1"/>
  <c r="B197" i="13" s="1"/>
  <c r="D197" i="13"/>
  <c r="H198" i="13"/>
  <c r="D198" i="13"/>
  <c r="C198" i="13" s="1"/>
  <c r="B198" i="13" s="1"/>
  <c r="H203" i="13"/>
  <c r="C203" i="13" s="1"/>
  <c r="B203" i="13" s="1"/>
  <c r="D203" i="13"/>
  <c r="H204" i="13"/>
  <c r="C204" i="13" s="1"/>
  <c r="B204" i="13" s="1"/>
  <c r="D204" i="13"/>
  <c r="H205" i="13"/>
  <c r="D205" i="13"/>
  <c r="H206" i="13"/>
  <c r="C206" i="13" s="1"/>
  <c r="B206" i="13" s="1"/>
  <c r="D206" i="13"/>
  <c r="H207" i="13"/>
  <c r="D207" i="13"/>
  <c r="C207" i="13" s="1"/>
  <c r="B207" i="13" s="1"/>
  <c r="H217" i="13"/>
  <c r="D217" i="13"/>
  <c r="H218" i="13"/>
  <c r="C218" i="13" s="1"/>
  <c r="B218" i="13" s="1"/>
  <c r="D218" i="13"/>
  <c r="H219" i="13"/>
  <c r="C219" i="13" s="1"/>
  <c r="B219" i="13" s="1"/>
  <c r="D219" i="13"/>
  <c r="H220" i="13"/>
  <c r="C220" i="13" s="1"/>
  <c r="B220" i="13" s="1"/>
  <c r="D220" i="13"/>
  <c r="H221" i="13"/>
  <c r="D221" i="13"/>
  <c r="H238" i="13"/>
  <c r="C238" i="13" s="1"/>
  <c r="B238" i="13" s="1"/>
  <c r="D238" i="13"/>
  <c r="H239" i="13"/>
  <c r="D239" i="13"/>
  <c r="C239" i="13" s="1"/>
  <c r="B239" i="13" s="1"/>
  <c r="H240" i="13"/>
  <c r="D240" i="13"/>
  <c r="C240" i="13"/>
  <c r="B240" i="13"/>
  <c r="H241" i="13"/>
  <c r="C241" i="13" s="1"/>
  <c r="B241" i="13" s="1"/>
  <c r="D241" i="13"/>
  <c r="H315" i="13"/>
  <c r="D315" i="13"/>
  <c r="H316" i="13"/>
  <c r="D316" i="13"/>
  <c r="H231" i="13"/>
  <c r="C231" i="13" s="1"/>
  <c r="B231" i="13" s="1"/>
  <c r="D231" i="13"/>
  <c r="H232" i="13"/>
  <c r="D232" i="13"/>
  <c r="H233" i="13"/>
  <c r="C233" i="13" s="1"/>
  <c r="B233" i="13" s="1"/>
  <c r="D233" i="13"/>
  <c r="H234" i="13"/>
  <c r="D234" i="13"/>
  <c r="C234" i="13" s="1"/>
  <c r="B234" i="13" s="1"/>
  <c r="H235" i="13"/>
  <c r="D235" i="13"/>
  <c r="H222" i="13"/>
  <c r="D222" i="13"/>
  <c r="H223" i="13"/>
  <c r="C223" i="13" s="1"/>
  <c r="B223" i="13" s="1"/>
  <c r="D223" i="13"/>
  <c r="H224" i="13"/>
  <c r="D224" i="13"/>
  <c r="C224" i="13" s="1"/>
  <c r="B224" i="13" s="1"/>
  <c r="H225" i="13"/>
  <c r="D225" i="13"/>
  <c r="H244" i="13"/>
  <c r="D244" i="13"/>
  <c r="H245" i="13"/>
  <c r="C245" i="13" s="1"/>
  <c r="B245" i="13" s="1"/>
  <c r="D245" i="13"/>
  <c r="H246" i="13"/>
  <c r="D246" i="13"/>
  <c r="C246" i="13" s="1"/>
  <c r="B246" i="13" s="1"/>
  <c r="H468" i="13"/>
  <c r="D468" i="13"/>
  <c r="H469" i="13"/>
  <c r="D469" i="13"/>
  <c r="H470" i="13"/>
  <c r="C470" i="13" s="1"/>
  <c r="D470" i="13"/>
  <c r="H473" i="13"/>
  <c r="D473" i="13"/>
  <c r="C473" i="13" s="1"/>
  <c r="H474" i="13"/>
  <c r="D474" i="13"/>
  <c r="H475" i="13"/>
  <c r="D475" i="13"/>
  <c r="H476" i="13"/>
  <c r="C476" i="13" s="1"/>
  <c r="D476" i="13"/>
  <c r="H471" i="13"/>
  <c r="D471" i="13"/>
  <c r="C471" i="13" s="1"/>
  <c r="H472" i="13"/>
  <c r="D472" i="13"/>
  <c r="C472" i="13"/>
  <c r="H226" i="13"/>
  <c r="C226" i="13" s="1"/>
  <c r="B226" i="13" s="1"/>
  <c r="D226" i="13"/>
  <c r="H227" i="13"/>
  <c r="D227" i="13"/>
  <c r="C227" i="13" s="1"/>
  <c r="B227" i="13" s="1"/>
  <c r="H228" i="13"/>
  <c r="D228" i="13"/>
  <c r="H229" i="13"/>
  <c r="D229" i="13"/>
  <c r="C229" i="13" s="1"/>
  <c r="B229" i="13" s="1"/>
  <c r="H230" i="13"/>
  <c r="C230" i="13" s="1"/>
  <c r="B230" i="13" s="1"/>
  <c r="D230" i="13"/>
  <c r="H189" i="13"/>
  <c r="D189" i="13"/>
  <c r="C189" i="13" s="1"/>
  <c r="B189" i="13" s="1"/>
  <c r="H183" i="13"/>
  <c r="D183" i="13"/>
  <c r="H184" i="13"/>
  <c r="D184" i="13"/>
  <c r="C184" i="13" s="1"/>
  <c r="B184" i="13" s="1"/>
  <c r="H311" i="13"/>
  <c r="C311" i="13" s="1"/>
  <c r="B311" i="13" s="1"/>
  <c r="D311" i="13"/>
  <c r="H312" i="13"/>
  <c r="D312" i="13"/>
  <c r="C312" i="13" s="1"/>
  <c r="B312" i="13" s="1"/>
  <c r="H313" i="13"/>
  <c r="D313" i="13"/>
  <c r="H314" i="13"/>
  <c r="D314" i="13"/>
  <c r="C314" i="13" s="1"/>
  <c r="B314" i="13" s="1"/>
  <c r="H185" i="13"/>
  <c r="C185" i="13" s="1"/>
  <c r="B185" i="13" s="1"/>
  <c r="D185" i="13"/>
  <c r="H186" i="13"/>
  <c r="D186" i="13"/>
  <c r="C186" i="13" s="1"/>
  <c r="B186" i="13" s="1"/>
  <c r="H187" i="13"/>
  <c r="D187" i="13"/>
  <c r="H188" i="13"/>
  <c r="D188" i="13"/>
  <c r="C188" i="13" s="1"/>
  <c r="B188" i="13" s="1"/>
  <c r="H192" i="13"/>
  <c r="C192" i="13" s="1"/>
  <c r="B192" i="13" s="1"/>
  <c r="D192" i="13"/>
  <c r="H193" i="13"/>
  <c r="D193" i="13"/>
  <c r="C193" i="13" s="1"/>
  <c r="B193" i="13" s="1"/>
  <c r="H194" i="13"/>
  <c r="C194" i="13" s="1"/>
  <c r="B194" i="13" s="1"/>
  <c r="D194" i="13"/>
  <c r="H208" i="13"/>
  <c r="D208" i="13"/>
  <c r="C208" i="13"/>
  <c r="B208" i="13" s="1"/>
  <c r="H209" i="13"/>
  <c r="D209" i="13"/>
  <c r="H210" i="13"/>
  <c r="D210" i="13"/>
  <c r="H211" i="13"/>
  <c r="D211" i="13"/>
  <c r="H212" i="13"/>
  <c r="C212" i="13" s="1"/>
  <c r="B212" i="13" s="1"/>
  <c r="D212" i="13"/>
  <c r="H123" i="13"/>
  <c r="C123" i="13" s="1"/>
  <c r="B123" i="13" s="1"/>
  <c r="D123" i="13"/>
  <c r="H124" i="13"/>
  <c r="D124" i="13"/>
  <c r="C124" i="13" s="1"/>
  <c r="B124" i="13" s="1"/>
  <c r="H125" i="13"/>
  <c r="C125" i="13" s="1"/>
  <c r="B125" i="13" s="1"/>
  <c r="D125" i="13"/>
  <c r="H501" i="13"/>
  <c r="D501" i="13"/>
  <c r="C501" i="13"/>
  <c r="B501" i="13" s="1"/>
  <c r="H110" i="13"/>
  <c r="D110" i="13"/>
  <c r="H112" i="13"/>
  <c r="D112" i="13"/>
  <c r="H113" i="13"/>
  <c r="D113" i="13"/>
  <c r="H500" i="13"/>
  <c r="C500" i="13" s="1"/>
  <c r="B500" i="13" s="1"/>
  <c r="D500" i="13"/>
  <c r="H111" i="13"/>
  <c r="C111" i="13" s="1"/>
  <c r="B111" i="13" s="1"/>
  <c r="D111" i="13"/>
  <c r="H499" i="13"/>
  <c r="D499" i="13"/>
  <c r="C499" i="13" s="1"/>
  <c r="H116" i="13"/>
  <c r="C116" i="13" s="1"/>
  <c r="B116" i="13" s="1"/>
  <c r="D116" i="13"/>
  <c r="H117" i="13"/>
  <c r="D117" i="13"/>
  <c r="C117" i="13"/>
  <c r="B117" i="13" s="1"/>
  <c r="H120" i="13"/>
  <c r="D120" i="13"/>
  <c r="H126" i="13"/>
  <c r="D126" i="13"/>
  <c r="H504" i="13"/>
  <c r="D504" i="13"/>
  <c r="H505" i="13"/>
  <c r="C505" i="13" s="1"/>
  <c r="D505" i="13"/>
  <c r="H114" i="13"/>
  <c r="D114" i="13"/>
  <c r="H498" i="13"/>
  <c r="D498" i="13"/>
  <c r="H128" i="13"/>
  <c r="D128" i="13"/>
  <c r="H497" i="13"/>
  <c r="D497" i="13"/>
  <c r="C497" i="13"/>
  <c r="H119" i="13"/>
  <c r="C119" i="13" s="1"/>
  <c r="B119" i="13" s="1"/>
  <c r="D119" i="13"/>
  <c r="H127" i="13"/>
  <c r="D127" i="13"/>
  <c r="C127" i="13" s="1"/>
  <c r="B127" i="13" s="1"/>
  <c r="H115" i="13"/>
  <c r="C115" i="13" s="1"/>
  <c r="B115" i="13" s="1"/>
  <c r="D115" i="13"/>
  <c r="H118" i="13"/>
  <c r="D118" i="13"/>
  <c r="H506" i="13"/>
  <c r="C506" i="13" s="1"/>
  <c r="B506" i="13" s="1"/>
  <c r="D506" i="13"/>
  <c r="H121" i="13"/>
  <c r="D121" i="13"/>
  <c r="C121" i="13" s="1"/>
  <c r="B121" i="13" s="1"/>
  <c r="H122" i="13"/>
  <c r="C122" i="13" s="1"/>
  <c r="B122" i="13" s="1"/>
  <c r="D122" i="13"/>
  <c r="H502" i="13"/>
  <c r="D502" i="13"/>
  <c r="H503" i="13"/>
  <c r="C503" i="13" s="1"/>
  <c r="D503" i="13"/>
  <c r="H58" i="13"/>
  <c r="D58" i="13"/>
  <c r="C58" i="13"/>
  <c r="B58" i="13" s="1"/>
  <c r="H59" i="13"/>
  <c r="D59" i="13"/>
  <c r="H60" i="13"/>
  <c r="C60" i="13" s="1"/>
  <c r="B60" i="13" s="1"/>
  <c r="D60" i="13"/>
  <c r="H61" i="13"/>
  <c r="D61" i="13"/>
  <c r="H381" i="13"/>
  <c r="C381" i="13" s="1"/>
  <c r="D381" i="13"/>
  <c r="H382" i="13"/>
  <c r="D382" i="13"/>
  <c r="H383" i="13"/>
  <c r="C383" i="13" s="1"/>
  <c r="D383" i="13"/>
  <c r="H384" i="13"/>
  <c r="D384" i="13"/>
  <c r="H385" i="13"/>
  <c r="D385" i="13"/>
  <c r="C385" i="13"/>
  <c r="H372" i="13"/>
  <c r="C372" i="13" s="1"/>
  <c r="D372" i="13"/>
  <c r="H373" i="13"/>
  <c r="D373" i="13"/>
  <c r="H374" i="13"/>
  <c r="C374" i="13" s="1"/>
  <c r="D374" i="13"/>
  <c r="H375" i="13"/>
  <c r="D375" i="13"/>
  <c r="C375" i="13"/>
  <c r="H376" i="13"/>
  <c r="C376" i="13" s="1"/>
  <c r="D376" i="13"/>
  <c r="H347" i="13"/>
  <c r="D347" i="13"/>
  <c r="H348" i="13"/>
  <c r="C348" i="13" s="1"/>
  <c r="D348" i="13"/>
  <c r="H53" i="13"/>
  <c r="C53" i="13" s="1"/>
  <c r="B53" i="13" s="1"/>
  <c r="D53" i="13"/>
  <c r="H54" i="13"/>
  <c r="D54" i="13"/>
  <c r="H55" i="13"/>
  <c r="C55" i="13" s="1"/>
  <c r="B55" i="13" s="1"/>
  <c r="D55" i="13"/>
  <c r="H56" i="13"/>
  <c r="D56" i="13"/>
  <c r="H57" i="13"/>
  <c r="D57" i="13"/>
  <c r="C57" i="13"/>
  <c r="B57" i="13"/>
  <c r="H38" i="13"/>
  <c r="C38" i="13" s="1"/>
  <c r="B38" i="13" s="1"/>
  <c r="D38" i="13"/>
  <c r="H39" i="13"/>
  <c r="D39" i="13"/>
  <c r="H40" i="13"/>
  <c r="C40" i="13" s="1"/>
  <c r="B40" i="13" s="1"/>
  <c r="D40" i="13"/>
  <c r="H41" i="13"/>
  <c r="C41" i="13" s="1"/>
  <c r="B41" i="13" s="1"/>
  <c r="D41" i="13"/>
  <c r="H49" i="13"/>
  <c r="C49" i="13" s="1"/>
  <c r="B49" i="13" s="1"/>
  <c r="D49" i="13"/>
  <c r="H50" i="13"/>
  <c r="C50" i="13" s="1"/>
  <c r="B50" i="13" s="1"/>
  <c r="D50" i="13"/>
  <c r="H51" i="13"/>
  <c r="C51" i="13" s="1"/>
  <c r="B51" i="13" s="1"/>
  <c r="D51" i="13"/>
  <c r="H52" i="13"/>
  <c r="D52" i="13"/>
  <c r="C52" i="13"/>
  <c r="B52" i="13" s="1"/>
  <c r="H74" i="13"/>
  <c r="C74" i="13" s="1"/>
  <c r="B74" i="13" s="1"/>
  <c r="D74" i="13"/>
  <c r="H75" i="13"/>
  <c r="C75" i="13" s="1"/>
  <c r="B75" i="13" s="1"/>
  <c r="D75" i="13"/>
  <c r="H76" i="13"/>
  <c r="C76" i="13" s="1"/>
  <c r="B76" i="13" s="1"/>
  <c r="D76" i="13"/>
  <c r="H77" i="13"/>
  <c r="C77" i="13" s="1"/>
  <c r="B77" i="13" s="1"/>
  <c r="D77" i="13"/>
  <c r="H78" i="13"/>
  <c r="C78" i="13" s="1"/>
  <c r="B78" i="13" s="1"/>
  <c r="D78" i="13"/>
  <c r="H377" i="13"/>
  <c r="C377" i="13" s="1"/>
  <c r="D377" i="13"/>
  <c r="H378" i="13"/>
  <c r="C378" i="13" s="1"/>
  <c r="D378" i="13"/>
  <c r="H379" i="13"/>
  <c r="D379" i="13"/>
  <c r="C379" i="13"/>
  <c r="H380" i="13"/>
  <c r="C380" i="13" s="1"/>
  <c r="D380" i="13"/>
  <c r="H86" i="13"/>
  <c r="D86" i="13"/>
  <c r="H87" i="13"/>
  <c r="C87" i="13" s="1"/>
  <c r="B87" i="13" s="1"/>
  <c r="D87" i="13"/>
  <c r="H88" i="13"/>
  <c r="D88" i="13"/>
  <c r="C88" i="13" s="1"/>
  <c r="B88" i="13" s="1"/>
  <c r="H89" i="13"/>
  <c r="D89" i="13"/>
  <c r="H90" i="13"/>
  <c r="C90" i="13" s="1"/>
  <c r="B90" i="13" s="1"/>
  <c r="D90" i="13"/>
  <c r="H359" i="13"/>
  <c r="D359" i="13"/>
  <c r="H360" i="13"/>
  <c r="C360" i="13" s="1"/>
  <c r="D360" i="13"/>
  <c r="H361" i="13"/>
  <c r="C361" i="13" s="1"/>
  <c r="D361" i="13"/>
  <c r="H362" i="13"/>
  <c r="C362" i="13" s="1"/>
  <c r="D362" i="13"/>
  <c r="H363" i="13"/>
  <c r="C363" i="13" s="1"/>
  <c r="D363" i="13"/>
  <c r="H15" i="13"/>
  <c r="D15" i="13"/>
  <c r="C15" i="13"/>
  <c r="B15" i="13" s="1"/>
  <c r="H16" i="13"/>
  <c r="C16" i="13" s="1"/>
  <c r="B16" i="13" s="1"/>
  <c r="D16" i="13"/>
  <c r="H17" i="13"/>
  <c r="C17" i="13" s="1"/>
  <c r="B17" i="13" s="1"/>
  <c r="D17" i="13"/>
  <c r="H18" i="13"/>
  <c r="C18" i="13" s="1"/>
  <c r="B18" i="13" s="1"/>
  <c r="D18" i="13"/>
  <c r="H364" i="13"/>
  <c r="C364" i="13" s="1"/>
  <c r="D364" i="13"/>
  <c r="H365" i="13"/>
  <c r="D365" i="13"/>
  <c r="H366" i="13"/>
  <c r="C366" i="13" s="1"/>
  <c r="D366" i="13"/>
  <c r="H367" i="13"/>
  <c r="D367" i="13"/>
  <c r="H354" i="13"/>
  <c r="C354" i="13" s="1"/>
  <c r="D354" i="13"/>
  <c r="H355" i="13"/>
  <c r="C355" i="13" s="1"/>
  <c r="D355" i="13"/>
  <c r="H356" i="13"/>
  <c r="C356" i="13" s="1"/>
  <c r="D356" i="13"/>
  <c r="H357" i="13"/>
  <c r="D357" i="13"/>
  <c r="H358" i="13"/>
  <c r="D358" i="13"/>
  <c r="C358" i="13"/>
  <c r="H338" i="13"/>
  <c r="C338" i="13" s="1"/>
  <c r="D338" i="13"/>
  <c r="H339" i="13"/>
  <c r="D339" i="13"/>
  <c r="H340" i="13"/>
  <c r="D340" i="13"/>
  <c r="H341" i="13"/>
  <c r="D341" i="13"/>
  <c r="C341" i="13" s="1"/>
  <c r="H386" i="13"/>
  <c r="C386" i="13" s="1"/>
  <c r="D386" i="13"/>
  <c r="H387" i="13"/>
  <c r="C387" i="13" s="1"/>
  <c r="D387" i="13"/>
  <c r="H388" i="13"/>
  <c r="D388" i="13"/>
  <c r="H389" i="13"/>
  <c r="C389" i="13" s="1"/>
  <c r="D389" i="13"/>
  <c r="H70" i="13"/>
  <c r="D70" i="13"/>
  <c r="H71" i="13"/>
  <c r="C71" i="13" s="1"/>
  <c r="B71" i="13" s="1"/>
  <c r="D71" i="13"/>
  <c r="H72" i="13"/>
  <c r="D72" i="13"/>
  <c r="H73" i="13"/>
  <c r="C73" i="13" s="1"/>
  <c r="B73" i="13" s="1"/>
  <c r="D73" i="13"/>
  <c r="H42" i="13"/>
  <c r="C42" i="13" s="1"/>
  <c r="B42" i="13" s="1"/>
  <c r="D42" i="13"/>
  <c r="H43" i="13"/>
  <c r="D43" i="13"/>
  <c r="H44" i="13"/>
  <c r="D44" i="13"/>
  <c r="H45" i="13"/>
  <c r="D45" i="13"/>
  <c r="C45" i="13" s="1"/>
  <c r="B45" i="13" s="1"/>
  <c r="H329" i="13"/>
  <c r="D329" i="13"/>
  <c r="H330" i="13"/>
  <c r="C330" i="13" s="1"/>
  <c r="B330" i="13" s="1"/>
  <c r="D330" i="13"/>
  <c r="H331" i="13"/>
  <c r="D331" i="13"/>
  <c r="H332" i="13"/>
  <c r="C332" i="13" s="1"/>
  <c r="B332" i="13" s="1"/>
  <c r="D332" i="13"/>
  <c r="H333" i="13"/>
  <c r="C333" i="13" s="1"/>
  <c r="B333" i="13" s="1"/>
  <c r="D333" i="13"/>
  <c r="H66" i="13"/>
  <c r="C66" i="13" s="1"/>
  <c r="B66" i="13" s="1"/>
  <c r="D66" i="13"/>
  <c r="H67" i="13"/>
  <c r="C67" i="13" s="1"/>
  <c r="B67" i="13" s="1"/>
  <c r="D67" i="13"/>
  <c r="H68" i="13"/>
  <c r="D68" i="13"/>
  <c r="C68" i="13" s="1"/>
  <c r="B68" i="13" s="1"/>
  <c r="H69" i="13"/>
  <c r="C69" i="13" s="1"/>
  <c r="B69" i="13" s="1"/>
  <c r="D69" i="13"/>
  <c r="H24" i="13"/>
  <c r="C24" i="13" s="1"/>
  <c r="B24" i="13" s="1"/>
  <c r="D24" i="13"/>
  <c r="H25" i="13"/>
  <c r="C25" i="13" s="1"/>
  <c r="B25" i="13" s="1"/>
  <c r="D25" i="13"/>
  <c r="H26" i="13"/>
  <c r="C26" i="13" s="1"/>
  <c r="B26" i="13" s="1"/>
  <c r="D26" i="13"/>
  <c r="H27" i="13"/>
  <c r="C27" i="13" s="1"/>
  <c r="B27" i="13" s="1"/>
  <c r="D27" i="13"/>
  <c r="H28" i="13"/>
  <c r="C28" i="13" s="1"/>
  <c r="B28" i="13" s="1"/>
  <c r="D28" i="13"/>
  <c r="H79" i="13"/>
  <c r="C79" i="13" s="1"/>
  <c r="B79" i="13" s="1"/>
  <c r="D79" i="13"/>
  <c r="H80" i="13"/>
  <c r="D80" i="13"/>
  <c r="C80" i="13"/>
  <c r="B80" i="13" s="1"/>
  <c r="H349" i="13"/>
  <c r="C349" i="13" s="1"/>
  <c r="D349" i="13"/>
  <c r="H350" i="13"/>
  <c r="C350" i="13" s="1"/>
  <c r="D350" i="13"/>
  <c r="H351" i="13"/>
  <c r="D351" i="13"/>
  <c r="C351" i="13" s="1"/>
  <c r="H352" i="13"/>
  <c r="D352" i="13"/>
  <c r="C352" i="13"/>
  <c r="H353" i="13"/>
  <c r="C353" i="13" s="1"/>
  <c r="D353" i="13"/>
  <c r="H81" i="13"/>
  <c r="C81" i="13" s="1"/>
  <c r="B81" i="13" s="1"/>
  <c r="D81" i="13"/>
  <c r="H82" i="13"/>
  <c r="D82" i="13"/>
  <c r="H62" i="13"/>
  <c r="C62" i="13" s="1"/>
  <c r="B62" i="13" s="1"/>
  <c r="D62" i="13"/>
  <c r="H63" i="13"/>
  <c r="D63" i="13"/>
  <c r="C63" i="13" s="1"/>
  <c r="B63" i="13" s="1"/>
  <c r="H64" i="13"/>
  <c r="C64" i="13" s="1"/>
  <c r="B64" i="13" s="1"/>
  <c r="D64" i="13"/>
  <c r="H65" i="13"/>
  <c r="C65" i="13" s="1"/>
  <c r="B65" i="13" s="1"/>
  <c r="D65" i="13"/>
  <c r="H83" i="13"/>
  <c r="D83" i="13"/>
  <c r="C83" i="13"/>
  <c r="B83" i="13" s="1"/>
  <c r="H84" i="13"/>
  <c r="C84" i="13" s="1"/>
  <c r="B84" i="13" s="1"/>
  <c r="D84" i="13"/>
  <c r="H85" i="13"/>
  <c r="C85" i="13" s="1"/>
  <c r="B85" i="13" s="1"/>
  <c r="D85" i="13"/>
  <c r="H334" i="13"/>
  <c r="D334" i="13"/>
  <c r="H335" i="13"/>
  <c r="C335" i="13" s="1"/>
  <c r="D335" i="13"/>
  <c r="H336" i="13"/>
  <c r="D336" i="13"/>
  <c r="H337" i="13"/>
  <c r="C337" i="13" s="1"/>
  <c r="D337" i="13"/>
  <c r="H368" i="13"/>
  <c r="D368" i="13"/>
  <c r="H369" i="13"/>
  <c r="C369" i="13" s="1"/>
  <c r="D369" i="13"/>
  <c r="H370" i="13"/>
  <c r="C370" i="13" s="1"/>
  <c r="D370" i="13"/>
  <c r="H371" i="13"/>
  <c r="D371" i="13"/>
  <c r="H403" i="13"/>
  <c r="C403" i="13" s="1"/>
  <c r="D403" i="13"/>
  <c r="H404" i="13"/>
  <c r="D404" i="13"/>
  <c r="C404" i="13" s="1"/>
  <c r="H405" i="13"/>
  <c r="C405" i="13" s="1"/>
  <c r="D405" i="13"/>
  <c r="H406" i="13"/>
  <c r="C406" i="13" s="1"/>
  <c r="D406" i="13"/>
  <c r="H407" i="13"/>
  <c r="D407" i="13"/>
  <c r="C407" i="13"/>
  <c r="H29" i="13"/>
  <c r="C29" i="13" s="1"/>
  <c r="B29" i="13" s="1"/>
  <c r="D29" i="13"/>
  <c r="H30" i="13"/>
  <c r="C30" i="13" s="1"/>
  <c r="B30" i="13" s="1"/>
  <c r="D30" i="13"/>
  <c r="H31" i="13"/>
  <c r="D31" i="13"/>
  <c r="C31" i="13"/>
  <c r="B31" i="13" s="1"/>
  <c r="H32" i="13"/>
  <c r="C32" i="13" s="1"/>
  <c r="B32" i="13" s="1"/>
  <c r="D32" i="13"/>
  <c r="H395" i="13"/>
  <c r="C395" i="13" s="1"/>
  <c r="D395" i="13"/>
  <c r="H396" i="13"/>
  <c r="D396" i="13"/>
  <c r="C396" i="13" s="1"/>
  <c r="H397" i="13"/>
  <c r="D397" i="13"/>
  <c r="C397" i="13"/>
  <c r="H398" i="13"/>
  <c r="C398" i="13" s="1"/>
  <c r="D398" i="13"/>
  <c r="H390" i="13"/>
  <c r="C390" i="13" s="1"/>
  <c r="D390" i="13"/>
  <c r="H391" i="13"/>
  <c r="D391" i="13"/>
  <c r="C391" i="13"/>
  <c r="H392" i="13"/>
  <c r="C392" i="13" s="1"/>
  <c r="D392" i="13"/>
  <c r="H393" i="13"/>
  <c r="D393" i="13"/>
  <c r="H394" i="13"/>
  <c r="D394" i="13"/>
  <c r="C394" i="13" s="1"/>
  <c r="H33" i="13"/>
  <c r="C33" i="13" s="1"/>
  <c r="B33" i="13" s="1"/>
  <c r="D33" i="13"/>
  <c r="H34" i="13"/>
  <c r="C34" i="13" s="1"/>
  <c r="B34" i="13" s="1"/>
  <c r="D34" i="13"/>
  <c r="H35" i="13"/>
  <c r="D35" i="13"/>
  <c r="C35" i="13" s="1"/>
  <c r="B35" i="13" s="1"/>
  <c r="H36" i="13"/>
  <c r="C36" i="13" s="1"/>
  <c r="B36" i="13" s="1"/>
  <c r="D36" i="13"/>
  <c r="H37" i="13"/>
  <c r="D37" i="13"/>
  <c r="C37" i="13" s="1"/>
  <c r="B37" i="13" s="1"/>
  <c r="H342" i="13"/>
  <c r="C342" i="13" s="1"/>
  <c r="D342" i="13"/>
  <c r="H343" i="13"/>
  <c r="D343" i="13"/>
  <c r="C343" i="13"/>
  <c r="H344" i="13"/>
  <c r="D344" i="13"/>
  <c r="C344" i="13"/>
  <c r="H345" i="13"/>
  <c r="C345" i="13" s="1"/>
  <c r="D345" i="13"/>
  <c r="H346" i="13"/>
  <c r="D346" i="13"/>
  <c r="C346" i="13"/>
  <c r="H399" i="13"/>
  <c r="D399" i="13"/>
  <c r="H400" i="13"/>
  <c r="D400" i="13"/>
  <c r="C400" i="13" s="1"/>
  <c r="H401" i="13"/>
  <c r="D401" i="13"/>
  <c r="H402" i="13"/>
  <c r="D402" i="13"/>
  <c r="H325" i="13"/>
  <c r="D325" i="13"/>
  <c r="H326" i="13"/>
  <c r="D326" i="13"/>
  <c r="H327" i="13"/>
  <c r="D327" i="13"/>
  <c r="H328" i="13"/>
  <c r="C328" i="13" s="1"/>
  <c r="B328" i="13" s="1"/>
  <c r="D328" i="13"/>
  <c r="H46" i="13"/>
  <c r="D46" i="13"/>
  <c r="H47" i="13"/>
  <c r="D47" i="13"/>
  <c r="C47" i="13" s="1"/>
  <c r="B47" i="13" s="1"/>
  <c r="H48" i="13"/>
  <c r="C48" i="13" s="1"/>
  <c r="B48" i="13" s="1"/>
  <c r="D48" i="13"/>
  <c r="H421" i="13"/>
  <c r="D421" i="13"/>
  <c r="C421" i="13"/>
  <c r="H422" i="13"/>
  <c r="C422" i="13" s="1"/>
  <c r="D422" i="13"/>
  <c r="H443" i="13"/>
  <c r="D443" i="13"/>
  <c r="C443" i="13" s="1"/>
  <c r="H444" i="13"/>
  <c r="C444" i="13" s="1"/>
  <c r="D444" i="13"/>
  <c r="H445" i="13"/>
  <c r="D445" i="13"/>
  <c r="C445" i="13" s="1"/>
  <c r="H446" i="13"/>
  <c r="D446" i="13"/>
  <c r="H447" i="13"/>
  <c r="D447" i="13"/>
  <c r="H268" i="13"/>
  <c r="D268" i="13"/>
  <c r="H269" i="13"/>
  <c r="D269" i="13"/>
  <c r="H270" i="13"/>
  <c r="C270" i="13" s="1"/>
  <c r="B270" i="13" s="1"/>
  <c r="D270" i="13"/>
  <c r="H271" i="13"/>
  <c r="D271" i="13"/>
  <c r="H272" i="13"/>
  <c r="C272" i="13" s="1"/>
  <c r="B272" i="13" s="1"/>
  <c r="D272" i="13"/>
  <c r="H273" i="13"/>
  <c r="D273" i="13"/>
  <c r="C273" i="13"/>
  <c r="B273" i="13" s="1"/>
  <c r="H274" i="13"/>
  <c r="D274" i="13"/>
  <c r="H260" i="13"/>
  <c r="D260" i="13"/>
  <c r="C260" i="13" s="1"/>
  <c r="B260" i="13" s="1"/>
  <c r="H261" i="13"/>
  <c r="D261" i="13"/>
  <c r="H262" i="13"/>
  <c r="D262" i="13"/>
  <c r="C262" i="13" s="1"/>
  <c r="B262" i="13" s="1"/>
  <c r="H263" i="13"/>
  <c r="C263" i="13" s="1"/>
  <c r="B263" i="13" s="1"/>
  <c r="D263" i="13"/>
  <c r="H408" i="13"/>
  <c r="D408" i="13"/>
  <c r="H409" i="13"/>
  <c r="C409" i="13" s="1"/>
  <c r="D409" i="13"/>
  <c r="H410" i="13"/>
  <c r="C410" i="13" s="1"/>
  <c r="D410" i="13"/>
  <c r="H411" i="13"/>
  <c r="D411" i="13"/>
  <c r="H412" i="13"/>
  <c r="D412" i="13"/>
  <c r="C412" i="13" s="1"/>
  <c r="H413" i="13"/>
  <c r="D413" i="13"/>
  <c r="H414" i="13"/>
  <c r="D414" i="13"/>
  <c r="H415" i="13"/>
  <c r="D415" i="13"/>
  <c r="H294" i="13"/>
  <c r="D294" i="13"/>
  <c r="C294" i="13" s="1"/>
  <c r="B294" i="13" s="1"/>
  <c r="H295" i="13"/>
  <c r="D295" i="13"/>
  <c r="H296" i="13"/>
  <c r="C296" i="13" s="1"/>
  <c r="B296" i="13" s="1"/>
  <c r="D296" i="13"/>
  <c r="H297" i="13"/>
  <c r="D297" i="13"/>
  <c r="H298" i="13"/>
  <c r="D298" i="13"/>
  <c r="H299" i="13"/>
  <c r="C299" i="13" s="1"/>
  <c r="B299" i="13" s="1"/>
  <c r="D299" i="13"/>
  <c r="H300" i="13"/>
  <c r="C300" i="13" s="1"/>
  <c r="B300" i="13" s="1"/>
  <c r="D300" i="13"/>
  <c r="H301" i="13"/>
  <c r="D301" i="13"/>
  <c r="H302" i="13"/>
  <c r="D302" i="13"/>
  <c r="H285" i="13"/>
  <c r="D285" i="13"/>
  <c r="C285" i="13" s="1"/>
  <c r="B285" i="13" s="1"/>
  <c r="H286" i="13"/>
  <c r="D286" i="13"/>
  <c r="C286" i="13" s="1"/>
  <c r="B286" i="13" s="1"/>
  <c r="H287" i="13"/>
  <c r="D287" i="13"/>
  <c r="H288" i="13"/>
  <c r="D288" i="13"/>
  <c r="H289" i="13"/>
  <c r="D289" i="13"/>
  <c r="C289" i="13" s="1"/>
  <c r="B289" i="13" s="1"/>
  <c r="H458" i="13"/>
  <c r="D458" i="13"/>
  <c r="C458" i="13" s="1"/>
  <c r="H459" i="13"/>
  <c r="D459" i="13"/>
  <c r="H460" i="13"/>
  <c r="D460" i="13"/>
  <c r="H461" i="13"/>
  <c r="D461" i="13"/>
  <c r="C461" i="13" s="1"/>
  <c r="H462" i="13"/>
  <c r="D462" i="13"/>
  <c r="C462" i="13" s="1"/>
  <c r="H428" i="13"/>
  <c r="D428" i="13"/>
  <c r="H429" i="13"/>
  <c r="D429" i="13"/>
  <c r="C429" i="13" s="1"/>
  <c r="H430" i="13"/>
  <c r="D430" i="13"/>
  <c r="C430" i="13" s="1"/>
  <c r="H431" i="13"/>
  <c r="D431" i="13"/>
  <c r="C431" i="13" s="1"/>
  <c r="H432" i="13"/>
  <c r="D432" i="13"/>
  <c r="H2" i="13"/>
  <c r="D2" i="13"/>
  <c r="C2" i="13" s="1"/>
  <c r="B2" i="13" s="1"/>
  <c r="H3" i="13"/>
  <c r="C3" i="13" s="1"/>
  <c r="B3" i="13" s="1"/>
  <c r="D3" i="13"/>
  <c r="H4" i="13"/>
  <c r="C4" i="13" s="1"/>
  <c r="B4" i="13" s="1"/>
  <c r="D4" i="13"/>
  <c r="H5" i="13"/>
  <c r="D5" i="13"/>
  <c r="H303" i="13"/>
  <c r="D303" i="13"/>
  <c r="C303" i="13" s="1"/>
  <c r="B303" i="13" s="1"/>
  <c r="H304" i="13"/>
  <c r="D304" i="13"/>
  <c r="C304" i="13" s="1"/>
  <c r="B304" i="13" s="1"/>
  <c r="H305" i="13"/>
  <c r="D305" i="13"/>
  <c r="C305" i="13" s="1"/>
  <c r="B305" i="13" s="1"/>
  <c r="H306" i="13"/>
  <c r="D306" i="13"/>
  <c r="H275" i="13"/>
  <c r="D275" i="13"/>
  <c r="C275" i="13" s="1"/>
  <c r="B275" i="13" s="1"/>
  <c r="H276" i="13"/>
  <c r="D276" i="13"/>
  <c r="C276" i="13" s="1"/>
  <c r="B276" i="13" s="1"/>
  <c r="H277" i="13"/>
  <c r="D277" i="13"/>
  <c r="C277" i="13" s="1"/>
  <c r="B277" i="13" s="1"/>
  <c r="H278" i="13"/>
  <c r="D278" i="13"/>
  <c r="H279" i="13"/>
  <c r="D279" i="13"/>
  <c r="C279" i="13" s="1"/>
  <c r="B279" i="13" s="1"/>
  <c r="H280" i="13"/>
  <c r="D280" i="13"/>
  <c r="H281" i="13"/>
  <c r="D281" i="13"/>
  <c r="H282" i="13"/>
  <c r="D282" i="13"/>
  <c r="H283" i="13"/>
  <c r="D283" i="13"/>
  <c r="H284" i="13"/>
  <c r="D284" i="13"/>
  <c r="H252" i="13"/>
  <c r="D252" i="13"/>
  <c r="C252" i="13" s="1"/>
  <c r="B252" i="13" s="1"/>
  <c r="H253" i="13"/>
  <c r="D253" i="13"/>
  <c r="H254" i="13"/>
  <c r="D254" i="13"/>
  <c r="C254" i="13" s="1"/>
  <c r="B254" i="13" s="1"/>
  <c r="H255" i="13"/>
  <c r="D255" i="13"/>
  <c r="C255" i="13" s="1"/>
  <c r="B255" i="13" s="1"/>
  <c r="H256" i="13"/>
  <c r="D256" i="13"/>
  <c r="H448" i="13"/>
  <c r="D448" i="13"/>
  <c r="H449" i="13"/>
  <c r="D449" i="13"/>
  <c r="H450" i="13"/>
  <c r="D450" i="13"/>
  <c r="H451" i="13"/>
  <c r="D451" i="13"/>
  <c r="H452" i="13"/>
  <c r="D452" i="13"/>
  <c r="H257" i="13"/>
  <c r="D257" i="13"/>
  <c r="H258" i="13"/>
  <c r="D258" i="13"/>
  <c r="H259" i="13"/>
  <c r="D259" i="13"/>
  <c r="H466" i="13"/>
  <c r="C466" i="13" s="1"/>
  <c r="D466" i="13"/>
  <c r="H463" i="13"/>
  <c r="D463" i="13"/>
  <c r="H464" i="13"/>
  <c r="D464" i="13"/>
  <c r="C464" i="13"/>
  <c r="H465" i="13"/>
  <c r="D465" i="13"/>
  <c r="C465" i="13" s="1"/>
  <c r="H467" i="13"/>
  <c r="D467" i="13"/>
  <c r="H453" i="13"/>
  <c r="D453" i="13"/>
  <c r="H454" i="13"/>
  <c r="C454" i="13" s="1"/>
  <c r="D454" i="13"/>
  <c r="H455" i="13"/>
  <c r="D455" i="13"/>
  <c r="C455" i="13"/>
  <c r="H456" i="13"/>
  <c r="D456" i="13"/>
  <c r="H457" i="13"/>
  <c r="C457" i="13" s="1"/>
  <c r="D457" i="13"/>
  <c r="H264" i="13"/>
  <c r="C264" i="13" s="1"/>
  <c r="B264" i="13" s="1"/>
  <c r="D264" i="13"/>
  <c r="H265" i="13"/>
  <c r="D265" i="13"/>
  <c r="H266" i="13"/>
  <c r="D266" i="13"/>
  <c r="H267" i="13"/>
  <c r="C267" i="13" s="1"/>
  <c r="B267" i="13" s="1"/>
  <c r="D267" i="13"/>
  <c r="H433" i="13"/>
  <c r="D433" i="13"/>
  <c r="H434" i="13"/>
  <c r="D434" i="13"/>
  <c r="H435" i="13"/>
  <c r="C435" i="13" s="1"/>
  <c r="D435" i="13"/>
  <c r="H436" i="13"/>
  <c r="C436" i="13" s="1"/>
  <c r="D436" i="13"/>
  <c r="H437" i="13"/>
  <c r="C437" i="13" s="1"/>
  <c r="D437" i="13"/>
  <c r="H307" i="13"/>
  <c r="D307" i="13"/>
  <c r="C307" i="13"/>
  <c r="B307" i="13" s="1"/>
  <c r="H308" i="13"/>
  <c r="D308" i="13"/>
  <c r="C308" i="13" s="1"/>
  <c r="B308" i="13" s="1"/>
  <c r="H309" i="13"/>
  <c r="D309" i="13"/>
  <c r="H310" i="13"/>
  <c r="D310" i="13"/>
  <c r="H423" i="13"/>
  <c r="D423" i="13"/>
  <c r="C423" i="13" s="1"/>
  <c r="H424" i="13"/>
  <c r="D424" i="13"/>
  <c r="H425" i="13"/>
  <c r="C425" i="13" s="1"/>
  <c r="D425" i="13"/>
  <c r="H426" i="13"/>
  <c r="C426" i="13" s="1"/>
  <c r="D426" i="13"/>
  <c r="H427" i="13"/>
  <c r="C427" i="13" s="1"/>
  <c r="D427" i="13"/>
  <c r="H438" i="13"/>
  <c r="D438" i="13"/>
  <c r="C438" i="13" s="1"/>
  <c r="H439" i="13"/>
  <c r="D439" i="13"/>
  <c r="H440" i="13"/>
  <c r="D440" i="13"/>
  <c r="H441" i="13"/>
  <c r="C441" i="13" s="1"/>
  <c r="D441" i="13"/>
  <c r="H442" i="13"/>
  <c r="D442" i="13"/>
  <c r="H416" i="13"/>
  <c r="C416" i="13" s="1"/>
  <c r="D416" i="13"/>
  <c r="H417" i="13"/>
  <c r="C417" i="13" s="1"/>
  <c r="D417" i="13"/>
  <c r="H418" i="13"/>
  <c r="D418" i="13"/>
  <c r="C418" i="13"/>
  <c r="H419" i="13"/>
  <c r="D419" i="13"/>
  <c r="C419" i="13" s="1"/>
  <c r="H420" i="13"/>
  <c r="D420" i="13"/>
  <c r="H290" i="13"/>
  <c r="D290" i="13"/>
  <c r="H291" i="13"/>
  <c r="D291" i="13"/>
  <c r="C291" i="13" s="1"/>
  <c r="B291" i="13" s="1"/>
  <c r="H292" i="13"/>
  <c r="D292" i="13"/>
  <c r="H293" i="13"/>
  <c r="C293" i="13" s="1"/>
  <c r="B293" i="13" s="1"/>
  <c r="D293" i="13"/>
  <c r="H494" i="13"/>
  <c r="C494" i="13" s="1"/>
  <c r="D494" i="13"/>
  <c r="H483" i="13"/>
  <c r="C483" i="13" s="1"/>
  <c r="D483" i="13"/>
  <c r="H173" i="13"/>
  <c r="D173" i="13"/>
  <c r="C173" i="13" s="1"/>
  <c r="B173" i="13" s="1"/>
  <c r="H174" i="13"/>
  <c r="D174" i="13"/>
  <c r="H177" i="13"/>
  <c r="D177" i="13"/>
  <c r="H19" i="13"/>
  <c r="C19" i="13" s="1"/>
  <c r="D19" i="13"/>
  <c r="H20" i="13"/>
  <c r="D20" i="13"/>
  <c r="H21" i="13"/>
  <c r="C21" i="13" s="1"/>
  <c r="B21" i="13" s="1"/>
  <c r="D21" i="13"/>
  <c r="H22" i="13"/>
  <c r="C22" i="13" s="1"/>
  <c r="B22" i="13" s="1"/>
  <c r="D22" i="13"/>
  <c r="H23" i="13"/>
  <c r="D23" i="13"/>
  <c r="C23" i="13"/>
  <c r="B23" i="13" s="1"/>
  <c r="H495" i="13"/>
  <c r="D495" i="13"/>
  <c r="C495" i="13" s="1"/>
  <c r="H496" i="13"/>
  <c r="D496" i="13"/>
  <c r="H175" i="13"/>
  <c r="D175" i="13"/>
  <c r="H176" i="13"/>
  <c r="D176" i="13"/>
  <c r="C176" i="13" s="1"/>
  <c r="B176" i="13" s="1"/>
  <c r="H488" i="13"/>
  <c r="D488" i="13"/>
  <c r="H489" i="13"/>
  <c r="C489" i="13" s="1"/>
  <c r="D489" i="13"/>
  <c r="H490" i="13"/>
  <c r="C490" i="13" s="1"/>
  <c r="D490" i="13"/>
  <c r="H491" i="13"/>
  <c r="C491" i="13" s="1"/>
  <c r="D491" i="13"/>
  <c r="H482" i="13"/>
  <c r="D482" i="13"/>
  <c r="C482" i="13" s="1"/>
  <c r="H160" i="13"/>
  <c r="D160" i="13"/>
  <c r="H158" i="13"/>
  <c r="D158" i="13"/>
  <c r="H168" i="13"/>
  <c r="C168" i="13" s="1"/>
  <c r="D168" i="13"/>
  <c r="H169" i="13"/>
  <c r="D169" i="13"/>
  <c r="H170" i="13"/>
  <c r="C170" i="13" s="1"/>
  <c r="B170" i="13" s="1"/>
  <c r="D170" i="13"/>
  <c r="H171" i="13"/>
  <c r="C171" i="13" s="1"/>
  <c r="B171" i="13" s="1"/>
  <c r="D171" i="13"/>
  <c r="H172" i="13"/>
  <c r="D172" i="13"/>
  <c r="C172" i="13"/>
  <c r="B172" i="13" s="1"/>
  <c r="H164" i="13"/>
  <c r="D164" i="13"/>
  <c r="C164" i="13" s="1"/>
  <c r="B164" i="13" s="1"/>
  <c r="H165" i="13"/>
  <c r="D165" i="13"/>
  <c r="H166" i="13"/>
  <c r="D166" i="13"/>
  <c r="H167" i="13"/>
  <c r="D167" i="13"/>
  <c r="C167" i="13" s="1"/>
  <c r="B167" i="13" s="1"/>
  <c r="H492" i="13"/>
  <c r="D492" i="13"/>
  <c r="H493" i="13"/>
  <c r="C493" i="13" s="1"/>
  <c r="D493" i="13"/>
  <c r="H161" i="13"/>
  <c r="C161" i="13" s="1"/>
  <c r="B161" i="13" s="1"/>
  <c r="D161" i="13"/>
  <c r="H129" i="13"/>
  <c r="C129" i="13" s="1"/>
  <c r="D129" i="13"/>
  <c r="H162" i="13"/>
  <c r="D162" i="13"/>
  <c r="C162" i="13" s="1"/>
  <c r="B162" i="13" s="1"/>
  <c r="H163" i="13"/>
  <c r="D163" i="13"/>
  <c r="H249" i="13"/>
  <c r="D249" i="13"/>
  <c r="H250" i="13"/>
  <c r="C250" i="13" s="1"/>
  <c r="B250" i="13" s="1"/>
  <c r="D250" i="13"/>
  <c r="H251" i="13"/>
  <c r="D251" i="13"/>
  <c r="H159" i="13"/>
  <c r="C159" i="13" s="1"/>
  <c r="B159" i="13" s="1"/>
  <c r="D159" i="13"/>
  <c r="H130" i="13"/>
  <c r="C130" i="13" s="1"/>
  <c r="B130" i="13" s="1"/>
  <c r="D130" i="13"/>
  <c r="H131" i="13"/>
  <c r="D131" i="13"/>
  <c r="C131" i="13"/>
  <c r="B131" i="13" s="1"/>
  <c r="H132" i="13"/>
  <c r="D132" i="13"/>
  <c r="C132" i="13" s="1"/>
  <c r="B132" i="13" s="1"/>
  <c r="H133" i="13"/>
  <c r="D133" i="13"/>
  <c r="H134" i="13"/>
  <c r="D134" i="13"/>
  <c r="H135" i="13"/>
  <c r="D135" i="13"/>
  <c r="C135" i="13" s="1"/>
  <c r="B135" i="13" s="1"/>
  <c r="H136" i="13"/>
  <c r="D136" i="13"/>
  <c r="H137" i="13"/>
  <c r="C137" i="13" s="1"/>
  <c r="B137" i="13" s="1"/>
  <c r="D137" i="13"/>
  <c r="H154" i="13"/>
  <c r="C154" i="13" s="1"/>
  <c r="D154" i="13"/>
  <c r="H155" i="13"/>
  <c r="C155" i="13" s="1"/>
  <c r="B155" i="13" s="1"/>
  <c r="D155" i="13"/>
  <c r="H156" i="13"/>
  <c r="D156" i="13"/>
  <c r="C156" i="13" s="1"/>
  <c r="B156" i="13" s="1"/>
  <c r="H157" i="13"/>
  <c r="D157" i="13"/>
  <c r="H138" i="13"/>
  <c r="D138" i="13"/>
  <c r="H139" i="13"/>
  <c r="C139" i="13" s="1"/>
  <c r="B139" i="13" s="1"/>
  <c r="D139" i="13"/>
  <c r="H140" i="13"/>
  <c r="D140" i="13"/>
  <c r="H141" i="13"/>
  <c r="C141" i="13" s="1"/>
  <c r="B141" i="13" s="1"/>
  <c r="D141" i="13"/>
  <c r="H142" i="13"/>
  <c r="C142" i="13" s="1"/>
  <c r="B142" i="13" s="1"/>
  <c r="D142" i="13"/>
  <c r="H143" i="13"/>
  <c r="D143" i="13"/>
  <c r="C143" i="13"/>
  <c r="B143" i="13" s="1"/>
  <c r="H484" i="13"/>
  <c r="F135" i="20" s="1"/>
  <c r="D484" i="13"/>
  <c r="C484" i="13" s="1"/>
  <c r="H485" i="13"/>
  <c r="D485" i="13"/>
  <c r="H486" i="13"/>
  <c r="D486" i="13"/>
  <c r="H487" i="13"/>
  <c r="D487" i="13"/>
  <c r="C487" i="13" s="1"/>
  <c r="H91" i="13"/>
  <c r="C91" i="13" s="1"/>
  <c r="D91" i="13"/>
  <c r="B24" i="20" s="1"/>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192" i="13"/>
  <c r="A193" i="13"/>
  <c r="A194" i="13"/>
  <c r="A195" i="13"/>
  <c r="A196" i="13"/>
  <c r="A197" i="13"/>
  <c r="A198" i="13"/>
  <c r="A199" i="13"/>
  <c r="A200" i="13"/>
  <c r="A201" i="13"/>
  <c r="A202" i="13"/>
  <c r="A203" i="13"/>
  <c r="A204" i="13"/>
  <c r="A205" i="13"/>
  <c r="A206" i="13"/>
  <c r="A207" i="13"/>
  <c r="A208" i="13"/>
  <c r="A209" i="13"/>
  <c r="A210" i="13"/>
  <c r="A211" i="13"/>
  <c r="A212" i="13"/>
  <c r="A213" i="13"/>
  <c r="A214" i="13"/>
  <c r="A215" i="13"/>
  <c r="A216" i="13"/>
  <c r="A217" i="13"/>
  <c r="A218" i="13"/>
  <c r="A219" i="13"/>
  <c r="A220" i="13"/>
  <c r="A221" i="13"/>
  <c r="A222" i="13"/>
  <c r="A223" i="13"/>
  <c r="A224" i="13"/>
  <c r="A225" i="13"/>
  <c r="A226" i="13"/>
  <c r="A227" i="13"/>
  <c r="A228" i="13"/>
  <c r="A229" i="13"/>
  <c r="A230" i="13"/>
  <c r="A231" i="13"/>
  <c r="A232" i="13"/>
  <c r="A233" i="13"/>
  <c r="A234" i="13"/>
  <c r="A235" i="13"/>
  <c r="A236" i="13"/>
  <c r="A237" i="13"/>
  <c r="A238" i="13"/>
  <c r="A239" i="13"/>
  <c r="A24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04" i="13"/>
  <c r="A305" i="13"/>
  <c r="A306" i="13"/>
  <c r="A307" i="13"/>
  <c r="A308" i="13"/>
  <c r="A309" i="13"/>
  <c r="A310" i="13"/>
  <c r="A311" i="13"/>
  <c r="A312" i="13"/>
  <c r="A313" i="13"/>
  <c r="A314" i="13"/>
  <c r="A315" i="13"/>
  <c r="A316" i="13"/>
  <c r="A317" i="13"/>
  <c r="A318" i="13"/>
  <c r="A319" i="13"/>
  <c r="A320" i="13"/>
  <c r="A321" i="13"/>
  <c r="A322" i="13"/>
  <c r="A323" i="13"/>
  <c r="A324" i="13"/>
  <c r="A325" i="13"/>
  <c r="A326" i="13"/>
  <c r="A327" i="13"/>
  <c r="A328" i="13"/>
  <c r="A329" i="13"/>
  <c r="A330" i="13"/>
  <c r="A331" i="13"/>
  <c r="A332" i="13"/>
  <c r="A333" i="13"/>
  <c r="A334" i="13"/>
  <c r="A335" i="13"/>
  <c r="A336" i="13"/>
  <c r="A337" i="13"/>
  <c r="A338" i="13"/>
  <c r="A339" i="13"/>
  <c r="A340" i="13"/>
  <c r="A341" i="13"/>
  <c r="A342" i="13"/>
  <c r="A343" i="13"/>
  <c r="A344" i="13"/>
  <c r="A345" i="13"/>
  <c r="A346" i="13"/>
  <c r="A347" i="13"/>
  <c r="A348" i="13"/>
  <c r="A349" i="13"/>
  <c r="A350" i="13"/>
  <c r="A351" i="13"/>
  <c r="A35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16" i="13"/>
  <c r="A417" i="13"/>
  <c r="A418" i="13"/>
  <c r="A419" i="13"/>
  <c r="A420" i="13"/>
  <c r="A421" i="13"/>
  <c r="A422" i="13"/>
  <c r="A423" i="13"/>
  <c r="A424" i="13"/>
  <c r="A425" i="13"/>
  <c r="A426" i="13"/>
  <c r="A427" i="13"/>
  <c r="A428" i="13"/>
  <c r="A429" i="13"/>
  <c r="A430" i="13"/>
  <c r="A431" i="13"/>
  <c r="A432" i="13"/>
  <c r="A433" i="13"/>
  <c r="A434" i="13"/>
  <c r="A435" i="13"/>
  <c r="A436" i="13"/>
  <c r="A437" i="13"/>
  <c r="A438" i="13"/>
  <c r="A439" i="13"/>
  <c r="A440" i="13"/>
  <c r="A441" i="13"/>
  <c r="A442" i="13"/>
  <c r="A443" i="13"/>
  <c r="A444" i="13"/>
  <c r="A445" i="13"/>
  <c r="A446" i="13"/>
  <c r="A447" i="13"/>
  <c r="A448" i="13"/>
  <c r="A449" i="13"/>
  <c r="A450" i="13"/>
  <c r="A451" i="13"/>
  <c r="A452" i="13"/>
  <c r="A453" i="13"/>
  <c r="A454" i="13"/>
  <c r="A455" i="13"/>
  <c r="A456" i="13"/>
  <c r="A457" i="13"/>
  <c r="A458" i="13"/>
  <c r="A459" i="13"/>
  <c r="A460" i="13"/>
  <c r="A461" i="13"/>
  <c r="A462" i="13"/>
  <c r="A463" i="13"/>
  <c r="A46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497" i="13"/>
  <c r="A498" i="13"/>
  <c r="A499" i="13"/>
  <c r="A500" i="13"/>
  <c r="A501" i="13"/>
  <c r="A502" i="13"/>
  <c r="A503" i="13"/>
  <c r="A504" i="13"/>
  <c r="A505" i="13"/>
  <c r="A506" i="13"/>
  <c r="A2" i="13"/>
  <c r="W2" i="21"/>
  <c r="W3" i="21"/>
  <c r="W4" i="21"/>
  <c r="W5" i="21"/>
  <c r="W6" i="21"/>
  <c r="W7" i="21"/>
  <c r="W8" i="21"/>
  <c r="W9" i="21"/>
  <c r="W10" i="21"/>
  <c r="W11" i="21"/>
  <c r="W12" i="21"/>
  <c r="W13" i="21"/>
  <c r="W14" i="21"/>
  <c r="W15" i="21"/>
  <c r="W16" i="21"/>
  <c r="W17" i="21"/>
  <c r="W18" i="21"/>
  <c r="W19" i="21"/>
  <c r="W20" i="21"/>
  <c r="W21" i="21"/>
  <c r="W22" i="21"/>
  <c r="W23" i="21"/>
  <c r="W24" i="21"/>
  <c r="W25" i="21"/>
  <c r="W26" i="21"/>
  <c r="W27" i="21"/>
  <c r="W28" i="21"/>
  <c r="W29" i="21"/>
  <c r="W30" i="21"/>
  <c r="W31" i="21"/>
  <c r="W32" i="21"/>
  <c r="W33" i="21"/>
  <c r="W34" i="21"/>
  <c r="W35" i="21"/>
  <c r="W36" i="21"/>
  <c r="W37" i="21"/>
  <c r="W38" i="21"/>
  <c r="W39" i="21"/>
  <c r="W40" i="21"/>
  <c r="W41" i="21"/>
  <c r="W42" i="21"/>
  <c r="W43" i="21"/>
  <c r="W44" i="21"/>
  <c r="W45" i="21"/>
  <c r="W46" i="21"/>
  <c r="W47" i="21"/>
  <c r="W48" i="21"/>
  <c r="W49" i="21"/>
  <c r="W50" i="21"/>
  <c r="W51" i="21"/>
  <c r="W52" i="21"/>
  <c r="W53" i="21"/>
  <c r="W54" i="21"/>
  <c r="W55" i="21"/>
  <c r="W56" i="21"/>
  <c r="W57" i="21"/>
  <c r="W58" i="21"/>
  <c r="W59" i="21"/>
  <c r="W60" i="21"/>
  <c r="W61" i="21"/>
  <c r="W62" i="21"/>
  <c r="W63" i="21"/>
  <c r="W64" i="21"/>
  <c r="W65" i="21"/>
  <c r="W66" i="21"/>
  <c r="W67" i="21"/>
  <c r="W68" i="21"/>
  <c r="W69" i="21"/>
  <c r="W70" i="21"/>
  <c r="W71" i="21"/>
  <c r="W72" i="21"/>
  <c r="W73" i="21"/>
  <c r="W74" i="21"/>
  <c r="W75" i="21"/>
  <c r="W76" i="21"/>
  <c r="W77" i="21"/>
  <c r="W78" i="21"/>
  <c r="W79" i="21"/>
  <c r="W80" i="21"/>
  <c r="W81" i="21"/>
  <c r="W82" i="21"/>
  <c r="W83" i="21"/>
  <c r="W84" i="21"/>
  <c r="W85" i="21"/>
  <c r="W86" i="21"/>
  <c r="W87" i="21"/>
  <c r="W88" i="21"/>
  <c r="W89" i="21"/>
  <c r="W90" i="21"/>
  <c r="W91" i="21"/>
  <c r="W92" i="21"/>
  <c r="W93" i="21"/>
  <c r="W94" i="21"/>
  <c r="W95" i="21"/>
  <c r="W96" i="21"/>
  <c r="W97" i="21"/>
  <c r="W98" i="21"/>
  <c r="W99" i="21"/>
  <c r="W100" i="21"/>
  <c r="W101" i="21"/>
  <c r="W102" i="21"/>
  <c r="W103" i="21"/>
  <c r="W104" i="21"/>
  <c r="W105" i="21"/>
  <c r="W106" i="21"/>
  <c r="W107" i="21"/>
  <c r="W108" i="21"/>
  <c r="W109" i="21"/>
  <c r="W110" i="21"/>
  <c r="W111" i="21"/>
  <c r="W112" i="21"/>
  <c r="W113" i="21"/>
  <c r="W114" i="21"/>
  <c r="W115" i="21"/>
  <c r="W116" i="21"/>
  <c r="W117" i="21"/>
  <c r="W118" i="21"/>
  <c r="W119" i="21"/>
  <c r="W120" i="21"/>
  <c r="W121" i="21"/>
  <c r="W122" i="21"/>
  <c r="W123" i="21"/>
  <c r="W124" i="21"/>
  <c r="W125" i="21"/>
  <c r="W126" i="21"/>
  <c r="W127" i="21"/>
  <c r="W128" i="21"/>
  <c r="W129" i="21"/>
  <c r="W130" i="21"/>
  <c r="W131" i="21"/>
  <c r="W132" i="21"/>
  <c r="W133" i="21"/>
  <c r="W134" i="21"/>
  <c r="W135" i="21"/>
  <c r="W136" i="21"/>
  <c r="W137" i="21"/>
  <c r="W138" i="21"/>
  <c r="W139" i="21"/>
  <c r="W140" i="21"/>
  <c r="W141" i="21"/>
  <c r="W142" i="21"/>
  <c r="W143" i="21"/>
  <c r="W144" i="21"/>
  <c r="W145" i="21"/>
  <c r="W146" i="21"/>
  <c r="W147" i="21"/>
  <c r="W148" i="21"/>
  <c r="W149" i="21"/>
  <c r="E86" i="20"/>
  <c r="D117" i="20"/>
  <c r="E117" i="20"/>
  <c r="H117" i="20"/>
  <c r="D138" i="20"/>
  <c r="E138" i="20"/>
  <c r="H138" i="20"/>
  <c r="D3" i="20"/>
  <c r="E3" i="20"/>
  <c r="H3" i="20"/>
  <c r="D4" i="20"/>
  <c r="E4" i="20"/>
  <c r="H4" i="20"/>
  <c r="D5" i="20"/>
  <c r="E5" i="20"/>
  <c r="H5" i="20"/>
  <c r="D6" i="20"/>
  <c r="E6" i="20"/>
  <c r="H6" i="20"/>
  <c r="D7" i="20"/>
  <c r="E7" i="20"/>
  <c r="H7" i="20"/>
  <c r="D8" i="20"/>
  <c r="E8" i="20"/>
  <c r="H8" i="20"/>
  <c r="D9" i="20"/>
  <c r="E9" i="20"/>
  <c r="H9" i="20"/>
  <c r="D10" i="20"/>
  <c r="E10" i="20"/>
  <c r="H10" i="20"/>
  <c r="D11" i="20"/>
  <c r="E11" i="20"/>
  <c r="H11" i="20"/>
  <c r="D12" i="20"/>
  <c r="E12" i="20"/>
  <c r="H12" i="20"/>
  <c r="D13" i="20"/>
  <c r="E13" i="20"/>
  <c r="H13" i="20"/>
  <c r="D14" i="20"/>
  <c r="E14" i="20"/>
  <c r="H14" i="20"/>
  <c r="D15" i="20"/>
  <c r="E15" i="20"/>
  <c r="H15" i="20"/>
  <c r="D16" i="20"/>
  <c r="E16" i="20"/>
  <c r="H16" i="20"/>
  <c r="D17" i="20"/>
  <c r="E17" i="20"/>
  <c r="H17" i="20"/>
  <c r="D18" i="20"/>
  <c r="E18" i="20"/>
  <c r="H18" i="20"/>
  <c r="D19" i="20"/>
  <c r="E19" i="20"/>
  <c r="H19" i="20"/>
  <c r="D20" i="20"/>
  <c r="E20" i="20"/>
  <c r="H20" i="20"/>
  <c r="D21" i="20"/>
  <c r="E21" i="20"/>
  <c r="H21" i="20"/>
  <c r="D22" i="20"/>
  <c r="E22" i="20"/>
  <c r="H22" i="20"/>
  <c r="D23" i="20"/>
  <c r="E23" i="20"/>
  <c r="H23" i="20"/>
  <c r="D24" i="20"/>
  <c r="E24" i="20"/>
  <c r="H24" i="20"/>
  <c r="D25" i="20"/>
  <c r="E25" i="20"/>
  <c r="H25" i="20"/>
  <c r="D26" i="20"/>
  <c r="E26" i="20"/>
  <c r="H26" i="20"/>
  <c r="D27" i="20"/>
  <c r="E27" i="20"/>
  <c r="H27" i="20"/>
  <c r="D28" i="20"/>
  <c r="E28" i="20"/>
  <c r="H28" i="20"/>
  <c r="D29" i="20"/>
  <c r="E29" i="20"/>
  <c r="H29" i="20"/>
  <c r="D30" i="20"/>
  <c r="E30" i="20"/>
  <c r="H30" i="20"/>
  <c r="D31" i="20"/>
  <c r="E31" i="20"/>
  <c r="H31" i="20"/>
  <c r="D32" i="20"/>
  <c r="E32" i="20"/>
  <c r="H32" i="20"/>
  <c r="D33" i="20"/>
  <c r="E33" i="20"/>
  <c r="H33" i="20"/>
  <c r="D34" i="20"/>
  <c r="E34" i="20"/>
  <c r="H34" i="20"/>
  <c r="D35" i="20"/>
  <c r="E35" i="20"/>
  <c r="H35" i="20"/>
  <c r="D36" i="20"/>
  <c r="E36" i="20"/>
  <c r="H36" i="20"/>
  <c r="D37" i="20"/>
  <c r="E37" i="20"/>
  <c r="H37" i="20"/>
  <c r="D38" i="20"/>
  <c r="E38" i="20"/>
  <c r="H38" i="20"/>
  <c r="D39" i="20"/>
  <c r="E39" i="20"/>
  <c r="H39" i="20"/>
  <c r="D40" i="20"/>
  <c r="E40" i="20"/>
  <c r="H40" i="20"/>
  <c r="D41" i="20"/>
  <c r="E41" i="20"/>
  <c r="H41" i="20"/>
  <c r="D42" i="20"/>
  <c r="E42" i="20"/>
  <c r="H42" i="20"/>
  <c r="D43" i="20"/>
  <c r="E43" i="20"/>
  <c r="H43" i="20"/>
  <c r="D44" i="20"/>
  <c r="E44" i="20"/>
  <c r="H44" i="20"/>
  <c r="D45" i="20"/>
  <c r="E45" i="20"/>
  <c r="H45" i="20"/>
  <c r="D46" i="20"/>
  <c r="E46" i="20"/>
  <c r="H46" i="20"/>
  <c r="D47" i="20"/>
  <c r="E47" i="20"/>
  <c r="H47" i="20"/>
  <c r="D48" i="20"/>
  <c r="E48" i="20"/>
  <c r="H48" i="20"/>
  <c r="D49" i="20"/>
  <c r="E49" i="20"/>
  <c r="H49" i="20"/>
  <c r="D50" i="20"/>
  <c r="E50" i="20"/>
  <c r="H50" i="20"/>
  <c r="D51" i="20"/>
  <c r="E51" i="20"/>
  <c r="H51" i="20"/>
  <c r="D52" i="20"/>
  <c r="E52" i="20"/>
  <c r="H52" i="20"/>
  <c r="D53" i="20"/>
  <c r="E53" i="20"/>
  <c r="H53" i="20"/>
  <c r="D54" i="20"/>
  <c r="E54" i="20"/>
  <c r="H54" i="20"/>
  <c r="D55" i="20"/>
  <c r="E55" i="20"/>
  <c r="H55" i="20"/>
  <c r="D56" i="20"/>
  <c r="E56" i="20"/>
  <c r="H56" i="20"/>
  <c r="D57" i="20"/>
  <c r="E57" i="20"/>
  <c r="H57" i="20"/>
  <c r="D58" i="20"/>
  <c r="E58" i="20"/>
  <c r="H58" i="20"/>
  <c r="D59" i="20"/>
  <c r="E59" i="20"/>
  <c r="H59" i="20"/>
  <c r="D60" i="20"/>
  <c r="E60" i="20"/>
  <c r="H60" i="20"/>
  <c r="D61" i="20"/>
  <c r="E61" i="20"/>
  <c r="H61" i="20"/>
  <c r="D62" i="20"/>
  <c r="E62" i="20"/>
  <c r="H62" i="20"/>
  <c r="D63" i="20"/>
  <c r="E63" i="20"/>
  <c r="H63" i="20"/>
  <c r="D64" i="20"/>
  <c r="E64" i="20"/>
  <c r="H64" i="20"/>
  <c r="D65" i="20"/>
  <c r="E65" i="20"/>
  <c r="H65" i="20"/>
  <c r="D66" i="20"/>
  <c r="E66" i="20"/>
  <c r="H66" i="20"/>
  <c r="D67" i="20"/>
  <c r="E67" i="20"/>
  <c r="H67" i="20"/>
  <c r="D68" i="20"/>
  <c r="E68" i="20"/>
  <c r="H68" i="20"/>
  <c r="D69" i="20"/>
  <c r="E69" i="20"/>
  <c r="H69" i="20"/>
  <c r="D70" i="20"/>
  <c r="E70" i="20"/>
  <c r="H70" i="20"/>
  <c r="D71" i="20"/>
  <c r="E71" i="20"/>
  <c r="H71" i="20"/>
  <c r="D72" i="20"/>
  <c r="E72" i="20"/>
  <c r="H72" i="20"/>
  <c r="D73" i="20"/>
  <c r="E73" i="20"/>
  <c r="H73" i="20"/>
  <c r="D74" i="20"/>
  <c r="E74" i="20"/>
  <c r="H74" i="20"/>
  <c r="D75" i="20"/>
  <c r="E75" i="20"/>
  <c r="H75" i="20"/>
  <c r="D76" i="20"/>
  <c r="E76" i="20"/>
  <c r="H76" i="20"/>
  <c r="D77" i="20"/>
  <c r="E77" i="20"/>
  <c r="H77" i="20"/>
  <c r="D78" i="20"/>
  <c r="E78" i="20"/>
  <c r="H78" i="20"/>
  <c r="D79" i="20"/>
  <c r="E79" i="20"/>
  <c r="H79" i="20"/>
  <c r="D80" i="20"/>
  <c r="E80" i="20"/>
  <c r="H80" i="20"/>
  <c r="D81" i="20"/>
  <c r="E81" i="20"/>
  <c r="H81" i="20"/>
  <c r="D82" i="20"/>
  <c r="E82" i="20"/>
  <c r="H82" i="20"/>
  <c r="D83" i="20"/>
  <c r="E83" i="20"/>
  <c r="H83" i="20"/>
  <c r="D84" i="20"/>
  <c r="E84" i="20"/>
  <c r="H84" i="20"/>
  <c r="D85" i="20"/>
  <c r="E85" i="20"/>
  <c r="H85" i="20"/>
  <c r="D86" i="20"/>
  <c r="H86" i="20"/>
  <c r="D87" i="20"/>
  <c r="E87" i="20"/>
  <c r="H87" i="20"/>
  <c r="D88" i="20"/>
  <c r="E88" i="20"/>
  <c r="H88" i="20"/>
  <c r="D89" i="20"/>
  <c r="E89" i="20"/>
  <c r="H89" i="20"/>
  <c r="D90" i="20"/>
  <c r="E90" i="20"/>
  <c r="H90" i="20"/>
  <c r="D91" i="20"/>
  <c r="E91" i="20"/>
  <c r="H91" i="20"/>
  <c r="D92" i="20"/>
  <c r="E92" i="20"/>
  <c r="H92" i="20"/>
  <c r="D93" i="20"/>
  <c r="E93" i="20"/>
  <c r="H93" i="20"/>
  <c r="D94" i="20"/>
  <c r="E94" i="20"/>
  <c r="H94" i="20"/>
  <c r="D95" i="20"/>
  <c r="E95" i="20"/>
  <c r="H95" i="20"/>
  <c r="D96" i="20"/>
  <c r="E96" i="20"/>
  <c r="H96" i="20"/>
  <c r="D97" i="20"/>
  <c r="E97" i="20"/>
  <c r="H97" i="20"/>
  <c r="D98" i="20"/>
  <c r="E98" i="20"/>
  <c r="H98" i="20"/>
  <c r="D99" i="20"/>
  <c r="E99" i="20"/>
  <c r="H99" i="20"/>
  <c r="D100" i="20"/>
  <c r="E100" i="20"/>
  <c r="H100" i="20"/>
  <c r="D101" i="20"/>
  <c r="E101" i="20"/>
  <c r="H101" i="20"/>
  <c r="D102" i="20"/>
  <c r="E102" i="20"/>
  <c r="H102" i="20"/>
  <c r="D103" i="20"/>
  <c r="E103" i="20"/>
  <c r="H103" i="20"/>
  <c r="D104" i="20"/>
  <c r="E104" i="20"/>
  <c r="H104" i="20"/>
  <c r="D105" i="20"/>
  <c r="E105" i="20"/>
  <c r="H105" i="20"/>
  <c r="D106" i="20"/>
  <c r="E106" i="20"/>
  <c r="H106" i="20"/>
  <c r="D107" i="20"/>
  <c r="E107" i="20"/>
  <c r="H107" i="20"/>
  <c r="D108" i="20"/>
  <c r="E108" i="20"/>
  <c r="H108" i="20"/>
  <c r="D109" i="20"/>
  <c r="E109" i="20"/>
  <c r="H109" i="20"/>
  <c r="D110" i="20"/>
  <c r="E110" i="20"/>
  <c r="H110" i="20"/>
  <c r="D111" i="20"/>
  <c r="E111" i="20"/>
  <c r="H111" i="20"/>
  <c r="D112" i="20"/>
  <c r="E112" i="20"/>
  <c r="H112" i="20"/>
  <c r="D113" i="20"/>
  <c r="E113" i="20"/>
  <c r="H113" i="20"/>
  <c r="D114" i="20"/>
  <c r="E114" i="20"/>
  <c r="H114" i="20"/>
  <c r="D115" i="20"/>
  <c r="E115" i="20"/>
  <c r="H115" i="20"/>
  <c r="D116" i="20"/>
  <c r="E116" i="20"/>
  <c r="H116" i="20"/>
  <c r="D118" i="20"/>
  <c r="E118" i="20"/>
  <c r="H118" i="20"/>
  <c r="D119" i="20"/>
  <c r="E119" i="20"/>
  <c r="H119" i="20"/>
  <c r="D120" i="20"/>
  <c r="E120" i="20"/>
  <c r="H120" i="20"/>
  <c r="D121" i="20"/>
  <c r="E121" i="20"/>
  <c r="H121" i="20"/>
  <c r="D122" i="20"/>
  <c r="E122" i="20"/>
  <c r="H122" i="20"/>
  <c r="D123" i="20"/>
  <c r="E123" i="20"/>
  <c r="H123" i="20"/>
  <c r="D124" i="20"/>
  <c r="E124" i="20"/>
  <c r="H124" i="20"/>
  <c r="D125" i="20"/>
  <c r="E125" i="20"/>
  <c r="H125" i="20"/>
  <c r="D126" i="20"/>
  <c r="E126" i="20"/>
  <c r="H126" i="20"/>
  <c r="D127" i="20"/>
  <c r="E127" i="20"/>
  <c r="H127" i="20"/>
  <c r="D128" i="20"/>
  <c r="E128" i="20"/>
  <c r="H128" i="20"/>
  <c r="D129" i="20"/>
  <c r="E129" i="20"/>
  <c r="H129" i="20"/>
  <c r="D130" i="20"/>
  <c r="E130" i="20"/>
  <c r="H130" i="20"/>
  <c r="D131" i="20"/>
  <c r="E131" i="20"/>
  <c r="H131" i="20"/>
  <c r="D132" i="20"/>
  <c r="E132" i="20"/>
  <c r="H132" i="20"/>
  <c r="D133" i="20"/>
  <c r="E133" i="20"/>
  <c r="H133" i="20"/>
  <c r="D134" i="20"/>
  <c r="E134" i="20"/>
  <c r="H134" i="20"/>
  <c r="D135" i="20"/>
  <c r="E135" i="20"/>
  <c r="H135" i="20"/>
  <c r="D136" i="20"/>
  <c r="E136" i="20"/>
  <c r="H136" i="20"/>
  <c r="D137" i="20"/>
  <c r="E137" i="20"/>
  <c r="H137" i="20"/>
  <c r="D139" i="20"/>
  <c r="E139" i="20"/>
  <c r="H139" i="20"/>
  <c r="D140" i="20"/>
  <c r="E140" i="20"/>
  <c r="H140" i="20"/>
  <c r="D141" i="20"/>
  <c r="E141" i="20"/>
  <c r="H141" i="20"/>
  <c r="D142" i="20"/>
  <c r="E142" i="20"/>
  <c r="H142" i="20"/>
  <c r="D143" i="20"/>
  <c r="E143" i="20"/>
  <c r="H143" i="20"/>
  <c r="D144" i="20"/>
  <c r="E144" i="20"/>
  <c r="H144" i="20"/>
  <c r="D145" i="20"/>
  <c r="E145" i="20"/>
  <c r="H145" i="20"/>
  <c r="D146" i="20"/>
  <c r="E146" i="20"/>
  <c r="H146" i="20"/>
  <c r="D147" i="20"/>
  <c r="E147" i="20"/>
  <c r="H147" i="20"/>
  <c r="H2" i="20"/>
  <c r="E2" i="20"/>
  <c r="D2" i="20"/>
  <c r="B2" i="20"/>
  <c r="C15" i="18"/>
  <c r="F127" i="20"/>
  <c r="B2" i="18"/>
  <c r="C2" i="18"/>
  <c r="H2" i="18"/>
  <c r="D2" i="18"/>
  <c r="E2" i="18"/>
  <c r="F2" i="18"/>
  <c r="C3" i="18"/>
  <c r="H3" i="18"/>
  <c r="D3" i="18"/>
  <c r="E3" i="18"/>
  <c r="F3" i="18"/>
  <c r="F4" i="20"/>
  <c r="C4" i="18"/>
  <c r="H4" i="18"/>
  <c r="D4" i="18"/>
  <c r="E4" i="18"/>
  <c r="F4" i="18"/>
  <c r="B5" i="20"/>
  <c r="C5" i="18"/>
  <c r="H5" i="18"/>
  <c r="D5" i="18"/>
  <c r="E5" i="18"/>
  <c r="F5" i="18"/>
  <c r="F6" i="20"/>
  <c r="B6" i="20"/>
  <c r="C6" i="18"/>
  <c r="H6" i="18"/>
  <c r="D6" i="18"/>
  <c r="E6" i="18"/>
  <c r="F6" i="18"/>
  <c r="F7" i="20"/>
  <c r="C7" i="18"/>
  <c r="H7" i="18"/>
  <c r="D7" i="18"/>
  <c r="E7" i="18"/>
  <c r="F7" i="18"/>
  <c r="F8" i="20"/>
  <c r="C8" i="18"/>
  <c r="H8" i="18"/>
  <c r="D8" i="18"/>
  <c r="E8" i="18"/>
  <c r="F8" i="18"/>
  <c r="F9" i="20"/>
  <c r="B9" i="20"/>
  <c r="C9" i="18"/>
  <c r="H9" i="18"/>
  <c r="D9" i="18"/>
  <c r="E9" i="18"/>
  <c r="F9" i="18"/>
  <c r="F10" i="20"/>
  <c r="B10" i="20"/>
  <c r="C10" i="18"/>
  <c r="H10" i="18"/>
  <c r="D10" i="18"/>
  <c r="E10" i="18"/>
  <c r="F10" i="18"/>
  <c r="C11" i="18"/>
  <c r="H11" i="18"/>
  <c r="D11" i="18"/>
  <c r="E11" i="18"/>
  <c r="F11" i="18"/>
  <c r="F12" i="20"/>
  <c r="C12" i="18"/>
  <c r="H12" i="18"/>
  <c r="D12" i="18"/>
  <c r="E12" i="18"/>
  <c r="F12" i="18"/>
  <c r="F13" i="20"/>
  <c r="C13" i="18"/>
  <c r="H13" i="18"/>
  <c r="D13" i="18"/>
  <c r="E13" i="18"/>
  <c r="F13" i="18"/>
  <c r="F14" i="20"/>
  <c r="B14" i="20"/>
  <c r="C14" i="18"/>
  <c r="H14" i="18"/>
  <c r="D14" i="18"/>
  <c r="E14" i="18"/>
  <c r="F14" i="18"/>
  <c r="H15" i="18"/>
  <c r="D15" i="18"/>
  <c r="E15" i="18"/>
  <c r="F15" i="18"/>
  <c r="F16" i="20"/>
  <c r="C16" i="18"/>
  <c r="H16" i="18"/>
  <c r="D16" i="18"/>
  <c r="E16" i="18"/>
  <c r="F16" i="18"/>
  <c r="C17" i="18"/>
  <c r="H17" i="18"/>
  <c r="D17" i="18"/>
  <c r="E17" i="18"/>
  <c r="F17" i="18"/>
  <c r="F18" i="20"/>
  <c r="C18" i="18"/>
  <c r="H18" i="18"/>
  <c r="D18" i="18"/>
  <c r="E18" i="18"/>
  <c r="F18" i="18"/>
  <c r="C19" i="18"/>
  <c r="H19" i="18"/>
  <c r="D19" i="18"/>
  <c r="E19" i="18"/>
  <c r="F19" i="18"/>
  <c r="B20" i="20"/>
  <c r="C20" i="18"/>
  <c r="H20" i="18"/>
  <c r="D20" i="18"/>
  <c r="E20" i="18"/>
  <c r="F20" i="18"/>
  <c r="B21" i="20"/>
  <c r="C21" i="18"/>
  <c r="H21" i="18"/>
  <c r="D21" i="18"/>
  <c r="E21" i="18"/>
  <c r="F21" i="18"/>
  <c r="B22" i="18"/>
  <c r="C22" i="18"/>
  <c r="H22" i="18"/>
  <c r="D22" i="18"/>
  <c r="E22" i="18"/>
  <c r="F22" i="18"/>
  <c r="F23" i="20"/>
  <c r="C23" i="18"/>
  <c r="H23" i="18"/>
  <c r="D23" i="18"/>
  <c r="E23" i="18"/>
  <c r="F23" i="18"/>
  <c r="C24" i="18"/>
  <c r="H24" i="18"/>
  <c r="D24" i="18"/>
  <c r="E24" i="18"/>
  <c r="F24" i="18"/>
  <c r="B25" i="20"/>
  <c r="C25" i="18"/>
  <c r="H25" i="18"/>
  <c r="D25" i="18"/>
  <c r="E25" i="18"/>
  <c r="F25" i="18"/>
  <c r="C26" i="18"/>
  <c r="H26" i="18"/>
  <c r="D26" i="18"/>
  <c r="E26" i="18"/>
  <c r="F26" i="18"/>
  <c r="F27" i="20"/>
  <c r="C27" i="18"/>
  <c r="H27" i="18"/>
  <c r="D27" i="18"/>
  <c r="E27" i="18"/>
  <c r="F27" i="18"/>
  <c r="C28" i="18"/>
  <c r="H28" i="18"/>
  <c r="D28" i="18"/>
  <c r="E28" i="18"/>
  <c r="F28" i="18"/>
  <c r="B33" i="20"/>
  <c r="C29" i="18"/>
  <c r="H29" i="18"/>
  <c r="D29" i="18"/>
  <c r="E29" i="18"/>
  <c r="F29" i="18"/>
  <c r="B34" i="20"/>
  <c r="C30" i="18"/>
  <c r="H30" i="18"/>
  <c r="D30" i="18"/>
  <c r="E30" i="18"/>
  <c r="F30" i="18"/>
  <c r="C31" i="18"/>
  <c r="H31" i="18"/>
  <c r="D31" i="18"/>
  <c r="E31" i="18"/>
  <c r="F31" i="18"/>
  <c r="B36" i="20"/>
  <c r="C32" i="18"/>
  <c r="H32" i="18"/>
  <c r="D32" i="18"/>
  <c r="E32" i="18"/>
  <c r="F32" i="18"/>
  <c r="C33" i="18"/>
  <c r="H33" i="18"/>
  <c r="D33" i="18"/>
  <c r="E33" i="18"/>
  <c r="F33" i="18"/>
  <c r="C34" i="18"/>
  <c r="H34" i="18"/>
  <c r="D34" i="18"/>
  <c r="E34" i="18"/>
  <c r="F34" i="18"/>
  <c r="F42" i="20"/>
  <c r="C35" i="18"/>
  <c r="H35" i="18"/>
  <c r="D35" i="18"/>
  <c r="E35" i="18"/>
  <c r="F35" i="18"/>
  <c r="F43" i="20"/>
  <c r="C36" i="18"/>
  <c r="H36" i="18"/>
  <c r="D36" i="18"/>
  <c r="E36" i="18"/>
  <c r="F36" i="18"/>
  <c r="B44" i="20"/>
  <c r="C37" i="18"/>
  <c r="H37" i="18"/>
  <c r="D37" i="18"/>
  <c r="E37" i="18"/>
  <c r="F37" i="18"/>
  <c r="C38" i="18"/>
  <c r="H38" i="18"/>
  <c r="D38" i="18"/>
  <c r="E38" i="18"/>
  <c r="F38" i="18"/>
  <c r="F46" i="20"/>
  <c r="C39" i="18"/>
  <c r="H39" i="18"/>
  <c r="D39" i="18"/>
  <c r="E39" i="18"/>
  <c r="F39" i="18"/>
  <c r="B47" i="20"/>
  <c r="C40" i="18"/>
  <c r="H40" i="18"/>
  <c r="D40" i="18"/>
  <c r="E40" i="18"/>
  <c r="F40" i="18"/>
  <c r="B48" i="20"/>
  <c r="C41" i="18"/>
  <c r="H41" i="18"/>
  <c r="D41" i="18"/>
  <c r="E41" i="18"/>
  <c r="F41" i="18"/>
  <c r="F49" i="20"/>
  <c r="C42" i="18"/>
  <c r="H42" i="18"/>
  <c r="D42" i="18"/>
  <c r="E42" i="18"/>
  <c r="F42" i="18"/>
  <c r="B51" i="20"/>
  <c r="C43" i="18"/>
  <c r="H43" i="18"/>
  <c r="D43" i="18"/>
  <c r="E43" i="18"/>
  <c r="F43" i="18"/>
  <c r="B52" i="20"/>
  <c r="C44" i="18"/>
  <c r="H44" i="18"/>
  <c r="D44" i="18"/>
  <c r="E44" i="18"/>
  <c r="F44" i="18"/>
  <c r="F53" i="20"/>
  <c r="B53" i="20"/>
  <c r="C45" i="18"/>
  <c r="H45" i="18"/>
  <c r="D45" i="18"/>
  <c r="E45" i="18"/>
  <c r="F45" i="18"/>
  <c r="C46" i="18"/>
  <c r="H46" i="18"/>
  <c r="D46" i="18"/>
  <c r="E46" i="18"/>
  <c r="F46" i="18"/>
  <c r="F57" i="20"/>
  <c r="C47" i="18"/>
  <c r="H47" i="18"/>
  <c r="D47" i="18"/>
  <c r="E47" i="18"/>
  <c r="F47" i="18"/>
  <c r="B58" i="20"/>
  <c r="C48" i="18"/>
  <c r="H48" i="18"/>
  <c r="D48" i="18"/>
  <c r="E48" i="18"/>
  <c r="F48" i="18"/>
  <c r="C49" i="18"/>
  <c r="H49" i="18"/>
  <c r="D49" i="18"/>
  <c r="E49" i="18"/>
  <c r="F49" i="18"/>
  <c r="F60" i="20"/>
  <c r="C50" i="18"/>
  <c r="H50" i="18"/>
  <c r="D50" i="18"/>
  <c r="E50" i="18"/>
  <c r="F50" i="18"/>
  <c r="F61" i="20"/>
  <c r="C51" i="18"/>
  <c r="H51" i="18"/>
  <c r="D51" i="18"/>
  <c r="E51" i="18"/>
  <c r="F51" i="18"/>
  <c r="F62" i="20"/>
  <c r="B62" i="20"/>
  <c r="C52" i="18"/>
  <c r="H52" i="18"/>
  <c r="D52" i="18"/>
  <c r="E52" i="18"/>
  <c r="F52" i="18"/>
  <c r="F63" i="20"/>
  <c r="B63" i="20"/>
  <c r="C53" i="18"/>
  <c r="H53" i="18"/>
  <c r="D53" i="18"/>
  <c r="E53" i="18"/>
  <c r="F53" i="18"/>
  <c r="B64" i="20"/>
  <c r="C54" i="18"/>
  <c r="H54" i="18"/>
  <c r="D54" i="18"/>
  <c r="E54" i="18"/>
  <c r="F54" i="18"/>
  <c r="C55" i="18"/>
  <c r="H55" i="18"/>
  <c r="D55" i="18"/>
  <c r="E55" i="18"/>
  <c r="F55" i="18"/>
  <c r="C56" i="18"/>
  <c r="H56" i="18"/>
  <c r="D56" i="18"/>
  <c r="E56" i="18"/>
  <c r="F56" i="18"/>
  <c r="F67" i="20"/>
  <c r="C57" i="18"/>
  <c r="H57" i="18"/>
  <c r="D57" i="18"/>
  <c r="E57" i="18"/>
  <c r="F57" i="18"/>
  <c r="F68" i="20"/>
  <c r="C58" i="18"/>
  <c r="H58" i="18"/>
  <c r="D58" i="18"/>
  <c r="E58" i="18"/>
  <c r="F58" i="18"/>
  <c r="F69" i="20"/>
  <c r="B69" i="20"/>
  <c r="C59" i="18"/>
  <c r="H59" i="18"/>
  <c r="D59" i="18"/>
  <c r="E59" i="18"/>
  <c r="F59" i="18"/>
  <c r="B70" i="20"/>
  <c r="C60" i="18"/>
  <c r="H60" i="18"/>
  <c r="D60" i="18"/>
  <c r="E60" i="18"/>
  <c r="F60" i="18"/>
  <c r="B71" i="20"/>
  <c r="C61" i="18"/>
  <c r="H61" i="18"/>
  <c r="D61" i="18"/>
  <c r="E61" i="18"/>
  <c r="F61" i="18"/>
  <c r="C62" i="18"/>
  <c r="H62" i="18"/>
  <c r="D62" i="18"/>
  <c r="E62" i="18"/>
  <c r="F62" i="18"/>
  <c r="F73" i="20"/>
  <c r="C63" i="18"/>
  <c r="H63" i="18"/>
  <c r="D63" i="18"/>
  <c r="E63" i="18"/>
  <c r="F63" i="18"/>
  <c r="C64" i="18"/>
  <c r="H64" i="18"/>
  <c r="D64" i="18"/>
  <c r="E64" i="18"/>
  <c r="F64" i="18"/>
  <c r="F75" i="20"/>
  <c r="C65" i="18"/>
  <c r="H65" i="18"/>
  <c r="D65" i="18"/>
  <c r="E65" i="18"/>
  <c r="F65" i="18"/>
  <c r="F76" i="20"/>
  <c r="C66" i="18"/>
  <c r="H66" i="18"/>
  <c r="D66" i="18"/>
  <c r="E66" i="18"/>
  <c r="F66" i="18"/>
  <c r="F77" i="20"/>
  <c r="C67" i="18"/>
  <c r="H67" i="18"/>
  <c r="D67" i="18"/>
  <c r="E67" i="18"/>
  <c r="F67" i="18"/>
  <c r="B78" i="20"/>
  <c r="C68" i="18"/>
  <c r="H68" i="18"/>
  <c r="D68" i="18"/>
  <c r="E68" i="18"/>
  <c r="F68" i="18"/>
  <c r="B79" i="20"/>
  <c r="C69" i="18"/>
  <c r="H69" i="18"/>
  <c r="D69" i="18"/>
  <c r="E69" i="18"/>
  <c r="F69" i="18"/>
  <c r="B81" i="20"/>
  <c r="C70" i="18"/>
  <c r="H70" i="18"/>
  <c r="D70" i="18"/>
  <c r="E70" i="18"/>
  <c r="F70" i="18"/>
  <c r="C71" i="18"/>
  <c r="H71" i="18"/>
  <c r="D71" i="18"/>
  <c r="E71" i="18"/>
  <c r="F71" i="18"/>
  <c r="B83" i="20"/>
  <c r="C72" i="18"/>
  <c r="H72" i="18"/>
  <c r="D72" i="18"/>
  <c r="E72" i="18"/>
  <c r="F72" i="18"/>
  <c r="F84" i="20"/>
  <c r="B84" i="20"/>
  <c r="C73" i="18"/>
  <c r="H73" i="18"/>
  <c r="D73" i="18"/>
  <c r="E73" i="18"/>
  <c r="F73" i="18"/>
  <c r="F85" i="20"/>
  <c r="C74" i="18"/>
  <c r="H74" i="18"/>
  <c r="D74" i="18"/>
  <c r="E74" i="18"/>
  <c r="F74" i="18"/>
  <c r="F86" i="20"/>
  <c r="C76" i="18"/>
  <c r="H76" i="18"/>
  <c r="D76" i="18"/>
  <c r="E76" i="18"/>
  <c r="F76" i="18"/>
  <c r="C77" i="18"/>
  <c r="H77" i="18"/>
  <c r="D77" i="18"/>
  <c r="E77" i="18"/>
  <c r="F77" i="18"/>
  <c r="B88" i="20"/>
  <c r="C78" i="18"/>
  <c r="H78" i="18"/>
  <c r="D78" i="18"/>
  <c r="E78" i="18"/>
  <c r="F78" i="18"/>
  <c r="B89" i="20"/>
  <c r="C79" i="18"/>
  <c r="H79" i="18"/>
  <c r="D79" i="18"/>
  <c r="E79" i="18"/>
  <c r="F79" i="18"/>
  <c r="F90" i="20"/>
  <c r="C80" i="18"/>
  <c r="H80" i="18"/>
  <c r="D80" i="18"/>
  <c r="E80" i="18"/>
  <c r="F80" i="18"/>
  <c r="F91" i="20"/>
  <c r="C81" i="18"/>
  <c r="H81" i="18"/>
  <c r="D81" i="18"/>
  <c r="E81" i="18"/>
  <c r="F81" i="18"/>
  <c r="F92" i="20"/>
  <c r="C83" i="18"/>
  <c r="H83" i="18"/>
  <c r="D83" i="18"/>
  <c r="E83" i="18"/>
  <c r="F83" i="18"/>
  <c r="F94" i="20"/>
  <c r="C84" i="18"/>
  <c r="H84" i="18"/>
  <c r="D84" i="18"/>
  <c r="E84" i="18"/>
  <c r="F84" i="18"/>
  <c r="B95" i="20"/>
  <c r="C85" i="18"/>
  <c r="H85" i="18"/>
  <c r="D85" i="18"/>
  <c r="E85" i="18"/>
  <c r="F85" i="18"/>
  <c r="B96" i="20"/>
  <c r="C86" i="18"/>
  <c r="H86" i="18"/>
  <c r="D86" i="18"/>
  <c r="E86" i="18"/>
  <c r="F86" i="18"/>
  <c r="B97" i="20"/>
  <c r="C87" i="18"/>
  <c r="H87" i="18"/>
  <c r="D87" i="18"/>
  <c r="E87" i="18"/>
  <c r="F87" i="18"/>
  <c r="B98" i="20"/>
  <c r="C88" i="18"/>
  <c r="H88" i="18"/>
  <c r="D88" i="18"/>
  <c r="E88" i="18"/>
  <c r="F88" i="18"/>
  <c r="B99" i="20"/>
  <c r="C89" i="18"/>
  <c r="H89" i="18"/>
  <c r="D89" i="18"/>
  <c r="E89" i="18"/>
  <c r="F89" i="18"/>
  <c r="C90" i="18"/>
  <c r="H90" i="18"/>
  <c r="D90" i="18"/>
  <c r="E90" i="18"/>
  <c r="F90" i="18"/>
  <c r="C91" i="18"/>
  <c r="H91" i="18"/>
  <c r="D91" i="18"/>
  <c r="E91" i="18"/>
  <c r="F91" i="18"/>
  <c r="B102" i="20"/>
  <c r="C92" i="18"/>
  <c r="H92" i="18"/>
  <c r="D92" i="18"/>
  <c r="E92" i="18"/>
  <c r="F92" i="18"/>
  <c r="C93" i="18"/>
  <c r="H93" i="18"/>
  <c r="D93" i="18"/>
  <c r="E93" i="18"/>
  <c r="F93" i="18"/>
  <c r="B104" i="20"/>
  <c r="C94" i="18"/>
  <c r="H94" i="18"/>
  <c r="D94" i="18"/>
  <c r="E94" i="18"/>
  <c r="F94" i="18"/>
  <c r="F105" i="20"/>
  <c r="C95" i="18"/>
  <c r="H95" i="18"/>
  <c r="D95" i="18"/>
  <c r="E95" i="18"/>
  <c r="F95" i="18"/>
  <c r="F106" i="20"/>
  <c r="C96" i="18"/>
  <c r="H96" i="18"/>
  <c r="D96" i="18"/>
  <c r="E96" i="18"/>
  <c r="F96" i="18"/>
  <c r="F107" i="20"/>
  <c r="B107" i="20"/>
  <c r="C97" i="18"/>
  <c r="H97" i="18"/>
  <c r="D97" i="18"/>
  <c r="E97" i="18"/>
  <c r="F97" i="18"/>
  <c r="C98" i="18"/>
  <c r="H98" i="18"/>
  <c r="D98" i="18"/>
  <c r="E98" i="18"/>
  <c r="F98" i="18"/>
  <c r="F109" i="20"/>
  <c r="C99" i="18"/>
  <c r="H99" i="18"/>
  <c r="D99" i="18"/>
  <c r="E99" i="18"/>
  <c r="F99" i="18"/>
  <c r="F110" i="20"/>
  <c r="C100" i="18"/>
  <c r="H100" i="18"/>
  <c r="D100" i="18"/>
  <c r="E100" i="18"/>
  <c r="F100" i="18"/>
  <c r="F111" i="20"/>
  <c r="B111" i="20"/>
  <c r="C101" i="18"/>
  <c r="H101" i="18"/>
  <c r="D101" i="18"/>
  <c r="E101" i="18"/>
  <c r="F101" i="18"/>
  <c r="F112" i="20"/>
  <c r="B112" i="20"/>
  <c r="C102" i="18"/>
  <c r="H102" i="18"/>
  <c r="D102" i="18"/>
  <c r="E102" i="18"/>
  <c r="F102" i="18"/>
  <c r="C103" i="18"/>
  <c r="H103" i="18"/>
  <c r="D103" i="18"/>
  <c r="E103" i="18"/>
  <c r="F103" i="18"/>
  <c r="C75" i="18"/>
  <c r="H75" i="18"/>
  <c r="D75" i="18"/>
  <c r="E75" i="18"/>
  <c r="F75" i="18"/>
  <c r="B115" i="20"/>
  <c r="C104" i="18"/>
  <c r="H104" i="18"/>
  <c r="D104" i="18"/>
  <c r="E104" i="18"/>
  <c r="F104" i="18"/>
  <c r="F118" i="20"/>
  <c r="C105" i="18"/>
  <c r="H105" i="18"/>
  <c r="D105" i="18"/>
  <c r="E105" i="18"/>
  <c r="F105" i="18"/>
  <c r="F119" i="20"/>
  <c r="C106" i="18"/>
  <c r="H106" i="18"/>
  <c r="D106" i="18"/>
  <c r="E106" i="18"/>
  <c r="F106" i="18"/>
  <c r="B120" i="20"/>
  <c r="C107" i="18"/>
  <c r="H107" i="18"/>
  <c r="D107" i="18"/>
  <c r="E107" i="18"/>
  <c r="F107" i="18"/>
  <c r="C108" i="18"/>
  <c r="H108" i="18"/>
  <c r="D108" i="18"/>
  <c r="E108" i="18"/>
  <c r="F108" i="18"/>
  <c r="B122" i="20"/>
  <c r="C109" i="18"/>
  <c r="H109" i="18"/>
  <c r="D109" i="18"/>
  <c r="E109" i="18"/>
  <c r="F109" i="18"/>
  <c r="B123" i="20"/>
  <c r="C110" i="18"/>
  <c r="H110" i="18"/>
  <c r="D110" i="18"/>
  <c r="E110" i="18"/>
  <c r="F110" i="18"/>
  <c r="B124" i="20"/>
  <c r="C111" i="18"/>
  <c r="H111" i="18"/>
  <c r="D111" i="18"/>
  <c r="E111" i="18"/>
  <c r="F111" i="18"/>
  <c r="B125" i="20"/>
  <c r="C112" i="18"/>
  <c r="H112" i="18"/>
  <c r="D112" i="18"/>
  <c r="E112" i="18"/>
  <c r="F112" i="18"/>
  <c r="F126" i="20"/>
  <c r="C113" i="18"/>
  <c r="H113" i="18"/>
  <c r="D113" i="18"/>
  <c r="E113" i="18"/>
  <c r="F113" i="18"/>
  <c r="C114" i="18"/>
  <c r="H114" i="18"/>
  <c r="D114" i="18"/>
  <c r="E114" i="18"/>
  <c r="F114" i="18"/>
  <c r="B128" i="20"/>
  <c r="C115" i="18"/>
  <c r="H115" i="18"/>
  <c r="D115" i="18"/>
  <c r="E115" i="18"/>
  <c r="F115" i="18"/>
  <c r="C116" i="18"/>
  <c r="H116" i="18"/>
  <c r="D116" i="18"/>
  <c r="E116" i="18"/>
  <c r="F116" i="18"/>
  <c r="C117" i="18"/>
  <c r="H117" i="18"/>
  <c r="D117" i="18"/>
  <c r="E117" i="18"/>
  <c r="F117" i="18"/>
  <c r="C118" i="18"/>
  <c r="H118" i="18"/>
  <c r="D118" i="18"/>
  <c r="E118" i="18"/>
  <c r="F118" i="18"/>
  <c r="F132" i="20"/>
  <c r="C119" i="18"/>
  <c r="H119" i="18"/>
  <c r="D119" i="18"/>
  <c r="E119" i="18"/>
  <c r="F119" i="18"/>
  <c r="F134" i="20"/>
  <c r="C82" i="18"/>
  <c r="H82" i="18"/>
  <c r="D82" i="18"/>
  <c r="E82" i="18"/>
  <c r="F82" i="18"/>
  <c r="B135" i="20"/>
  <c r="C120" i="18"/>
  <c r="H120" i="18"/>
  <c r="D120" i="18"/>
  <c r="E120" i="18"/>
  <c r="F120" i="18"/>
  <c r="F136" i="20"/>
  <c r="B136" i="20"/>
  <c r="C121" i="18"/>
  <c r="H121" i="18"/>
  <c r="D121" i="18"/>
  <c r="E121" i="18"/>
  <c r="F121" i="18"/>
  <c r="F139" i="20"/>
  <c r="B139" i="20"/>
  <c r="C122" i="18"/>
  <c r="H122" i="18"/>
  <c r="D122" i="18"/>
  <c r="E122" i="18"/>
  <c r="F122" i="18"/>
  <c r="C123" i="18"/>
  <c r="H123" i="18"/>
  <c r="D123" i="18"/>
  <c r="E123" i="18"/>
  <c r="F123" i="18"/>
  <c r="F145" i="20"/>
  <c r="C124" i="18"/>
  <c r="H124" i="18"/>
  <c r="D124" i="18"/>
  <c r="E124" i="18"/>
  <c r="F124" i="18"/>
  <c r="F146" i="20"/>
  <c r="C125" i="18"/>
  <c r="H125" i="18"/>
  <c r="D125" i="18"/>
  <c r="E125" i="18"/>
  <c r="F125" i="18"/>
  <c r="F147" i="20"/>
  <c r="C126" i="18"/>
  <c r="H126" i="18"/>
  <c r="D126" i="18"/>
  <c r="E126" i="18"/>
  <c r="F126" i="18"/>
  <c r="B1" i="18"/>
  <c r="G1" i="18"/>
  <c r="C1" i="18"/>
  <c r="H1" i="18"/>
  <c r="D1" i="18"/>
  <c r="E1" i="18"/>
  <c r="F1" i="18"/>
  <c r="A1" i="18"/>
  <c r="F116" i="20"/>
  <c r="B116" i="20"/>
  <c r="F117" i="20"/>
  <c r="F93" i="20"/>
  <c r="B93" i="20"/>
  <c r="F133" i="20"/>
  <c r="B133" i="20"/>
  <c r="F50" i="20"/>
  <c r="B50" i="20"/>
  <c r="F55" i="20"/>
  <c r="B55" i="20"/>
  <c r="F137" i="20"/>
  <c r="B137" i="20"/>
  <c r="B138" i="20"/>
  <c r="F56" i="20"/>
  <c r="B56" i="20"/>
  <c r="F80" i="20"/>
  <c r="F29" i="20"/>
  <c r="B29" i="20"/>
  <c r="F140" i="20"/>
  <c r="B140" i="20"/>
  <c r="B31" i="20"/>
  <c r="F141" i="20"/>
  <c r="B141" i="20"/>
  <c r="B28" i="20"/>
  <c r="F143" i="20"/>
  <c r="B38" i="20"/>
  <c r="F144" i="20"/>
  <c r="F37" i="20"/>
  <c r="B37" i="20"/>
  <c r="F30" i="20"/>
  <c r="B30" i="20"/>
  <c r="F39" i="20"/>
  <c r="B39" i="20"/>
  <c r="AL2" i="1"/>
  <c r="AL3" i="1"/>
  <c r="AL4" i="1"/>
  <c r="AL5" i="1"/>
  <c r="AL6" i="1"/>
  <c r="AL7" i="1"/>
  <c r="AL8" i="1"/>
  <c r="AL9" i="1"/>
  <c r="AL10" i="1"/>
  <c r="AL11" i="1"/>
  <c r="AL12" i="1"/>
  <c r="AL13" i="1"/>
  <c r="AL14" i="1"/>
  <c r="AN15" i="1"/>
  <c r="AR289" i="25" s="1"/>
  <c r="AN16" i="1"/>
  <c r="AR290" i="25" s="1"/>
  <c r="AN17" i="1"/>
  <c r="AN18" i="1"/>
  <c r="AR292" i="25" s="1"/>
  <c r="AL19" i="1"/>
  <c r="AL20" i="1"/>
  <c r="AL21" i="1"/>
  <c r="AL22" i="1"/>
  <c r="AN23" i="1"/>
  <c r="AR252" i="25" s="1"/>
  <c r="AN24" i="1"/>
  <c r="AR253" i="25" s="1"/>
  <c r="AN25" i="1"/>
  <c r="AR254" i="25" s="1"/>
  <c r="AN26" i="1"/>
  <c r="AR255" i="25" s="1"/>
  <c r="AL27" i="1"/>
  <c r="AL28" i="1"/>
  <c r="AL29" i="1"/>
  <c r="AL30" i="1"/>
  <c r="AL31" i="1"/>
  <c r="AL32" i="1"/>
  <c r="AL33" i="1"/>
  <c r="AL34" i="1"/>
  <c r="AL35" i="1"/>
  <c r="AL36" i="1"/>
  <c r="AL37" i="1"/>
  <c r="AL38" i="1"/>
  <c r="AL39" i="1"/>
  <c r="AN40" i="1"/>
  <c r="AR283" i="25" s="1"/>
  <c r="AL40" i="1"/>
  <c r="AL41" i="1"/>
  <c r="AL42" i="1"/>
  <c r="AL43" i="1"/>
  <c r="AL44" i="1"/>
  <c r="AL45" i="1"/>
  <c r="AL46" i="1"/>
  <c r="AL47" i="1"/>
  <c r="AL48" i="1"/>
  <c r="AL49" i="1"/>
  <c r="AL50" i="1"/>
  <c r="AL51" i="1"/>
  <c r="AL52" i="1"/>
  <c r="AL53" i="1"/>
  <c r="AL54" i="1"/>
  <c r="AL55" i="1"/>
  <c r="AL56" i="1"/>
  <c r="AL57" i="1"/>
  <c r="AL58" i="1"/>
  <c r="AN59" i="1"/>
  <c r="AR285" i="25" s="1"/>
  <c r="AL60" i="1"/>
  <c r="AN61" i="1"/>
  <c r="AN62" i="1"/>
  <c r="AR288" i="25" s="1"/>
  <c r="AL63" i="1"/>
  <c r="AL64" i="1"/>
  <c r="AL65" i="1"/>
  <c r="AL66" i="1"/>
  <c r="AL67" i="1"/>
  <c r="AL68" i="1"/>
  <c r="AL69" i="1"/>
  <c r="AL70" i="1"/>
  <c r="AL71" i="1"/>
  <c r="AL72" i="1"/>
  <c r="AL73" i="1"/>
  <c r="AL74" i="1"/>
  <c r="AL75" i="1"/>
  <c r="AN76" i="1"/>
  <c r="AR239" i="25" s="1"/>
  <c r="AN77" i="1"/>
  <c r="AR240" i="25" s="1"/>
  <c r="AN78" i="1"/>
  <c r="AR242" i="25" s="1"/>
  <c r="AN79" i="1"/>
  <c r="AR241" i="25" s="1"/>
  <c r="AN80" i="1"/>
  <c r="AN81" i="1"/>
  <c r="AN82" i="1"/>
  <c r="AR236" i="25" s="1"/>
  <c r="AN83" i="1"/>
  <c r="AR237" i="25" s="1"/>
  <c r="AL84" i="1"/>
  <c r="AL85" i="1"/>
  <c r="AL86" i="1"/>
  <c r="AL87" i="1"/>
  <c r="AL88" i="1"/>
  <c r="AL89" i="1"/>
  <c r="AL90" i="1"/>
  <c r="AL91" i="1"/>
  <c r="AL92" i="1"/>
  <c r="AL93" i="1"/>
  <c r="AL94" i="1"/>
  <c r="AL95" i="1"/>
  <c r="AL96" i="1"/>
  <c r="AN97" i="1"/>
  <c r="AN98" i="1"/>
  <c r="AR186" i="25" s="1"/>
  <c r="AN99" i="1"/>
  <c r="AR187" i="25" s="1"/>
  <c r="AN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N134" i="1"/>
  <c r="AR244" i="25" s="1"/>
  <c r="AL134" i="1"/>
  <c r="AN135" i="1"/>
  <c r="AR245" i="25" s="1"/>
  <c r="AL135" i="1"/>
  <c r="AN136" i="1"/>
  <c r="AR243" i="25" s="1"/>
  <c r="AN137" i="1"/>
  <c r="AR246" i="25" s="1"/>
  <c r="AL138" i="1"/>
  <c r="AL139" i="1"/>
  <c r="AL140" i="1"/>
  <c r="AL141" i="1"/>
  <c r="AL142" i="1"/>
  <c r="AL143" i="1"/>
  <c r="AL144" i="1"/>
  <c r="AL145" i="1"/>
  <c r="AL146" i="1"/>
  <c r="AL147" i="1"/>
  <c r="AL148" i="1"/>
  <c r="AL149" i="1"/>
  <c r="AL150" i="1"/>
  <c r="AN151" i="1"/>
  <c r="AN152" i="1"/>
  <c r="AR248" i="25" s="1"/>
  <c r="AN153" i="1"/>
  <c r="AR249" i="25" s="1"/>
  <c r="AN154" i="1"/>
  <c r="AR250" i="25" s="1"/>
  <c r="AL155" i="1"/>
  <c r="AL2" i="3"/>
  <c r="AL3" i="3"/>
  <c r="AL4" i="3"/>
  <c r="AL5" i="3"/>
  <c r="AL6" i="3"/>
  <c r="AL7" i="3"/>
  <c r="AL8" i="3"/>
  <c r="AL9" i="3"/>
  <c r="AL10" i="3"/>
  <c r="AL11" i="3"/>
  <c r="AL12" i="3"/>
  <c r="AL13" i="3"/>
  <c r="AN14" i="3"/>
  <c r="AR422" i="25" s="1"/>
  <c r="AL15" i="3"/>
  <c r="AN16" i="3"/>
  <c r="AR424" i="25" s="1"/>
  <c r="AL17" i="3"/>
  <c r="AL18" i="3"/>
  <c r="AL19" i="3"/>
  <c r="AL20" i="3"/>
  <c r="AL21" i="3"/>
  <c r="AL22" i="3"/>
  <c r="AL23" i="3"/>
  <c r="AL24" i="3"/>
  <c r="AL25" i="3"/>
  <c r="AL26" i="3"/>
  <c r="AL27" i="3"/>
  <c r="AL28" i="3"/>
  <c r="AN29" i="3"/>
  <c r="AR401" i="25" s="1"/>
  <c r="AL30" i="3"/>
  <c r="AL31" i="3"/>
  <c r="AL32" i="3"/>
  <c r="AL33" i="3"/>
  <c r="AL34" i="3"/>
  <c r="AN35" i="3"/>
  <c r="AR407" i="25" s="1"/>
  <c r="AN36" i="3"/>
  <c r="AR384" i="25" s="1"/>
  <c r="AL37" i="3"/>
  <c r="AL38" i="3"/>
  <c r="AL39" i="3"/>
  <c r="AL40" i="3"/>
  <c r="AL41" i="3"/>
  <c r="AL42" i="3"/>
  <c r="AL43" i="3"/>
  <c r="AN44" i="3"/>
  <c r="AR428" i="25" s="1"/>
  <c r="AN45" i="3"/>
  <c r="AR429" i="25" s="1"/>
  <c r="AL46" i="3"/>
  <c r="AN47" i="3"/>
  <c r="AR431" i="25" s="1"/>
  <c r="AN48" i="3"/>
  <c r="AL49" i="3"/>
  <c r="AL50" i="3"/>
  <c r="AL51" i="3"/>
  <c r="AL52" i="3"/>
  <c r="AL53" i="3"/>
  <c r="AL54" i="3"/>
  <c r="AL55" i="3"/>
  <c r="AL56" i="3"/>
  <c r="AL57" i="3"/>
  <c r="AL58" i="3"/>
  <c r="AL59" i="3"/>
  <c r="AL60" i="3"/>
  <c r="AL61" i="3"/>
  <c r="AL62" i="3"/>
  <c r="AL63" i="3"/>
  <c r="AL64" i="3"/>
  <c r="AN65" i="3"/>
  <c r="AR433" i="25" s="1"/>
  <c r="AN66" i="3"/>
  <c r="AR434" i="25" s="1"/>
  <c r="AL67" i="3"/>
  <c r="AL68" i="3"/>
  <c r="AL69" i="3"/>
  <c r="AL70" i="3"/>
  <c r="AL71" i="3"/>
  <c r="AL72" i="3"/>
  <c r="AL73" i="3"/>
  <c r="AN74" i="3"/>
  <c r="AR328" i="25" s="1"/>
  <c r="AN75" i="3"/>
  <c r="AR329" i="25" s="1"/>
  <c r="AL76" i="3"/>
  <c r="AL77" i="3"/>
  <c r="AL78" i="3"/>
  <c r="AL79" i="3"/>
  <c r="AL80" i="3"/>
  <c r="AL81" i="3"/>
  <c r="AL82" i="3"/>
  <c r="AL83" i="3"/>
  <c r="AL84" i="3"/>
  <c r="AN85" i="3"/>
  <c r="AR396" i="25" s="1"/>
  <c r="AN86" i="3"/>
  <c r="AR397" i="25" s="1"/>
  <c r="AN87" i="3"/>
  <c r="AR398" i="25" s="1"/>
  <c r="AN88" i="3"/>
  <c r="AR399" i="25" s="1"/>
  <c r="AL88" i="3"/>
  <c r="AN89" i="3"/>
  <c r="AR400" i="25" s="1"/>
  <c r="AL89" i="3"/>
  <c r="AL90" i="3"/>
  <c r="AN91" i="3"/>
  <c r="AN92" i="3"/>
  <c r="AR339" i="25" s="1"/>
  <c r="AN93" i="3"/>
  <c r="AR340" i="25" s="1"/>
  <c r="AN94" i="3"/>
  <c r="AR341" i="25" s="1"/>
  <c r="AN95" i="3"/>
  <c r="AR332" i="25" s="1"/>
  <c r="AL95" i="3"/>
  <c r="AN96" i="3"/>
  <c r="AR333" i="25" s="1"/>
  <c r="AN97" i="3"/>
  <c r="AR334" i="25" s="1"/>
  <c r="AN98" i="3"/>
  <c r="AR335" i="25" s="1"/>
  <c r="AL99" i="3"/>
  <c r="AL100" i="3"/>
  <c r="AL101" i="3"/>
  <c r="AL102" i="3"/>
  <c r="AL103" i="3"/>
  <c r="AL104" i="3"/>
  <c r="AL105" i="3"/>
  <c r="AL106" i="3"/>
  <c r="AL107" i="3"/>
  <c r="AL108" i="3"/>
  <c r="AL109" i="3"/>
  <c r="AN110" i="3"/>
  <c r="AR408" i="25" s="1"/>
  <c r="AL110" i="3"/>
  <c r="AL111" i="3"/>
  <c r="AN112" i="3"/>
  <c r="AR410" i="25" s="1"/>
  <c r="AL113" i="3"/>
  <c r="AL114" i="3"/>
  <c r="AL115" i="3"/>
  <c r="AL116" i="3"/>
  <c r="AL117" i="3"/>
  <c r="AL118" i="3"/>
  <c r="AL119" i="3"/>
  <c r="AN120" i="3"/>
  <c r="AN121" i="3"/>
  <c r="AR324" i="25" s="1"/>
  <c r="AN122" i="3"/>
  <c r="AN123" i="3"/>
  <c r="AR326" i="25" s="1"/>
  <c r="AL123" i="3"/>
  <c r="AN124" i="3"/>
  <c r="AR322" i="25" s="1"/>
  <c r="AL2" i="5"/>
  <c r="AL3" i="5"/>
  <c r="AL4" i="5"/>
  <c r="AL5" i="5"/>
  <c r="AL6" i="5"/>
  <c r="AL7" i="5"/>
  <c r="AL8" i="5"/>
  <c r="AL9" i="5"/>
  <c r="AN10" i="5"/>
  <c r="AR54" i="25" s="1"/>
  <c r="AL11" i="5"/>
  <c r="AL12" i="5"/>
  <c r="AN13" i="5"/>
  <c r="AR57" i="25" s="1"/>
  <c r="AL14" i="5"/>
  <c r="AL15" i="5"/>
  <c r="AL16" i="5"/>
  <c r="AL17" i="5"/>
  <c r="AL18" i="5"/>
  <c r="AL19" i="5"/>
  <c r="AL20" i="5"/>
  <c r="AL21" i="5"/>
  <c r="AL22" i="5"/>
  <c r="AL23" i="5"/>
  <c r="AL24" i="5"/>
  <c r="AL25" i="5"/>
  <c r="AL26" i="5"/>
  <c r="AN27" i="5"/>
  <c r="AR93" i="25" s="1"/>
  <c r="AL27" i="5"/>
  <c r="AL28" i="5"/>
  <c r="AN29" i="5"/>
  <c r="AR95" i="25" s="1"/>
  <c r="AN30" i="5"/>
  <c r="AR96" i="25" s="1"/>
  <c r="AL31" i="5"/>
  <c r="AL32" i="5"/>
  <c r="AL33" i="5"/>
  <c r="AL34" i="5"/>
  <c r="AL35" i="5"/>
  <c r="AL36" i="5"/>
  <c r="AL37" i="5"/>
  <c r="AL38" i="5"/>
  <c r="AL39" i="5"/>
  <c r="AL40" i="5"/>
  <c r="AL41" i="5"/>
  <c r="AL42" i="5"/>
  <c r="AL43" i="5"/>
  <c r="AL44" i="5"/>
  <c r="AL45" i="5"/>
  <c r="AL46" i="5"/>
  <c r="AL47" i="5"/>
  <c r="AL48" i="5"/>
  <c r="AL49" i="5"/>
  <c r="AL50" i="5"/>
  <c r="AL51" i="5"/>
  <c r="AL52" i="5"/>
  <c r="AL53" i="5"/>
  <c r="AL54" i="5"/>
  <c r="AL55" i="5"/>
  <c r="AL56" i="5"/>
  <c r="AL57" i="5"/>
  <c r="AN58" i="5"/>
  <c r="AR117" i="25" s="1"/>
  <c r="AN59" i="5"/>
  <c r="AN60" i="5"/>
  <c r="AR119" i="25" s="1"/>
  <c r="AN61" i="5"/>
  <c r="AR120" i="25" s="1"/>
  <c r="AN62" i="5"/>
  <c r="AR121" i="25" s="1"/>
  <c r="AL62" i="5"/>
  <c r="AL63" i="5"/>
  <c r="AL64" i="5"/>
  <c r="AL65" i="5"/>
  <c r="AL66" i="5"/>
  <c r="AL67" i="5"/>
  <c r="AL68" i="5"/>
  <c r="AL69" i="5"/>
  <c r="AL70" i="5"/>
  <c r="AL71" i="5"/>
  <c r="AL72" i="5"/>
  <c r="AL73" i="5"/>
  <c r="AN74" i="5"/>
  <c r="AL75" i="5"/>
  <c r="AL76" i="5"/>
  <c r="AL77" i="5"/>
  <c r="AL78" i="5"/>
  <c r="AL79" i="5"/>
  <c r="AN80" i="5"/>
  <c r="AR109" i="25" s="1"/>
  <c r="AL81" i="5"/>
  <c r="AL82" i="5"/>
  <c r="AL83" i="5"/>
  <c r="AL84" i="5"/>
  <c r="AL85" i="5"/>
  <c r="AL86" i="5"/>
  <c r="AN87" i="5"/>
  <c r="AR127" i="25" s="1"/>
  <c r="AL88" i="5"/>
  <c r="AL89" i="5"/>
  <c r="AN90" i="5"/>
  <c r="AR74" i="25" s="1"/>
  <c r="AL91" i="5"/>
  <c r="AN92" i="5"/>
  <c r="AR122" i="25" s="1"/>
  <c r="AL92" i="5"/>
  <c r="AN93" i="5"/>
  <c r="AR123" i="25" s="1"/>
  <c r="AL94" i="5"/>
  <c r="AL95" i="5"/>
  <c r="AL96" i="5"/>
  <c r="AN97" i="5"/>
  <c r="AR51" i="25" s="1"/>
  <c r="AL98" i="5"/>
  <c r="AN99" i="5"/>
  <c r="AR53" i="25" s="1"/>
  <c r="AL99" i="5"/>
  <c r="AL2" i="8"/>
  <c r="AL3" i="8"/>
  <c r="AL4" i="8"/>
  <c r="AL5" i="8"/>
  <c r="AL6" i="8"/>
  <c r="AL7" i="8"/>
  <c r="AL8" i="8"/>
  <c r="AL9" i="8"/>
  <c r="AL10" i="8"/>
  <c r="AL11" i="8"/>
  <c r="AL12" i="8"/>
  <c r="AN13" i="8"/>
  <c r="AR480" i="25" s="1"/>
  <c r="AN14" i="8"/>
  <c r="AR481" i="25" s="1"/>
  <c r="AN15" i="8"/>
  <c r="AR482" i="25" s="1"/>
  <c r="AN16" i="8"/>
  <c r="AN17" i="8"/>
  <c r="AR484" i="25" s="1"/>
  <c r="AN18" i="8"/>
  <c r="AR485" i="25" s="1"/>
  <c r="AN19" i="8"/>
  <c r="AR486" i="25" s="1"/>
  <c r="AL19" i="8"/>
  <c r="AN20" i="8"/>
  <c r="AR473" i="25" s="1"/>
  <c r="AL20" i="8"/>
  <c r="AN21" i="8"/>
  <c r="AR474" i="25" s="1"/>
  <c r="AN22" i="8"/>
  <c r="AR475" i="25" s="1"/>
  <c r="AN23" i="8"/>
  <c r="AR476" i="25" s="1"/>
  <c r="AL24" i="8"/>
  <c r="AN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N55" i="8"/>
  <c r="AR471" i="25" s="1"/>
  <c r="AL56" i="8"/>
  <c r="AL57" i="8"/>
  <c r="AL58" i="8"/>
  <c r="AL59" i="8"/>
  <c r="AL60" i="8"/>
  <c r="AL61" i="8"/>
  <c r="AL62" i="8"/>
  <c r="AN63" i="8"/>
  <c r="AR492" i="25" s="1"/>
  <c r="AL63" i="8"/>
  <c r="E2" i="10"/>
  <c r="I149" i="25" s="1"/>
  <c r="E3" i="10"/>
  <c r="I154" i="25" s="1"/>
  <c r="E4" i="10"/>
  <c r="I143" i="25" s="1"/>
  <c r="E5" i="10"/>
  <c r="I157" i="25" s="1"/>
  <c r="E6" i="10"/>
  <c r="I158" i="25" s="1"/>
  <c r="E7" i="10"/>
  <c r="I151" i="25" s="1"/>
  <c r="E8" i="10"/>
  <c r="I161" i="25" s="1"/>
  <c r="E9" i="10"/>
  <c r="I146" i="25" s="1"/>
  <c r="E10" i="10"/>
  <c r="I150" i="25" s="1"/>
  <c r="E11" i="10"/>
  <c r="I164" i="25" s="1"/>
  <c r="E12" i="10"/>
  <c r="I155" i="25" s="1"/>
  <c r="E13" i="10"/>
  <c r="I152" i="25" s="1"/>
  <c r="E14" i="10"/>
  <c r="I156" i="25" s="1"/>
  <c r="E15" i="10"/>
  <c r="I139" i="25" s="1"/>
  <c r="E16" i="10"/>
  <c r="I140" i="25" s="1"/>
  <c r="E17" i="10"/>
  <c r="I141" i="25" s="1"/>
  <c r="E18" i="10"/>
  <c r="I159" i="25" s="1"/>
  <c r="E19" i="10"/>
  <c r="I160" i="25" s="1"/>
  <c r="E20" i="10"/>
  <c r="I147" i="25" s="1"/>
  <c r="E21" i="10"/>
  <c r="I148" i="25" s="1"/>
  <c r="E22" i="10"/>
  <c r="I153" i="25" s="1"/>
  <c r="E23" i="10"/>
  <c r="I162" i="25" s="1"/>
  <c r="E24" i="10"/>
  <c r="I163" i="25" s="1"/>
  <c r="E25" i="10"/>
  <c r="I165" i="25" s="1"/>
  <c r="E26" i="10"/>
  <c r="I166" i="25" s="1"/>
  <c r="E27" i="10"/>
  <c r="I167" i="25" s="1"/>
  <c r="E28" i="10"/>
  <c r="I142" i="25" s="1"/>
  <c r="E29" i="10"/>
  <c r="I144" i="25" s="1"/>
  <c r="E30" i="10"/>
  <c r="I145" i="25" s="1"/>
  <c r="E2" i="3"/>
  <c r="I363" i="25" s="1"/>
  <c r="E3" i="3"/>
  <c r="I364" i="25" s="1"/>
  <c r="E4" i="3"/>
  <c r="I365" i="25" s="1"/>
  <c r="E5" i="3"/>
  <c r="I362" i="25" s="1"/>
  <c r="E6" i="3"/>
  <c r="I366" i="25" s="1"/>
  <c r="E7" i="3"/>
  <c r="I361" i="25" s="1"/>
  <c r="E8" i="3"/>
  <c r="I360" i="25" s="1"/>
  <c r="E9" i="3"/>
  <c r="I359" i="25" s="1"/>
  <c r="E10" i="3"/>
  <c r="I418" i="25" s="1"/>
  <c r="E11" i="3"/>
  <c r="I419" i="25" s="1"/>
  <c r="E12" i="3"/>
  <c r="I420" i="25" s="1"/>
  <c r="E13" i="3"/>
  <c r="I421" i="25" s="1"/>
  <c r="E14" i="3"/>
  <c r="I422" i="25" s="1"/>
  <c r="E15" i="3"/>
  <c r="I423" i="25" s="1"/>
  <c r="E16" i="3"/>
  <c r="I424" i="25" s="1"/>
  <c r="E17" i="3"/>
  <c r="I425" i="25" s="1"/>
  <c r="E18" i="3"/>
  <c r="I426" i="25" s="1"/>
  <c r="E19" i="3"/>
  <c r="I427" i="25" s="1"/>
  <c r="E20" i="3"/>
  <c r="I371" i="25" s="1"/>
  <c r="E21" i="3"/>
  <c r="I372" i="25" s="1"/>
  <c r="E22" i="3"/>
  <c r="I373" i="25" s="1"/>
  <c r="E23" i="3"/>
  <c r="I374" i="25" s="1"/>
  <c r="E24" i="3"/>
  <c r="I375" i="25" s="1"/>
  <c r="E25" i="3"/>
  <c r="I376" i="25" s="1"/>
  <c r="E26" i="3"/>
  <c r="I377" i="25" s="1"/>
  <c r="E27" i="3"/>
  <c r="I378" i="25" s="1"/>
  <c r="E28" i="3"/>
  <c r="I379" i="25" s="1"/>
  <c r="E29" i="3"/>
  <c r="I401" i="25" s="1"/>
  <c r="E30" i="3"/>
  <c r="I402" i="25" s="1"/>
  <c r="E31" i="3"/>
  <c r="I403" i="25" s="1"/>
  <c r="E32" i="3"/>
  <c r="I404" i="25" s="1"/>
  <c r="E33" i="3"/>
  <c r="I405" i="25" s="1"/>
  <c r="E34" i="3"/>
  <c r="I406" i="25" s="1"/>
  <c r="E35" i="3"/>
  <c r="I407" i="25" s="1"/>
  <c r="E36" i="3"/>
  <c r="I384" i="25" s="1"/>
  <c r="E37" i="3"/>
  <c r="I385" i="25" s="1"/>
  <c r="E38" i="3"/>
  <c r="I386" i="25" s="1"/>
  <c r="E39" i="3"/>
  <c r="I387" i="25" s="1"/>
  <c r="E40" i="3"/>
  <c r="I388" i="25" s="1"/>
  <c r="E41" i="3"/>
  <c r="I356" i="25" s="1"/>
  <c r="E42" i="3"/>
  <c r="I357" i="25" s="1"/>
  <c r="E43" i="3"/>
  <c r="I358" i="25" s="1"/>
  <c r="E44" i="3"/>
  <c r="I428" i="25" s="1"/>
  <c r="E45" i="3"/>
  <c r="I429" i="25" s="1"/>
  <c r="E46" i="3"/>
  <c r="I430" i="25" s="1"/>
  <c r="E47" i="3"/>
  <c r="I431" i="25" s="1"/>
  <c r="E48" i="3"/>
  <c r="I432" i="25" s="1"/>
  <c r="E49" i="3"/>
  <c r="I347" i="25" s="1"/>
  <c r="E50" i="3"/>
  <c r="I348" i="25" s="1"/>
  <c r="E51" i="3"/>
  <c r="I349" i="25" s="1"/>
  <c r="E52" i="3"/>
  <c r="I350" i="25" s="1"/>
  <c r="E53" i="3"/>
  <c r="I437" i="25" s="1"/>
  <c r="E54" i="3"/>
  <c r="I438" i="25" s="1"/>
  <c r="E55" i="3"/>
  <c r="I439" i="25" s="1"/>
  <c r="E56" i="3"/>
  <c r="I440" i="25" s="1"/>
  <c r="E57" i="3"/>
  <c r="I367" i="25" s="1"/>
  <c r="E58" i="3"/>
  <c r="I368" i="25" s="1"/>
  <c r="E59" i="3"/>
  <c r="I369" i="25" s="1"/>
  <c r="E60" i="3"/>
  <c r="I370" i="25" s="1"/>
  <c r="E61" i="3"/>
  <c r="I380" i="25" s="1"/>
  <c r="E62" i="3"/>
  <c r="I381" i="25" s="1"/>
  <c r="E63" i="3"/>
  <c r="I382" i="25" s="1"/>
  <c r="E64" i="3"/>
  <c r="I383" i="25" s="1"/>
  <c r="E65" i="3"/>
  <c r="I433" i="25" s="1"/>
  <c r="E66" i="3"/>
  <c r="I434" i="25" s="1"/>
  <c r="E67" i="3"/>
  <c r="I435" i="25" s="1"/>
  <c r="E68" i="3"/>
  <c r="I436" i="25" s="1"/>
  <c r="E69" i="3"/>
  <c r="I441" i="25" s="1"/>
  <c r="E70" i="3"/>
  <c r="I442" i="25" s="1"/>
  <c r="E71" i="3"/>
  <c r="I443" i="25" s="1"/>
  <c r="E72" i="3"/>
  <c r="I444" i="25" s="1"/>
  <c r="E73" i="3"/>
  <c r="I327" i="25" s="1"/>
  <c r="E74" i="3"/>
  <c r="I328" i="25" s="1"/>
  <c r="E75" i="3"/>
  <c r="I329" i="25" s="1"/>
  <c r="E76" i="3"/>
  <c r="I330" i="25" s="1"/>
  <c r="E77" i="3"/>
  <c r="I331" i="25" s="1"/>
  <c r="E78" i="3"/>
  <c r="I389" i="25" s="1"/>
  <c r="E79" i="3"/>
  <c r="I390" i="25" s="1"/>
  <c r="E80" i="3"/>
  <c r="I342" i="25" s="1"/>
  <c r="E81" i="3"/>
  <c r="I343" i="25" s="1"/>
  <c r="E82" i="3"/>
  <c r="I344" i="25" s="1"/>
  <c r="E83" i="3"/>
  <c r="I345" i="25" s="1"/>
  <c r="E84" i="3"/>
  <c r="I346" i="25" s="1"/>
  <c r="E85" i="3"/>
  <c r="I396" i="25" s="1"/>
  <c r="E86" i="3"/>
  <c r="I397" i="25" s="1"/>
  <c r="E87" i="3"/>
  <c r="I398" i="25" s="1"/>
  <c r="E88" i="3"/>
  <c r="I399" i="25" s="1"/>
  <c r="E89" i="3"/>
  <c r="I400" i="25" s="1"/>
  <c r="E90" i="3"/>
  <c r="I337" i="25" s="1"/>
  <c r="E91" i="3"/>
  <c r="I338" i="25" s="1"/>
  <c r="E92" i="3"/>
  <c r="I339" i="25" s="1"/>
  <c r="E93" i="3"/>
  <c r="I340" i="25" s="1"/>
  <c r="E94" i="3"/>
  <c r="I341" i="25" s="1"/>
  <c r="E95" i="3"/>
  <c r="I332" i="25" s="1"/>
  <c r="E96" i="3"/>
  <c r="I333" i="25" s="1"/>
  <c r="E97" i="3"/>
  <c r="I334" i="25" s="1"/>
  <c r="E98" i="3"/>
  <c r="I335" i="25" s="1"/>
  <c r="E99" i="3"/>
  <c r="I336" i="25" s="1"/>
  <c r="E100" i="3"/>
  <c r="I413" i="25" s="1"/>
  <c r="E101" i="3"/>
  <c r="I414" i="25" s="1"/>
  <c r="E102" i="3"/>
  <c r="I415" i="25" s="1"/>
  <c r="E103" i="3"/>
  <c r="I416" i="25" s="1"/>
  <c r="E104" i="3"/>
  <c r="I417" i="25" s="1"/>
  <c r="E105" i="3"/>
  <c r="I351" i="25" s="1"/>
  <c r="E106" i="3"/>
  <c r="I352" i="25" s="1"/>
  <c r="E107" i="3"/>
  <c r="I353" i="25" s="1"/>
  <c r="E108" i="3"/>
  <c r="I354" i="25" s="1"/>
  <c r="E109" i="3"/>
  <c r="I355" i="25" s="1"/>
  <c r="E110" i="3"/>
  <c r="I408" i="25" s="1"/>
  <c r="E111" i="3"/>
  <c r="I409" i="25" s="1"/>
  <c r="E112" i="3"/>
  <c r="I410" i="25" s="1"/>
  <c r="E113" i="3"/>
  <c r="I411" i="25" s="1"/>
  <c r="E114" i="3"/>
  <c r="I412" i="25" s="1"/>
  <c r="E115" i="3"/>
  <c r="I391" i="25" s="1"/>
  <c r="E116" i="3"/>
  <c r="I392" i="25" s="1"/>
  <c r="E117" i="3"/>
  <c r="I393" i="25" s="1"/>
  <c r="E118" i="3"/>
  <c r="I394" i="25" s="1"/>
  <c r="E119" i="3"/>
  <c r="I395" i="25" s="1"/>
  <c r="E120" i="3"/>
  <c r="I323" i="25" s="1"/>
  <c r="E121" i="3"/>
  <c r="I324" i="25" s="1"/>
  <c r="E122" i="3"/>
  <c r="I325" i="25" s="1"/>
  <c r="E123" i="3"/>
  <c r="I326" i="25" s="1"/>
  <c r="E124" i="3"/>
  <c r="I322" i="25" s="1"/>
  <c r="E2" i="5"/>
  <c r="I44" i="25" s="1"/>
  <c r="E3" i="5"/>
  <c r="I45" i="25" s="1"/>
  <c r="E4" i="5"/>
  <c r="I46" i="25" s="1"/>
  <c r="E5" i="5"/>
  <c r="I47" i="25" s="1"/>
  <c r="E6" i="5"/>
  <c r="I89" i="25" s="1"/>
  <c r="E7" i="5"/>
  <c r="I90" i="25" s="1"/>
  <c r="E8" i="5"/>
  <c r="I91" i="25" s="1"/>
  <c r="E9" i="5"/>
  <c r="I92" i="25" s="1"/>
  <c r="E10" i="5"/>
  <c r="I54" i="25" s="1"/>
  <c r="E11" i="5"/>
  <c r="I55" i="25" s="1"/>
  <c r="E12" i="5"/>
  <c r="I56" i="25" s="1"/>
  <c r="E13" i="5"/>
  <c r="I57" i="25" s="1"/>
  <c r="E14" i="5"/>
  <c r="I58" i="25" s="1"/>
  <c r="E15" i="5"/>
  <c r="I59" i="25" s="1"/>
  <c r="E16" i="5"/>
  <c r="I60" i="25" s="1"/>
  <c r="E17" i="5"/>
  <c r="I61" i="25" s="1"/>
  <c r="E18" i="5"/>
  <c r="I48" i="25" s="1"/>
  <c r="E19" i="5"/>
  <c r="I128" i="25" s="1"/>
  <c r="E20" i="5"/>
  <c r="I129" i="25" s="1"/>
  <c r="E21" i="5"/>
  <c r="I130" i="25" s="1"/>
  <c r="E22" i="5"/>
  <c r="I131" i="25" s="1"/>
  <c r="E23" i="5"/>
  <c r="I132" i="25" s="1"/>
  <c r="E24" i="5"/>
  <c r="I105" i="25" s="1"/>
  <c r="E25" i="5"/>
  <c r="I106" i="25" s="1"/>
  <c r="E26" i="5"/>
  <c r="I107" i="25" s="1"/>
  <c r="E27" i="5"/>
  <c r="I93" i="25" s="1"/>
  <c r="E28" i="5"/>
  <c r="I94" i="25" s="1"/>
  <c r="E29" i="5"/>
  <c r="I95" i="25" s="1"/>
  <c r="E30" i="5"/>
  <c r="I96" i="25" s="1"/>
  <c r="E31" i="5"/>
  <c r="I85" i="25" s="1"/>
  <c r="E32" i="5"/>
  <c r="I86" i="25" s="1"/>
  <c r="E33" i="5"/>
  <c r="I87" i="25" s="1"/>
  <c r="E34" i="5"/>
  <c r="I88" i="25" s="1"/>
  <c r="E35" i="5"/>
  <c r="I41" i="25" s="1"/>
  <c r="E36" i="5"/>
  <c r="I42" i="25" s="1"/>
  <c r="E37" i="5"/>
  <c r="I43" i="25" s="1"/>
  <c r="E38" i="5"/>
  <c r="I135" i="25" s="1"/>
  <c r="E39" i="5"/>
  <c r="I136" i="25" s="1"/>
  <c r="E40" i="5"/>
  <c r="I137" i="25" s="1"/>
  <c r="E41" i="5"/>
  <c r="I138" i="25" s="1"/>
  <c r="E42" i="5"/>
  <c r="I97" i="25" s="1"/>
  <c r="E43" i="5"/>
  <c r="I98" i="25" s="1"/>
  <c r="E44" i="5"/>
  <c r="I99" i="25" s="1"/>
  <c r="E45" i="5"/>
  <c r="I100" i="25" s="1"/>
  <c r="E46" i="5"/>
  <c r="I133" i="25" s="1"/>
  <c r="E47" i="5"/>
  <c r="I134" i="25" s="1"/>
  <c r="E48" i="5"/>
  <c r="I69" i="25" s="1"/>
  <c r="E49" i="5"/>
  <c r="I70" i="25" s="1"/>
  <c r="E50" i="5"/>
  <c r="I71" i="25" s="1"/>
  <c r="E51" i="5"/>
  <c r="I72" i="25" s="1"/>
  <c r="E52" i="5"/>
  <c r="I73" i="25" s="1"/>
  <c r="E53" i="5"/>
  <c r="I76" i="25" s="1"/>
  <c r="E54" i="5"/>
  <c r="I77" i="25" s="1"/>
  <c r="E55" i="5"/>
  <c r="I78" i="25" s="1"/>
  <c r="E56" i="5"/>
  <c r="I79" i="25" s="1"/>
  <c r="E57" i="5"/>
  <c r="I80" i="25" s="1"/>
  <c r="E58" i="5"/>
  <c r="I117" i="25" s="1"/>
  <c r="E59" i="5"/>
  <c r="I118" i="25" s="1"/>
  <c r="E60" i="5"/>
  <c r="I119" i="25" s="1"/>
  <c r="E61" i="5"/>
  <c r="I120" i="25" s="1"/>
  <c r="E62" i="5"/>
  <c r="I121" i="25" s="1"/>
  <c r="E63" i="5"/>
  <c r="I111" i="25" s="1"/>
  <c r="E64" i="5"/>
  <c r="I62" i="25" s="1"/>
  <c r="E65" i="5"/>
  <c r="I63" i="25" s="1"/>
  <c r="E66" i="5"/>
  <c r="I64" i="25" s="1"/>
  <c r="E67" i="5"/>
  <c r="I65" i="25" s="1"/>
  <c r="E68" i="5"/>
  <c r="I66" i="25" s="1"/>
  <c r="E69" i="5"/>
  <c r="I101" i="25" s="1"/>
  <c r="E70" i="5"/>
  <c r="I102" i="25" s="1"/>
  <c r="E71" i="5"/>
  <c r="I103" i="25" s="1"/>
  <c r="E72" i="5"/>
  <c r="I104" i="25" s="1"/>
  <c r="E73" i="5"/>
  <c r="I49" i="25" s="1"/>
  <c r="E74" i="5"/>
  <c r="I112" i="25" s="1"/>
  <c r="E75" i="5"/>
  <c r="I113" i="25" s="1"/>
  <c r="E76" i="5"/>
  <c r="I114" i="25" s="1"/>
  <c r="E77" i="5"/>
  <c r="I115" i="25" s="1"/>
  <c r="E78" i="5"/>
  <c r="I116" i="25" s="1"/>
  <c r="E79" i="5"/>
  <c r="I108" i="25" s="1"/>
  <c r="E80" i="5"/>
  <c r="I109" i="25" s="1"/>
  <c r="E81" i="5"/>
  <c r="I110" i="25" s="1"/>
  <c r="E82" i="5"/>
  <c r="I81" i="25" s="1"/>
  <c r="E83" i="5"/>
  <c r="I82" i="25" s="1"/>
  <c r="E84" i="5"/>
  <c r="I83" i="25" s="1"/>
  <c r="E85" i="5"/>
  <c r="I84" i="25" s="1"/>
  <c r="E86" i="5"/>
  <c r="I126" i="25" s="1"/>
  <c r="E87" i="5"/>
  <c r="I127" i="25" s="1"/>
  <c r="E88" i="5"/>
  <c r="I67" i="25" s="1"/>
  <c r="E89" i="5"/>
  <c r="I68" i="25" s="1"/>
  <c r="E90" i="5"/>
  <c r="I74" i="25" s="1"/>
  <c r="E91" i="5"/>
  <c r="I75" i="25" s="1"/>
  <c r="E92" i="5"/>
  <c r="I122" i="25" s="1"/>
  <c r="E93" i="5"/>
  <c r="I123" i="25" s="1"/>
  <c r="E94" i="5"/>
  <c r="I124" i="25" s="1"/>
  <c r="E95" i="5"/>
  <c r="I125" i="25" s="1"/>
  <c r="E96" i="5"/>
  <c r="I50" i="25" s="1"/>
  <c r="E97" i="5"/>
  <c r="I51" i="25" s="1"/>
  <c r="E98" i="5"/>
  <c r="I52" i="25" s="1"/>
  <c r="E99" i="5"/>
  <c r="I53" i="25" s="1"/>
  <c r="E2" i="7"/>
  <c r="I31" i="25" s="1"/>
  <c r="E3" i="7"/>
  <c r="I32" i="25" s="1"/>
  <c r="E4" i="7"/>
  <c r="I33" i="25" s="1"/>
  <c r="E5" i="7"/>
  <c r="I34" i="25" s="1"/>
  <c r="E6" i="7"/>
  <c r="I35" i="25" s="1"/>
  <c r="E7" i="7"/>
  <c r="I16" i="25" s="1"/>
  <c r="E8" i="7"/>
  <c r="I17" i="25" s="1"/>
  <c r="E9" i="7"/>
  <c r="I18" i="25" s="1"/>
  <c r="E10" i="7"/>
  <c r="I19" i="25" s="1"/>
  <c r="E11" i="7"/>
  <c r="I20" i="25" s="1"/>
  <c r="E12" i="7"/>
  <c r="I36" i="25" s="1"/>
  <c r="E13" i="7"/>
  <c r="I37" i="25" s="1"/>
  <c r="E14" i="7"/>
  <c r="I38" i="25" s="1"/>
  <c r="E15" i="7"/>
  <c r="I39" i="25" s="1"/>
  <c r="E16" i="7"/>
  <c r="I40" i="25" s="1"/>
  <c r="E17" i="7"/>
  <c r="I21" i="25" s="1"/>
  <c r="E18" i="7"/>
  <c r="I22" i="25" s="1"/>
  <c r="E19" i="7"/>
  <c r="I23" i="25" s="1"/>
  <c r="E20" i="7"/>
  <c r="I24" i="25" s="1"/>
  <c r="E21" i="7"/>
  <c r="I25" i="25" s="1"/>
  <c r="E22" i="7"/>
  <c r="I2" i="25" s="1"/>
  <c r="E23" i="7"/>
  <c r="I3" i="25" s="1"/>
  <c r="E24" i="7"/>
  <c r="I4" i="25" s="1"/>
  <c r="E25" i="7"/>
  <c r="I5" i="25" s="1"/>
  <c r="E26" i="7"/>
  <c r="I6" i="25" s="1"/>
  <c r="E27" i="7"/>
  <c r="I7" i="25" s="1"/>
  <c r="E28" i="7"/>
  <c r="I8" i="25" s="1"/>
  <c r="E29" i="7"/>
  <c r="I9" i="25" s="1"/>
  <c r="E30" i="7"/>
  <c r="I10" i="25" s="1"/>
  <c r="E31" i="7"/>
  <c r="I15" i="25" s="1"/>
  <c r="E32" i="7"/>
  <c r="I12" i="25" s="1"/>
  <c r="E33" i="7"/>
  <c r="I13" i="25" s="1"/>
  <c r="E34" i="7"/>
  <c r="I14" i="25" s="1"/>
  <c r="E35" i="7"/>
  <c r="I11" i="25" s="1"/>
  <c r="E36" i="7"/>
  <c r="I26" i="25" s="1"/>
  <c r="E37" i="7"/>
  <c r="I27" i="25" s="1"/>
  <c r="E38" i="7"/>
  <c r="I28" i="25" s="1"/>
  <c r="E39" i="7"/>
  <c r="I29" i="25" s="1"/>
  <c r="E40" i="7"/>
  <c r="I30" i="25" s="1"/>
  <c r="E2" i="8"/>
  <c r="I468" i="25" s="1"/>
  <c r="E3" i="8"/>
  <c r="I448" i="25" s="1"/>
  <c r="E4" i="8"/>
  <c r="I493" i="25" s="1"/>
  <c r="E5" i="8"/>
  <c r="I489" i="25" s="1"/>
  <c r="E6" i="8"/>
  <c r="I447" i="25" s="1"/>
  <c r="E7" i="8"/>
  <c r="I494" i="25" s="1"/>
  <c r="E8" i="8"/>
  <c r="I495" i="25" s="1"/>
  <c r="E9" i="8"/>
  <c r="I500" i="25" s="1"/>
  <c r="E10" i="8"/>
  <c r="I487" i="25" s="1"/>
  <c r="E11" i="8"/>
  <c r="I488" i="25" s="1"/>
  <c r="E12" i="8"/>
  <c r="I479" i="25" s="1"/>
  <c r="E13" i="8"/>
  <c r="I480" i="25" s="1"/>
  <c r="E14" i="8"/>
  <c r="I481" i="25" s="1"/>
  <c r="E15" i="8"/>
  <c r="I482" i="25" s="1"/>
  <c r="E16" i="8"/>
  <c r="I483" i="25" s="1"/>
  <c r="E17" i="8"/>
  <c r="I484" i="25" s="1"/>
  <c r="E18" i="8"/>
  <c r="I485" i="25" s="1"/>
  <c r="E19" i="8"/>
  <c r="I486" i="25" s="1"/>
  <c r="E20" i="8"/>
  <c r="I473" i="25" s="1"/>
  <c r="E21" i="8"/>
  <c r="I474" i="25" s="1"/>
  <c r="E22" i="8"/>
  <c r="I475" i="25" s="1"/>
  <c r="E23" i="8"/>
  <c r="I476" i="25" s="1"/>
  <c r="E24" i="8"/>
  <c r="I477" i="25" s="1"/>
  <c r="E25" i="8"/>
  <c r="I478" i="25" s="1"/>
  <c r="E26" i="8"/>
  <c r="I449" i="25" s="1"/>
  <c r="E27" i="8"/>
  <c r="I450" i="25" s="1"/>
  <c r="E28" i="8"/>
  <c r="I451" i="25" s="1"/>
  <c r="E29" i="8"/>
  <c r="I452" i="25" s="1"/>
  <c r="E30" i="8"/>
  <c r="I460" i="25" s="1"/>
  <c r="E31" i="8"/>
  <c r="I461" i="25" s="1"/>
  <c r="E32" i="8"/>
  <c r="I462" i="25" s="1"/>
  <c r="E33" i="8"/>
  <c r="I463" i="25" s="1"/>
  <c r="E34" i="8"/>
  <c r="I496" i="25" s="1"/>
  <c r="E35" i="8"/>
  <c r="I497" i="25" s="1"/>
  <c r="E36" i="8"/>
  <c r="I498" i="25" s="1"/>
  <c r="E37" i="8"/>
  <c r="I499" i="25" s="1"/>
  <c r="E38" i="8"/>
  <c r="I464" i="25" s="1"/>
  <c r="E39" i="8"/>
  <c r="I465" i="25" s="1"/>
  <c r="E40" i="8"/>
  <c r="I466" i="25" s="1"/>
  <c r="E41" i="8"/>
  <c r="I467" i="25" s="1"/>
  <c r="E42" i="8"/>
  <c r="I455" i="25" s="1"/>
  <c r="E43" i="8"/>
  <c r="I456" i="25" s="1"/>
  <c r="E44" i="8"/>
  <c r="I457" i="25" s="1"/>
  <c r="E45" i="8"/>
  <c r="I458" i="25" s="1"/>
  <c r="E46" i="8"/>
  <c r="I453" i="25" s="1"/>
  <c r="E47" i="8"/>
  <c r="I454" i="25" s="1"/>
  <c r="E48" i="8"/>
  <c r="I506" i="25" s="1"/>
  <c r="E49" i="8"/>
  <c r="I459" i="25" s="1"/>
  <c r="E50" i="8"/>
  <c r="I501" i="25" s="1"/>
  <c r="E51" i="8"/>
  <c r="I502" i="25" s="1"/>
  <c r="E52" i="8"/>
  <c r="I503" i="25" s="1"/>
  <c r="E53" i="8"/>
  <c r="I504" i="25" s="1"/>
  <c r="E54" i="8"/>
  <c r="I505" i="25" s="1"/>
  <c r="E55" i="8"/>
  <c r="I471" i="25" s="1"/>
  <c r="E56" i="8"/>
  <c r="I472" i="25" s="1"/>
  <c r="E57" i="8"/>
  <c r="I469" i="25" s="1"/>
  <c r="E58" i="8"/>
  <c r="I470" i="25" s="1"/>
  <c r="E59" i="8"/>
  <c r="I445" i="25" s="1"/>
  <c r="E60" i="8"/>
  <c r="I446" i="25" s="1"/>
  <c r="E61" i="8"/>
  <c r="I490" i="25" s="1"/>
  <c r="E62" i="8"/>
  <c r="I491" i="25" s="1"/>
  <c r="E63" i="8"/>
  <c r="I492" i="25" s="1"/>
  <c r="E140" i="1"/>
  <c r="I184" i="25" s="1"/>
  <c r="E141" i="1"/>
  <c r="I182" i="25" s="1"/>
  <c r="E142" i="1"/>
  <c r="I214" i="25" s="1"/>
  <c r="E143" i="1"/>
  <c r="I215" i="25" s="1"/>
  <c r="E144" i="1"/>
  <c r="I216" i="25" s="1"/>
  <c r="E145" i="1"/>
  <c r="I217" i="25" s="1"/>
  <c r="E146" i="1"/>
  <c r="I218" i="25" s="1"/>
  <c r="E147" i="1"/>
  <c r="I198" i="25" s="1"/>
  <c r="E148" i="1"/>
  <c r="I199" i="25" s="1"/>
  <c r="E149" i="1"/>
  <c r="I200" i="25" s="1"/>
  <c r="E150" i="1"/>
  <c r="I201" i="25" s="1"/>
  <c r="E151" i="1"/>
  <c r="I247" i="25" s="1"/>
  <c r="E152" i="1"/>
  <c r="I248" i="25" s="1"/>
  <c r="E153" i="1"/>
  <c r="I249" i="25" s="1"/>
  <c r="E154" i="1"/>
  <c r="I250" i="25" s="1"/>
  <c r="E155" i="1"/>
  <c r="I251" i="25" s="1"/>
  <c r="E112" i="1"/>
  <c r="I231" i="25" s="1"/>
  <c r="E113" i="1"/>
  <c r="I232" i="25" s="1"/>
  <c r="E114" i="1"/>
  <c r="I230" i="25" s="1"/>
  <c r="E115" i="1"/>
  <c r="I233" i="25" s="1"/>
  <c r="E116" i="1"/>
  <c r="I269" i="25" s="1"/>
  <c r="E117" i="1"/>
  <c r="I270" i="25" s="1"/>
  <c r="E118" i="1"/>
  <c r="I271" i="25" s="1"/>
  <c r="E119" i="1"/>
  <c r="I305" i="25" s="1"/>
  <c r="E120" i="1"/>
  <c r="I306" i="25" s="1"/>
  <c r="E121" i="1"/>
  <c r="I307" i="25" s="1"/>
  <c r="E122" i="1"/>
  <c r="I308" i="25" s="1"/>
  <c r="E123" i="1"/>
  <c r="I272" i="25" s="1"/>
  <c r="E124" i="1"/>
  <c r="I273" i="25" s="1"/>
  <c r="E125" i="1"/>
  <c r="I274" i="25" s="1"/>
  <c r="E126" i="1"/>
  <c r="I275" i="25" s="1"/>
  <c r="E127" i="1"/>
  <c r="I264" i="25" s="1"/>
  <c r="E128" i="1"/>
  <c r="I265" i="25" s="1"/>
  <c r="E129" i="1"/>
  <c r="I266" i="25" s="1"/>
  <c r="E130" i="1"/>
  <c r="I267" i="25" s="1"/>
  <c r="E131" i="1"/>
  <c r="I268" i="25" s="1"/>
  <c r="E132" i="1"/>
  <c r="I281" i="25" s="1"/>
  <c r="E133" i="1"/>
  <c r="I282" i="25" s="1"/>
  <c r="E134" i="1"/>
  <c r="I244" i="25" s="1"/>
  <c r="E135" i="1"/>
  <c r="I245" i="25" s="1"/>
  <c r="E136" i="1"/>
  <c r="I243" i="25" s="1"/>
  <c r="E137" i="1"/>
  <c r="I246" i="25" s="1"/>
  <c r="E138" i="1"/>
  <c r="I183" i="25" s="1"/>
  <c r="E139" i="1"/>
  <c r="I181" i="25" s="1"/>
  <c r="E75" i="1"/>
  <c r="I213" i="25" s="1"/>
  <c r="E76" i="1"/>
  <c r="I239" i="25" s="1"/>
  <c r="E77" i="1"/>
  <c r="I240" i="25" s="1"/>
  <c r="E78" i="1"/>
  <c r="I242" i="25" s="1"/>
  <c r="E79" i="1"/>
  <c r="I241" i="25" s="1"/>
  <c r="E80" i="1"/>
  <c r="I234" i="25" s="1"/>
  <c r="E81" i="1"/>
  <c r="I235" i="25" s="1"/>
  <c r="E82" i="1"/>
  <c r="I236" i="25" s="1"/>
  <c r="E83" i="1"/>
  <c r="I237" i="25" s="1"/>
  <c r="E84" i="1"/>
  <c r="I238" i="25" s="1"/>
  <c r="E85" i="1"/>
  <c r="I190" i="25" s="1"/>
  <c r="E86" i="1"/>
  <c r="I191" i="25" s="1"/>
  <c r="E87" i="1"/>
  <c r="I192" i="25" s="1"/>
  <c r="E88" i="1"/>
  <c r="I298" i="25" s="1"/>
  <c r="E89" i="1"/>
  <c r="I299" i="25" s="1"/>
  <c r="E90" i="1"/>
  <c r="I300" i="25" s="1"/>
  <c r="E91" i="1"/>
  <c r="I302" i="25" s="1"/>
  <c r="E92" i="1"/>
  <c r="I301" i="25" s="1"/>
  <c r="E93" i="1"/>
  <c r="I206" i="25" s="1"/>
  <c r="E94" i="1"/>
  <c r="I207" i="25" s="1"/>
  <c r="E95" i="1"/>
  <c r="I208" i="25" s="1"/>
  <c r="E96" i="1"/>
  <c r="I209" i="25" s="1"/>
  <c r="E97" i="1"/>
  <c r="I185" i="25" s="1"/>
  <c r="E98" i="1"/>
  <c r="I186" i="25" s="1"/>
  <c r="E99" i="1"/>
  <c r="I187" i="25" s="1"/>
  <c r="E100" i="1"/>
  <c r="I188" i="25" s="1"/>
  <c r="E101" i="1"/>
  <c r="I189" i="25" s="1"/>
  <c r="E102" i="1"/>
  <c r="I169" i="25" s="1"/>
  <c r="E103" i="1"/>
  <c r="I170" i="25" s="1"/>
  <c r="E104" i="1"/>
  <c r="I168" i="25" s="1"/>
  <c r="E105" i="1"/>
  <c r="I171" i="25" s="1"/>
  <c r="E106" i="1"/>
  <c r="I172" i="25" s="1"/>
  <c r="E107" i="1"/>
  <c r="I173" i="25" s="1"/>
  <c r="E108" i="1"/>
  <c r="I174" i="25" s="1"/>
  <c r="E109" i="1"/>
  <c r="I175" i="25" s="1"/>
  <c r="E110" i="1"/>
  <c r="I176" i="25" s="1"/>
  <c r="E111" i="1"/>
  <c r="I229" i="25" s="1"/>
  <c r="E53" i="1"/>
  <c r="I280" i="25" s="1"/>
  <c r="E54" i="1"/>
  <c r="I193" i="25" s="1"/>
  <c r="E55" i="1"/>
  <c r="I194" i="25" s="1"/>
  <c r="E56" i="1"/>
  <c r="I195" i="25" s="1"/>
  <c r="E57" i="1"/>
  <c r="I196" i="25" s="1"/>
  <c r="E58" i="1"/>
  <c r="I197" i="25" s="1"/>
  <c r="E59" i="1"/>
  <c r="I285" i="25" s="1"/>
  <c r="E60" i="1"/>
  <c r="I286" i="25" s="1"/>
  <c r="E61" i="1"/>
  <c r="I287" i="25" s="1"/>
  <c r="E62" i="1"/>
  <c r="I288" i="25" s="1"/>
  <c r="E63" i="1"/>
  <c r="I260" i="25" s="1"/>
  <c r="E64" i="1"/>
  <c r="I261" i="25" s="1"/>
  <c r="E65" i="1"/>
  <c r="I262" i="25" s="1"/>
  <c r="E66" i="1"/>
  <c r="I263" i="25" s="1"/>
  <c r="E67" i="1"/>
  <c r="I221" i="25" s="1"/>
  <c r="E68" i="1"/>
  <c r="I220" i="25" s="1"/>
  <c r="E69" i="1"/>
  <c r="I222" i="25" s="1"/>
  <c r="E70" i="1"/>
  <c r="I223" i="25" s="1"/>
  <c r="E71" i="1"/>
  <c r="I219" i="25" s="1"/>
  <c r="E72" i="1"/>
  <c r="I210" i="25" s="1"/>
  <c r="E73" i="1"/>
  <c r="I211" i="25" s="1"/>
  <c r="E74" i="1"/>
  <c r="I212" i="25" s="1"/>
  <c r="E15" i="1"/>
  <c r="I289" i="25" s="1"/>
  <c r="E16" i="1"/>
  <c r="I290" i="25" s="1"/>
  <c r="E17" i="1"/>
  <c r="I291" i="25" s="1"/>
  <c r="E18" i="1"/>
  <c r="I292" i="25" s="1"/>
  <c r="E19" i="1"/>
  <c r="I177" i="25" s="1"/>
  <c r="E20" i="1"/>
  <c r="I178" i="25" s="1"/>
  <c r="E21" i="1"/>
  <c r="I179" i="25" s="1"/>
  <c r="E22" i="1"/>
  <c r="I180" i="25" s="1"/>
  <c r="E23" i="1"/>
  <c r="I252" i="25" s="1"/>
  <c r="E24" i="1"/>
  <c r="I253" i="25" s="1"/>
  <c r="E25" i="1"/>
  <c r="I254" i="25" s="1"/>
  <c r="E26" i="1"/>
  <c r="I255" i="25" s="1"/>
  <c r="E27" i="1"/>
  <c r="I256" i="25" s="1"/>
  <c r="E28" i="1"/>
  <c r="I257" i="25" s="1"/>
  <c r="E29" i="1"/>
  <c r="I258" i="25" s="1"/>
  <c r="E30" i="1"/>
  <c r="I259" i="25" s="1"/>
  <c r="E31" i="1"/>
  <c r="I202" i="25" s="1"/>
  <c r="E32" i="1"/>
  <c r="I203" i="25" s="1"/>
  <c r="E33" i="1"/>
  <c r="I204" i="25" s="1"/>
  <c r="E34" i="1"/>
  <c r="I205" i="25" s="1"/>
  <c r="E35" i="1"/>
  <c r="I224" i="25" s="1"/>
  <c r="E36" i="1"/>
  <c r="I225" i="25" s="1"/>
  <c r="E37" i="1"/>
  <c r="I226" i="25" s="1"/>
  <c r="E38" i="1"/>
  <c r="I227" i="25" s="1"/>
  <c r="E39" i="1"/>
  <c r="I228" i="25" s="1"/>
  <c r="E40" i="1"/>
  <c r="I283" i="25" s="1"/>
  <c r="E41" i="1"/>
  <c r="I284" i="25" s="1"/>
  <c r="E42" i="1"/>
  <c r="I303" i="25" s="1"/>
  <c r="E43" i="1"/>
  <c r="I304" i="25" s="1"/>
  <c r="E44" i="1"/>
  <c r="I293" i="25" s="1"/>
  <c r="E45" i="1"/>
  <c r="I294" i="25" s="1"/>
  <c r="E46" i="1"/>
  <c r="I295" i="25" s="1"/>
  <c r="E47" i="1"/>
  <c r="I296" i="25" s="1"/>
  <c r="E48" i="1"/>
  <c r="I297" i="25" s="1"/>
  <c r="E49" i="1"/>
  <c r="I278" i="25" s="1"/>
  <c r="E50" i="1"/>
  <c r="I279" i="25" s="1"/>
  <c r="E51" i="1"/>
  <c r="I276" i="25" s="1"/>
  <c r="E52" i="1"/>
  <c r="I277" i="25" s="1"/>
  <c r="E2" i="1"/>
  <c r="I309" i="25" s="1"/>
  <c r="E3" i="1"/>
  <c r="I310" i="25" s="1"/>
  <c r="E4" i="1"/>
  <c r="I311" i="25" s="1"/>
  <c r="E5" i="1"/>
  <c r="I312" i="25" s="1"/>
  <c r="E6" i="1"/>
  <c r="I313" i="25" s="1"/>
  <c r="E7" i="1"/>
  <c r="I314" i="25" s="1"/>
  <c r="E8" i="1"/>
  <c r="I315" i="25" s="1"/>
  <c r="E9" i="1"/>
  <c r="I316" i="25" s="1"/>
  <c r="E10" i="1"/>
  <c r="I317" i="25" s="1"/>
  <c r="E11" i="1"/>
  <c r="I318" i="25" s="1"/>
  <c r="E12" i="1"/>
  <c r="I319" i="25" s="1"/>
  <c r="E13" i="1"/>
  <c r="I320" i="25" s="1"/>
  <c r="E14" i="1"/>
  <c r="I321" i="25" s="1"/>
  <c r="AL55" i="8"/>
  <c r="AL98" i="1"/>
  <c r="AL61" i="5"/>
  <c r="AL74" i="3"/>
  <c r="AL21" i="8"/>
  <c r="AL93" i="5"/>
  <c r="AL18" i="1"/>
  <c r="AL16" i="1"/>
  <c r="AL124" i="3"/>
  <c r="AL152" i="1"/>
  <c r="AL25" i="1"/>
  <c r="AL24" i="1"/>
  <c r="AL45" i="3"/>
  <c r="AL60" i="5"/>
  <c r="AL96" i="3"/>
  <c r="AL99" i="1"/>
  <c r="AL80" i="5"/>
  <c r="AL92" i="3"/>
  <c r="AL62" i="1"/>
  <c r="G114" i="18"/>
  <c r="G16" i="18"/>
  <c r="B20" i="18"/>
  <c r="G13" i="18"/>
  <c r="AL14" i="3"/>
  <c r="AL86" i="3"/>
  <c r="AL23" i="8"/>
  <c r="F21" i="20"/>
  <c r="G21" i="18"/>
  <c r="AL36" i="3"/>
  <c r="AL137" i="1"/>
  <c r="AL136" i="1"/>
  <c r="AL65" i="3"/>
  <c r="AL78" i="1"/>
  <c r="AL87" i="3"/>
  <c r="AL59" i="1"/>
  <c r="AL30" i="5"/>
  <c r="G8" i="18"/>
  <c r="G7" i="18"/>
  <c r="G97" i="18"/>
  <c r="G84" i="18"/>
  <c r="G81" i="18"/>
  <c r="B88" i="18"/>
  <c r="B87" i="18"/>
  <c r="G122" i="18"/>
  <c r="G121" i="18"/>
  <c r="G120" i="18"/>
  <c r="G82" i="18"/>
  <c r="G53" i="18"/>
  <c r="G52" i="18"/>
  <c r="G59" i="18"/>
  <c r="G58" i="18"/>
  <c r="G67" i="18"/>
  <c r="B70" i="18"/>
  <c r="G66" i="18"/>
  <c r="G100" i="18"/>
  <c r="B25" i="18"/>
  <c r="B89" i="18"/>
  <c r="B41" i="18"/>
  <c r="B65" i="18"/>
  <c r="B75" i="20"/>
  <c r="G46" i="18"/>
  <c r="F54" i="20"/>
  <c r="G31" i="18"/>
  <c r="F35" i="20"/>
  <c r="B7" i="18"/>
  <c r="B7" i="20"/>
  <c r="B117" i="18"/>
  <c r="B130" i="20"/>
  <c r="F129" i="20"/>
  <c r="B108" i="18"/>
  <c r="B121" i="20"/>
  <c r="B91" i="18"/>
  <c r="B101" i="20"/>
  <c r="G90" i="18"/>
  <c r="F100" i="20"/>
  <c r="G89" i="18"/>
  <c r="F99" i="20"/>
  <c r="F98" i="20"/>
  <c r="G87" i="18"/>
  <c r="F97" i="20"/>
  <c r="B74" i="20"/>
  <c r="B47" i="18"/>
  <c r="B57" i="20"/>
  <c r="B54" i="20"/>
  <c r="B31" i="18"/>
  <c r="B35" i="20"/>
  <c r="G29" i="18"/>
  <c r="F33" i="20"/>
  <c r="B15" i="18"/>
  <c r="B15" i="20"/>
  <c r="B12" i="18"/>
  <c r="B12" i="20"/>
  <c r="B11" i="20"/>
  <c r="B116" i="18"/>
  <c r="B129" i="20"/>
  <c r="G115" i="18"/>
  <c r="F128" i="20"/>
  <c r="B106" i="18"/>
  <c r="B119" i="20"/>
  <c r="B90" i="18"/>
  <c r="B100" i="20"/>
  <c r="G86" i="18"/>
  <c r="F96" i="20"/>
  <c r="F95" i="20"/>
  <c r="B83" i="18"/>
  <c r="B92" i="20"/>
  <c r="B91" i="20"/>
  <c r="B63" i="18"/>
  <c r="B73" i="20"/>
  <c r="G62" i="18"/>
  <c r="F72" i="20"/>
  <c r="B42" i="18"/>
  <c r="B49" i="20"/>
  <c r="G40" i="18"/>
  <c r="F47" i="20"/>
  <c r="G28" i="18"/>
  <c r="F32" i="20"/>
  <c r="B4" i="18"/>
  <c r="B4" i="20"/>
  <c r="G3" i="18"/>
  <c r="F3" i="20"/>
  <c r="B109" i="18"/>
  <c r="B14" i="18"/>
  <c r="B9" i="18"/>
  <c r="B6" i="18"/>
  <c r="B107" i="18"/>
  <c r="B46" i="18"/>
  <c r="G45" i="18"/>
  <c r="B44" i="18"/>
  <c r="B43" i="18"/>
  <c r="B30" i="18"/>
  <c r="G14" i="18"/>
  <c r="B11" i="18"/>
  <c r="G10" i="18"/>
  <c r="G9" i="18"/>
  <c r="B118" i="18"/>
  <c r="B131" i="20"/>
  <c r="G108" i="18"/>
  <c r="F121" i="20"/>
  <c r="B67" i="18"/>
  <c r="B77" i="20"/>
  <c r="F51" i="20"/>
  <c r="B18" i="18"/>
  <c r="B18" i="20"/>
  <c r="B16" i="20"/>
  <c r="B13" i="20"/>
  <c r="B144" i="20"/>
  <c r="B105" i="18"/>
  <c r="B118" i="20"/>
  <c r="G98" i="18"/>
  <c r="F108" i="20"/>
  <c r="B84" i="18"/>
  <c r="B94" i="20"/>
  <c r="G61" i="18"/>
  <c r="F71" i="20"/>
  <c r="B28" i="18"/>
  <c r="B32" i="20"/>
  <c r="B3" i="20"/>
  <c r="B98" i="18"/>
  <c r="B108" i="20"/>
  <c r="B74" i="18"/>
  <c r="B85" i="20"/>
  <c r="G56" i="18"/>
  <c r="F66" i="20"/>
  <c r="G38" i="18"/>
  <c r="F45" i="20"/>
  <c r="B43" i="20"/>
  <c r="B27" i="18"/>
  <c r="B27" i="20"/>
  <c r="G26" i="18"/>
  <c r="F26" i="20"/>
  <c r="G25" i="18"/>
  <c r="F25" i="20"/>
  <c r="B125" i="18"/>
  <c r="B146" i="20"/>
  <c r="B113" i="18"/>
  <c r="B126" i="20"/>
  <c r="G112" i="18"/>
  <c r="F125" i="20"/>
  <c r="B114" i="20"/>
  <c r="G103" i="18"/>
  <c r="F113" i="20"/>
  <c r="B95" i="18"/>
  <c r="B105" i="20"/>
  <c r="G94" i="18"/>
  <c r="F104" i="20"/>
  <c r="G77" i="18"/>
  <c r="F87" i="20"/>
  <c r="B76" i="18"/>
  <c r="B86" i="20"/>
  <c r="G71" i="18"/>
  <c r="F82" i="20"/>
  <c r="G70" i="18"/>
  <c r="F81" i="20"/>
  <c r="B66" i="20"/>
  <c r="G55" i="18"/>
  <c r="F65" i="20"/>
  <c r="G54" i="18"/>
  <c r="F64" i="20"/>
  <c r="B51" i="18"/>
  <c r="B61" i="20"/>
  <c r="B45" i="20"/>
  <c r="B35" i="18"/>
  <c r="B42" i="20"/>
  <c r="G34" i="18"/>
  <c r="F41" i="20"/>
  <c r="B26" i="18"/>
  <c r="B26" i="20"/>
  <c r="F24" i="20"/>
  <c r="B97" i="18"/>
  <c r="B85" i="18"/>
  <c r="G83" i="18"/>
  <c r="G126" i="18"/>
  <c r="G101" i="18"/>
  <c r="B73" i="18"/>
  <c r="B59" i="18"/>
  <c r="B36" i="18"/>
  <c r="F38" i="20"/>
  <c r="G44" i="18"/>
  <c r="F52" i="20"/>
  <c r="G30" i="18"/>
  <c r="F34" i="20"/>
  <c r="B17" i="18"/>
  <c r="B17" i="20"/>
  <c r="G11" i="18"/>
  <c r="F11" i="20"/>
  <c r="B8" i="18"/>
  <c r="B8" i="20"/>
  <c r="F138" i="20"/>
  <c r="G104" i="18"/>
  <c r="F115" i="20"/>
  <c r="B110" i="20"/>
  <c r="B80" i="18"/>
  <c r="B90" i="20"/>
  <c r="B62" i="18"/>
  <c r="B72" i="20"/>
  <c r="G75" i="18"/>
  <c r="F114" i="20"/>
  <c r="B99" i="18"/>
  <c r="B109" i="20"/>
  <c r="G72" i="18"/>
  <c r="F83" i="20"/>
  <c r="B57" i="18"/>
  <c r="B67" i="20"/>
  <c r="B39" i="18"/>
  <c r="B46" i="20"/>
  <c r="B124" i="18"/>
  <c r="B145" i="20"/>
  <c r="G123" i="18"/>
  <c r="F142" i="20"/>
  <c r="B134" i="20"/>
  <c r="G111" i="18"/>
  <c r="F124" i="20"/>
  <c r="B103" i="18"/>
  <c r="B113" i="20"/>
  <c r="G93" i="18"/>
  <c r="F103" i="20"/>
  <c r="B77" i="18"/>
  <c r="B87" i="20"/>
  <c r="B71" i="18"/>
  <c r="B82" i="20"/>
  <c r="G69" i="18"/>
  <c r="F79" i="20"/>
  <c r="B55" i="18"/>
  <c r="B65" i="20"/>
  <c r="B50" i="18"/>
  <c r="B60" i="20"/>
  <c r="G49" i="18"/>
  <c r="F59" i="20"/>
  <c r="B34" i="18"/>
  <c r="B41" i="20"/>
  <c r="G33" i="18"/>
  <c r="F40" i="20"/>
  <c r="G22" i="18"/>
  <c r="F22" i="20"/>
  <c r="G20" i="18"/>
  <c r="F20" i="20"/>
  <c r="G19" i="18"/>
  <c r="F19" i="20"/>
  <c r="B102" i="18"/>
  <c r="G74" i="18"/>
  <c r="G37" i="18"/>
  <c r="G36" i="18"/>
  <c r="F31" i="20"/>
  <c r="F130" i="20"/>
  <c r="F120" i="20"/>
  <c r="G91" i="18"/>
  <c r="F101" i="20"/>
  <c r="G64" i="18"/>
  <c r="F74" i="20"/>
  <c r="G15" i="18"/>
  <c r="F15" i="20"/>
  <c r="G5" i="18"/>
  <c r="F5" i="20"/>
  <c r="B114" i="18"/>
  <c r="B127" i="20"/>
  <c r="G79" i="18"/>
  <c r="F89" i="20"/>
  <c r="B58" i="18"/>
  <c r="B68" i="20"/>
  <c r="F2" i="20"/>
  <c r="F28" i="20"/>
  <c r="B126" i="18"/>
  <c r="B147" i="20"/>
  <c r="B96" i="18"/>
  <c r="B106" i="20"/>
  <c r="G78" i="18"/>
  <c r="F88" i="20"/>
  <c r="G60" i="18"/>
  <c r="F70" i="20"/>
  <c r="B143" i="20"/>
  <c r="B80" i="20"/>
  <c r="B123" i="18"/>
  <c r="B142" i="20"/>
  <c r="B119" i="18"/>
  <c r="B132" i="20"/>
  <c r="G118" i="18"/>
  <c r="F131" i="20"/>
  <c r="G110" i="18"/>
  <c r="F123" i="20"/>
  <c r="G109" i="18"/>
  <c r="F122" i="20"/>
  <c r="B93" i="18"/>
  <c r="B103" i="20"/>
  <c r="G92" i="18"/>
  <c r="F102" i="20"/>
  <c r="G68" i="18"/>
  <c r="F78" i="20"/>
  <c r="B66" i="18"/>
  <c r="B76" i="20"/>
  <c r="B49" i="18"/>
  <c r="B59" i="20"/>
  <c r="G48" i="18"/>
  <c r="F58" i="20"/>
  <c r="B33" i="18"/>
  <c r="B40" i="20"/>
  <c r="G32" i="18"/>
  <c r="F36" i="20"/>
  <c r="B23" i="18"/>
  <c r="B23" i="20"/>
  <c r="B22" i="20"/>
  <c r="B19" i="18"/>
  <c r="B19" i="20"/>
  <c r="G17" i="18"/>
  <c r="F17" i="20"/>
  <c r="B100" i="18"/>
  <c r="B82" i="18"/>
  <c r="G102" i="18"/>
  <c r="G76" i="18"/>
  <c r="B54" i="18"/>
  <c r="G51" i="18"/>
  <c r="B117" i="20"/>
  <c r="B38" i="18"/>
  <c r="G6" i="18"/>
  <c r="G23" i="18"/>
  <c r="G116" i="18"/>
  <c r="G95" i="18"/>
  <c r="G63" i="18"/>
  <c r="G39" i="18"/>
  <c r="G107" i="18"/>
  <c r="G96" i="18"/>
  <c r="B79" i="18"/>
  <c r="G124" i="18"/>
  <c r="G85" i="18"/>
  <c r="G41" i="18"/>
  <c r="G27" i="18"/>
  <c r="B68" i="18"/>
  <c r="B86" i="18"/>
  <c r="G42" i="18"/>
  <c r="G125" i="18"/>
  <c r="G99" i="18"/>
  <c r="G12" i="18"/>
  <c r="B3" i="18"/>
  <c r="G2" i="18"/>
  <c r="G105" i="18"/>
  <c r="G35" i="18"/>
  <c r="G117" i="18"/>
  <c r="B110" i="18"/>
  <c r="B75" i="18"/>
  <c r="B92" i="18"/>
  <c r="G80" i="18"/>
  <c r="G57" i="18"/>
  <c r="B52" i="18"/>
  <c r="G47" i="18"/>
  <c r="G65" i="18"/>
  <c r="B60" i="18"/>
  <c r="G4" i="18"/>
  <c r="B120" i="18"/>
  <c r="G73" i="18"/>
  <c r="G18" i="18"/>
  <c r="G119" i="18"/>
  <c r="G113" i="18"/>
  <c r="G106" i="18"/>
  <c r="G88" i="18"/>
  <c r="G50" i="18"/>
  <c r="G43" i="18"/>
  <c r="B53" i="18"/>
  <c r="B122" i="18"/>
  <c r="B121" i="18"/>
  <c r="B29" i="18"/>
  <c r="B115" i="18"/>
  <c r="B78" i="18"/>
  <c r="B45" i="18"/>
  <c r="B104" i="18"/>
  <c r="B112" i="18"/>
  <c r="B111" i="18"/>
  <c r="B61" i="18"/>
  <c r="B94" i="18"/>
  <c r="B21" i="18"/>
  <c r="B101" i="18"/>
  <c r="B69" i="18"/>
  <c r="B37" i="18"/>
  <c r="B10" i="18"/>
  <c r="B81" i="18"/>
  <c r="B72" i="18"/>
  <c r="B64" i="18"/>
  <c r="B56" i="18"/>
  <c r="B48" i="18"/>
  <c r="B40" i="18"/>
  <c r="B32" i="18"/>
  <c r="B24" i="18"/>
  <c r="B16" i="18"/>
  <c r="B13" i="18"/>
  <c r="B5" i="18"/>
  <c r="A117" i="20"/>
  <c r="A37" i="20"/>
  <c r="A138" i="20"/>
  <c r="A144" i="20"/>
  <c r="A133" i="20"/>
  <c r="A92" i="20"/>
  <c r="A19" i="18"/>
  <c r="A50" i="20"/>
  <c r="A140" i="20"/>
  <c r="A56" i="20"/>
  <c r="A17" i="20"/>
  <c r="A15" i="20"/>
  <c r="A116" i="20"/>
  <c r="A29" i="20"/>
  <c r="A39" i="20"/>
  <c r="A143" i="20"/>
  <c r="A38" i="20"/>
  <c r="A76" i="20"/>
  <c r="A19" i="20"/>
  <c r="A15" i="18"/>
  <c r="A66" i="18"/>
  <c r="A83" i="18"/>
  <c r="A17" i="18"/>
  <c r="A9" i="18"/>
  <c r="A9" i="20"/>
  <c r="A69" i="18"/>
  <c r="A79" i="20"/>
  <c r="A45" i="18"/>
  <c r="A53" i="20"/>
  <c r="A65" i="18"/>
  <c r="A75" i="20"/>
  <c r="A97" i="18"/>
  <c r="A107" i="20"/>
  <c r="A94" i="18"/>
  <c r="A104" i="20"/>
  <c r="A29" i="18"/>
  <c r="A33" i="20"/>
  <c r="A20" i="18"/>
  <c r="A20" i="20"/>
  <c r="A14" i="18"/>
  <c r="A14" i="20"/>
  <c r="A89" i="18"/>
  <c r="A99" i="20"/>
  <c r="A2" i="18"/>
  <c r="A2" i="20"/>
  <c r="A16" i="18"/>
  <c r="A16" i="20"/>
  <c r="A104" i="18"/>
  <c r="A115" i="20"/>
  <c r="A5" i="18"/>
  <c r="A5" i="20"/>
  <c r="A91" i="18"/>
  <c r="A101" i="20"/>
  <c r="A8" i="18"/>
  <c r="A8" i="20"/>
  <c r="A99" i="18"/>
  <c r="A109" i="20"/>
  <c r="A96" i="18"/>
  <c r="A106" i="20"/>
  <c r="A51" i="18"/>
  <c r="A61" i="20"/>
  <c r="A81" i="18"/>
  <c r="A91" i="20"/>
  <c r="A11" i="18"/>
  <c r="A11" i="20"/>
  <c r="A112" i="18"/>
  <c r="A125" i="20"/>
  <c r="A28" i="18"/>
  <c r="A32" i="20"/>
  <c r="A70" i="18"/>
  <c r="A81" i="20"/>
  <c r="A39" i="18"/>
  <c r="A46" i="20"/>
  <c r="A76" i="18"/>
  <c r="A86" i="20"/>
  <c r="A46" i="18"/>
  <c r="A54" i="20"/>
  <c r="A88" i="18"/>
  <c r="A98" i="20"/>
  <c r="A103" i="18"/>
  <c r="A113" i="20"/>
  <c r="A57" i="18"/>
  <c r="A67" i="20"/>
  <c r="A73" i="18"/>
  <c r="A84" i="20"/>
  <c r="A123" i="18"/>
  <c r="A142" i="20"/>
  <c r="A37" i="18"/>
  <c r="A44" i="20"/>
  <c r="A40" i="18"/>
  <c r="A47" i="20"/>
  <c r="A52" i="18"/>
  <c r="A62" i="20"/>
  <c r="A109" i="18"/>
  <c r="A122" i="20"/>
  <c r="A56" i="18"/>
  <c r="A66" i="20"/>
  <c r="A3" i="18"/>
  <c r="A3" i="20"/>
  <c r="A13" i="18"/>
  <c r="A13" i="20"/>
  <c r="A10" i="18"/>
  <c r="A10" i="20"/>
  <c r="A21" i="18"/>
  <c r="A21" i="20"/>
  <c r="A53" i="18"/>
  <c r="A63" i="20"/>
  <c r="A119" i="18"/>
  <c r="A132" i="20"/>
  <c r="A84" i="18"/>
  <c r="A94" i="20"/>
  <c r="A44" i="18"/>
  <c r="A52" i="20"/>
  <c r="A122" i="18"/>
  <c r="A139" i="20"/>
  <c r="A100" i="18"/>
  <c r="A110" i="20"/>
  <c r="A34" i="18"/>
  <c r="A41" i="20"/>
  <c r="A7" i="18"/>
  <c r="A7" i="20"/>
  <c r="A59" i="18"/>
  <c r="A69" i="20"/>
  <c r="A98" i="18"/>
  <c r="A108" i="20"/>
  <c r="A79" i="18"/>
  <c r="A89" i="20"/>
  <c r="A64" i="18"/>
  <c r="A74" i="20"/>
  <c r="A114" i="18"/>
  <c r="A127" i="20"/>
  <c r="A120" i="18"/>
  <c r="A135" i="20"/>
  <c r="A4" i="18"/>
  <c r="A4" i="20"/>
  <c r="A49" i="18"/>
  <c r="A59" i="20"/>
  <c r="A92" i="18"/>
  <c r="A102" i="20"/>
  <c r="A55" i="18"/>
  <c r="A65" i="20"/>
  <c r="A67" i="18"/>
  <c r="A77" i="20"/>
  <c r="A22" i="18"/>
  <c r="A22" i="20"/>
  <c r="A101" i="18"/>
  <c r="A111" i="20"/>
  <c r="A58" i="18"/>
  <c r="A68" i="20"/>
  <c r="A72" i="18"/>
  <c r="A83" i="20"/>
  <c r="A77" i="18"/>
  <c r="A87" i="20"/>
  <c r="A25" i="18"/>
  <c r="A25" i="20"/>
  <c r="A108" i="18"/>
  <c r="A121" i="20"/>
  <c r="A80" i="18"/>
  <c r="A90" i="20"/>
  <c r="A118" i="18"/>
  <c r="A131" i="20"/>
  <c r="A31" i="18"/>
  <c r="A35" i="20"/>
  <c r="A27" i="18"/>
  <c r="A27" i="20"/>
  <c r="A63" i="18"/>
  <c r="A73" i="20"/>
  <c r="A126" i="18"/>
  <c r="A147" i="20"/>
  <c r="A117" i="18"/>
  <c r="A130" i="20"/>
  <c r="B168" i="13" l="1"/>
  <c r="A55" i="20"/>
  <c r="B19" i="13"/>
  <c r="A6" i="20"/>
  <c r="A6" i="18"/>
  <c r="B483" i="13"/>
  <c r="A82" i="18"/>
  <c r="A134" i="20"/>
  <c r="A118" i="20"/>
  <c r="A105" i="18"/>
  <c r="A24" i="18"/>
  <c r="A24" i="20"/>
  <c r="B91" i="13"/>
  <c r="B129" i="13"/>
  <c r="A36" i="18"/>
  <c r="A43" i="20"/>
  <c r="AL151" i="1"/>
  <c r="AR247" i="25"/>
  <c r="AL97" i="1"/>
  <c r="AR185" i="25"/>
  <c r="AL85" i="3"/>
  <c r="AL13" i="8"/>
  <c r="AL80" i="1"/>
  <c r="AR234" i="25"/>
  <c r="AL23" i="1"/>
  <c r="AL154" i="1"/>
  <c r="AL18" i="8"/>
  <c r="AL17" i="8"/>
  <c r="AL90" i="5"/>
  <c r="AL29" i="5"/>
  <c r="AL121" i="3"/>
  <c r="AL97" i="3"/>
  <c r="AL66" i="3"/>
  <c r="AL47" i="3"/>
  <c r="AL16" i="3"/>
  <c r="AL82" i="1"/>
  <c r="AL79" i="1"/>
  <c r="AL76" i="1"/>
  <c r="AL61" i="1"/>
  <c r="AR287" i="25"/>
  <c r="C486" i="13"/>
  <c r="C140" i="13"/>
  <c r="B140" i="13" s="1"/>
  <c r="C157" i="13"/>
  <c r="B157" i="13" s="1"/>
  <c r="C134" i="13"/>
  <c r="B134" i="13" s="1"/>
  <c r="C251" i="13"/>
  <c r="B251" i="13" s="1"/>
  <c r="C163" i="13"/>
  <c r="B163" i="13" s="1"/>
  <c r="C166" i="13"/>
  <c r="B166" i="13" s="1"/>
  <c r="C169" i="13"/>
  <c r="B169" i="13" s="1"/>
  <c r="C160" i="13"/>
  <c r="C175" i="13"/>
  <c r="C20" i="13"/>
  <c r="B20" i="13" s="1"/>
  <c r="C174" i="13"/>
  <c r="B174" i="13" s="1"/>
  <c r="C290" i="13"/>
  <c r="C442" i="13"/>
  <c r="C439" i="13"/>
  <c r="C310" i="13"/>
  <c r="B310" i="13" s="1"/>
  <c r="C433" i="13"/>
  <c r="C258" i="13"/>
  <c r="B258" i="13" s="1"/>
  <c r="C450" i="13"/>
  <c r="C283" i="13"/>
  <c r="B283" i="13" s="1"/>
  <c r="C281" i="13"/>
  <c r="B281" i="13" s="1"/>
  <c r="C278" i="13"/>
  <c r="B278" i="13" s="1"/>
  <c r="C306" i="13"/>
  <c r="B306" i="13" s="1"/>
  <c r="C5" i="13"/>
  <c r="B5" i="13" s="1"/>
  <c r="C432" i="13"/>
  <c r="C428" i="13"/>
  <c r="C459" i="13"/>
  <c r="C287" i="13"/>
  <c r="B287" i="13" s="1"/>
  <c r="C301" i="13"/>
  <c r="B301" i="13" s="1"/>
  <c r="C297" i="13"/>
  <c r="B297" i="13" s="1"/>
  <c r="C414" i="13"/>
  <c r="C408" i="13"/>
  <c r="C261" i="13"/>
  <c r="B261" i="13" s="1"/>
  <c r="C274" i="13"/>
  <c r="B274" i="13" s="1"/>
  <c r="C327" i="13"/>
  <c r="B327" i="13" s="1"/>
  <c r="C325" i="13"/>
  <c r="C393" i="13"/>
  <c r="AL74" i="5"/>
  <c r="AR112" i="25"/>
  <c r="AL17" i="1"/>
  <c r="AR291" i="25"/>
  <c r="AL59" i="5"/>
  <c r="AR118" i="25"/>
  <c r="AL91" i="3"/>
  <c r="AR338" i="25"/>
  <c r="G24" i="18"/>
  <c r="AL77" i="1"/>
  <c r="AL15" i="1"/>
  <c r="AL35" i="3"/>
  <c r="AL83" i="1"/>
  <c r="AL26" i="1"/>
  <c r="AL14" i="8"/>
  <c r="AL29" i="3"/>
  <c r="AL97" i="5"/>
  <c r="AL22" i="8"/>
  <c r="AL75" i="3"/>
  <c r="AL25" i="8"/>
  <c r="AR478" i="25"/>
  <c r="AL16" i="8"/>
  <c r="AR483" i="25"/>
  <c r="AL58" i="5"/>
  <c r="AL13" i="5"/>
  <c r="AL10" i="5"/>
  <c r="AL120" i="3"/>
  <c r="AR323" i="25"/>
  <c r="AL112" i="3"/>
  <c r="AL98" i="3"/>
  <c r="AL93" i="3"/>
  <c r="AL153" i="1"/>
  <c r="AL100" i="1"/>
  <c r="AR188" i="25"/>
  <c r="AL81" i="1"/>
  <c r="AR235" i="25"/>
  <c r="C138" i="13"/>
  <c r="C136" i="13"/>
  <c r="B136" i="13" s="1"/>
  <c r="C133" i="13"/>
  <c r="B133" i="13" s="1"/>
  <c r="C249" i="13"/>
  <c r="C492" i="13"/>
  <c r="A137" i="20" s="1"/>
  <c r="C165" i="13"/>
  <c r="B165" i="13" s="1"/>
  <c r="C158" i="13"/>
  <c r="C488" i="13"/>
  <c r="C496" i="13"/>
  <c r="C177" i="13"/>
  <c r="C292" i="13"/>
  <c r="B292" i="13" s="1"/>
  <c r="C420" i="13"/>
  <c r="C440" i="13"/>
  <c r="C424" i="13"/>
  <c r="C309" i="13"/>
  <c r="B309" i="13" s="1"/>
  <c r="C434" i="13"/>
  <c r="C265" i="13"/>
  <c r="B265" i="13" s="1"/>
  <c r="C453" i="13"/>
  <c r="C463" i="13"/>
  <c r="C259" i="13"/>
  <c r="B259" i="13" s="1"/>
  <c r="C257" i="13"/>
  <c r="C451" i="13"/>
  <c r="C449" i="13"/>
  <c r="C256" i="13"/>
  <c r="B256" i="13" s="1"/>
  <c r="C284" i="13"/>
  <c r="B284" i="13" s="1"/>
  <c r="C280" i="13"/>
  <c r="B280" i="13" s="1"/>
  <c r="C460" i="13"/>
  <c r="C288" i="13"/>
  <c r="B288" i="13" s="1"/>
  <c r="C302" i="13"/>
  <c r="B302" i="13" s="1"/>
  <c r="C298" i="13"/>
  <c r="B298" i="13" s="1"/>
  <c r="C295" i="13"/>
  <c r="B295" i="13" s="1"/>
  <c r="C415" i="13"/>
  <c r="C447" i="13"/>
  <c r="C402" i="13"/>
  <c r="AL122" i="3"/>
  <c r="AR325" i="25"/>
  <c r="AL48" i="3"/>
  <c r="AR432" i="25"/>
  <c r="C269" i="13"/>
  <c r="B269" i="13" s="1"/>
  <c r="C46" i="13"/>
  <c r="C39" i="13"/>
  <c r="B39" i="13" s="1"/>
  <c r="C56" i="13"/>
  <c r="B56" i="13" s="1"/>
  <c r="C54" i="13"/>
  <c r="B54" i="13" s="1"/>
  <c r="C347" i="13"/>
  <c r="C384" i="13"/>
  <c r="C382" i="13"/>
  <c r="C128" i="13"/>
  <c r="C114" i="13"/>
  <c r="C475" i="13"/>
  <c r="C469" i="13"/>
  <c r="C244" i="13"/>
  <c r="C222" i="13"/>
  <c r="C232" i="13"/>
  <c r="B232" i="13" s="1"/>
  <c r="C315" i="13"/>
  <c r="C221" i="13"/>
  <c r="B221" i="13" s="1"/>
  <c r="C217" i="13"/>
  <c r="C182" i="13"/>
  <c r="B182" i="13" s="1"/>
  <c r="C201" i="13"/>
  <c r="B201" i="13" s="1"/>
  <c r="C323" i="13"/>
  <c r="B323" i="13" s="1"/>
  <c r="C215" i="13"/>
  <c r="B215" i="13" s="1"/>
  <c r="C7" i="13"/>
  <c r="B7" i="13" s="1"/>
  <c r="C479" i="13"/>
  <c r="AA102" i="21"/>
  <c r="P59" i="21"/>
  <c r="P52" i="21"/>
  <c r="P49" i="21"/>
  <c r="P43" i="21"/>
  <c r="P20" i="21"/>
  <c r="P7" i="21"/>
  <c r="C108" i="13"/>
  <c r="B108" i="13" s="1"/>
  <c r="C100" i="13"/>
  <c r="E27" i="25"/>
  <c r="E31" i="25"/>
  <c r="E35" i="25"/>
  <c r="E39" i="25"/>
  <c r="E23" i="25"/>
  <c r="E17" i="25"/>
  <c r="E5" i="25"/>
  <c r="E9" i="25"/>
  <c r="E54" i="25"/>
  <c r="E74" i="25"/>
  <c r="E91" i="25"/>
  <c r="E95" i="25"/>
  <c r="E69" i="25"/>
  <c r="E73" i="25"/>
  <c r="E86" i="25"/>
  <c r="E63" i="25"/>
  <c r="E80" i="25"/>
  <c r="E84" i="25"/>
  <c r="E129" i="25"/>
  <c r="C413" i="13"/>
  <c r="C411" i="13"/>
  <c r="C271" i="13"/>
  <c r="B271" i="13" s="1"/>
  <c r="C268" i="13"/>
  <c r="C446" i="13"/>
  <c r="C326" i="13"/>
  <c r="B326" i="13" s="1"/>
  <c r="C401" i="13"/>
  <c r="C399" i="13"/>
  <c r="C371" i="13"/>
  <c r="C336" i="13"/>
  <c r="C334" i="13"/>
  <c r="C82" i="13"/>
  <c r="B82" i="13" s="1"/>
  <c r="C329" i="13"/>
  <c r="C43" i="13"/>
  <c r="B43" i="13" s="1"/>
  <c r="C70" i="13"/>
  <c r="C339" i="13"/>
  <c r="C367" i="13"/>
  <c r="C365" i="13"/>
  <c r="C359" i="13"/>
  <c r="C89" i="13"/>
  <c r="B89" i="13" s="1"/>
  <c r="C86" i="13"/>
  <c r="C373" i="13"/>
  <c r="C61" i="13"/>
  <c r="B61" i="13" s="1"/>
  <c r="C59" i="13"/>
  <c r="B59" i="13" s="1"/>
  <c r="C502" i="13"/>
  <c r="C118" i="13"/>
  <c r="C498" i="13"/>
  <c r="A141" i="20" s="1"/>
  <c r="C504" i="13"/>
  <c r="C120" i="13"/>
  <c r="C113" i="13"/>
  <c r="B113" i="13" s="1"/>
  <c r="C110" i="13"/>
  <c r="C211" i="13"/>
  <c r="B211" i="13" s="1"/>
  <c r="C209" i="13"/>
  <c r="B209" i="13" s="1"/>
  <c r="C474" i="13"/>
  <c r="C468" i="13"/>
  <c r="C225" i="13"/>
  <c r="B225" i="13" s="1"/>
  <c r="C235" i="13"/>
  <c r="B235" i="13" s="1"/>
  <c r="C316" i="13"/>
  <c r="B316" i="13" s="1"/>
  <c r="C205" i="13"/>
  <c r="B205" i="13" s="1"/>
  <c r="C190" i="13"/>
  <c r="C321" i="13"/>
  <c r="B321" i="13" s="1"/>
  <c r="E58" i="25" s="1"/>
  <c r="C213" i="13"/>
  <c r="C99" i="13"/>
  <c r="B99" i="13" s="1"/>
  <c r="AB135" i="21"/>
  <c r="AA101" i="21"/>
  <c r="AA81" i="21"/>
  <c r="P62" i="21"/>
  <c r="P60" i="21"/>
  <c r="P56" i="21"/>
  <c r="P29" i="21"/>
  <c r="P27" i="21"/>
  <c r="P36" i="21"/>
  <c r="P11" i="21"/>
  <c r="E28" i="25"/>
  <c r="E32" i="25"/>
  <c r="E36" i="25"/>
  <c r="E40" i="25"/>
  <c r="E24" i="25"/>
  <c r="E18" i="25"/>
  <c r="E2" i="25"/>
  <c r="E6" i="25"/>
  <c r="E10" i="25"/>
  <c r="E51" i="25"/>
  <c r="E55" i="25"/>
  <c r="E59" i="25"/>
  <c r="E75" i="25"/>
  <c r="E92" i="25"/>
  <c r="E96" i="25"/>
  <c r="E70" i="25"/>
  <c r="E67" i="25"/>
  <c r="E87" i="25"/>
  <c r="E64" i="25"/>
  <c r="E77" i="25"/>
  <c r="E81" i="25"/>
  <c r="E130" i="25"/>
  <c r="E136" i="25"/>
  <c r="E109" i="25"/>
  <c r="C126" i="13"/>
  <c r="C112" i="13"/>
  <c r="C210" i="13"/>
  <c r="B210" i="13" s="1"/>
  <c r="C187" i="13"/>
  <c r="B187" i="13" s="1"/>
  <c r="C313" i="13"/>
  <c r="B313" i="13" s="1"/>
  <c r="C183" i="13"/>
  <c r="C228" i="13"/>
  <c r="B228" i="13" s="1"/>
  <c r="C146" i="13"/>
  <c r="B146" i="13" s="1"/>
  <c r="E29" i="25"/>
  <c r="E33" i="25"/>
  <c r="E37" i="25"/>
  <c r="E25" i="25"/>
  <c r="E19" i="25"/>
  <c r="E3" i="25"/>
  <c r="E7" i="25"/>
  <c r="E126" i="25"/>
  <c r="E52" i="25"/>
  <c r="E56" i="25"/>
  <c r="E60" i="25"/>
  <c r="E89" i="25"/>
  <c r="E93" i="25"/>
  <c r="E71" i="25"/>
  <c r="E68" i="25"/>
  <c r="E88" i="25"/>
  <c r="E65" i="25"/>
  <c r="E78" i="25"/>
  <c r="E82" i="25"/>
  <c r="E134" i="25"/>
  <c r="E131" i="25"/>
  <c r="E137" i="25"/>
  <c r="E110" i="25"/>
  <c r="C368" i="13"/>
  <c r="P10" i="21"/>
  <c r="E26" i="25"/>
  <c r="E30" i="25"/>
  <c r="E34" i="25"/>
  <c r="E38" i="25"/>
  <c r="E22" i="25"/>
  <c r="E16" i="25"/>
  <c r="E20" i="25"/>
  <c r="E4" i="25"/>
  <c r="E8" i="25"/>
  <c r="E127" i="25"/>
  <c r="E53" i="25"/>
  <c r="E57" i="25"/>
  <c r="E61" i="25"/>
  <c r="E90" i="25"/>
  <c r="E94" i="25"/>
  <c r="E98" i="25"/>
  <c r="E72" i="25"/>
  <c r="E85" i="25"/>
  <c r="E62" i="25"/>
  <c r="E66" i="25"/>
  <c r="E79" i="25"/>
  <c r="E83" i="25"/>
  <c r="E128" i="25"/>
  <c r="E132" i="25"/>
  <c r="E138" i="25"/>
  <c r="E117" i="25"/>
  <c r="E121" i="25"/>
  <c r="E122" i="25"/>
  <c r="E44" i="25"/>
  <c r="E105" i="25"/>
  <c r="E113" i="25"/>
  <c r="E164" i="25"/>
  <c r="E149" i="25"/>
  <c r="E155" i="25"/>
  <c r="E142" i="25"/>
  <c r="E308" i="25"/>
  <c r="E296" i="25"/>
  <c r="E291" i="25"/>
  <c r="E315" i="25"/>
  <c r="E319" i="25"/>
  <c r="E215" i="25"/>
  <c r="E201" i="25"/>
  <c r="E312" i="25"/>
  <c r="E288" i="25"/>
  <c r="E267" i="25"/>
  <c r="E262" i="25"/>
  <c r="E236" i="25"/>
  <c r="E282" i="25"/>
  <c r="E187" i="25"/>
  <c r="E118" i="25"/>
  <c r="E48" i="25"/>
  <c r="E123" i="25"/>
  <c r="E45" i="25"/>
  <c r="E106" i="25"/>
  <c r="E114" i="25"/>
  <c r="E162" i="25"/>
  <c r="E154" i="25"/>
  <c r="E140" i="25"/>
  <c r="E305" i="25"/>
  <c r="E293" i="25"/>
  <c r="E297" i="25"/>
  <c r="E292" i="25"/>
  <c r="E316" i="25"/>
  <c r="E320" i="25"/>
  <c r="E216" i="25"/>
  <c r="E198" i="25"/>
  <c r="E285" i="25"/>
  <c r="E268" i="25"/>
  <c r="E263" i="25"/>
  <c r="E238" i="25"/>
  <c r="E275" i="25"/>
  <c r="E119" i="25"/>
  <c r="E124" i="25"/>
  <c r="E46" i="25"/>
  <c r="E107" i="25"/>
  <c r="E115" i="25"/>
  <c r="E163" i="25"/>
  <c r="E148" i="25"/>
  <c r="E144" i="25"/>
  <c r="E152" i="25"/>
  <c r="E141" i="25"/>
  <c r="E306" i="25"/>
  <c r="E294" i="25"/>
  <c r="E289" i="25"/>
  <c r="E313" i="25"/>
  <c r="E317" i="25"/>
  <c r="E321" i="25"/>
  <c r="E217" i="25"/>
  <c r="E199" i="25"/>
  <c r="E286" i="25"/>
  <c r="E265" i="25"/>
  <c r="E260" i="25"/>
  <c r="E234" i="25"/>
  <c r="E283" i="25"/>
  <c r="E284" i="25"/>
  <c r="E255" i="25"/>
  <c r="E120" i="25"/>
  <c r="E111" i="25"/>
  <c r="E125" i="25"/>
  <c r="E47" i="25"/>
  <c r="E112" i="25"/>
  <c r="E116" i="25"/>
  <c r="E139" i="25"/>
  <c r="E150" i="25"/>
  <c r="E145" i="25"/>
  <c r="E307" i="25"/>
  <c r="E295" i="25"/>
  <c r="E290" i="25"/>
  <c r="E314" i="25"/>
  <c r="E318" i="25"/>
  <c r="E218" i="25"/>
  <c r="E200" i="25"/>
  <c r="E310" i="25"/>
  <c r="E261" i="25"/>
  <c r="E235" i="25"/>
  <c r="E405" i="25"/>
  <c r="E442" i="25"/>
  <c r="E372" i="25"/>
  <c r="E376" i="25"/>
  <c r="E384" i="25"/>
  <c r="E388" i="25"/>
  <c r="E421" i="25"/>
  <c r="E439" i="25"/>
  <c r="E272" i="25"/>
  <c r="E269" i="25"/>
  <c r="E252" i="25"/>
  <c r="E188" i="25"/>
  <c r="E178" i="25"/>
  <c r="E191" i="25"/>
  <c r="E402" i="25"/>
  <c r="E406" i="25"/>
  <c r="E443" i="25"/>
  <c r="E373" i="25"/>
  <c r="E377" i="25"/>
  <c r="E385" i="25"/>
  <c r="E445" i="25"/>
  <c r="E487" i="25"/>
  <c r="E481" i="25"/>
  <c r="E237" i="25"/>
  <c r="E273" i="25"/>
  <c r="E270" i="25"/>
  <c r="E253" i="25"/>
  <c r="E185" i="25"/>
  <c r="E189" i="25"/>
  <c r="E179" i="25"/>
  <c r="E192" i="25"/>
  <c r="E403" i="25"/>
  <c r="E407" i="25"/>
  <c r="E444" i="25"/>
  <c r="E374" i="25"/>
  <c r="E378" i="25"/>
  <c r="E386" i="25"/>
  <c r="E370" i="25"/>
  <c r="E502" i="25"/>
  <c r="E456" i="25"/>
  <c r="E492" i="25"/>
  <c r="E498" i="25"/>
  <c r="E475" i="25"/>
  <c r="E281" i="25"/>
  <c r="E274" i="25"/>
  <c r="E271" i="25"/>
  <c r="E254" i="25"/>
  <c r="E186" i="25"/>
  <c r="E180" i="25"/>
  <c r="E404" i="25"/>
  <c r="E441" i="25"/>
  <c r="E371" i="25"/>
  <c r="E375" i="25"/>
  <c r="E379" i="25"/>
  <c r="E387" i="25"/>
  <c r="E383" i="25"/>
  <c r="E348" i="25"/>
  <c r="E460" i="25"/>
  <c r="E485" i="25"/>
  <c r="E367" i="25"/>
  <c r="E380" i="25"/>
  <c r="E418" i="25"/>
  <c r="E422" i="25"/>
  <c r="E426" i="25"/>
  <c r="E430" i="25"/>
  <c r="E436" i="25"/>
  <c r="E349" i="25"/>
  <c r="E440" i="25"/>
  <c r="E446" i="25"/>
  <c r="E503" i="25"/>
  <c r="E457" i="25"/>
  <c r="E461" i="25"/>
  <c r="E488" i="25"/>
  <c r="E489" i="25"/>
  <c r="E482" i="25"/>
  <c r="E486" i="25"/>
  <c r="E499" i="25"/>
  <c r="E476" i="25"/>
  <c r="E368" i="25"/>
  <c r="E381" i="25"/>
  <c r="E419" i="25"/>
  <c r="E423" i="25"/>
  <c r="E427" i="25"/>
  <c r="E431" i="25"/>
  <c r="E357" i="25"/>
  <c r="E433" i="25"/>
  <c r="E350" i="25"/>
  <c r="E504" i="25"/>
  <c r="E458" i="25"/>
  <c r="E462" i="25"/>
  <c r="E494" i="25"/>
  <c r="E479" i="25"/>
  <c r="E483" i="25"/>
  <c r="E496" i="25"/>
  <c r="E477" i="25"/>
  <c r="E369" i="25"/>
  <c r="E382" i="25"/>
  <c r="E420" i="25"/>
  <c r="E424" i="25"/>
  <c r="E428" i="25"/>
  <c r="E432" i="25"/>
  <c r="E358" i="25"/>
  <c r="E434" i="25"/>
  <c r="E347" i="25"/>
  <c r="E438" i="25"/>
  <c r="E500" i="25"/>
  <c r="E501" i="25"/>
  <c r="E505" i="25"/>
  <c r="E472" i="25"/>
  <c r="E455" i="25"/>
  <c r="E459" i="25"/>
  <c r="E463" i="25"/>
  <c r="E493" i="25"/>
  <c r="E491" i="25"/>
  <c r="E480" i="25"/>
  <c r="E484" i="25"/>
  <c r="E497" i="25"/>
  <c r="E474" i="25"/>
  <c r="E478" i="25"/>
  <c r="B154" i="13"/>
  <c r="A41" i="18"/>
  <c r="A48" i="20"/>
  <c r="B138" i="13"/>
  <c r="E473" i="25" s="1"/>
  <c r="A38" i="18"/>
  <c r="A45" i="20"/>
  <c r="AL15" i="8"/>
  <c r="AL87" i="5"/>
  <c r="AL44" i="3"/>
  <c r="F48" i="20"/>
  <c r="F44" i="20"/>
  <c r="AL94" i="3"/>
  <c r="C485" i="13"/>
  <c r="C266" i="13"/>
  <c r="B266" i="13" s="1"/>
  <c r="E435" i="25" s="1"/>
  <c r="C452" i="13"/>
  <c r="C253" i="13"/>
  <c r="B253" i="13" s="1"/>
  <c r="E429" i="25" s="1"/>
  <c r="C448" i="13"/>
  <c r="C467" i="13"/>
  <c r="C456" i="13"/>
  <c r="C282" i="13"/>
  <c r="B282" i="13" s="1"/>
  <c r="E425" i="25" s="1"/>
  <c r="C331" i="13"/>
  <c r="B331" i="13" s="1"/>
  <c r="E266" i="25" s="1"/>
  <c r="C340" i="13"/>
  <c r="C388" i="13"/>
  <c r="C72" i="13"/>
  <c r="B72" i="13" s="1"/>
  <c r="E311" i="25" s="1"/>
  <c r="C44" i="13"/>
  <c r="B44" i="13" s="1"/>
  <c r="E287" i="25" s="1"/>
  <c r="C357" i="13"/>
  <c r="AA118" i="21"/>
  <c r="AB118" i="21"/>
  <c r="AA90" i="21"/>
  <c r="AB90" i="21"/>
  <c r="AA126" i="21"/>
  <c r="AB126" i="21"/>
  <c r="AA99" i="21"/>
  <c r="AB99" i="21"/>
  <c r="AA134" i="21"/>
  <c r="AB134" i="21"/>
  <c r="AA117" i="21"/>
  <c r="AB107" i="21"/>
  <c r="AA89" i="21"/>
  <c r="AB108" i="21"/>
  <c r="AB122" i="21"/>
  <c r="AB121" i="21"/>
  <c r="AB120" i="21"/>
  <c r="AB119" i="21"/>
  <c r="AB109" i="21"/>
  <c r="AA106" i="21"/>
  <c r="AB106" i="21"/>
  <c r="AB83" i="21"/>
  <c r="AB127" i="21"/>
  <c r="AA98" i="21"/>
  <c r="AB98" i="21"/>
  <c r="Y138" i="21"/>
  <c r="AD138" i="21" s="1"/>
  <c r="P64" i="21"/>
  <c r="P61" i="21"/>
  <c r="P48" i="21"/>
  <c r="P45" i="21"/>
  <c r="P28" i="21"/>
  <c r="P21" i="21"/>
  <c r="P17" i="21"/>
  <c r="AA82" i="21"/>
  <c r="AB82" i="21"/>
  <c r="P67" i="21"/>
  <c r="P57" i="21"/>
  <c r="P54" i="21"/>
  <c r="P51" i="21"/>
  <c r="P41" i="21"/>
  <c r="P38" i="21"/>
  <c r="P35" i="21"/>
  <c r="P24" i="21"/>
  <c r="P3" i="21"/>
  <c r="P5" i="21"/>
  <c r="P13" i="21"/>
  <c r="P15" i="21"/>
  <c r="P23" i="21"/>
  <c r="P31" i="21"/>
  <c r="P39" i="21"/>
  <c r="P47" i="21"/>
  <c r="P55" i="21"/>
  <c r="P63" i="21"/>
  <c r="P26" i="21"/>
  <c r="P34" i="21"/>
  <c r="P42" i="21"/>
  <c r="P50" i="21"/>
  <c r="P58" i="21"/>
  <c r="P66" i="21"/>
  <c r="P12" i="21"/>
  <c r="P22" i="21"/>
  <c r="P30" i="21"/>
  <c r="P32" i="21"/>
  <c r="P25" i="21"/>
  <c r="P4" i="21"/>
  <c r="Y110" i="21" s="1"/>
  <c r="AD110" i="21" s="1"/>
  <c r="B442" i="13" s="1"/>
  <c r="E336" i="25" s="1"/>
  <c r="P16" i="21"/>
  <c r="P14" i="21"/>
  <c r="P6" i="21"/>
  <c r="P18" i="21"/>
  <c r="P8" i="21"/>
  <c r="Y51" i="21" l="1"/>
  <c r="AD51" i="21" s="1"/>
  <c r="B383" i="13" s="1"/>
  <c r="E168" i="25" s="1"/>
  <c r="B190" i="13"/>
  <c r="E97" i="25" s="1"/>
  <c r="A54" i="18"/>
  <c r="A64" i="20"/>
  <c r="A125" i="18"/>
  <c r="A146" i="20"/>
  <c r="A112" i="20"/>
  <c r="A102" i="18"/>
  <c r="B268" i="13"/>
  <c r="E401" i="25" s="1"/>
  <c r="A74" i="18"/>
  <c r="A85" i="20"/>
  <c r="B100" i="13"/>
  <c r="E21" i="25" s="1"/>
  <c r="A26" i="20"/>
  <c r="A26" i="18"/>
  <c r="B244" i="13"/>
  <c r="E108" i="25" s="1"/>
  <c r="A78" i="20"/>
  <c r="A68" i="18"/>
  <c r="B128" i="13"/>
  <c r="E156" i="25" s="1"/>
  <c r="A42" i="20"/>
  <c r="A35" i="18"/>
  <c r="A126" i="20"/>
  <c r="A113" i="18"/>
  <c r="B158" i="13"/>
  <c r="E495" i="25" s="1"/>
  <c r="A42" i="18"/>
  <c r="A49" i="20"/>
  <c r="B325" i="13"/>
  <c r="E177" i="25" s="1"/>
  <c r="A95" i="20"/>
  <c r="A85" i="18"/>
  <c r="A114" i="20"/>
  <c r="A75" i="18"/>
  <c r="B183" i="13"/>
  <c r="E49" i="25" s="1"/>
  <c r="A50" i="18"/>
  <c r="A60" i="20"/>
  <c r="B112" i="13"/>
  <c r="E147" i="25" s="1"/>
  <c r="A30" i="20"/>
  <c r="A116" i="18"/>
  <c r="A129" i="20"/>
  <c r="B110" i="13"/>
  <c r="E161" i="25" s="1"/>
  <c r="A28" i="20"/>
  <c r="A103" i="20"/>
  <c r="A93" i="18"/>
  <c r="B70" i="13"/>
  <c r="E309" i="25" s="1"/>
  <c r="A18" i="18"/>
  <c r="A18" i="20"/>
  <c r="A97" i="20"/>
  <c r="A87" i="18"/>
  <c r="B315" i="13"/>
  <c r="E133" i="25" s="1"/>
  <c r="A93" i="20"/>
  <c r="A111" i="18"/>
  <c r="A124" i="20"/>
  <c r="B177" i="13"/>
  <c r="E447" i="25" s="1"/>
  <c r="A48" i="18"/>
  <c r="A58" i="20"/>
  <c r="Z146" i="21"/>
  <c r="A95" i="18"/>
  <c r="A105" i="20"/>
  <c r="B126" i="13"/>
  <c r="E165" i="25" s="1"/>
  <c r="A40" i="20"/>
  <c r="A33" i="18"/>
  <c r="B213" i="13"/>
  <c r="E50" i="25" s="1"/>
  <c r="A60" i="18"/>
  <c r="A70" i="20"/>
  <c r="B118" i="13"/>
  <c r="E153" i="25" s="1"/>
  <c r="A30" i="18"/>
  <c r="A34" i="20"/>
  <c r="B257" i="13"/>
  <c r="E356" i="25" s="1"/>
  <c r="A82" i="20"/>
  <c r="A71" i="18"/>
  <c r="A106" i="18"/>
  <c r="A119" i="20"/>
  <c r="B175" i="13"/>
  <c r="E471" i="25" s="1"/>
  <c r="A47" i="18"/>
  <c r="A57" i="20"/>
  <c r="B120" i="13"/>
  <c r="E146" i="25" s="1"/>
  <c r="A32" i="18"/>
  <c r="A36" i="20"/>
  <c r="A145" i="20"/>
  <c r="A124" i="18"/>
  <c r="B86" i="13"/>
  <c r="E214" i="25" s="1"/>
  <c r="A23" i="18"/>
  <c r="A23" i="20"/>
  <c r="B329" i="13"/>
  <c r="E264" i="25" s="1"/>
  <c r="A96" i="20"/>
  <c r="A86" i="18"/>
  <c r="B217" i="13"/>
  <c r="E76" i="25" s="1"/>
  <c r="A71" i="20"/>
  <c r="A61" i="18"/>
  <c r="B222" i="13"/>
  <c r="E135" i="25" s="1"/>
  <c r="A62" i="18"/>
  <c r="A72" i="20"/>
  <c r="B114" i="13"/>
  <c r="E157" i="25" s="1"/>
  <c r="A31" i="20"/>
  <c r="A90" i="18"/>
  <c r="A100" i="20"/>
  <c r="B46" i="13"/>
  <c r="E190" i="25" s="1"/>
  <c r="A12" i="20"/>
  <c r="A12" i="18"/>
  <c r="A121" i="18"/>
  <c r="A136" i="20"/>
  <c r="B249" i="13"/>
  <c r="E490" i="25" s="1"/>
  <c r="A80" i="20"/>
  <c r="A107" i="18"/>
  <c r="A120" i="20"/>
  <c r="B290" i="13"/>
  <c r="E437" i="25" s="1"/>
  <c r="A78" i="18"/>
  <c r="A88" i="20"/>
  <c r="B160" i="13"/>
  <c r="E448" i="25" s="1"/>
  <c r="A43" i="18"/>
  <c r="A51" i="20"/>
  <c r="Z100" i="21"/>
  <c r="Y71" i="21"/>
  <c r="AD71" i="21" s="1"/>
  <c r="B403" i="13" s="1"/>
  <c r="E247" i="25" s="1"/>
  <c r="Z15" i="21"/>
  <c r="Z58" i="21"/>
  <c r="Y74" i="21"/>
  <c r="AD74" i="21" s="1"/>
  <c r="B406" i="13" s="1"/>
  <c r="E250" i="25" s="1"/>
  <c r="Z96" i="21"/>
  <c r="Y156" i="21"/>
  <c r="AD156" i="21" s="1"/>
  <c r="Z167" i="21"/>
  <c r="Y40" i="21"/>
  <c r="AD40" i="21" s="1"/>
  <c r="B372" i="13" s="1"/>
  <c r="E298" i="25" s="1"/>
  <c r="Y21" i="21"/>
  <c r="AD21" i="21" s="1"/>
  <c r="Y89" i="21"/>
  <c r="AD89" i="21" s="1"/>
  <c r="Z8" i="21"/>
  <c r="Y88" i="21"/>
  <c r="AD88" i="21" s="1"/>
  <c r="AB157" i="21"/>
  <c r="Y86" i="21"/>
  <c r="AD86" i="21" s="1"/>
  <c r="Z16" i="21"/>
  <c r="Y145" i="21"/>
  <c r="AD145" i="21" s="1"/>
  <c r="B477" i="13" s="1"/>
  <c r="E15" i="25" s="1"/>
  <c r="Y93" i="21"/>
  <c r="AD93" i="21" s="1"/>
  <c r="Z135" i="21"/>
  <c r="Y14" i="21"/>
  <c r="AD14" i="21" s="1"/>
  <c r="B346" i="13" s="1"/>
  <c r="E228" i="25" s="1"/>
  <c r="Z6" i="21"/>
  <c r="Y133" i="21"/>
  <c r="AD133" i="21" s="1"/>
  <c r="B465" i="13" s="1"/>
  <c r="E325" i="25" s="1"/>
  <c r="Y173" i="21"/>
  <c r="AD173" i="21" s="1"/>
  <c r="Y144" i="21"/>
  <c r="AD144" i="21" s="1"/>
  <c r="B476" i="13" s="1"/>
  <c r="E104" i="25" s="1"/>
  <c r="Y159" i="21"/>
  <c r="AD159" i="21" s="1"/>
  <c r="Y97" i="21"/>
  <c r="AD97" i="21" s="1"/>
  <c r="B429" i="13" s="1"/>
  <c r="E397" i="25" s="1"/>
  <c r="Z74" i="21"/>
  <c r="Y161" i="21"/>
  <c r="AD161" i="21" s="1"/>
  <c r="B493" i="13" s="1"/>
  <c r="E454" i="25" s="1"/>
  <c r="Y36" i="21"/>
  <c r="AD36" i="21" s="1"/>
  <c r="B368" i="13" s="1"/>
  <c r="E239" i="25" s="1"/>
  <c r="Z153" i="21"/>
  <c r="Z24" i="21"/>
  <c r="Z142" i="21"/>
  <c r="Y94" i="21"/>
  <c r="AD94" i="21" s="1"/>
  <c r="Z35" i="21"/>
  <c r="Z59" i="21"/>
  <c r="Y77" i="21"/>
  <c r="AD77" i="21" s="1"/>
  <c r="B409" i="13" s="1"/>
  <c r="E364" i="25" s="1"/>
  <c r="Z97" i="21"/>
  <c r="Z144" i="21"/>
  <c r="AA158" i="21"/>
  <c r="Y168" i="21"/>
  <c r="AD168" i="21" s="1"/>
  <c r="Y59" i="21"/>
  <c r="AD59" i="21" s="1"/>
  <c r="B391" i="13" s="1"/>
  <c r="E231" i="25" s="1"/>
  <c r="Y33" i="21"/>
  <c r="AD33" i="21" s="1"/>
  <c r="B365" i="13" s="1"/>
  <c r="E211" i="25" s="1"/>
  <c r="Z99" i="21"/>
  <c r="Z11" i="21"/>
  <c r="Z2" i="21"/>
  <c r="AB169" i="21"/>
  <c r="Y23" i="21"/>
  <c r="AD23" i="21" s="1"/>
  <c r="B355" i="13" s="1"/>
  <c r="E194" i="25" s="1"/>
  <c r="AB161" i="21"/>
  <c r="Z94" i="21"/>
  <c r="Y60" i="21"/>
  <c r="AD60" i="21" s="1"/>
  <c r="B392" i="13" s="1"/>
  <c r="E232" i="25" s="1"/>
  <c r="Y20" i="21"/>
  <c r="AD20" i="21" s="1"/>
  <c r="B352" i="13" s="1"/>
  <c r="E277" i="25" s="1"/>
  <c r="Z10" i="21"/>
  <c r="Z141" i="21"/>
  <c r="Y13" i="21"/>
  <c r="AD13" i="21" s="1"/>
  <c r="B345" i="13" s="1"/>
  <c r="E227" i="25" s="1"/>
  <c r="Y148" i="21"/>
  <c r="AD148" i="21" s="1"/>
  <c r="B480" i="13" s="1"/>
  <c r="E14" i="25" s="1"/>
  <c r="Z162" i="21"/>
  <c r="Y105" i="21"/>
  <c r="AD105" i="21" s="1"/>
  <c r="B437" i="13" s="1"/>
  <c r="E341" i="25" s="1"/>
  <c r="Z78" i="21"/>
  <c r="Z164" i="21"/>
  <c r="Y92" i="21"/>
  <c r="AD92" i="21" s="1"/>
  <c r="AB155" i="21"/>
  <c r="Z28" i="21"/>
  <c r="Y3" i="21"/>
  <c r="AD3" i="21" s="1"/>
  <c r="B335" i="13" s="1"/>
  <c r="E257" i="25" s="1"/>
  <c r="Z61" i="21"/>
  <c r="Y6" i="21"/>
  <c r="AD6" i="21" s="1"/>
  <c r="Y12" i="21"/>
  <c r="AD12" i="21" s="1"/>
  <c r="Y41" i="21"/>
  <c r="AD41" i="21" s="1"/>
  <c r="B373" i="13" s="1"/>
  <c r="E299" i="25" s="1"/>
  <c r="Y54" i="21"/>
  <c r="AD54" i="21" s="1"/>
  <c r="B386" i="13" s="1"/>
  <c r="E173" i="25" s="1"/>
  <c r="Z55" i="21"/>
  <c r="Y99" i="21"/>
  <c r="AD99" i="21" s="1"/>
  <c r="B431" i="13" s="1"/>
  <c r="E399" i="25" s="1"/>
  <c r="Y108" i="21"/>
  <c r="AD108" i="21" s="1"/>
  <c r="B440" i="13" s="1"/>
  <c r="E334" i="25" s="1"/>
  <c r="Z109" i="21"/>
  <c r="Y119" i="21"/>
  <c r="AD119" i="21" s="1"/>
  <c r="B451" i="13" s="1"/>
  <c r="E354" i="25" s="1"/>
  <c r="Z121" i="21"/>
  <c r="Z122" i="21"/>
  <c r="Y126" i="21"/>
  <c r="AD126" i="21" s="1"/>
  <c r="B458" i="13" s="1"/>
  <c r="E391" i="25" s="1"/>
  <c r="Z131" i="21"/>
  <c r="Z132" i="21"/>
  <c r="Z133" i="21"/>
  <c r="Z134" i="21"/>
  <c r="Z147" i="21"/>
  <c r="Z148" i="21"/>
  <c r="Z149" i="21"/>
  <c r="Y151" i="21"/>
  <c r="AD151" i="21" s="1"/>
  <c r="AB156" i="21"/>
  <c r="AA157" i="21"/>
  <c r="Z160" i="21"/>
  <c r="Y162" i="21"/>
  <c r="AD162" i="21" s="1"/>
  <c r="B494" i="13" s="1"/>
  <c r="E506" i="25" s="1"/>
  <c r="AB167" i="21"/>
  <c r="AA168" i="21"/>
  <c r="Z170" i="21"/>
  <c r="Y171" i="21"/>
  <c r="AD171" i="21" s="1"/>
  <c r="AA174" i="21"/>
  <c r="Y7" i="21"/>
  <c r="AD7" i="21" s="1"/>
  <c r="Y8" i="21"/>
  <c r="AD8" i="21" s="1"/>
  <c r="Y11" i="21"/>
  <c r="AD11" i="21" s="1"/>
  <c r="Y17" i="21"/>
  <c r="AD17" i="21" s="1"/>
  <c r="B349" i="13" s="1"/>
  <c r="E278" i="25" s="1"/>
  <c r="Y18" i="21"/>
  <c r="AD18" i="21" s="1"/>
  <c r="B350" i="13" s="1"/>
  <c r="E279" i="25" s="1"/>
  <c r="Z47" i="21"/>
  <c r="Y52" i="21"/>
  <c r="AD52" i="21" s="1"/>
  <c r="B384" i="13" s="1"/>
  <c r="E171" i="25" s="1"/>
  <c r="Y53" i="21"/>
  <c r="AD53" i="21" s="1"/>
  <c r="B385" i="13" s="1"/>
  <c r="E172" i="25" s="1"/>
  <c r="Y66" i="21"/>
  <c r="AD66" i="21" s="1"/>
  <c r="B398" i="13" s="1"/>
  <c r="E246" i="25" s="1"/>
  <c r="Y118" i="21"/>
  <c r="AD118" i="21" s="1"/>
  <c r="B450" i="13" s="1"/>
  <c r="E353" i="25" s="1"/>
  <c r="Z123" i="21"/>
  <c r="Z124" i="21"/>
  <c r="Z125" i="21"/>
  <c r="Z150" i="21"/>
  <c r="Y153" i="21"/>
  <c r="AD153" i="21" s="1"/>
  <c r="AB158" i="21"/>
  <c r="AA159" i="21"/>
  <c r="Z161" i="21"/>
  <c r="Y163" i="21"/>
  <c r="AD163" i="21" s="1"/>
  <c r="AB168" i="21"/>
  <c r="AA169" i="21"/>
  <c r="AB174" i="21"/>
  <c r="Y2" i="21"/>
  <c r="AD2" i="21" s="1"/>
  <c r="B334" i="13" s="1"/>
  <c r="E256" i="25" s="1"/>
  <c r="Z9" i="21"/>
  <c r="Z67" i="21"/>
  <c r="Y75" i="21"/>
  <c r="AD75" i="21" s="1"/>
  <c r="B407" i="13" s="1"/>
  <c r="E251" i="25" s="1"/>
  <c r="Y76" i="21"/>
  <c r="AD76" i="21" s="1"/>
  <c r="B408" i="13" s="1"/>
  <c r="E363" i="25" s="1"/>
  <c r="Y79" i="21"/>
  <c r="AD79" i="21" s="1"/>
  <c r="B411" i="13" s="1"/>
  <c r="E362" i="25" s="1"/>
  <c r="Y80" i="21"/>
  <c r="AD80" i="21" s="1"/>
  <c r="B412" i="13" s="1"/>
  <c r="E366" i="25" s="1"/>
  <c r="Y81" i="21"/>
  <c r="AD81" i="21" s="1"/>
  <c r="B413" i="13" s="1"/>
  <c r="E361" i="25" s="1"/>
  <c r="Y82" i="21"/>
  <c r="AD82" i="21" s="1"/>
  <c r="B414" i="13" s="1"/>
  <c r="E360" i="25" s="1"/>
  <c r="Z90" i="21"/>
  <c r="AA170" i="21"/>
  <c r="Z171" i="21"/>
  <c r="Y172" i="21"/>
  <c r="AD172" i="21" s="1"/>
  <c r="Z21" i="21"/>
  <c r="Z33" i="21"/>
  <c r="Z64" i="21"/>
  <c r="Z73" i="21"/>
  <c r="Z77" i="21"/>
  <c r="Z89" i="21"/>
  <c r="Y103" i="21"/>
  <c r="AD103" i="21" s="1"/>
  <c r="Y16" i="21"/>
  <c r="AD16" i="21" s="1"/>
  <c r="Y25" i="21"/>
  <c r="AD25" i="21" s="1"/>
  <c r="B357" i="13" s="1"/>
  <c r="E196" i="25" s="1"/>
  <c r="Y26" i="21"/>
  <c r="AD26" i="21" s="1"/>
  <c r="B358" i="13" s="1"/>
  <c r="E197" i="25" s="1"/>
  <c r="Y27" i="21"/>
  <c r="AD27" i="21" s="1"/>
  <c r="Y28" i="21"/>
  <c r="AD28" i="21" s="1"/>
  <c r="B360" i="13" s="1"/>
  <c r="E220" i="25" s="1"/>
  <c r="Z50" i="21"/>
  <c r="Z72" i="21"/>
  <c r="Z79" i="21"/>
  <c r="Z80" i="21"/>
  <c r="Z81" i="21"/>
  <c r="Z82" i="21"/>
  <c r="Z88" i="21"/>
  <c r="Y96" i="21"/>
  <c r="AD96" i="21" s="1"/>
  <c r="B428" i="13" s="1"/>
  <c r="E396" i="25" s="1"/>
  <c r="Y106" i="21"/>
  <c r="AD106" i="21" s="1"/>
  <c r="B438" i="13" s="1"/>
  <c r="E332" i="25" s="1"/>
  <c r="Y114" i="21"/>
  <c r="AD114" i="21" s="1"/>
  <c r="Z116" i="21"/>
  <c r="Y139" i="21"/>
  <c r="AD139" i="21" s="1"/>
  <c r="Y140" i="21"/>
  <c r="AD140" i="21" s="1"/>
  <c r="Y141" i="21"/>
  <c r="AD141" i="21" s="1"/>
  <c r="B473" i="13" s="1"/>
  <c r="E101" i="25" s="1"/>
  <c r="AA152" i="21"/>
  <c r="Z154" i="21"/>
  <c r="Y157" i="21"/>
  <c r="AD157" i="21" s="1"/>
  <c r="AA163" i="21"/>
  <c r="Z165" i="21"/>
  <c r="Y167" i="21"/>
  <c r="AD167" i="21" s="1"/>
  <c r="AA171" i="21"/>
  <c r="Z172" i="21"/>
  <c r="Y174" i="21"/>
  <c r="AD174" i="21" s="1"/>
  <c r="Y29" i="21"/>
  <c r="AD29" i="21" s="1"/>
  <c r="B361" i="13" s="1"/>
  <c r="E222" i="25" s="1"/>
  <c r="Y30" i="21"/>
  <c r="AD30" i="21" s="1"/>
  <c r="B362" i="13" s="1"/>
  <c r="E223" i="25" s="1"/>
  <c r="Y48" i="21"/>
  <c r="AD48" i="21" s="1"/>
  <c r="B380" i="13" s="1"/>
  <c r="E209" i="25" s="1"/>
  <c r="Z49" i="21"/>
  <c r="Z57" i="21"/>
  <c r="Z71" i="21"/>
  <c r="Z87" i="21"/>
  <c r="Y95" i="21"/>
  <c r="AD95" i="21" s="1"/>
  <c r="Z102" i="21"/>
  <c r="Z103" i="21"/>
  <c r="Z104" i="21"/>
  <c r="Z105" i="21"/>
  <c r="Y111" i="21"/>
  <c r="AD111" i="21" s="1"/>
  <c r="B443" i="13" s="1"/>
  <c r="E413" i="25" s="1"/>
  <c r="Y112" i="21"/>
  <c r="AD112" i="21" s="1"/>
  <c r="Y113" i="21"/>
  <c r="AD113" i="21" s="1"/>
  <c r="Y135" i="21"/>
  <c r="AD135" i="21" s="1"/>
  <c r="Z137" i="21"/>
  <c r="Z138" i="21"/>
  <c r="Y142" i="21"/>
  <c r="AD142" i="21" s="1"/>
  <c r="B474" i="13" s="1"/>
  <c r="E102" i="25" s="1"/>
  <c r="AB152" i="21"/>
  <c r="AA153" i="21"/>
  <c r="Z156" i="21"/>
  <c r="Y158" i="21"/>
  <c r="AD158" i="21" s="1"/>
  <c r="AB163" i="21"/>
  <c r="AA164" i="21"/>
  <c r="Z166" i="21"/>
  <c r="Y169" i="21"/>
  <c r="AD169" i="21" s="1"/>
  <c r="AB171" i="21"/>
  <c r="Z173" i="21"/>
  <c r="Z31" i="21"/>
  <c r="Z101" i="21"/>
  <c r="Y131" i="21"/>
  <c r="AD131" i="21" s="1"/>
  <c r="B463" i="13" s="1"/>
  <c r="E323" i="25" s="1"/>
  <c r="Y147" i="21"/>
  <c r="AD147" i="21" s="1"/>
  <c r="B479" i="13" s="1"/>
  <c r="E13" i="25" s="1"/>
  <c r="AB154" i="21"/>
  <c r="AB164" i="21"/>
  <c r="Z23" i="21"/>
  <c r="Y123" i="21"/>
  <c r="AD123" i="21" s="1"/>
  <c r="Z129" i="21"/>
  <c r="Z145" i="21"/>
  <c r="Z41" i="21"/>
  <c r="Z60" i="21"/>
  <c r="Y78" i="21"/>
  <c r="AD78" i="21" s="1"/>
  <c r="B410" i="13" s="1"/>
  <c r="E365" i="25" s="1"/>
  <c r="Z98" i="21"/>
  <c r="Y146" i="21"/>
  <c r="AD146" i="21" s="1"/>
  <c r="B478" i="13" s="1"/>
  <c r="E12" i="25" s="1"/>
  <c r="Z159" i="21"/>
  <c r="Z3" i="21"/>
  <c r="Y90" i="21"/>
  <c r="AD90" i="21" s="1"/>
  <c r="B422" i="13" s="1"/>
  <c r="E390" i="25" s="1"/>
  <c r="Y39" i="21"/>
  <c r="AD39" i="21" s="1"/>
  <c r="B371" i="13" s="1"/>
  <c r="E241" i="25" s="1"/>
  <c r="Y117" i="21"/>
  <c r="AD117" i="21" s="1"/>
  <c r="B449" i="13" s="1"/>
  <c r="E352" i="25" s="1"/>
  <c r="Z53" i="21"/>
  <c r="Z19" i="21"/>
  <c r="Y24" i="21"/>
  <c r="AD24" i="21" s="1"/>
  <c r="B356" i="13" s="1"/>
  <c r="E195" i="25" s="1"/>
  <c r="Y101" i="21"/>
  <c r="AD101" i="21" s="1"/>
  <c r="Y44" i="21"/>
  <c r="AD44" i="21" s="1"/>
  <c r="B376" i="13" s="1"/>
  <c r="E301" i="25" s="1"/>
  <c r="Y15" i="21"/>
  <c r="AD15" i="21" s="1"/>
  <c r="B485" i="13" s="1"/>
  <c r="E450" i="25" s="1"/>
  <c r="Y43" i="21"/>
  <c r="AD43" i="21" s="1"/>
  <c r="B375" i="13" s="1"/>
  <c r="E302" i="25" s="1"/>
  <c r="Z27" i="21"/>
  <c r="Z152" i="21"/>
  <c r="Y19" i="21"/>
  <c r="AD19" i="21" s="1"/>
  <c r="B351" i="13" s="1"/>
  <c r="E276" i="25" s="1"/>
  <c r="AB151" i="21"/>
  <c r="AA165" i="21"/>
  <c r="Y116" i="21"/>
  <c r="AD116" i="21" s="1"/>
  <c r="B448" i="13" s="1"/>
  <c r="E351" i="25" s="1"/>
  <c r="Z113" i="21"/>
  <c r="AB166" i="21"/>
  <c r="Y104" i="21"/>
  <c r="AD104" i="21" s="1"/>
  <c r="AA156" i="21"/>
  <c r="Z32" i="21"/>
  <c r="Y155" i="21"/>
  <c r="AD155" i="21" s="1"/>
  <c r="A123" i="20"/>
  <c r="A110" i="18"/>
  <c r="Y87" i="21"/>
  <c r="AD87" i="21" s="1"/>
  <c r="Z42" i="21"/>
  <c r="Y64" i="21"/>
  <c r="AD64" i="21" s="1"/>
  <c r="B396" i="13" s="1"/>
  <c r="E245" i="25" s="1"/>
  <c r="Y83" i="21"/>
  <c r="AD83" i="21" s="1"/>
  <c r="B415" i="13" s="1"/>
  <c r="E359" i="25" s="1"/>
  <c r="Z120" i="21"/>
  <c r="AA150" i="21"/>
  <c r="Y160" i="21"/>
  <c r="AD160" i="21" s="1"/>
  <c r="B492" i="13" s="1"/>
  <c r="E453" i="25" s="1"/>
  <c r="Y9" i="21"/>
  <c r="AD9" i="21" s="1"/>
  <c r="Z40" i="21"/>
  <c r="Z119" i="21"/>
  <c r="Y63" i="21"/>
  <c r="AD63" i="21" s="1"/>
  <c r="B395" i="13" s="1"/>
  <c r="E244" i="25" s="1"/>
  <c r="Z20" i="21"/>
  <c r="Y31" i="21"/>
  <c r="AD31" i="21" s="1"/>
  <c r="B363" i="13" s="1"/>
  <c r="E219" i="25" s="1"/>
  <c r="Y56" i="21"/>
  <c r="AD56" i="21" s="1"/>
  <c r="Z29" i="21"/>
  <c r="Y46" i="21"/>
  <c r="AD46" i="21" s="1"/>
  <c r="B378" i="13" s="1"/>
  <c r="E207" i="25" s="1"/>
  <c r="Z48" i="21"/>
  <c r="AA155" i="21"/>
  <c r="Y22" i="21"/>
  <c r="AD22" i="21" s="1"/>
  <c r="B354" i="13" s="1"/>
  <c r="E193" i="25" s="1"/>
  <c r="Y154" i="21"/>
  <c r="AD154" i="21" s="1"/>
  <c r="Z26" i="21"/>
  <c r="AB172" i="21"/>
  <c r="Z126" i="21"/>
  <c r="Y120" i="21"/>
  <c r="AD120" i="21" s="1"/>
  <c r="B452" i="13" s="1"/>
  <c r="E355" i="25" s="1"/>
  <c r="AA167" i="21"/>
  <c r="Y107" i="21"/>
  <c r="AD107" i="21" s="1"/>
  <c r="B439" i="13" s="1"/>
  <c r="E333" i="25" s="1"/>
  <c r="Y166" i="21"/>
  <c r="AD166" i="21" s="1"/>
  <c r="Z52" i="21"/>
  <c r="Z158" i="21"/>
  <c r="Y50" i="21"/>
  <c r="AD50" i="21" s="1"/>
  <c r="Z4" i="21"/>
  <c r="Z62" i="21"/>
  <c r="Y34" i="21"/>
  <c r="AD34" i="21" s="1"/>
  <c r="B366" i="13" s="1"/>
  <c r="E212" i="25" s="1"/>
  <c r="Z63" i="21"/>
  <c r="Z5" i="21"/>
  <c r="Z91" i="21"/>
  <c r="Z43" i="21"/>
  <c r="Y67" i="21"/>
  <c r="AD67" i="21" s="1"/>
  <c r="B399" i="13" s="1"/>
  <c r="E183" i="25" s="1"/>
  <c r="Z84" i="21"/>
  <c r="Y122" i="21"/>
  <c r="AD122" i="21" s="1"/>
  <c r="Z151" i="21"/>
  <c r="AA162" i="21"/>
  <c r="Y10" i="21"/>
  <c r="AD10" i="21" s="1"/>
  <c r="B342" i="13" s="1"/>
  <c r="E224" i="25" s="1"/>
  <c r="Z54" i="21"/>
  <c r="Z65" i="21"/>
  <c r="Z36" i="21"/>
  <c r="Y32" i="21"/>
  <c r="AD32" i="21" s="1"/>
  <c r="B364" i="13" s="1"/>
  <c r="E210" i="25" s="1"/>
  <c r="Z115" i="21"/>
  <c r="Y69" i="21"/>
  <c r="AD69" i="21" s="1"/>
  <c r="B401" i="13" s="1"/>
  <c r="E184" i="25" s="1"/>
  <c r="Z30" i="21"/>
  <c r="Y109" i="21"/>
  <c r="AD109" i="21" s="1"/>
  <c r="B441" i="13" s="1"/>
  <c r="E335" i="25" s="1"/>
  <c r="Y91" i="21"/>
  <c r="AD91" i="21" s="1"/>
  <c r="Z51" i="21"/>
  <c r="AB162" i="21"/>
  <c r="Y38" i="21"/>
  <c r="AD38" i="21" s="1"/>
  <c r="B370" i="13" s="1"/>
  <c r="E242" i="25" s="1"/>
  <c r="Z157" i="21"/>
  <c r="Z110" i="21"/>
  <c r="AA173" i="21"/>
  <c r="Y143" i="21"/>
  <c r="AD143" i="21" s="1"/>
  <c r="B475" i="13" s="1"/>
  <c r="E103" i="25" s="1"/>
  <c r="Y125" i="21"/>
  <c r="AD125" i="21" s="1"/>
  <c r="B457" i="13" s="1"/>
  <c r="E412" i="25" s="1"/>
  <c r="Y115" i="21"/>
  <c r="AD115" i="21" s="1"/>
  <c r="Z169" i="21"/>
  <c r="Z56" i="21"/>
  <c r="AB160" i="21"/>
  <c r="B388" i="13"/>
  <c r="E175" i="25" s="1"/>
  <c r="Z44" i="21"/>
  <c r="Y65" i="21"/>
  <c r="AD65" i="21" s="1"/>
  <c r="B397" i="13" s="1"/>
  <c r="E243" i="25" s="1"/>
  <c r="Z37" i="21"/>
  <c r="Z92" i="21"/>
  <c r="Y45" i="21"/>
  <c r="AD45" i="21" s="1"/>
  <c r="B377" i="13" s="1"/>
  <c r="E206" i="25" s="1"/>
  <c r="Z68" i="21"/>
  <c r="Z85" i="21"/>
  <c r="Z128" i="21"/>
  <c r="Y152" i="21"/>
  <c r="AD152" i="21" s="1"/>
  <c r="Z163" i="21"/>
  <c r="Z13" i="21"/>
  <c r="Z127" i="21"/>
  <c r="Y58" i="21"/>
  <c r="AD58" i="21" s="1"/>
  <c r="B390" i="13" s="1"/>
  <c r="E229" i="25" s="1"/>
  <c r="AB173" i="21"/>
  <c r="Z66" i="21"/>
  <c r="Z75" i="21"/>
  <c r="Y35" i="21"/>
  <c r="AD35" i="21" s="1"/>
  <c r="B367" i="13" s="1"/>
  <c r="E213" i="25" s="1"/>
  <c r="Y85" i="21"/>
  <c r="AD85" i="21" s="1"/>
  <c r="Y55" i="21"/>
  <c r="AD55" i="21" s="1"/>
  <c r="B387" i="13" s="1"/>
  <c r="E174" i="25" s="1"/>
  <c r="Y121" i="21"/>
  <c r="AD121" i="21" s="1"/>
  <c r="Z130" i="21"/>
  <c r="Y98" i="21"/>
  <c r="AD98" i="21" s="1"/>
  <c r="B430" i="13" s="1"/>
  <c r="E398" i="25" s="1"/>
  <c r="Y165" i="21"/>
  <c r="AD165" i="21" s="1"/>
  <c r="Y42" i="21"/>
  <c r="AD42" i="21" s="1"/>
  <c r="B374" i="13" s="1"/>
  <c r="E300" i="25" s="1"/>
  <c r="AB159" i="21"/>
  <c r="Y128" i="21"/>
  <c r="AD128" i="21" s="1"/>
  <c r="Y5" i="21"/>
  <c r="AD5" i="21" s="1"/>
  <c r="B337" i="13" s="1"/>
  <c r="E259" i="25" s="1"/>
  <c r="Z139" i="21"/>
  <c r="Z118" i="21"/>
  <c r="AA172" i="21"/>
  <c r="Z112" i="21"/>
  <c r="AA161" i="21"/>
  <c r="Z45" i="21"/>
  <c r="Z108" i="21"/>
  <c r="Z38" i="21"/>
  <c r="Z93" i="21"/>
  <c r="Y4" i="21"/>
  <c r="AD4" i="21" s="1"/>
  <c r="B336" i="13" s="1"/>
  <c r="E258" i="25" s="1"/>
  <c r="Z46" i="21"/>
  <c r="Z69" i="21"/>
  <c r="Z86" i="21"/>
  <c r="Y130" i="21"/>
  <c r="AD130" i="21" s="1"/>
  <c r="AA154" i="21"/>
  <c r="Y164" i="21"/>
  <c r="AD164" i="21" s="1"/>
  <c r="Z22" i="21"/>
  <c r="AB165" i="21"/>
  <c r="Y73" i="21"/>
  <c r="AD73" i="21" s="1"/>
  <c r="B405" i="13" s="1"/>
  <c r="E249" i="25" s="1"/>
  <c r="Z39" i="21"/>
  <c r="Y72" i="21"/>
  <c r="AD72" i="21" s="1"/>
  <c r="B404" i="13" s="1"/>
  <c r="E248" i="25" s="1"/>
  <c r="Z76" i="21"/>
  <c r="Y62" i="21"/>
  <c r="AD62" i="21" s="1"/>
  <c r="B394" i="13" s="1"/>
  <c r="E233" i="25" s="1"/>
  <c r="Z106" i="21"/>
  <c r="Y68" i="21"/>
  <c r="AD68" i="21" s="1"/>
  <c r="B400" i="13" s="1"/>
  <c r="E181" i="25" s="1"/>
  <c r="Z143" i="21"/>
  <c r="Y149" i="21"/>
  <c r="AD149" i="21" s="1"/>
  <c r="B481" i="13" s="1"/>
  <c r="E11" i="25" s="1"/>
  <c r="Y100" i="21"/>
  <c r="AD100" i="21" s="1"/>
  <c r="B432" i="13" s="1"/>
  <c r="E400" i="25" s="1"/>
  <c r="Z168" i="21"/>
  <c r="Z114" i="21"/>
  <c r="AA160" i="21"/>
  <c r="Y132" i="21"/>
  <c r="AD132" i="21" s="1"/>
  <c r="B464" i="13" s="1"/>
  <c r="E324" i="25" s="1"/>
  <c r="Y37" i="21"/>
  <c r="AD37" i="21" s="1"/>
  <c r="B369" i="13" s="1"/>
  <c r="E240" i="25" s="1"/>
  <c r="Z18" i="21"/>
  <c r="AB150" i="21"/>
  <c r="Y134" i="21"/>
  <c r="AD134" i="21" s="1"/>
  <c r="B466" i="13" s="1"/>
  <c r="E326" i="25" s="1"/>
  <c r="Y124" i="21"/>
  <c r="AD124" i="21" s="1"/>
  <c r="Z174" i="21"/>
  <c r="B456" i="13"/>
  <c r="E411" i="25" s="1"/>
  <c r="Y49" i="21"/>
  <c r="AD49" i="21" s="1"/>
  <c r="B381" i="13" s="1"/>
  <c r="E169" i="25" s="1"/>
  <c r="Y102" i="21"/>
  <c r="AD102" i="21" s="1"/>
  <c r="Y61" i="21"/>
  <c r="AD61" i="21" s="1"/>
  <c r="B393" i="13" s="1"/>
  <c r="E230" i="25" s="1"/>
  <c r="Z14" i="21"/>
  <c r="Y57" i="21"/>
  <c r="AD57" i="21" s="1"/>
  <c r="B389" i="13" s="1"/>
  <c r="E176" i="25" s="1"/>
  <c r="Z70" i="21"/>
  <c r="Z95" i="21"/>
  <c r="Z136" i="21"/>
  <c r="Z155" i="21"/>
  <c r="AA166" i="21"/>
  <c r="Z34" i="21"/>
  <c r="Z12" i="21"/>
  <c r="Z83" i="21"/>
  <c r="Z7" i="21"/>
  <c r="Z107" i="21"/>
  <c r="Y70" i="21"/>
  <c r="AD70" i="21" s="1"/>
  <c r="B402" i="13" s="1"/>
  <c r="E182" i="25" s="1"/>
  <c r="Y129" i="21"/>
  <c r="AD129" i="21" s="1"/>
  <c r="B461" i="13" s="1"/>
  <c r="E394" i="25" s="1"/>
  <c r="Y84" i="21"/>
  <c r="AD84" i="21" s="1"/>
  <c r="B416" i="13" s="1"/>
  <c r="E327" i="25" s="1"/>
  <c r="AB153" i="21"/>
  <c r="Z111" i="21"/>
  <c r="AB170" i="21"/>
  <c r="Z117" i="21"/>
  <c r="Y170" i="21"/>
  <c r="AD170" i="21" s="1"/>
  <c r="Z140" i="21"/>
  <c r="Y47" i="21"/>
  <c r="AD47" i="21" s="1"/>
  <c r="B379" i="13" s="1"/>
  <c r="E208" i="25" s="1"/>
  <c r="Z25" i="21"/>
  <c r="AA151" i="21"/>
  <c r="Y150" i="21"/>
  <c r="AD150" i="21" s="1"/>
  <c r="Z17" i="21"/>
  <c r="Y127" i="21"/>
  <c r="AD127" i="21" s="1"/>
  <c r="B459" i="13" s="1"/>
  <c r="E392" i="25" s="1"/>
  <c r="B467" i="13"/>
  <c r="E322" i="25" s="1"/>
  <c r="A128" i="20"/>
  <c r="A115" i="18"/>
  <c r="B460" i="13" l="1"/>
  <c r="E393" i="25" s="1"/>
  <c r="B462" i="13"/>
  <c r="E395" i="25" s="1"/>
  <c r="B382" i="13"/>
  <c r="E170" i="25" s="1"/>
  <c r="B359" i="13"/>
  <c r="E221" i="25" s="1"/>
  <c r="B472" i="13"/>
  <c r="E100" i="25" s="1"/>
  <c r="B505" i="13"/>
  <c r="E167" i="25" s="1"/>
  <c r="B497" i="13"/>
  <c r="E143" i="25" s="1"/>
  <c r="B454" i="13"/>
  <c r="E409" i="25" s="1"/>
  <c r="B484" i="13"/>
  <c r="E449" i="25" s="1"/>
  <c r="B486" i="13"/>
  <c r="E451" i="25" s="1"/>
  <c r="B491" i="13"/>
  <c r="E467" i="25" s="1"/>
  <c r="B468" i="13"/>
  <c r="E41" i="25" s="1"/>
  <c r="B489" i="13"/>
  <c r="E465" i="25" s="1"/>
  <c r="B471" i="13"/>
  <c r="E99" i="25" s="1"/>
  <c r="B469" i="13"/>
  <c r="E42" i="25" s="1"/>
  <c r="B496" i="13"/>
  <c r="E470" i="25" s="1"/>
  <c r="B455" i="13"/>
  <c r="E410" i="25" s="1"/>
  <c r="B444" i="13"/>
  <c r="E414" i="25" s="1"/>
  <c r="B503" i="13"/>
  <c r="E160" i="25" s="1"/>
  <c r="B504" i="13"/>
  <c r="E166" i="25" s="1"/>
  <c r="B419" i="13"/>
  <c r="E330" i="25" s="1"/>
  <c r="B488" i="13"/>
  <c r="E464" i="25" s="1"/>
  <c r="B420" i="13"/>
  <c r="E331" i="25" s="1"/>
  <c r="B482" i="13"/>
  <c r="E468" i="25" s="1"/>
  <c r="B421" i="13"/>
  <c r="E389" i="25" s="1"/>
  <c r="B445" i="13"/>
  <c r="E415" i="25" s="1"/>
  <c r="B347" i="13"/>
  <c r="E303" i="25" s="1"/>
  <c r="B470" i="13"/>
  <c r="E43" i="25" s="1"/>
  <c r="B502" i="13"/>
  <c r="E159" i="25" s="1"/>
  <c r="B499" i="13"/>
  <c r="E151" i="25" s="1"/>
  <c r="B417" i="13"/>
  <c r="E328" i="25" s="1"/>
  <c r="B495" i="13"/>
  <c r="E469" i="25" s="1"/>
  <c r="B490" i="13"/>
  <c r="E466" i="25" s="1"/>
  <c r="B446" i="13"/>
  <c r="E416" i="25" s="1"/>
  <c r="B418" i="13"/>
  <c r="E329" i="25" s="1"/>
  <c r="B353" i="13"/>
  <c r="E280" i="25" s="1"/>
  <c r="B487" i="13"/>
  <c r="E452" i="25" s="1"/>
  <c r="B453" i="13"/>
  <c r="E408" i="25" s="1"/>
  <c r="B447" i="13"/>
  <c r="E417" i="25" s="1"/>
  <c r="B498" i="13"/>
  <c r="E158" i="25" s="1"/>
  <c r="B348" i="13"/>
  <c r="E304" i="25" s="1"/>
  <c r="B341" i="13"/>
  <c r="E205" i="25" s="1"/>
  <c r="B339" i="13"/>
  <c r="E203" i="25" s="1"/>
  <c r="B338" i="13"/>
  <c r="E202" i="25" s="1"/>
  <c r="B435" i="13"/>
  <c r="E339" i="25" s="1"/>
  <c r="B434" i="13"/>
  <c r="E338" i="25" s="1"/>
  <c r="B436" i="13"/>
  <c r="E340" i="25" s="1"/>
  <c r="B433" i="13"/>
  <c r="E337" i="25" s="1"/>
  <c r="B344" i="13"/>
  <c r="E226" i="25" s="1"/>
  <c r="B343" i="13"/>
  <c r="E225" i="25" s="1"/>
  <c r="B340" i="13"/>
  <c r="E204" i="25" s="1"/>
  <c r="B425" i="13"/>
  <c r="E344" i="25" s="1"/>
  <c r="B424" i="13"/>
  <c r="E343" i="25" s="1"/>
  <c r="B426" i="13"/>
  <c r="E345" i="25" s="1"/>
  <c r="B423" i="13"/>
  <c r="E342" i="25" s="1"/>
  <c r="B427" i="13"/>
  <c r="E346" i="25" s="1"/>
</calcChain>
</file>

<file path=xl/sharedStrings.xml><?xml version="1.0" encoding="utf-8"?>
<sst xmlns="http://schemas.openxmlformats.org/spreadsheetml/2006/main" count="12029" uniqueCount="3605">
  <si>
    <t>鲁兴连&amp;祝正贵</t>
    <phoneticPr fontId="2" type="noConversion"/>
  </si>
  <si>
    <t>532322196511060548</t>
    <phoneticPr fontId="2" type="noConversion"/>
  </si>
  <si>
    <t>14769315809</t>
    <phoneticPr fontId="2" type="noConversion"/>
  </si>
  <si>
    <t>20160810</t>
    <phoneticPr fontId="2" type="noConversion"/>
  </si>
  <si>
    <t>20160828</t>
    <phoneticPr fontId="2" type="noConversion"/>
  </si>
  <si>
    <t>地址</t>
    <phoneticPr fontId="2" type="noConversion"/>
  </si>
  <si>
    <t>其他位置信息</t>
    <phoneticPr fontId="2" type="noConversion"/>
  </si>
  <si>
    <t>双柏县鄂嘉镇新树村委会</t>
  </si>
  <si>
    <t>双柏县鄂嘉镇新树村委会</t>
    <phoneticPr fontId="2" type="noConversion"/>
  </si>
  <si>
    <t>次生林</t>
    <phoneticPr fontId="2" type="noConversion"/>
  </si>
  <si>
    <t>NA</t>
    <phoneticPr fontId="2" type="noConversion"/>
  </si>
  <si>
    <t>原生林管数</t>
    <phoneticPr fontId="2" type="noConversion"/>
  </si>
  <si>
    <t>每管只数</t>
    <phoneticPr fontId="2" type="noConversion"/>
  </si>
  <si>
    <t>10+</t>
    <phoneticPr fontId="2" type="noConversion"/>
  </si>
  <si>
    <t>黄丕山</t>
    <phoneticPr fontId="2" type="noConversion"/>
  </si>
  <si>
    <t>532322196404060534</t>
    <phoneticPr fontId="2" type="noConversion"/>
  </si>
  <si>
    <t>18183781341</t>
    <phoneticPr fontId="2" type="noConversion"/>
  </si>
  <si>
    <t>双柏县鄂嘉镇麻旺村委会大麻旧村</t>
    <phoneticPr fontId="2" type="noConversion"/>
  </si>
  <si>
    <t>5</t>
    <phoneticPr fontId="2" type="noConversion"/>
  </si>
  <si>
    <t>10</t>
    <phoneticPr fontId="2" type="noConversion"/>
  </si>
  <si>
    <t>2</t>
    <phoneticPr fontId="2" type="noConversion"/>
  </si>
  <si>
    <t>3</t>
    <phoneticPr fontId="2" type="noConversion"/>
  </si>
  <si>
    <t>黄中学</t>
    <phoneticPr fontId="2" type="noConversion"/>
  </si>
  <si>
    <t>532322197507090511</t>
    <phoneticPr fontId="2" type="noConversion"/>
  </si>
  <si>
    <t>18387810209</t>
    <phoneticPr fontId="2" type="noConversion"/>
  </si>
  <si>
    <t>双柏县鄂嘉镇新树村委会旧垄山</t>
    <phoneticPr fontId="2" type="noConversion"/>
  </si>
  <si>
    <t>海拔2334，N24°22′52.5″ E101°15′33.9″</t>
    <phoneticPr fontId="2" type="noConversion"/>
  </si>
  <si>
    <t>10-</t>
    <phoneticPr fontId="2" type="noConversion"/>
  </si>
  <si>
    <t>海拔2614，N24°22′16.9″ E101°15′39.8″</t>
    <phoneticPr fontId="2" type="noConversion"/>
  </si>
  <si>
    <t>海拔2488，N24°21′25.6″ E101°16′21.3″</t>
    <phoneticPr fontId="2" type="noConversion"/>
  </si>
  <si>
    <t>海拔2818，N24°21′59.9″ E101°96′02″</t>
    <phoneticPr fontId="2" type="noConversion"/>
  </si>
  <si>
    <t>1</t>
    <phoneticPr fontId="2" type="noConversion"/>
  </si>
  <si>
    <t>海拔2276，N24°22′50.5″ E101°16′58.4″</t>
    <phoneticPr fontId="2" type="noConversion"/>
  </si>
  <si>
    <t>郭万明</t>
    <phoneticPr fontId="2" type="noConversion"/>
  </si>
  <si>
    <t>532322197306090515</t>
    <phoneticPr fontId="2" type="noConversion"/>
  </si>
  <si>
    <t>13368782547</t>
    <phoneticPr fontId="2" type="noConversion"/>
  </si>
  <si>
    <t>双柏县鄂嘉镇麻旺村委会三岔河</t>
    <phoneticPr fontId="2" type="noConversion"/>
  </si>
  <si>
    <t>海拔2476 N24°28′29°04″，E101°5′18.53″</t>
    <phoneticPr fontId="2" type="noConversion"/>
  </si>
  <si>
    <t>20-30</t>
    <phoneticPr fontId="2" type="noConversion"/>
  </si>
  <si>
    <t>20160719</t>
    <phoneticPr fontId="2" type="noConversion"/>
  </si>
  <si>
    <t>海拔2811 N24°27′23.70″，E101°5′17.51″</t>
    <phoneticPr fontId="2" type="noConversion"/>
  </si>
  <si>
    <t>20160723</t>
    <phoneticPr fontId="2" type="noConversion"/>
  </si>
  <si>
    <t>海拔2517 N23°25′27.65″，E102°54′10.78″</t>
    <phoneticPr fontId="2" type="noConversion"/>
  </si>
  <si>
    <t>20160726</t>
    <phoneticPr fontId="2" type="noConversion"/>
  </si>
  <si>
    <t>海拔2412 N24°27′38.47″，E101°54′65″</t>
    <phoneticPr fontId="2" type="noConversion"/>
  </si>
  <si>
    <t>双柏县鄂嘉镇麻旺村委会</t>
  </si>
  <si>
    <t>海拔2496-2578 101°07′65.98″</t>
    <phoneticPr fontId="2" type="noConversion"/>
  </si>
  <si>
    <t>海拔2543-2548 24°26′46.11″</t>
    <phoneticPr fontId="2" type="noConversion"/>
  </si>
  <si>
    <t>海拔2572-2486 101°06′59.81″</t>
    <phoneticPr fontId="2" type="noConversion"/>
  </si>
  <si>
    <t>周强&amp;李有国</t>
    <phoneticPr fontId="2" type="noConversion"/>
  </si>
  <si>
    <t>532322198604170518</t>
    <phoneticPr fontId="2" type="noConversion"/>
  </si>
  <si>
    <t>13638703405</t>
    <phoneticPr fontId="2" type="noConversion"/>
  </si>
  <si>
    <t>海拔2570，N24°19′22.01″ E101°17′10.19″</t>
    <phoneticPr fontId="2" type="noConversion"/>
  </si>
  <si>
    <t>海拔2570，N24°19′22.01″ E101°17′10.9″</t>
    <phoneticPr fontId="2" type="noConversion"/>
  </si>
  <si>
    <t>王开远&amp;周开军</t>
    <phoneticPr fontId="2" type="noConversion"/>
  </si>
  <si>
    <t>532322197305030510</t>
    <phoneticPr fontId="2" type="noConversion"/>
  </si>
  <si>
    <t>15368553240</t>
    <phoneticPr fontId="2" type="noConversion"/>
  </si>
  <si>
    <t>双柏县鄂嘉镇茶叶村委会三岔河管护点</t>
    <phoneticPr fontId="2" type="noConversion"/>
  </si>
  <si>
    <t>双柏县鄂嘉镇茶叶村委会茶叶山</t>
    <phoneticPr fontId="2" type="noConversion"/>
  </si>
  <si>
    <t>双柏县鄂嘉镇茶叶村委会</t>
    <phoneticPr fontId="2" type="noConversion"/>
  </si>
  <si>
    <t>海拔2388 N24°27′59.12″，E101°5′35.94″</t>
    <phoneticPr fontId="2" type="noConversion"/>
  </si>
  <si>
    <t>海拔2438 N24°28′37.25″，E101°5′22.29″</t>
    <phoneticPr fontId="2" type="noConversion"/>
  </si>
  <si>
    <t>海拔2517 N24°27′38.76″，E101°5′31.34″</t>
    <phoneticPr fontId="2" type="noConversion"/>
  </si>
  <si>
    <t>海拔2420 N24°27′23.96″，E101°5′56.55″</t>
    <phoneticPr fontId="2" type="noConversion"/>
  </si>
  <si>
    <t>532322196404110538</t>
    <phoneticPr fontId="2" type="noConversion"/>
  </si>
  <si>
    <t>双柏县鄂嘉镇麻旺村委会下村7号</t>
    <phoneticPr fontId="2" type="noConversion"/>
  </si>
  <si>
    <t>20160716</t>
    <phoneticPr fontId="2" type="noConversion"/>
  </si>
  <si>
    <t>海拔2461，N24°26′31.81″ E101°72′648？″</t>
    <phoneticPr fontId="2" type="noConversion"/>
  </si>
  <si>
    <t>双柏县鄂嘉镇新厂村委会大龙汤村一号</t>
    <phoneticPr fontId="2" type="noConversion"/>
  </si>
  <si>
    <t>海拔2454，2461，N24°26′31.81″ E101°07′45.81″</t>
    <phoneticPr fontId="2" type="noConversion"/>
  </si>
  <si>
    <t xml:space="preserve">海拔2496，2461，N24°25′19.56″ </t>
    <phoneticPr fontId="2" type="noConversion"/>
  </si>
  <si>
    <t>海拔2445，2442，E101°07′53.96″</t>
    <phoneticPr fontId="2" type="noConversion"/>
  </si>
  <si>
    <t>5-</t>
    <phoneticPr fontId="2" type="noConversion"/>
  </si>
  <si>
    <t>李有华&amp;李廷梅</t>
    <phoneticPr fontId="2" type="noConversion"/>
  </si>
  <si>
    <t>532322196812100515</t>
    <phoneticPr fontId="2" type="noConversion"/>
  </si>
  <si>
    <t>15288564767</t>
    <phoneticPr fontId="2" type="noConversion"/>
  </si>
  <si>
    <t>海拔2691 N24°17′22.03″，E101°17′10.24″</t>
    <phoneticPr fontId="2" type="noConversion"/>
  </si>
  <si>
    <t>杨荣高&amp;李波</t>
    <phoneticPr fontId="2" type="noConversion"/>
  </si>
  <si>
    <t>532322196401260514</t>
    <phoneticPr fontId="2" type="noConversion"/>
  </si>
  <si>
    <t>13987859414</t>
    <phoneticPr fontId="2" type="noConversion"/>
  </si>
  <si>
    <t>双柏县鄂嘉镇义隆村</t>
    <phoneticPr fontId="2" type="noConversion"/>
  </si>
  <si>
    <t>201608</t>
    <phoneticPr fontId="2" type="noConversion"/>
  </si>
  <si>
    <t>海拔2501，N24°23′56.35″ E101°15′01.84″</t>
    <phoneticPr fontId="2" type="noConversion"/>
  </si>
  <si>
    <t>海拔2640，N24°22′07.02″ E101°15′25.82″</t>
    <phoneticPr fontId="2" type="noConversion"/>
  </si>
  <si>
    <t>海拔2750，N24°21′49.51″ E101°21′49.51″</t>
    <phoneticPr fontId="2" type="noConversion"/>
  </si>
  <si>
    <t>海拔2361，N24°22′46.92″ E101°15′45.10″</t>
    <phoneticPr fontId="2" type="noConversion"/>
  </si>
  <si>
    <t>王贵海</t>
    <phoneticPr fontId="2" type="noConversion"/>
  </si>
  <si>
    <t>532322198610100516</t>
    <phoneticPr fontId="2" type="noConversion"/>
  </si>
  <si>
    <t>13368786046</t>
    <phoneticPr fontId="2" type="noConversion"/>
  </si>
  <si>
    <t>双柏县老厂岔河站</t>
    <phoneticPr fontId="2" type="noConversion"/>
  </si>
  <si>
    <t>20</t>
    <phoneticPr fontId="2" type="noConversion"/>
  </si>
  <si>
    <t>53232219690801059X</t>
    <phoneticPr fontId="2" type="noConversion"/>
  </si>
  <si>
    <t>7</t>
    <phoneticPr fontId="2" type="noConversion"/>
  </si>
  <si>
    <t>郭存义</t>
    <phoneticPr fontId="2" type="noConversion"/>
  </si>
  <si>
    <t>53232219721207053X</t>
    <phoneticPr fontId="2" type="noConversion"/>
  </si>
  <si>
    <t>15987861510</t>
    <phoneticPr fontId="2" type="noConversion"/>
  </si>
  <si>
    <t>双柏县老厂三岔河村</t>
    <phoneticPr fontId="2" type="noConversion"/>
  </si>
  <si>
    <t>20160809</t>
    <phoneticPr fontId="2" type="noConversion"/>
  </si>
  <si>
    <t>20160812</t>
    <phoneticPr fontId="2" type="noConversion"/>
  </si>
  <si>
    <t>20160814</t>
    <phoneticPr fontId="2" type="noConversion"/>
  </si>
  <si>
    <t>20160820</t>
    <phoneticPr fontId="2" type="noConversion"/>
  </si>
  <si>
    <t>20160816</t>
    <phoneticPr fontId="2" type="noConversion"/>
  </si>
  <si>
    <t>王贵学</t>
    <phoneticPr fontId="2" type="noConversion"/>
  </si>
  <si>
    <t>532322196009120510</t>
    <phoneticPr fontId="2" type="noConversion"/>
  </si>
  <si>
    <t>18164783532</t>
    <phoneticPr fontId="2" type="noConversion"/>
  </si>
  <si>
    <t>双柏县鄂嘉镇老厂村委会茶树村10号</t>
    <phoneticPr fontId="2" type="noConversion"/>
  </si>
  <si>
    <t>海拔2478，N24°23′38.45″ E101°8′45.24″</t>
    <phoneticPr fontId="2" type="noConversion"/>
  </si>
  <si>
    <t>海拔2454，N24°21′40.46″ E101°7′45.24″</t>
    <phoneticPr fontId="2" type="noConversion"/>
  </si>
  <si>
    <t>海拔2495，N24°23′51.67″ E101°6′45.23″</t>
    <phoneticPr fontId="2" type="noConversion"/>
  </si>
  <si>
    <t>20160825</t>
    <phoneticPr fontId="2" type="noConversion"/>
  </si>
  <si>
    <t>海拔2475，N24°23′41.35″ E101°8′45.14″</t>
    <phoneticPr fontId="2" type="noConversion"/>
  </si>
  <si>
    <t>李先富&amp;何学会</t>
    <phoneticPr fontId="2" type="noConversion"/>
  </si>
  <si>
    <t>532322195909080514</t>
    <phoneticPr fontId="2" type="noConversion"/>
  </si>
  <si>
    <t>13987886798</t>
    <phoneticPr fontId="2" type="noConversion"/>
  </si>
  <si>
    <t>双柏县鄂嘉镇义隆村钠嫩村民小组</t>
    <phoneticPr fontId="2" type="noConversion"/>
  </si>
  <si>
    <t>海拔2213 N24°22′46.92″，E101°16′22.23″</t>
    <phoneticPr fontId="2" type="noConversion"/>
  </si>
  <si>
    <t>海拔2502 N24°22′50.59″，E101°15′03.05″</t>
    <phoneticPr fontId="2" type="noConversion"/>
  </si>
  <si>
    <t>海拔2475 N24°22′26.27″，E101°15′20.41″</t>
    <phoneticPr fontId="2" type="noConversion"/>
  </si>
  <si>
    <t>海拔2416 N24°22′53.70″，E101°15′02.61″</t>
    <phoneticPr fontId="2" type="noConversion"/>
  </si>
  <si>
    <t>海拔2706 N24°21′54.43″，E101°15′46.94″</t>
    <phoneticPr fontId="2" type="noConversion"/>
  </si>
  <si>
    <t>罗永良</t>
    <phoneticPr fontId="2" type="noConversion"/>
  </si>
  <si>
    <t>532322197610050550</t>
    <phoneticPr fontId="2" type="noConversion"/>
  </si>
  <si>
    <t>13529710376</t>
    <phoneticPr fontId="2" type="noConversion"/>
  </si>
  <si>
    <t>双柏县鄂嘉镇麻旺村委会上丕坡</t>
    <phoneticPr fontId="2" type="noConversion"/>
  </si>
  <si>
    <t>2433.2430.2389.2294.2335.2427.2271.2375</t>
    <phoneticPr fontId="2" type="noConversion"/>
  </si>
  <si>
    <t>8</t>
    <phoneticPr fontId="2" type="noConversion"/>
  </si>
  <si>
    <t>2427.2353.2347</t>
    <phoneticPr fontId="2" type="noConversion"/>
  </si>
  <si>
    <t>2565.5-2545.7-2488-2466.9-2428</t>
    <phoneticPr fontId="2" type="noConversion"/>
  </si>
  <si>
    <t>2585-2363.9-2376-2457.7-2539.4-2427.4-2450-2463</t>
    <phoneticPr fontId="2" type="noConversion"/>
  </si>
  <si>
    <t>王炳兴&amp;李廷华</t>
    <phoneticPr fontId="2" type="noConversion"/>
  </si>
  <si>
    <t>532322197607070518</t>
    <phoneticPr fontId="2" type="noConversion"/>
  </si>
  <si>
    <t>双柏县鄂嘉镇新树村</t>
    <phoneticPr fontId="2" type="noConversion"/>
  </si>
  <si>
    <t>2602</t>
    <phoneticPr fontId="2" type="noConversion"/>
  </si>
  <si>
    <t>2603</t>
    <phoneticPr fontId="2" type="noConversion"/>
  </si>
  <si>
    <t>2608</t>
    <phoneticPr fontId="2" type="noConversion"/>
  </si>
  <si>
    <t>2605</t>
    <phoneticPr fontId="2" type="noConversion"/>
  </si>
  <si>
    <t>李进才</t>
    <phoneticPr fontId="2" type="noConversion"/>
  </si>
  <si>
    <t>53232219671115053X</t>
    <phoneticPr fontId="2" type="noConversion"/>
  </si>
  <si>
    <t>15987207162</t>
    <phoneticPr fontId="2" type="noConversion"/>
  </si>
  <si>
    <t>海拔2329，N24°22′52.5″ E101°95′40.2″</t>
    <phoneticPr fontId="2" type="noConversion"/>
  </si>
  <si>
    <t>海拔2751，N24°21′44.4″ E101°15′56.41″</t>
    <phoneticPr fontId="2" type="noConversion"/>
  </si>
  <si>
    <t>海拔2369，N24°22′54.0″ E101°15′27.5″</t>
    <phoneticPr fontId="2" type="noConversion"/>
  </si>
  <si>
    <t>海拔2481，N24°22′46.9″ E101°15′19.8″</t>
    <phoneticPr fontId="2" type="noConversion"/>
  </si>
  <si>
    <t>海拔2188，N24°22′49.1″ E101°10′08.9″</t>
    <phoneticPr fontId="2" type="noConversion"/>
  </si>
  <si>
    <t>李荣</t>
    <phoneticPr fontId="2" type="noConversion"/>
  </si>
  <si>
    <t>532322196110080556</t>
    <phoneticPr fontId="2" type="noConversion"/>
  </si>
  <si>
    <t>15987222209</t>
    <phoneticPr fontId="2" type="noConversion"/>
  </si>
  <si>
    <t>双柏县鄂嘉镇鄂嘉村成外小组</t>
    <phoneticPr fontId="2" type="noConversion"/>
  </si>
  <si>
    <t>2456-2376</t>
    <phoneticPr fontId="2" type="noConversion"/>
  </si>
  <si>
    <t>4</t>
    <phoneticPr fontId="2" type="noConversion"/>
  </si>
  <si>
    <t>2640-2348</t>
    <phoneticPr fontId="2" type="noConversion"/>
  </si>
  <si>
    <t>2544-2328</t>
    <phoneticPr fontId="2" type="noConversion"/>
  </si>
  <si>
    <t>2485-2356</t>
    <phoneticPr fontId="2" type="noConversion"/>
  </si>
  <si>
    <t>王开丙&amp;董应付</t>
    <phoneticPr fontId="2" type="noConversion"/>
  </si>
  <si>
    <t>532322197508260551</t>
    <phoneticPr fontId="2" type="noConversion"/>
  </si>
  <si>
    <t>18183788915</t>
    <phoneticPr fontId="2" type="noConversion"/>
  </si>
  <si>
    <t>N24°23′33.16″ E101°5′14.73″</t>
    <phoneticPr fontId="2" type="noConversion"/>
  </si>
  <si>
    <t>海拔2417，N24°27′17.22″ E101°5′25.06″</t>
    <phoneticPr fontId="2" type="noConversion"/>
  </si>
  <si>
    <t>海拔2246，N24°29′28.19″ E101°4′49.22″</t>
    <phoneticPr fontId="2" type="noConversion"/>
  </si>
  <si>
    <t>15</t>
    <phoneticPr fontId="2" type="noConversion"/>
  </si>
  <si>
    <t>海拔2416，N24°27′31.17″ E101°5′43.85″</t>
    <phoneticPr fontId="2" type="noConversion"/>
  </si>
  <si>
    <t>王光鹏&amp;王开岳</t>
    <phoneticPr fontId="2" type="noConversion"/>
  </si>
  <si>
    <t>532322198911130516</t>
    <phoneticPr fontId="2" type="noConversion"/>
  </si>
  <si>
    <t>15368550436</t>
    <phoneticPr fontId="2" type="noConversion"/>
  </si>
  <si>
    <t>20160709</t>
    <phoneticPr fontId="2" type="noConversion"/>
  </si>
  <si>
    <t>双柏县鄂嘉镇茶叶村委会茶叶山下村三岔河管护点</t>
    <phoneticPr fontId="2" type="noConversion"/>
  </si>
  <si>
    <t>海拔2411 N24°28′43.49″，E101°5′45.98″</t>
    <phoneticPr fontId="2" type="noConversion"/>
  </si>
  <si>
    <t>海拔2426 N24°28′24.25″，E101°5′38.03″</t>
    <phoneticPr fontId="2" type="noConversion"/>
  </si>
  <si>
    <t>海拔2398 N24°27′39.70″，E101°5′37.97″</t>
    <phoneticPr fontId="2" type="noConversion"/>
  </si>
  <si>
    <t>海拔2454 N24°27′38.53″，E101°5′34.79″</t>
    <phoneticPr fontId="2" type="noConversion"/>
  </si>
  <si>
    <t>海拔2540 N24°29′7.69″，E101°8′24.79″</t>
    <phoneticPr fontId="2" type="noConversion"/>
  </si>
  <si>
    <t>朱荣兴</t>
    <phoneticPr fontId="2" type="noConversion"/>
  </si>
  <si>
    <t>532322197010120519</t>
    <phoneticPr fontId="2" type="noConversion"/>
  </si>
  <si>
    <t>15912923610</t>
    <phoneticPr fontId="2" type="noConversion"/>
  </si>
  <si>
    <t>双柏县鄂嘉镇新厂村中厂</t>
    <phoneticPr fontId="2" type="noConversion"/>
  </si>
  <si>
    <t>2553-2575-2540</t>
    <phoneticPr fontId="2" type="noConversion"/>
  </si>
  <si>
    <t>2487-2480-2483-2503</t>
    <phoneticPr fontId="2" type="noConversion"/>
  </si>
  <si>
    <t>2571-2484</t>
    <phoneticPr fontId="2" type="noConversion"/>
  </si>
  <si>
    <t>郭存寿&amp;王培有</t>
    <phoneticPr fontId="2" type="noConversion"/>
  </si>
  <si>
    <t>13987885572</t>
    <phoneticPr fontId="2" type="noConversion"/>
  </si>
  <si>
    <t>双柏县鄂嘉镇老厂村委会杏子树</t>
    <phoneticPr fontId="2" type="noConversion"/>
  </si>
  <si>
    <t>海拔2351 N24°23′41.38″，E101°9′42.71″</t>
    <phoneticPr fontId="2" type="noConversion"/>
  </si>
  <si>
    <t>20160718</t>
    <phoneticPr fontId="2" type="noConversion"/>
  </si>
  <si>
    <t>海拔2487 N24°23′40.46″，E101°9′46.24″</t>
    <phoneticPr fontId="2" type="noConversion"/>
  </si>
  <si>
    <t>53232219770802051x</t>
    <phoneticPr fontId="2" type="noConversion"/>
  </si>
  <si>
    <t>20160725</t>
    <phoneticPr fontId="2" type="noConversion"/>
  </si>
  <si>
    <t>海拔2351 N24°23′41.39″，E101°?′42.71″</t>
    <phoneticPr fontId="2" type="noConversion"/>
  </si>
  <si>
    <t>20160808</t>
    <phoneticPr fontId="2" type="noConversion"/>
  </si>
  <si>
    <t>双柏县鄂嘉镇老厂村岔河三家村</t>
    <phoneticPr fontId="2" type="noConversion"/>
  </si>
  <si>
    <t>海拔2405 N24°23′40.35″，E101°9′46.17″</t>
    <phoneticPr fontId="2" type="noConversion"/>
  </si>
  <si>
    <t>海拔2496 N24°24′51.57″，E101°6′45.23″</t>
    <phoneticPr fontId="2" type="noConversion"/>
  </si>
  <si>
    <t>李福安</t>
    <phoneticPr fontId="2" type="noConversion"/>
  </si>
  <si>
    <t>532322196403090339</t>
    <phoneticPr fontId="2" type="noConversion"/>
  </si>
  <si>
    <t>15891827894</t>
    <phoneticPr fontId="2" type="noConversion"/>
  </si>
  <si>
    <t>双柏县鄂嘉镇老厂村委会龙打坝小组</t>
    <phoneticPr fontId="2" type="noConversion"/>
  </si>
  <si>
    <t>2476</t>
    <phoneticPr fontId="2" type="noConversion"/>
  </si>
  <si>
    <t>2524</t>
    <phoneticPr fontId="2" type="noConversion"/>
  </si>
  <si>
    <t>2423</t>
    <phoneticPr fontId="2" type="noConversion"/>
  </si>
  <si>
    <t>2386</t>
    <phoneticPr fontId="2" type="noConversion"/>
  </si>
  <si>
    <t>徐丕芳&amp;王开定</t>
    <phoneticPr fontId="2" type="noConversion"/>
  </si>
  <si>
    <t>532322196704040519</t>
    <phoneticPr fontId="2" type="noConversion"/>
  </si>
  <si>
    <t>18187834612</t>
    <phoneticPr fontId="2" type="noConversion"/>
  </si>
  <si>
    <t>海拔2191 N24°29′27.13″，E101°4′50.16″</t>
    <phoneticPr fontId="2" type="noConversion"/>
  </si>
  <si>
    <t>海拔2191 N24°29′27.13″，E101°4′50.20″</t>
  </si>
  <si>
    <t>海拔2414 N24°2′90.13″，E101°5′25.21″</t>
    <phoneticPr fontId="2" type="noConversion"/>
  </si>
  <si>
    <t>海拔2495 N24°27′36.43″，E101°5′39.00″</t>
    <phoneticPr fontId="2" type="noConversion"/>
  </si>
  <si>
    <t>代发菜&amp;李学良</t>
    <phoneticPr fontId="2" type="noConversion"/>
  </si>
  <si>
    <t>532322196406160512</t>
    <phoneticPr fontId="2" type="noConversion"/>
  </si>
  <si>
    <t>18182984872</t>
    <phoneticPr fontId="2" type="noConversion"/>
  </si>
  <si>
    <t>双柏县鄂嘉镇义隆村委会上村村民小组</t>
    <phoneticPr fontId="2" type="noConversion"/>
  </si>
  <si>
    <t>海拔2551，N24°22′20.4″ E101°15′26.4″</t>
    <phoneticPr fontId="2" type="noConversion"/>
  </si>
  <si>
    <t>海拔2329，N24°22′52.5″ E101°15′40.2″</t>
    <phoneticPr fontId="2" type="noConversion"/>
  </si>
  <si>
    <t>海拔2771，N24°21′26.2″ E101°16′13.4″</t>
    <phoneticPr fontId="2" type="noConversion"/>
  </si>
  <si>
    <t>海拔2453，N24°22′46.9″ E101°15′20.3″</t>
    <phoneticPr fontId="2" type="noConversion"/>
  </si>
  <si>
    <t>海拔2225，N24°22′48.9″ E101°16′02.8″</t>
    <phoneticPr fontId="2" type="noConversion"/>
  </si>
  <si>
    <t>刘文祥</t>
    <phoneticPr fontId="2" type="noConversion"/>
  </si>
  <si>
    <t>53232219810509053X</t>
    <phoneticPr fontId="2" type="noConversion"/>
  </si>
  <si>
    <t>18308789745</t>
    <phoneticPr fontId="2" type="noConversion"/>
  </si>
  <si>
    <t>双柏县鄂嘉镇新厂村大龙汤1号</t>
    <phoneticPr fontId="2" type="noConversion"/>
  </si>
  <si>
    <t>20160715</t>
    <phoneticPr fontId="2" type="noConversion"/>
  </si>
  <si>
    <t>海拔2382 N24°26′48.89″，E101°7′41.65″</t>
    <phoneticPr fontId="2" type="noConversion"/>
  </si>
  <si>
    <t>20160720</t>
    <phoneticPr fontId="2" type="noConversion"/>
  </si>
  <si>
    <t>海拔2388 N24°26′32.63″，E101°7′35.87″</t>
    <phoneticPr fontId="2" type="noConversion"/>
  </si>
  <si>
    <t>20160805</t>
    <phoneticPr fontId="2" type="noConversion"/>
  </si>
  <si>
    <t>海拔2500-2529 E101°7′72.76″</t>
    <phoneticPr fontId="2" type="noConversion"/>
  </si>
  <si>
    <t>6</t>
    <phoneticPr fontId="2" type="noConversion"/>
  </si>
  <si>
    <t>双柏县鄂嘉镇新厂村大龙汤</t>
    <phoneticPr fontId="2" type="noConversion"/>
  </si>
  <si>
    <t>20160817</t>
    <phoneticPr fontId="2" type="noConversion"/>
  </si>
  <si>
    <t>海拔2387-2492 E101°7′35.87″</t>
    <phoneticPr fontId="2" type="noConversion"/>
  </si>
  <si>
    <t>王以华&amp;鲁光荣</t>
    <phoneticPr fontId="2" type="noConversion"/>
  </si>
  <si>
    <t>532322196606240517</t>
    <phoneticPr fontId="2" type="noConversion"/>
  </si>
  <si>
    <t>18787867656</t>
    <phoneticPr fontId="2" type="noConversion"/>
  </si>
  <si>
    <t>海拔2305，N24°21′51.47″ E101°7′42.74″</t>
    <phoneticPr fontId="2" type="noConversion"/>
  </si>
  <si>
    <t>海拔2405，N24°23′42.8″ E101°10′21.5″</t>
    <phoneticPr fontId="2" type="noConversion"/>
  </si>
  <si>
    <t>20160714</t>
    <phoneticPr fontId="2" type="noConversion"/>
  </si>
  <si>
    <t>海拔2487，N24°23′40.46″ E101°9′46.24″</t>
    <phoneticPr fontId="2" type="noConversion"/>
  </si>
  <si>
    <t>双柏县鄂嘉镇老厂村委会岔河大亳山</t>
    <phoneticPr fontId="2" type="noConversion"/>
  </si>
  <si>
    <t>海拔2504，N24°23′40.57″ E101°7′45.24″</t>
    <phoneticPr fontId="2" type="noConversion"/>
  </si>
  <si>
    <t>海拔2351，N24°23′41.38″ E101°9′42.71″</t>
    <phoneticPr fontId="2" type="noConversion"/>
  </si>
  <si>
    <t>王贵元</t>
    <phoneticPr fontId="2" type="noConversion"/>
  </si>
  <si>
    <t>532322196308180536</t>
    <phoneticPr fontId="2" type="noConversion"/>
  </si>
  <si>
    <t>15096478414</t>
    <phoneticPr fontId="2" type="noConversion"/>
  </si>
  <si>
    <t>20160718-0727</t>
    <phoneticPr fontId="2" type="noConversion"/>
  </si>
  <si>
    <t>20160708-0717</t>
    <phoneticPr fontId="2" type="noConversion"/>
  </si>
  <si>
    <t>20160801-0810</t>
    <phoneticPr fontId="2" type="noConversion"/>
  </si>
  <si>
    <t>双柏县鄂嘉镇岔河</t>
    <phoneticPr fontId="2" type="noConversion"/>
  </si>
  <si>
    <t>7大</t>
    <phoneticPr fontId="2" type="noConversion"/>
  </si>
  <si>
    <t>10+小</t>
    <phoneticPr fontId="2" type="noConversion"/>
  </si>
  <si>
    <t>陈家发</t>
    <phoneticPr fontId="2" type="noConversion"/>
  </si>
  <si>
    <t>532322198006250518</t>
    <phoneticPr fontId="2" type="noConversion"/>
  </si>
  <si>
    <t>13987891571</t>
    <phoneticPr fontId="2" type="noConversion"/>
  </si>
  <si>
    <t>双柏县鄂嘉镇密架村委会岔河森林管护点</t>
    <phoneticPr fontId="2" type="noConversion"/>
  </si>
  <si>
    <t>20160710</t>
    <phoneticPr fontId="2" type="noConversion"/>
  </si>
  <si>
    <t>24°24′56.92″</t>
    <phoneticPr fontId="2" type="noConversion"/>
  </si>
  <si>
    <t>24°24′38.93″</t>
    <phoneticPr fontId="2" type="noConversion"/>
  </si>
  <si>
    <t>101°16′1.48″</t>
    <phoneticPr fontId="2" type="noConversion"/>
  </si>
  <si>
    <t>双柏县鄂嘉镇密架村委会际天树岔河森林管护点</t>
    <phoneticPr fontId="2" type="noConversion"/>
  </si>
  <si>
    <t>N24°24′38.36″ E101°19′1.49″</t>
    <phoneticPr fontId="2" type="noConversion"/>
  </si>
  <si>
    <t>10小</t>
    <phoneticPr fontId="2" type="noConversion"/>
  </si>
  <si>
    <t>王贵友</t>
    <phoneticPr fontId="2" type="noConversion"/>
  </si>
  <si>
    <t>532322196404170514</t>
    <phoneticPr fontId="2" type="noConversion"/>
  </si>
  <si>
    <t>15125722369</t>
    <phoneticPr fontId="2" type="noConversion"/>
  </si>
  <si>
    <t>双柏县鄂嘉镇老厂村岔河</t>
    <phoneticPr fontId="2" type="noConversion"/>
  </si>
  <si>
    <t>20小</t>
    <phoneticPr fontId="2" type="noConversion"/>
  </si>
  <si>
    <t>王炳富&amp;李开华</t>
    <phoneticPr fontId="2" type="noConversion"/>
  </si>
  <si>
    <t>532322197804160555</t>
    <phoneticPr fontId="2" type="noConversion"/>
  </si>
  <si>
    <t>双柏县鄂嘉镇新树村委会尖石头村民小组</t>
    <phoneticPr fontId="2" type="noConversion"/>
  </si>
  <si>
    <t>2630</t>
    <phoneticPr fontId="2" type="noConversion"/>
  </si>
  <si>
    <t>2667</t>
    <phoneticPr fontId="2" type="noConversion"/>
  </si>
  <si>
    <t>2670</t>
    <phoneticPr fontId="2" type="noConversion"/>
  </si>
  <si>
    <t>2640</t>
    <phoneticPr fontId="2" type="noConversion"/>
  </si>
  <si>
    <t>王贵永</t>
    <phoneticPr fontId="2" type="noConversion"/>
  </si>
  <si>
    <t>532322196209090519</t>
    <phoneticPr fontId="2" type="noConversion"/>
  </si>
  <si>
    <t>15026017075</t>
    <phoneticPr fontId="2" type="noConversion"/>
  </si>
  <si>
    <t>双柏县鄂嘉镇老厂村委会松树林</t>
    <phoneticPr fontId="2" type="noConversion"/>
  </si>
  <si>
    <t>王开佐&amp;周开洪</t>
    <phoneticPr fontId="2" type="noConversion"/>
  </si>
  <si>
    <t>53232219660611051X</t>
    <phoneticPr fontId="2" type="noConversion"/>
  </si>
  <si>
    <t>15987828019</t>
    <phoneticPr fontId="2" type="noConversion"/>
  </si>
  <si>
    <t>N24°28′25.68″ E101°5′22.25″</t>
    <phoneticPr fontId="2" type="noConversion"/>
  </si>
  <si>
    <t>N24°27′23.70″ E101°5′17.51″</t>
    <phoneticPr fontId="2" type="noConversion"/>
  </si>
  <si>
    <t>N24°28′31.71″ E101°5′17.05″</t>
    <phoneticPr fontId="2" type="noConversion"/>
  </si>
  <si>
    <t>海拔2437，N24°27′35.59″ E101°5′31.62″</t>
    <phoneticPr fontId="2" type="noConversion"/>
  </si>
  <si>
    <t>张玉龙</t>
    <phoneticPr fontId="2" type="noConversion"/>
  </si>
  <si>
    <t>532322196411020514</t>
    <phoneticPr fontId="2" type="noConversion"/>
  </si>
  <si>
    <t>15288546609</t>
    <phoneticPr fontId="2" type="noConversion"/>
  </si>
  <si>
    <t>双柏县鄂嘉镇新厂村委会张家社</t>
    <phoneticPr fontId="2" type="noConversion"/>
  </si>
  <si>
    <t>20160724</t>
    <phoneticPr fontId="2" type="noConversion"/>
  </si>
  <si>
    <t>2483</t>
    <phoneticPr fontId="2" type="noConversion"/>
  </si>
  <si>
    <t>海拔2614 N24°26′54.63″，E101°6′47.77″</t>
    <phoneticPr fontId="2" type="noConversion"/>
  </si>
  <si>
    <t>海拔2423 N24°17′64″，E101°6′51.1″</t>
    <phoneticPr fontId="2" type="noConversion"/>
  </si>
  <si>
    <t>双柏县鄂嘉镇新厂村委会张家社 季青林</t>
    <phoneticPr fontId="2" type="noConversion"/>
  </si>
  <si>
    <t>海拔2508 N24°27′5.63″，E101°6′45.43″</t>
    <phoneticPr fontId="2" type="noConversion"/>
  </si>
  <si>
    <t>李贵华&amp;李富全</t>
    <phoneticPr fontId="2" type="noConversion"/>
  </si>
  <si>
    <t>53232219801007536</t>
    <phoneticPr fontId="2" type="noConversion"/>
  </si>
  <si>
    <t>15987245764</t>
    <phoneticPr fontId="2" type="noConversion"/>
  </si>
  <si>
    <t>海拔2361，N24°22′37.53″ E101°5′21.48″</t>
    <phoneticPr fontId="2" type="noConversion"/>
  </si>
  <si>
    <t>海拔2506，N24°22′33.32″ E101°15′21.18″</t>
    <phoneticPr fontId="2" type="noConversion"/>
  </si>
  <si>
    <t>海拔2801，N24°21′59.88″ E101°16′00.95″</t>
    <phoneticPr fontId="2" type="noConversion"/>
  </si>
  <si>
    <t>海拔2517，N24°22′45.21″ E101°15′05.22″</t>
    <phoneticPr fontId="2" type="noConversion"/>
  </si>
  <si>
    <t>海拔2811，N24°21′44.90″ E101°15′27.96″</t>
    <phoneticPr fontId="2" type="noConversion"/>
  </si>
  <si>
    <t>53232219640207051X</t>
    <phoneticPr fontId="2" type="noConversion"/>
  </si>
  <si>
    <t>2606</t>
    <phoneticPr fontId="2" type="noConversion"/>
  </si>
  <si>
    <t>2625</t>
    <phoneticPr fontId="2" type="noConversion"/>
  </si>
  <si>
    <t>2615</t>
    <phoneticPr fontId="2" type="noConversion"/>
  </si>
  <si>
    <t>2631</t>
    <phoneticPr fontId="2" type="noConversion"/>
  </si>
  <si>
    <t>王开宽&amp;王开润</t>
    <phoneticPr fontId="2" type="noConversion"/>
  </si>
  <si>
    <t>532322196912020512</t>
    <phoneticPr fontId="2" type="noConversion"/>
  </si>
  <si>
    <t>13368784380</t>
    <phoneticPr fontId="2" type="noConversion"/>
  </si>
  <si>
    <t>双柏县鄂嘉镇茶叶村委会茶叶新村</t>
    <phoneticPr fontId="2" type="noConversion"/>
  </si>
  <si>
    <t>海拔2354，N24°47′47.69″ E101°12′52.84″</t>
    <phoneticPr fontId="2" type="noConversion"/>
  </si>
  <si>
    <t>海拔2206，N24°28′10.60″ E101°5′47.14″</t>
    <phoneticPr fontId="2" type="noConversion"/>
  </si>
  <si>
    <t>海拔2352，N24°28′40.48″ E101°5′38.74″</t>
    <phoneticPr fontId="2" type="noConversion"/>
  </si>
  <si>
    <t>海拔2626，N24°28′11.67″ E101°5′46.34″</t>
    <phoneticPr fontId="2" type="noConversion"/>
  </si>
  <si>
    <t>海拔2323，N24°27′36.55″ E101°5′38.84″</t>
    <phoneticPr fontId="2" type="noConversion"/>
  </si>
  <si>
    <t>15288574990&amp;15758311346</t>
    <phoneticPr fontId="2" type="noConversion"/>
  </si>
  <si>
    <t>15125740848&amp;15288509201</t>
    <phoneticPr fontId="2" type="noConversion"/>
  </si>
  <si>
    <t>NA？</t>
    <phoneticPr fontId="2" type="noConversion"/>
  </si>
  <si>
    <t>20？</t>
    <phoneticPr fontId="2" type="noConversion"/>
  </si>
  <si>
    <t>双柏县鄂嘉镇老厂村委会铺子</t>
    <phoneticPr fontId="2" type="noConversion"/>
  </si>
  <si>
    <t>20160913</t>
    <phoneticPr fontId="2" type="noConversion"/>
  </si>
  <si>
    <t>N02677457，E00743664</t>
    <phoneticPr fontId="2" type="noConversion"/>
  </si>
  <si>
    <t>530427198307101511</t>
    <phoneticPr fontId="2" type="noConversion"/>
  </si>
  <si>
    <t>15894289134</t>
    <phoneticPr fontId="2" type="noConversion"/>
  </si>
  <si>
    <t>大口，山门口</t>
    <phoneticPr fontId="2" type="noConversion"/>
  </si>
  <si>
    <t>大口，保家堰</t>
    <phoneticPr fontId="2" type="noConversion"/>
  </si>
  <si>
    <t>海拔2300</t>
    <phoneticPr fontId="2" type="noConversion"/>
  </si>
  <si>
    <t>20160807</t>
    <phoneticPr fontId="2" type="noConversion"/>
  </si>
  <si>
    <t>海拔2200</t>
    <phoneticPr fontId="2" type="noConversion"/>
  </si>
  <si>
    <t>海拔2500</t>
    <phoneticPr fontId="2" type="noConversion"/>
  </si>
  <si>
    <t>20160829</t>
    <phoneticPr fontId="2" type="noConversion"/>
  </si>
  <si>
    <t>20小管</t>
    <phoneticPr fontId="2" type="noConversion"/>
  </si>
  <si>
    <t>罗有明</t>
    <phoneticPr fontId="2" type="noConversion"/>
  </si>
  <si>
    <t>53042719610909231X</t>
    <phoneticPr fontId="2" type="noConversion"/>
  </si>
  <si>
    <t>13529698316</t>
    <phoneticPr fontId="2" type="noConversion"/>
  </si>
  <si>
    <t>20160803</t>
    <phoneticPr fontId="2" type="noConversion"/>
  </si>
  <si>
    <t>新平水塘波村老牛场</t>
    <phoneticPr fontId="2" type="noConversion"/>
  </si>
  <si>
    <t>新平水塘波村杨家箐</t>
    <phoneticPr fontId="2" type="noConversion"/>
  </si>
  <si>
    <t>海拔2400</t>
    <phoneticPr fontId="2" type="noConversion"/>
  </si>
  <si>
    <t>新平水塘管理所波村棚房箐</t>
    <phoneticPr fontId="2" type="noConversion"/>
  </si>
  <si>
    <t>海拔2700</t>
    <phoneticPr fontId="2" type="noConversion"/>
  </si>
  <si>
    <t>新平水塘管理所波村明子山梁子</t>
    <phoneticPr fontId="2" type="noConversion"/>
  </si>
  <si>
    <t>？？？</t>
  </si>
  <si>
    <t>？？？</t>
    <phoneticPr fontId="2" type="noConversion"/>
  </si>
  <si>
    <t>？</t>
  </si>
  <si>
    <t>？</t>
    <phoneticPr fontId="2" type="noConversion"/>
  </si>
  <si>
    <t>20160806</t>
    <phoneticPr fontId="2" type="noConversion"/>
  </si>
  <si>
    <t>新平水塘波村干龙坝</t>
    <phoneticPr fontId="2" type="noConversion"/>
  </si>
  <si>
    <t>新平水塘波村棚房梁子</t>
    <phoneticPr fontId="2" type="noConversion"/>
  </si>
  <si>
    <t>海拔2650</t>
    <phoneticPr fontId="2" type="noConversion"/>
  </si>
  <si>
    <t>新平水塘波村明子山梁子</t>
    <phoneticPr fontId="2" type="noConversion"/>
  </si>
  <si>
    <t>新平水塘波村明子山</t>
    <phoneticPr fontId="2" type="noConversion"/>
  </si>
  <si>
    <t>海拔2450</t>
    <phoneticPr fontId="2" type="noConversion"/>
  </si>
  <si>
    <t>新平水塘波村明子山箐</t>
    <phoneticPr fontId="2" type="noConversion"/>
  </si>
  <si>
    <t>20160821</t>
    <phoneticPr fontId="2" type="noConversion"/>
  </si>
  <si>
    <t>海拔2460</t>
    <phoneticPr fontId="2" type="noConversion"/>
  </si>
  <si>
    <t>罗正贵</t>
    <phoneticPr fontId="2" type="noConversion"/>
  </si>
  <si>
    <t>532428195712101552</t>
    <phoneticPr fontId="2" type="noConversion"/>
  </si>
  <si>
    <t>15894298336</t>
    <phoneticPr fontId="2" type="noConversion"/>
  </si>
  <si>
    <t>20160722-0723</t>
    <phoneticPr fontId="2" type="noConversion"/>
  </si>
  <si>
    <t>新平水塘旧哈村</t>
    <phoneticPr fontId="2" type="noConversion"/>
  </si>
  <si>
    <t>20160724-0725</t>
    <phoneticPr fontId="2" type="noConversion"/>
  </si>
  <si>
    <t>20160726-0728</t>
    <phoneticPr fontId="2" type="noConversion"/>
  </si>
  <si>
    <t>20160729-0730</t>
    <phoneticPr fontId="2" type="noConversion"/>
  </si>
  <si>
    <t>20160731-0803</t>
    <phoneticPr fontId="2" type="noConversion"/>
  </si>
  <si>
    <t>普学忠</t>
    <phoneticPr fontId="2" type="noConversion"/>
  </si>
  <si>
    <t>530427196301231535</t>
    <phoneticPr fontId="2" type="noConversion"/>
  </si>
  <si>
    <t>20160711-0716</t>
    <phoneticPr fontId="2" type="noConversion"/>
  </si>
  <si>
    <t>红柒林</t>
    <phoneticPr fontId="2" type="noConversion"/>
  </si>
  <si>
    <t>白水河</t>
    <phoneticPr fontId="2" type="noConversion"/>
  </si>
  <si>
    <t>20160802-0804</t>
    <phoneticPr fontId="2" type="noConversion"/>
  </si>
  <si>
    <t>20160813-0821</t>
    <phoneticPr fontId="2" type="noConversion"/>
  </si>
  <si>
    <t>大个甲</t>
    <phoneticPr fontId="2" type="noConversion"/>
  </si>
  <si>
    <t>李家平</t>
    <phoneticPr fontId="2" type="noConversion"/>
  </si>
  <si>
    <t>532428196806131917</t>
    <phoneticPr fontId="2" type="noConversion"/>
  </si>
  <si>
    <t>18088911752</t>
    <phoneticPr fontId="2" type="noConversion"/>
  </si>
  <si>
    <t>20160704</t>
    <phoneticPr fontId="2" type="noConversion"/>
  </si>
  <si>
    <t>2682150-17739701</t>
    <phoneticPr fontId="2" type="noConversion"/>
  </si>
  <si>
    <t>新平者竜渔科村</t>
    <phoneticPr fontId="2" type="noConversion"/>
  </si>
  <si>
    <t>2681938-17739901</t>
    <phoneticPr fontId="2" type="noConversion"/>
  </si>
  <si>
    <t>20160705</t>
    <phoneticPr fontId="2" type="noConversion"/>
  </si>
  <si>
    <t>2685224-17736878</t>
    <phoneticPr fontId="2" type="noConversion"/>
  </si>
  <si>
    <t>2683676-17738572</t>
    <phoneticPr fontId="2" type="noConversion"/>
  </si>
  <si>
    <t>张贵昌</t>
    <phoneticPr fontId="2" type="noConversion"/>
  </si>
  <si>
    <t>53242819650217191X</t>
    <phoneticPr fontId="2" type="noConversion"/>
  </si>
  <si>
    <t>18088911762</t>
    <phoneticPr fontId="2" type="noConversion"/>
  </si>
  <si>
    <t>20160811</t>
    <phoneticPr fontId="2" type="noConversion"/>
  </si>
  <si>
    <t>新平者竜春元村</t>
  </si>
  <si>
    <t>新平者竜春元村</t>
    <phoneticPr fontId="2" type="noConversion"/>
  </si>
  <si>
    <t>2678324-17739715</t>
    <phoneticPr fontId="2" type="noConversion"/>
  </si>
  <si>
    <t>2677914-17740076</t>
    <phoneticPr fontId="2" type="noConversion"/>
  </si>
  <si>
    <t>2679070-17738982</t>
    <phoneticPr fontId="2" type="noConversion"/>
  </si>
  <si>
    <t>2679400-17739129</t>
    <phoneticPr fontId="2" type="noConversion"/>
  </si>
  <si>
    <t>毕勇</t>
    <phoneticPr fontId="2" type="noConversion"/>
  </si>
  <si>
    <t>532428197506021913</t>
    <phoneticPr fontId="2" type="noConversion"/>
  </si>
  <si>
    <t>新平者竜庆丰社区</t>
  </si>
  <si>
    <t>新平者竜庆丰社区</t>
    <phoneticPr fontId="2" type="noConversion"/>
  </si>
  <si>
    <t>20160813</t>
    <phoneticPr fontId="2" type="noConversion"/>
  </si>
  <si>
    <t>2691102-17734351</t>
    <phoneticPr fontId="2" type="noConversion"/>
  </si>
  <si>
    <t>2691341-17733590</t>
    <phoneticPr fontId="2" type="noConversion"/>
  </si>
  <si>
    <t>1690774-17733590</t>
    <phoneticPr fontId="2" type="noConversion"/>
  </si>
  <si>
    <t>2690447-17733400</t>
    <phoneticPr fontId="2" type="noConversion"/>
  </si>
  <si>
    <t>谢天华</t>
    <phoneticPr fontId="2" type="noConversion"/>
  </si>
  <si>
    <t>532428196202221911</t>
    <phoneticPr fontId="2" type="noConversion"/>
  </si>
  <si>
    <t>18088911750</t>
    <phoneticPr fontId="2" type="noConversion"/>
  </si>
  <si>
    <t>2693580-17732565</t>
    <phoneticPr fontId="2" type="noConversion"/>
  </si>
  <si>
    <t>2692356-17733597</t>
    <phoneticPr fontId="2" type="noConversion"/>
  </si>
  <si>
    <t>2691702-17733158</t>
    <phoneticPr fontId="2" type="noConversion"/>
  </si>
  <si>
    <t>2691821-17733309</t>
    <phoneticPr fontId="2" type="noConversion"/>
  </si>
  <si>
    <t>钟应兴</t>
    <phoneticPr fontId="2" type="noConversion"/>
  </si>
  <si>
    <t>532428197103181912</t>
    <phoneticPr fontId="2" type="noConversion"/>
  </si>
  <si>
    <t>18088911757</t>
    <phoneticPr fontId="2" type="noConversion"/>
  </si>
  <si>
    <t>2680285-17739110</t>
    <phoneticPr fontId="2" type="noConversion"/>
  </si>
  <si>
    <t>2680500-17738453</t>
    <phoneticPr fontId="2" type="noConversion"/>
  </si>
  <si>
    <t>2681917-17739919</t>
    <phoneticPr fontId="2" type="noConversion"/>
  </si>
  <si>
    <t>2681366-17739283</t>
    <phoneticPr fontId="2" type="noConversion"/>
  </si>
  <si>
    <t>李天荣</t>
    <phoneticPr fontId="2" type="noConversion"/>
  </si>
  <si>
    <t>532428196402021910</t>
    <phoneticPr fontId="2" type="noConversion"/>
  </si>
  <si>
    <t>15987718497</t>
    <phoneticPr fontId="2" type="noConversion"/>
  </si>
  <si>
    <t>20160706</t>
    <phoneticPr fontId="2" type="noConversion"/>
  </si>
  <si>
    <t>20160707</t>
    <phoneticPr fontId="2" type="noConversion"/>
  </si>
  <si>
    <t>2684028-17735311</t>
    <phoneticPr fontId="2" type="noConversion"/>
  </si>
  <si>
    <t>2685126-17736371</t>
    <phoneticPr fontId="2" type="noConversion"/>
  </si>
  <si>
    <t>2682330-17736317</t>
    <phoneticPr fontId="2" type="noConversion"/>
  </si>
  <si>
    <t>2681725-17736683</t>
    <phoneticPr fontId="2" type="noConversion"/>
  </si>
  <si>
    <t>李文顺</t>
    <phoneticPr fontId="2" type="noConversion"/>
  </si>
  <si>
    <t>532428195703121930</t>
    <phoneticPr fontId="2" type="noConversion"/>
  </si>
  <si>
    <t>18088911755</t>
    <phoneticPr fontId="2" type="noConversion"/>
  </si>
  <si>
    <t>新平县者竜乡者竜村</t>
  </si>
  <si>
    <t>新平县者竜乡者竜村</t>
    <phoneticPr fontId="2" type="noConversion"/>
  </si>
  <si>
    <t>2686896-17734868</t>
    <phoneticPr fontId="2" type="noConversion"/>
  </si>
  <si>
    <t>2686318-17734227</t>
    <phoneticPr fontId="2" type="noConversion"/>
  </si>
  <si>
    <t>2686386-17735245</t>
    <phoneticPr fontId="2" type="noConversion"/>
  </si>
  <si>
    <t>李发新</t>
    <phoneticPr fontId="2" type="noConversion"/>
  </si>
  <si>
    <t>532428197303171911</t>
    <phoneticPr fontId="2" type="noConversion"/>
  </si>
  <si>
    <t>18088911760</t>
    <phoneticPr fontId="2" type="noConversion"/>
  </si>
  <si>
    <t>20160815</t>
    <phoneticPr fontId="2" type="noConversion"/>
  </si>
  <si>
    <t>2690663-17736115</t>
    <phoneticPr fontId="2" type="noConversion"/>
  </si>
  <si>
    <t>2689661-17735663</t>
    <phoneticPr fontId="2" type="noConversion"/>
  </si>
  <si>
    <t>2689211-17735363</t>
    <phoneticPr fontId="2" type="noConversion"/>
  </si>
  <si>
    <t>2688340-17734928</t>
    <phoneticPr fontId="2" type="noConversion"/>
  </si>
  <si>
    <t>陈德忠</t>
    <phoneticPr fontId="2" type="noConversion"/>
  </si>
  <si>
    <t>新平县者竜乡竹箐村</t>
    <phoneticPr fontId="2" type="noConversion"/>
  </si>
  <si>
    <t>532428196903291939</t>
    <phoneticPr fontId="2" type="noConversion"/>
  </si>
  <si>
    <t>2690435-17730991</t>
    <phoneticPr fontId="2" type="noConversion"/>
  </si>
  <si>
    <t>2691397-17733089</t>
    <phoneticPr fontId="2" type="noConversion"/>
  </si>
  <si>
    <t>2690041-17730878</t>
    <phoneticPr fontId="2" type="noConversion"/>
  </si>
  <si>
    <t>2689008-17732139</t>
    <phoneticPr fontId="2" type="noConversion"/>
  </si>
  <si>
    <t>20160922</t>
    <phoneticPr fontId="2" type="noConversion"/>
  </si>
  <si>
    <t>20160923</t>
    <phoneticPr fontId="2" type="noConversion"/>
  </si>
  <si>
    <t>2681917-17739917</t>
    <phoneticPr fontId="2" type="noConversion"/>
  </si>
  <si>
    <t>2690774-17733590</t>
    <phoneticPr fontId="2" type="noConversion"/>
  </si>
  <si>
    <t>张学林</t>
    <phoneticPr fontId="2" type="noConversion"/>
  </si>
  <si>
    <t>530427197312242314</t>
    <phoneticPr fontId="2" type="noConversion"/>
  </si>
  <si>
    <t>18088911726</t>
    <phoneticPr fontId="2" type="noConversion"/>
  </si>
  <si>
    <t>老箐，海拔2222。N23°49′59.05″ E101°36′30.31″</t>
    <phoneticPr fontId="2" type="noConversion"/>
  </si>
  <si>
    <t>20160924</t>
    <phoneticPr fontId="2" type="noConversion"/>
  </si>
  <si>
    <t>20160925</t>
    <phoneticPr fontId="2" type="noConversion"/>
  </si>
  <si>
    <t>张立德</t>
    <phoneticPr fontId="2" type="noConversion"/>
  </si>
  <si>
    <t>李荣昌</t>
    <phoneticPr fontId="2" type="noConversion"/>
  </si>
  <si>
    <t>张春应</t>
    <phoneticPr fontId="2" type="noConversion"/>
  </si>
  <si>
    <t>张明忠</t>
    <phoneticPr fontId="2" type="noConversion"/>
  </si>
  <si>
    <t>白正荣</t>
    <phoneticPr fontId="2" type="noConversion"/>
  </si>
  <si>
    <t>普国全</t>
    <phoneticPr fontId="2" type="noConversion"/>
  </si>
  <si>
    <t>新平县戛洒镇耀南村</t>
  </si>
  <si>
    <t>王平</t>
    <phoneticPr fontId="2" type="noConversion"/>
  </si>
  <si>
    <t>新平县戛沙镇小坝多村阴波黑组</t>
    <phoneticPr fontId="2" type="noConversion"/>
  </si>
  <si>
    <t>李荣兵</t>
    <phoneticPr fontId="2" type="noConversion"/>
  </si>
  <si>
    <t>新平水塘管理所波村干龙坝</t>
    <phoneticPr fontId="2" type="noConversion"/>
  </si>
  <si>
    <t>18088911758</t>
    <phoneticPr fontId="2" type="noConversion"/>
  </si>
  <si>
    <t>20160908</t>
    <phoneticPr fontId="2" type="noConversion"/>
  </si>
  <si>
    <t>李林东</t>
    <phoneticPr fontId="2" type="noConversion"/>
  </si>
  <si>
    <t>13529991363</t>
    <phoneticPr fontId="2" type="noConversion"/>
  </si>
  <si>
    <t>新平者竜竹箐村</t>
    <phoneticPr fontId="2" type="noConversion"/>
  </si>
  <si>
    <t>20160611</t>
    <phoneticPr fontId="2" type="noConversion"/>
  </si>
  <si>
    <t>太山箐，海拔2199。N23°22′37.45″ E103°22′81.62″</t>
    <phoneticPr fontId="2" type="noConversion"/>
  </si>
  <si>
    <t>20160620</t>
    <phoneticPr fontId="2" type="noConversion"/>
  </si>
  <si>
    <t>20160629</t>
    <phoneticPr fontId="2" type="noConversion"/>
  </si>
  <si>
    <t>2016????</t>
    <phoneticPr fontId="2" type="noConversion"/>
  </si>
  <si>
    <t>新平县平掌乡仓房村旧岩小组</t>
    <phoneticPr fontId="2" type="noConversion"/>
  </si>
  <si>
    <t>20160715</t>
    <phoneticPr fontId="2" type="noConversion"/>
  </si>
  <si>
    <t>新平县戛洒镇发启盘龙</t>
    <phoneticPr fontId="2" type="noConversion"/>
  </si>
  <si>
    <t>20160730</t>
    <phoneticPr fontId="2" type="noConversion"/>
  </si>
  <si>
    <t>2658717.7-17755092.2</t>
    <phoneticPr fontId="2" type="noConversion"/>
  </si>
  <si>
    <t>2658729.4-17755107.0</t>
    <phoneticPr fontId="2" type="noConversion"/>
  </si>
  <si>
    <t>2658746.3-17755197.7</t>
    <phoneticPr fontId="2" type="noConversion"/>
  </si>
  <si>
    <t>2658706.8-17755086.9</t>
    <phoneticPr fontId="2" type="noConversion"/>
  </si>
  <si>
    <t>新平县戛洒镇盘龙</t>
    <phoneticPr fontId="2" type="noConversion"/>
  </si>
  <si>
    <t>2659290.6-17754694.1</t>
    <phoneticPr fontId="2" type="noConversion"/>
  </si>
  <si>
    <t>？？？</t>
    <phoneticPr fontId="2" type="noConversion"/>
  </si>
  <si>
    <t>？</t>
    <phoneticPr fontId="2" type="noConversion"/>
  </si>
  <si>
    <t>新平县蓡沙镇胜利村段甲组</t>
    <phoneticPr fontId="2" type="noConversion"/>
  </si>
  <si>
    <t>20160725</t>
    <phoneticPr fontId="2" type="noConversion"/>
  </si>
  <si>
    <t>白石岩，海拔2388。N23°48′00.92″ E101°38′03.83″</t>
    <phoneticPr fontId="2" type="noConversion"/>
  </si>
  <si>
    <t>新平县戛洒镇耀南村金山原始森林</t>
    <phoneticPr fontId="2" type="noConversion"/>
  </si>
  <si>
    <t>20160729</t>
    <phoneticPr fontId="2" type="noConversion"/>
  </si>
  <si>
    <t>海拔2485,2650893.7-17755086.3</t>
    <phoneticPr fontId="2" type="noConversion"/>
  </si>
  <si>
    <t>新平县戛洒镇耀南村金山丫口金山原始森林</t>
    <phoneticPr fontId="2" type="noConversion"/>
  </si>
  <si>
    <t>海拔2498,2650911.7-17755190.7</t>
    <phoneticPr fontId="2" type="noConversion"/>
  </si>
  <si>
    <t>新平县戛洒镇耀南村花山脚金拱洞</t>
    <phoneticPr fontId="2" type="noConversion"/>
  </si>
  <si>
    <t>海拔2516,2651054.1-17755397.2</t>
    <phoneticPr fontId="2" type="noConversion"/>
  </si>
  <si>
    <t>海拔2521,2651204.1.1-17755496.1</t>
    <phoneticPr fontId="2" type="noConversion"/>
  </si>
  <si>
    <t>新平县戛洒镇耀南村金山丫口</t>
    <phoneticPr fontId="2" type="noConversion"/>
  </si>
  <si>
    <t>海拔2546,2650798.3-17755473.2</t>
    <phoneticPr fontId="2" type="noConversion"/>
  </si>
  <si>
    <t>新平县建兴乡磨味村狗头坡组</t>
    <phoneticPr fontId="2" type="noConversion"/>
  </si>
  <si>
    <t>海拔2386。N23°48′58.60″ E101°36′49.36″</t>
    <phoneticPr fontId="2" type="noConversion"/>
  </si>
  <si>
    <t>新平县戛洒镇耀南村（长臂猿听点）</t>
    <phoneticPr fontId="2" type="noConversion"/>
  </si>
  <si>
    <t>201607</t>
    <phoneticPr fontId="2" type="noConversion"/>
  </si>
  <si>
    <t>海拔2391，十字路口长臂猿，2651749.1-17757171.4</t>
    <phoneticPr fontId="2" type="noConversion"/>
  </si>
  <si>
    <t>海拔2546.2650708.3-17755473.2</t>
    <phoneticPr fontId="2" type="noConversion"/>
  </si>
  <si>
    <t>海拔2516.2650764.2-17755470.1</t>
    <phoneticPr fontId="2" type="noConversion"/>
  </si>
  <si>
    <t>海拔2174，茶马古道，2652589.4-17755865.6</t>
    <phoneticPr fontId="2" type="noConversion"/>
  </si>
  <si>
    <t>海拔2401，金山丫口</t>
    <phoneticPr fontId="2" type="noConversion"/>
  </si>
  <si>
    <t>新平县戛沙镇仁和村坝多组</t>
    <phoneticPr fontId="2" type="noConversion"/>
  </si>
  <si>
    <t>海拔1993，湾河，N23°50′31.62″ E101°57′27.32″</t>
    <phoneticPr fontId="2" type="noConversion"/>
  </si>
  <si>
    <t>新平县戛洒镇耀南村</t>
    <phoneticPr fontId="2" type="noConversion"/>
  </si>
  <si>
    <t>海拔2549,2650814.1-17755464.4</t>
    <phoneticPr fontId="2" type="noConversion"/>
  </si>
  <si>
    <t>新平县戛洒镇耀南村花山路</t>
    <phoneticPr fontId="2" type="noConversion"/>
  </si>
  <si>
    <t>海拔2491,2650879.1-17755419.1</t>
    <phoneticPr fontId="2" type="noConversion"/>
  </si>
  <si>
    <t>新平县戛洒镇耀南村花山</t>
    <phoneticPr fontId="2" type="noConversion"/>
  </si>
  <si>
    <t>海拔2571,2650790.1-17755466.5</t>
    <phoneticPr fontId="2" type="noConversion"/>
  </si>
  <si>
    <t>新平县戛洒镇耀南村金拱洞上边</t>
    <phoneticPr fontId="2" type="noConversion"/>
  </si>
  <si>
    <t>海拔2508,265099.1-17755420.3</t>
    <phoneticPr fontId="2" type="noConversion"/>
  </si>
  <si>
    <t>新平县戛洒发启火山</t>
    <phoneticPr fontId="2" type="noConversion"/>
  </si>
  <si>
    <t>海拔2111.3，2658807.7-17755085.0</t>
    <phoneticPr fontId="2" type="noConversion"/>
  </si>
  <si>
    <t>李世冲-15969317098</t>
    <phoneticPr fontId="2" type="noConversion"/>
  </si>
  <si>
    <t>海拔2225.9，2658710.3-17755048.6</t>
    <phoneticPr fontId="2" type="noConversion"/>
  </si>
  <si>
    <t>新平县戛洒镇耀南村云盘</t>
    <phoneticPr fontId="2" type="noConversion"/>
  </si>
  <si>
    <t>海拔2203，2658725.4-17755056.2</t>
    <phoneticPr fontId="2" type="noConversion"/>
  </si>
  <si>
    <t>李宗平-18088911702</t>
    <phoneticPr fontId="2" type="noConversion"/>
  </si>
  <si>
    <t>新平县戛洒发启盘龙</t>
    <phoneticPr fontId="2" type="noConversion"/>
  </si>
  <si>
    <t>海拔2124，2658804.7-17755022.0</t>
    <phoneticPr fontId="2" type="noConversion"/>
  </si>
  <si>
    <t>李荣昌-18787771048</t>
    <phoneticPr fontId="2" type="noConversion"/>
  </si>
  <si>
    <t>新平县戛洒镇耀南村徐？草塘22号</t>
    <phoneticPr fontId="2" type="noConversion"/>
  </si>
  <si>
    <t>海拔2197.4，2658735.2-17755045.4</t>
    <phoneticPr fontId="2" type="noConversion"/>
  </si>
  <si>
    <t>余朝明-13577786771</t>
    <phoneticPr fontId="2" type="noConversion"/>
  </si>
  <si>
    <t>四余朝明</t>
    <phoneticPr fontId="2" type="noConversion"/>
  </si>
  <si>
    <t>四李世冲</t>
    <phoneticPr fontId="2" type="noConversion"/>
  </si>
  <si>
    <t>四李宗平</t>
    <phoneticPr fontId="2" type="noConversion"/>
  </si>
  <si>
    <t>四李荣昌</t>
    <phoneticPr fontId="2" type="noConversion"/>
  </si>
  <si>
    <t>周开伸</t>
    <phoneticPr fontId="2" type="noConversion"/>
  </si>
  <si>
    <t>20161015</t>
    <phoneticPr fontId="2" type="noConversion"/>
  </si>
  <si>
    <t>李明德</t>
    <phoneticPr fontId="2" type="noConversion"/>
  </si>
  <si>
    <t>20160831</t>
    <phoneticPr fontId="2" type="noConversion"/>
  </si>
  <si>
    <t>李富平</t>
    <phoneticPr fontId="2" type="noConversion"/>
  </si>
  <si>
    <t>20160909</t>
    <phoneticPr fontId="2" type="noConversion"/>
  </si>
  <si>
    <t>20161013</t>
    <phoneticPr fontId="2" type="noConversion"/>
  </si>
  <si>
    <t>张开堂</t>
    <phoneticPr fontId="2" type="noConversion"/>
  </si>
  <si>
    <t>20160711</t>
    <phoneticPr fontId="2" type="noConversion"/>
  </si>
  <si>
    <t>鲁开福</t>
    <phoneticPr fontId="2" type="noConversion"/>
  </si>
  <si>
    <t>20160625</t>
    <phoneticPr fontId="2" type="noConversion"/>
  </si>
  <si>
    <t>20160801</t>
    <phoneticPr fontId="2" type="noConversion"/>
  </si>
  <si>
    <t>祝发贵</t>
    <phoneticPr fontId="2" type="noConversion"/>
  </si>
  <si>
    <t>20160713</t>
    <phoneticPr fontId="2" type="noConversion"/>
  </si>
  <si>
    <t>10小管</t>
    <phoneticPr fontId="2" type="noConversion"/>
  </si>
  <si>
    <t>李明祥</t>
    <phoneticPr fontId="2" type="noConversion"/>
  </si>
  <si>
    <t>20160708</t>
    <phoneticPr fontId="2" type="noConversion"/>
  </si>
  <si>
    <t>4小管</t>
    <phoneticPr fontId="2" type="noConversion"/>
  </si>
  <si>
    <t>李新荣</t>
    <phoneticPr fontId="2" type="noConversion"/>
  </si>
  <si>
    <t>20161001</t>
    <phoneticPr fontId="2" type="noConversion"/>
  </si>
  <si>
    <t>3小管</t>
    <phoneticPr fontId="2" type="noConversion"/>
  </si>
  <si>
    <t>吴丙华</t>
    <phoneticPr fontId="2" type="noConversion"/>
  </si>
  <si>
    <t>鲁顺福</t>
    <phoneticPr fontId="2" type="noConversion"/>
  </si>
  <si>
    <t>201608-09</t>
    <phoneticPr fontId="2" type="noConversion"/>
  </si>
  <si>
    <t>2016009</t>
    <phoneticPr fontId="2" type="noConversion"/>
  </si>
  <si>
    <t>李荣发</t>
    <phoneticPr fontId="2" type="noConversion"/>
  </si>
  <si>
    <t>杨华安</t>
    <phoneticPr fontId="2" type="noConversion"/>
  </si>
  <si>
    <t>2小管</t>
    <phoneticPr fontId="2" type="noConversion"/>
  </si>
  <si>
    <t>鲁成荣</t>
    <phoneticPr fontId="2" type="noConversion"/>
  </si>
  <si>
    <t>7小管</t>
    <phoneticPr fontId="2" type="noConversion"/>
  </si>
  <si>
    <t>李廷峰</t>
    <phoneticPr fontId="2" type="noConversion"/>
  </si>
  <si>
    <t>20160827</t>
    <phoneticPr fontId="2" type="noConversion"/>
  </si>
  <si>
    <t>李志国</t>
    <phoneticPr fontId="2" type="noConversion"/>
  </si>
  <si>
    <t>20160912</t>
    <phoneticPr fontId="2" type="noConversion"/>
  </si>
  <si>
    <t>2016916</t>
    <phoneticPr fontId="2" type="noConversion"/>
  </si>
  <si>
    <t>2016</t>
    <phoneticPr fontId="2" type="noConversion"/>
  </si>
  <si>
    <t>20160928</t>
    <phoneticPr fontId="2" type="noConversion"/>
  </si>
  <si>
    <t>詹清平</t>
    <phoneticPr fontId="2" type="noConversion"/>
  </si>
  <si>
    <t>20160822</t>
    <phoneticPr fontId="2" type="noConversion"/>
  </si>
  <si>
    <t>20160916</t>
    <phoneticPr fontId="2" type="noConversion"/>
  </si>
  <si>
    <t>者付华</t>
    <phoneticPr fontId="2" type="noConversion"/>
  </si>
  <si>
    <t>李应付</t>
    <phoneticPr fontId="2" type="noConversion"/>
  </si>
  <si>
    <t>15小管</t>
    <phoneticPr fontId="2" type="noConversion"/>
  </si>
  <si>
    <t>2016718</t>
    <phoneticPr fontId="2" type="noConversion"/>
  </si>
  <si>
    <t>杨朝华</t>
    <phoneticPr fontId="2" type="noConversion"/>
  </si>
  <si>
    <t>20160902</t>
    <phoneticPr fontId="2" type="noConversion"/>
  </si>
  <si>
    <t>张汝志</t>
    <phoneticPr fontId="2" type="noConversion"/>
  </si>
  <si>
    <t>20160818</t>
    <phoneticPr fontId="2" type="noConversion"/>
  </si>
  <si>
    <t>自付文</t>
    <phoneticPr fontId="2" type="noConversion"/>
  </si>
  <si>
    <t>20160717</t>
    <phoneticPr fontId="2" type="noConversion"/>
  </si>
  <si>
    <t>20160721</t>
    <phoneticPr fontId="2" type="noConversion"/>
  </si>
  <si>
    <t>罗德勇</t>
    <phoneticPr fontId="2" type="noConversion"/>
  </si>
  <si>
    <t>李忠燕</t>
    <phoneticPr fontId="2" type="noConversion"/>
  </si>
  <si>
    <t>陈春礼</t>
    <phoneticPr fontId="2" type="noConversion"/>
  </si>
  <si>
    <t>20160703-0731</t>
    <phoneticPr fontId="2" type="noConversion"/>
  </si>
  <si>
    <t>6小管</t>
    <phoneticPr fontId="2" type="noConversion"/>
  </si>
  <si>
    <t>李廷万</t>
    <phoneticPr fontId="2" type="noConversion"/>
  </si>
  <si>
    <t>201607-08</t>
    <phoneticPr fontId="2" type="noConversion"/>
  </si>
  <si>
    <t>李开愉</t>
    <phoneticPr fontId="2" type="noConversion"/>
  </si>
  <si>
    <t>钟其德</t>
    <phoneticPr fontId="2" type="noConversion"/>
  </si>
  <si>
    <t>20160710-0719</t>
    <phoneticPr fontId="2" type="noConversion"/>
  </si>
  <si>
    <t>20160720-30</t>
    <phoneticPr fontId="2" type="noConversion"/>
  </si>
  <si>
    <t>李发文</t>
    <phoneticPr fontId="2" type="noConversion"/>
  </si>
  <si>
    <t>532724196406222116</t>
    <phoneticPr fontId="2" type="noConversion"/>
  </si>
  <si>
    <t>13987924932</t>
    <phoneticPr fontId="2" type="noConversion"/>
  </si>
  <si>
    <t>景东县小龙街多依树村二组</t>
    <phoneticPr fontId="2" type="noConversion"/>
  </si>
  <si>
    <t>景东县小龙街多依树村百竹林二组</t>
    <phoneticPr fontId="2" type="noConversion"/>
  </si>
  <si>
    <t>53272419660720183X</t>
    <phoneticPr fontId="2" type="noConversion"/>
  </si>
  <si>
    <t>13769992749</t>
    <phoneticPr fontId="2" type="noConversion"/>
  </si>
  <si>
    <t>景东县太忠镇平掌村</t>
    <phoneticPr fontId="2" type="noConversion"/>
  </si>
  <si>
    <t>景东县太忠镇平掌村柏树组</t>
    <phoneticPr fontId="2" type="noConversion"/>
  </si>
  <si>
    <t>海拔2331，N24°31′4.49″ E101°127.58？</t>
    <phoneticPr fontId="2" type="noConversion"/>
  </si>
  <si>
    <t>海拔2345，N24°31′4″ E101°127.42？</t>
    <phoneticPr fontId="2" type="noConversion"/>
  </si>
  <si>
    <t>532724197001221830</t>
    <phoneticPr fontId="2" type="noConversion"/>
  </si>
  <si>
    <t>13577946258</t>
    <phoneticPr fontId="2" type="noConversion"/>
  </si>
  <si>
    <t>景东县太忠镇嘎仰村民委员会明子山村民小组</t>
    <phoneticPr fontId="2" type="noConversion"/>
  </si>
  <si>
    <t>20160919</t>
    <phoneticPr fontId="2" type="noConversion"/>
  </si>
  <si>
    <t>海拔2316，N24°33′23.34″ E101°59′59.82″</t>
    <phoneticPr fontId="2" type="noConversion"/>
  </si>
  <si>
    <t>N24°33′11.81″ E101°59′30.02″</t>
    <phoneticPr fontId="2" type="noConversion"/>
  </si>
  <si>
    <t>海拔2362，06:38:00,91.56km</t>
    <phoneticPr fontId="2" type="noConversion"/>
  </si>
  <si>
    <t>海拔2423，N24°32′51.66″ E100°59′46.58″</t>
    <phoneticPr fontId="2" type="noConversion"/>
  </si>
  <si>
    <t>N24°33′23.75″ E101°59′13.35″</t>
    <phoneticPr fontId="2" type="noConversion"/>
  </si>
  <si>
    <t>N24°33′25.82″ E101°59′14.34″</t>
    <phoneticPr fontId="2" type="noConversion"/>
  </si>
  <si>
    <t>海拔2366，N24°33′15.91″ E101°0′22.02″</t>
    <phoneticPr fontId="2" type="noConversion"/>
  </si>
  <si>
    <t>海拔2381，N24°33′20.37″ E101°0′21.01″</t>
    <phoneticPr fontId="2" type="noConversion"/>
  </si>
  <si>
    <t>532724196901172136</t>
    <phoneticPr fontId="2" type="noConversion"/>
  </si>
  <si>
    <t>138887949236</t>
    <phoneticPr fontId="2" type="noConversion"/>
  </si>
  <si>
    <t>景东县小龙乡锅瓦张家组</t>
    <phoneticPr fontId="2" type="noConversion"/>
  </si>
  <si>
    <t>532724198412051236</t>
    <phoneticPr fontId="2" type="noConversion"/>
  </si>
  <si>
    <t>13154887030</t>
    <phoneticPr fontId="2" type="noConversion"/>
  </si>
  <si>
    <t>景东花山镇文明村岩头组</t>
    <phoneticPr fontId="2" type="noConversion"/>
  </si>
  <si>
    <t>？？？</t>
    <phoneticPr fontId="2" type="noConversion"/>
  </si>
  <si>
    <t>532724195903162113</t>
    <phoneticPr fontId="2" type="noConversion"/>
  </si>
  <si>
    <t>18287956453</t>
    <phoneticPr fontId="2" type="noConversion"/>
  </si>
  <si>
    <t>20160729-0814</t>
    <phoneticPr fontId="2" type="noConversion"/>
  </si>
  <si>
    <t>景东县小龙街乡小村村民委员会肖井组</t>
    <phoneticPr fontId="2" type="noConversion"/>
  </si>
  <si>
    <t>20160713-0728</t>
    <phoneticPr fontId="2" type="noConversion"/>
  </si>
  <si>
    <t>20160815-0830</t>
    <phoneticPr fontId="2" type="noConversion"/>
  </si>
  <si>
    <t>景东县花山镇苫山村大楚雄村民小组</t>
    <phoneticPr fontId="2" type="noConversion"/>
  </si>
  <si>
    <t>20160714-0812</t>
    <phoneticPr fontId="2" type="noConversion"/>
  </si>
  <si>
    <t>20160809-0817</t>
    <phoneticPr fontId="2" type="noConversion"/>
  </si>
  <si>
    <t>海拔2123，N24°18′33.12″ E101°13′52.47″</t>
    <phoneticPr fontId="2" type="noConversion"/>
  </si>
  <si>
    <t>海拔2452，N24°18′27.39″ E101°13′03.09″</t>
    <phoneticPr fontId="2" type="noConversion"/>
  </si>
  <si>
    <t>海拔2264，N24°18′13.42″ E101°14′00.66″</t>
    <phoneticPr fontId="2" type="noConversion"/>
  </si>
  <si>
    <t>532724198411121810</t>
    <phoneticPr fontId="2" type="noConversion"/>
  </si>
  <si>
    <t>15125673626</t>
    <phoneticPr fontId="2" type="noConversion"/>
  </si>
  <si>
    <t>景东太忠镇嘎仰村委会二道河小组</t>
    <phoneticPr fontId="2" type="noConversion"/>
  </si>
  <si>
    <t>N24°34′21.43″ E101°02′？.39″</t>
    <phoneticPr fontId="2" type="noConversion"/>
  </si>
  <si>
    <t>532724197507121212</t>
    <phoneticPr fontId="2" type="noConversion"/>
  </si>
  <si>
    <t>15925295292</t>
    <phoneticPr fontId="2" type="noConversion"/>
  </si>
  <si>
    <t>景东花山秀龙大山组猴子蜗尿箐</t>
    <phoneticPr fontId="2" type="noConversion"/>
  </si>
  <si>
    <t>景东花山秀龙大山组新草子打洞处</t>
    <phoneticPr fontId="2" type="noConversion"/>
  </si>
  <si>
    <t>20160709&amp;0804</t>
    <phoneticPr fontId="2" type="noConversion"/>
  </si>
  <si>
    <t>景东花山秀龙大山组苦桥地洞</t>
    <phoneticPr fontId="2" type="noConversion"/>
  </si>
  <si>
    <t>532724197001091511</t>
    <phoneticPr fontId="2" type="noConversion"/>
  </si>
  <si>
    <t>13577954774</t>
    <phoneticPr fontId="2" type="noConversion"/>
  </si>
  <si>
    <t>景东县大街镇昆岗村，中山</t>
    <phoneticPr fontId="2" type="noConversion"/>
  </si>
  <si>
    <t>景东县大街镇昆岗村，三颗桩</t>
    <phoneticPr fontId="2" type="noConversion"/>
  </si>
  <si>
    <t>景东县大街镇昆岗村，大关山槽子</t>
    <phoneticPr fontId="2" type="noConversion"/>
  </si>
  <si>
    <t>20160705-0718</t>
    <phoneticPr fontId="2" type="noConversion"/>
  </si>
  <si>
    <t>景东县大街镇昆岗村山头组，大草坝</t>
    <phoneticPr fontId="2" type="noConversion"/>
  </si>
  <si>
    <t>海拔2552，N24°25′34.26″ E101°07′07.02″</t>
    <phoneticPr fontId="2" type="noConversion"/>
  </si>
  <si>
    <t>海拔2691，N24°25′45.04″ E101°06′34.10″</t>
    <phoneticPr fontId="2" type="noConversion"/>
  </si>
  <si>
    <t>海拔2492，N24°25′19.78″ E101°06′40.20″</t>
    <phoneticPr fontId="2" type="noConversion"/>
  </si>
  <si>
    <t>海拔2280，N24°24′55.53″ E101°06′58.66″</t>
    <phoneticPr fontId="2" type="noConversion"/>
  </si>
  <si>
    <t>53272419640814211X</t>
    <phoneticPr fontId="2" type="noConversion"/>
  </si>
  <si>
    <t>13759007385</t>
    <phoneticPr fontId="2" type="noConversion"/>
  </si>
  <si>
    <t>20160618-0720</t>
    <phoneticPr fontId="2" type="noConversion"/>
  </si>
  <si>
    <t>20160702-0709</t>
    <phoneticPr fontId="2" type="noConversion"/>
  </si>
  <si>
    <t>龙街垭口</t>
    <phoneticPr fontId="2" type="noConversion"/>
  </si>
  <si>
    <t>532724197908142110</t>
    <phoneticPr fontId="2" type="noConversion"/>
  </si>
  <si>
    <t>13577971579</t>
    <phoneticPr fontId="2" type="noConversion"/>
  </si>
  <si>
    <t>20160702-0706</t>
    <phoneticPr fontId="2" type="noConversion"/>
  </si>
  <si>
    <t>龙街乡垭口村小看马组</t>
    <phoneticPr fontId="2" type="noConversion"/>
  </si>
  <si>
    <t>20160615-0716</t>
    <phoneticPr fontId="2" type="noConversion"/>
  </si>
  <si>
    <t>14769387747</t>
    <phoneticPr fontId="2" type="noConversion"/>
  </si>
  <si>
    <t>景东县龙街乡新平村</t>
    <phoneticPr fontId="2" type="noConversion"/>
  </si>
  <si>
    <t>532724197806192117</t>
    <phoneticPr fontId="2" type="noConversion"/>
  </si>
  <si>
    <t>13608799334</t>
    <phoneticPr fontId="2" type="noConversion"/>
  </si>
  <si>
    <t>景东县龙街乡东山村民委员会</t>
    <phoneticPr fontId="2" type="noConversion"/>
  </si>
  <si>
    <t>景东县大街镇平地上村</t>
    <phoneticPr fontId="2" type="noConversion"/>
  </si>
  <si>
    <t>海拔2742，N24°26′14.40″ E101°05′59.09″</t>
    <phoneticPr fontId="2" type="noConversion"/>
  </si>
  <si>
    <t>海拔2397，N24°26′35.99″ E101°05′09.65″</t>
    <phoneticPr fontId="2" type="noConversion"/>
  </si>
  <si>
    <t>海拔2390，N24°26′10.73″ E101°05′52.16″</t>
    <phoneticPr fontId="2" type="noConversion"/>
  </si>
  <si>
    <t>海拔2490，N24°26′49.32″ E101°05′01.61″</t>
    <phoneticPr fontId="2" type="noConversion"/>
  </si>
  <si>
    <t>20160805&amp;0910</t>
    <phoneticPr fontId="2" type="noConversion"/>
  </si>
  <si>
    <t>海拔2211，N24°26′06.74″ E101°05′12.71″</t>
    <phoneticPr fontId="2" type="noConversion"/>
  </si>
  <si>
    <t>532724197401281517</t>
    <phoneticPr fontId="2" type="noConversion"/>
  </si>
  <si>
    <t>15987976882</t>
    <phoneticPr fontId="2" type="noConversion"/>
  </si>
  <si>
    <t>景东县大街镇气力村箐门口小组，白沙井</t>
    <phoneticPr fontId="2" type="noConversion"/>
  </si>
  <si>
    <t>景东县大街镇气力村箐门口小组，水箐口</t>
    <phoneticPr fontId="2" type="noConversion"/>
  </si>
  <si>
    <t>景东县大街镇气力村箐门口小组，小过脉</t>
    <phoneticPr fontId="2" type="noConversion"/>
  </si>
  <si>
    <t>海拔2506，N24°24′46.06″ E101°07′32.02″</t>
    <phoneticPr fontId="2" type="noConversion"/>
  </si>
  <si>
    <t>海拔2517，N24°24′47.52″ E101°07′21.18″</t>
    <phoneticPr fontId="2" type="noConversion"/>
  </si>
  <si>
    <t>海拔2514，N24°24′46.08″ E101°07′20.94″</t>
    <phoneticPr fontId="2" type="noConversion"/>
  </si>
  <si>
    <t>海拔2480，N24°24′39.12″ E101°07′32.94″</t>
    <phoneticPr fontId="2" type="noConversion"/>
  </si>
  <si>
    <t>海拔2373，N24°24′24.10″ E101°07′12.01″</t>
    <phoneticPr fontId="2" type="noConversion"/>
  </si>
  <si>
    <t>532724197007132139</t>
    <phoneticPr fontId="2" type="noConversion"/>
  </si>
  <si>
    <t>15912958748</t>
    <phoneticPr fontId="2" type="noConversion"/>
  </si>
  <si>
    <t>景东县龙街乡寿府水？一组，小沙水大白水</t>
    <phoneticPr fontId="2" type="noConversion"/>
  </si>
  <si>
    <t>532724196583872113？</t>
    <phoneticPr fontId="2" type="noConversion"/>
  </si>
  <si>
    <t>13577959513</t>
    <phoneticPr fontId="2" type="noConversion"/>
  </si>
  <si>
    <t>景东县龙街乡竹者村</t>
    <phoneticPr fontId="2" type="noConversion"/>
  </si>
  <si>
    <t>532724196409241232</t>
    <phoneticPr fontId="2" type="noConversion"/>
  </si>
  <si>
    <t>15154839262</t>
    <phoneticPr fontId="2" type="noConversion"/>
  </si>
  <si>
    <t>景东县花山镇淇海村大山组</t>
    <phoneticPr fontId="2" type="noConversion"/>
  </si>
  <si>
    <t>532724196804151237</t>
    <phoneticPr fontId="2" type="noConversion"/>
  </si>
  <si>
    <t>14769359259</t>
    <phoneticPr fontId="2" type="noConversion"/>
  </si>
  <si>
    <t>景东县花山镇小勺村</t>
    <phoneticPr fontId="2" type="noConversion"/>
  </si>
  <si>
    <t>532427195609021213</t>
    <phoneticPr fontId="2" type="noConversion"/>
  </si>
  <si>
    <t>15912997087</t>
    <phoneticPr fontId="2" type="noConversion"/>
  </si>
  <si>
    <t>景东县花山镇文岗村箐边组</t>
    <phoneticPr fontId="2" type="noConversion"/>
  </si>
  <si>
    <t>景东县太忠镇麦地村委会大村小组</t>
    <phoneticPr fontId="2" type="noConversion"/>
  </si>
  <si>
    <t>532724195509151213</t>
    <phoneticPr fontId="2" type="noConversion"/>
  </si>
  <si>
    <t>18214041646</t>
    <phoneticPr fontId="2" type="noConversion"/>
  </si>
  <si>
    <t>景东县芦山村</t>
    <phoneticPr fontId="2" type="noConversion"/>
  </si>
  <si>
    <t>海拔2375，N24°18′21.91″ E101°13′48.64″</t>
    <phoneticPr fontId="2" type="noConversion"/>
  </si>
  <si>
    <t>海拔2057，N24°17′55.30″ E101°13′22.04″</t>
    <phoneticPr fontId="2" type="noConversion"/>
  </si>
  <si>
    <t>海拔2160，N24°18′10.80″ E101°13′49.50″</t>
    <phoneticPr fontId="2" type="noConversion"/>
  </si>
  <si>
    <t>海拔2423，N24°18′63.20″ E101°13′46。08″</t>
    <phoneticPr fontId="2" type="noConversion"/>
  </si>
  <si>
    <t>532724196401021219</t>
    <phoneticPr fontId="2" type="noConversion"/>
  </si>
  <si>
    <t>15287665605</t>
    <phoneticPr fontId="2" type="noConversion"/>
  </si>
  <si>
    <t>景东县花山乡芦山村碱水组</t>
    <phoneticPr fontId="2" type="noConversion"/>
  </si>
  <si>
    <t>20160725-0825</t>
    <phoneticPr fontId="2" type="noConversion"/>
  </si>
  <si>
    <t>N24°17′31.01″ E101°13′40.67″</t>
    <phoneticPr fontId="2" type="noConversion"/>
  </si>
  <si>
    <t>N24°17′306144″？ E101°13′39.63″</t>
    <phoneticPr fontId="2" type="noConversion"/>
  </si>
  <si>
    <t>532724196608131212</t>
    <phoneticPr fontId="2" type="noConversion"/>
  </si>
  <si>
    <t>15008735389</t>
    <phoneticPr fontId="2" type="noConversion"/>
  </si>
  <si>
    <t>景东县花山镇撇罗村民委员会龙树小组</t>
    <phoneticPr fontId="2" type="noConversion"/>
  </si>
  <si>
    <t>海拔2047，N24°18′59.29″ E101°12′04.33″</t>
    <phoneticPr fontId="2" type="noConversion"/>
  </si>
  <si>
    <t>海拔2406，N24°19′15.35″ E101°12′03.85″</t>
    <phoneticPr fontId="2" type="noConversion"/>
  </si>
  <si>
    <t>532724198410121819</t>
    <phoneticPr fontId="2" type="noConversion"/>
  </si>
  <si>
    <t>15125657367</t>
    <phoneticPr fontId="2" type="noConversion"/>
  </si>
  <si>
    <t>景东县麦地村黄风箐小组</t>
    <phoneticPr fontId="2" type="noConversion"/>
  </si>
  <si>
    <t>海拔2408，N24°29′4.88″ E101°03′44.43″</t>
    <phoneticPr fontId="2" type="noConversion"/>
  </si>
  <si>
    <t>海拔2419，N24°29′4.88″ E101°03′44.43″</t>
    <phoneticPr fontId="2" type="noConversion"/>
  </si>
  <si>
    <t>海拔2317，N24°28′41.53″ E101°04′21.64″</t>
    <phoneticPr fontId="2" type="noConversion"/>
  </si>
  <si>
    <t>海拔2330，N24°28′36.79″ E101°04′19.98″</t>
    <phoneticPr fontId="2" type="noConversion"/>
  </si>
  <si>
    <t>海拔2491，N24°29′4.88″ E101°03′44.34″</t>
    <phoneticPr fontId="2" type="noConversion"/>
  </si>
  <si>
    <t>532724198511291833</t>
    <phoneticPr fontId="2" type="noConversion"/>
  </si>
  <si>
    <t>15125342326</t>
    <phoneticPr fontId="2" type="noConversion"/>
  </si>
  <si>
    <t>景东县太忠镇方家箐村上村组</t>
    <phoneticPr fontId="2" type="noConversion"/>
  </si>
  <si>
    <t>海拔2456，N24°32′11.15″ E101°0′26.86″</t>
    <phoneticPr fontId="2" type="noConversion"/>
  </si>
  <si>
    <t>海拔2456，N24°32′22.6″ E101°0′25.23″</t>
    <phoneticPr fontId="2" type="noConversion"/>
  </si>
  <si>
    <t>海拔2450，N24°31′56.74″ E101°0′26.5″</t>
    <phoneticPr fontId="2" type="noConversion"/>
  </si>
  <si>
    <t>海拔2483，N24°33′45.65″ E101°0′54.4″</t>
    <phoneticPr fontId="2" type="noConversion"/>
  </si>
  <si>
    <t>532724198309201814</t>
    <phoneticPr fontId="2" type="noConversion"/>
  </si>
  <si>
    <t>15891987207</t>
    <phoneticPr fontId="2" type="noConversion"/>
  </si>
  <si>
    <t>景东县太忠镇麦地村外中山组</t>
    <phoneticPr fontId="2" type="noConversion"/>
  </si>
  <si>
    <t>景东县太忠镇麦地村</t>
    <phoneticPr fontId="2" type="noConversion"/>
  </si>
  <si>
    <t>N24°30′19.3″ E101°02′13.03″</t>
    <phoneticPr fontId="2" type="noConversion"/>
  </si>
  <si>
    <t>N24°30′32.65″ E101°01′20.14″</t>
    <phoneticPr fontId="2" type="noConversion"/>
  </si>
  <si>
    <t>N24°30′35.53″ E101°01′14.44″</t>
    <phoneticPr fontId="2" type="noConversion"/>
  </si>
  <si>
    <t>N24°30′25.77″ E101°02′10.83″</t>
    <phoneticPr fontId="2" type="noConversion"/>
  </si>
  <si>
    <t>N24°30′29.79″ E101°01′53.14″</t>
    <phoneticPr fontId="2" type="noConversion"/>
  </si>
  <si>
    <t>No.1</t>
    <phoneticPr fontId="2" type="noConversion"/>
  </si>
  <si>
    <t>No.2</t>
  </si>
  <si>
    <t>No.3</t>
  </si>
  <si>
    <t>No.4</t>
  </si>
  <si>
    <t>No.5</t>
  </si>
  <si>
    <t>No.6</t>
  </si>
  <si>
    <t>No.7</t>
  </si>
  <si>
    <t>No.8</t>
  </si>
  <si>
    <t>No.9</t>
  </si>
  <si>
    <t>No.10</t>
  </si>
  <si>
    <t>估计每管只数</t>
    <phoneticPr fontId="2" type="noConversion"/>
  </si>
  <si>
    <t>2690447-1773400</t>
    <phoneticPr fontId="2" type="noConversion"/>
  </si>
  <si>
    <t>20160611</t>
    <phoneticPr fontId="2" type="noConversion"/>
  </si>
  <si>
    <t>太山箐，海拔2199。N23°22′37.45″ E103°22′81.62″</t>
    <phoneticPr fontId="2" type="noConversion"/>
  </si>
  <si>
    <t>NA</t>
    <phoneticPr fontId="2" type="noConversion"/>
  </si>
  <si>
    <t>530427197904142114</t>
    <phoneticPr fontId="2" type="noConversion"/>
  </si>
  <si>
    <t>15284433862</t>
    <phoneticPr fontId="2" type="noConversion"/>
  </si>
  <si>
    <t>张立德</t>
    <phoneticPr fontId="2" type="noConversion"/>
  </si>
  <si>
    <t>20160620</t>
    <phoneticPr fontId="2" type="noConversion"/>
  </si>
  <si>
    <t>20160629</t>
    <phoneticPr fontId="2" type="noConversion"/>
  </si>
  <si>
    <t>2016????</t>
    <phoneticPr fontId="2" type="noConversion"/>
  </si>
  <si>
    <t>新平县平掌乡仓房村旧岩小组</t>
    <phoneticPr fontId="2" type="noConversion"/>
  </si>
  <si>
    <t>20160715</t>
    <phoneticPr fontId="2" type="noConversion"/>
  </si>
  <si>
    <t>李荣昌</t>
    <phoneticPr fontId="2" type="noConversion"/>
  </si>
  <si>
    <t>新平县戛洒镇发启盘龙</t>
    <phoneticPr fontId="2" type="noConversion"/>
  </si>
  <si>
    <t>20160730</t>
    <phoneticPr fontId="2" type="noConversion"/>
  </si>
  <si>
    <t>2658717.7-17755092.2</t>
    <phoneticPr fontId="2" type="noConversion"/>
  </si>
  <si>
    <t>20-30</t>
    <phoneticPr fontId="2" type="noConversion"/>
  </si>
  <si>
    <t>530427197009161351</t>
    <phoneticPr fontId="2" type="noConversion"/>
  </si>
  <si>
    <t>18787771048</t>
    <phoneticPr fontId="2" type="noConversion"/>
  </si>
  <si>
    <t>2658729.4-17755107.0</t>
    <phoneticPr fontId="2" type="noConversion"/>
  </si>
  <si>
    <t>2658746.3-17755197.7</t>
    <phoneticPr fontId="2" type="noConversion"/>
  </si>
  <si>
    <t>2658706.8-17755086.9</t>
    <phoneticPr fontId="2" type="noConversion"/>
  </si>
  <si>
    <t>新平县戛洒镇盘龙</t>
    <phoneticPr fontId="2" type="noConversion"/>
  </si>
  <si>
    <t>2659290.6-17754694.1</t>
    <phoneticPr fontId="2" type="noConversion"/>
  </si>
  <si>
    <t>10-</t>
    <phoneticPr fontId="2" type="noConversion"/>
  </si>
  <si>
    <t>张春应</t>
    <phoneticPr fontId="2" type="noConversion"/>
  </si>
  <si>
    <t>？？？</t>
    <phoneticPr fontId="2" type="noConversion"/>
  </si>
  <si>
    <t>？</t>
    <phoneticPr fontId="2" type="noConversion"/>
  </si>
  <si>
    <t>530427197801080950</t>
    <phoneticPr fontId="2" type="noConversion"/>
  </si>
  <si>
    <t>18088911725</t>
    <phoneticPr fontId="2" type="noConversion"/>
  </si>
  <si>
    <t>新平县蓡沙镇胜利村段甲组</t>
    <phoneticPr fontId="2" type="noConversion"/>
  </si>
  <si>
    <t>20160725</t>
    <phoneticPr fontId="2" type="noConversion"/>
  </si>
  <si>
    <t>白石岩，海拔2388。N23°48′00.92″ E101°38′03.83″</t>
    <phoneticPr fontId="2" type="noConversion"/>
  </si>
  <si>
    <t>张明忠</t>
    <phoneticPr fontId="2" type="noConversion"/>
  </si>
  <si>
    <t>新平县戛洒镇耀南村金山原始森林</t>
    <phoneticPr fontId="2" type="noConversion"/>
  </si>
  <si>
    <t>20160729</t>
    <phoneticPr fontId="2" type="noConversion"/>
  </si>
  <si>
    <t>海拔2485,2650893.7-17755086.3</t>
    <phoneticPr fontId="2" type="noConversion"/>
  </si>
  <si>
    <t>532428196404082139</t>
    <phoneticPr fontId="2" type="noConversion"/>
  </si>
  <si>
    <t>13988455214</t>
    <phoneticPr fontId="2" type="noConversion"/>
  </si>
  <si>
    <t>新平县戛洒镇耀南村金山丫口金山原始森林</t>
    <phoneticPr fontId="2" type="noConversion"/>
  </si>
  <si>
    <t>海拔2498,2650911.7-17755190.7</t>
    <phoneticPr fontId="2" type="noConversion"/>
  </si>
  <si>
    <t>新平县戛洒镇耀南村花山脚金拱洞</t>
    <phoneticPr fontId="2" type="noConversion"/>
  </si>
  <si>
    <t>海拔2516,2651054.1-17755397.2</t>
    <phoneticPr fontId="2" type="noConversion"/>
  </si>
  <si>
    <t>海拔2521,2651204.1.1-17755496.1</t>
    <phoneticPr fontId="2" type="noConversion"/>
  </si>
  <si>
    <t>新平县戛洒镇耀南村金山丫口</t>
    <phoneticPr fontId="2" type="noConversion"/>
  </si>
  <si>
    <t>海拔2546,2650798.3-17755473.2</t>
    <phoneticPr fontId="2" type="noConversion"/>
  </si>
  <si>
    <t>白正荣</t>
    <phoneticPr fontId="2" type="noConversion"/>
  </si>
  <si>
    <t>新平县建兴乡磨味村狗头坡组</t>
    <phoneticPr fontId="2" type="noConversion"/>
  </si>
  <si>
    <t>海拔2386。N23°48′58.60″ E101°36′49.36″</t>
    <phoneticPr fontId="2" type="noConversion"/>
  </si>
  <si>
    <t>532428196808241116</t>
    <phoneticPr fontId="2" type="noConversion"/>
  </si>
  <si>
    <t>18088911723</t>
    <phoneticPr fontId="2" type="noConversion"/>
  </si>
  <si>
    <t>普国全</t>
    <phoneticPr fontId="2" type="noConversion"/>
  </si>
  <si>
    <t>新平县戛洒镇耀南村（长臂猿听点）</t>
    <phoneticPr fontId="2" type="noConversion"/>
  </si>
  <si>
    <t>201607</t>
    <phoneticPr fontId="2" type="noConversion"/>
  </si>
  <si>
    <t>海拔2391，十字路口长臂猿，2651749.1-17757171.4</t>
    <phoneticPr fontId="2" type="noConversion"/>
  </si>
  <si>
    <t>530427197601131311</t>
    <phoneticPr fontId="2" type="noConversion"/>
  </si>
  <si>
    <t>18724831039</t>
    <phoneticPr fontId="2" type="noConversion"/>
  </si>
  <si>
    <t>海拔2546.2650708.3-17755473.2</t>
    <phoneticPr fontId="2" type="noConversion"/>
  </si>
  <si>
    <t>海拔2516.2650764.2-17755470.1</t>
    <phoneticPr fontId="2" type="noConversion"/>
  </si>
  <si>
    <t>海拔2174，茶马古道，2652589.4-17755865.6</t>
    <phoneticPr fontId="2" type="noConversion"/>
  </si>
  <si>
    <t>王平</t>
    <phoneticPr fontId="2" type="noConversion"/>
  </si>
  <si>
    <t>532428197510250911</t>
    <phoneticPr fontId="2" type="noConversion"/>
  </si>
  <si>
    <t>18088911719</t>
    <phoneticPr fontId="2" type="noConversion"/>
  </si>
  <si>
    <t>新平县戛沙镇仁和村坝多组</t>
    <phoneticPr fontId="2" type="noConversion"/>
  </si>
  <si>
    <t>海拔1993，湾河，N23°50′31.62″ E101°57′27.32″</t>
    <phoneticPr fontId="2" type="noConversion"/>
  </si>
  <si>
    <t>李荣兵</t>
    <phoneticPr fontId="2" type="noConversion"/>
  </si>
  <si>
    <t>新平县戛洒镇耀南村</t>
    <phoneticPr fontId="2" type="noConversion"/>
  </si>
  <si>
    <t>海拔2549,2650814.1-17755464.4</t>
    <phoneticPr fontId="2" type="noConversion"/>
  </si>
  <si>
    <t>532428197211161310</t>
    <phoneticPr fontId="2" type="noConversion"/>
  </si>
  <si>
    <t>13577769875</t>
    <phoneticPr fontId="2" type="noConversion"/>
  </si>
  <si>
    <t>新平县戛洒镇耀南村花山路</t>
    <phoneticPr fontId="2" type="noConversion"/>
  </si>
  <si>
    <t>海拔2491,2650879.1-17755419.1</t>
    <phoneticPr fontId="2" type="noConversion"/>
  </si>
  <si>
    <t>新平县戛洒镇耀南村花山</t>
    <phoneticPr fontId="2" type="noConversion"/>
  </si>
  <si>
    <t>海拔2571,2650790.1-17755466.5</t>
    <phoneticPr fontId="2" type="noConversion"/>
  </si>
  <si>
    <t>新平县戛洒镇耀南村金拱洞上边</t>
    <phoneticPr fontId="2" type="noConversion"/>
  </si>
  <si>
    <t>海拔2508,265099.1-17755420.3</t>
    <phoneticPr fontId="2" type="noConversion"/>
  </si>
  <si>
    <t>新平县戛洒发启火山</t>
    <phoneticPr fontId="2" type="noConversion"/>
  </si>
  <si>
    <t>海拔2111.3，2658807.7-17755085.0</t>
    <phoneticPr fontId="2" type="noConversion"/>
  </si>
  <si>
    <t>532428197512191337</t>
    <phoneticPr fontId="2" type="noConversion"/>
  </si>
  <si>
    <t>海拔2225.9，2658710.3-17755048.6</t>
    <phoneticPr fontId="2" type="noConversion"/>
  </si>
  <si>
    <t>新平县戛洒镇耀南村云盘</t>
    <phoneticPr fontId="2" type="noConversion"/>
  </si>
  <si>
    <t>海拔2203，2658725.4-17755056.2</t>
    <phoneticPr fontId="2" type="noConversion"/>
  </si>
  <si>
    <t>532428198209091311</t>
    <phoneticPr fontId="2" type="noConversion"/>
  </si>
  <si>
    <t>新平县戛洒发启盘龙</t>
    <phoneticPr fontId="2" type="noConversion"/>
  </si>
  <si>
    <t>海拔2124，2658804.7-17755022.0</t>
    <phoneticPr fontId="2" type="noConversion"/>
  </si>
  <si>
    <t>新平县戛洒镇耀南村徐？草塘22号</t>
    <phoneticPr fontId="2" type="noConversion"/>
  </si>
  <si>
    <t>海拔2197.4，2658735.2-17755045.4</t>
    <phoneticPr fontId="2" type="noConversion"/>
  </si>
  <si>
    <t>532428196006121331</t>
    <phoneticPr fontId="2" type="noConversion"/>
  </si>
  <si>
    <t>身份证号码</t>
  </si>
  <si>
    <t>电话号码</t>
  </si>
  <si>
    <t>姓名</t>
    <phoneticPr fontId="2" type="noConversion"/>
  </si>
  <si>
    <t>海拔2401，金山丫口，2651398.4-17754510.1</t>
    <phoneticPr fontId="2" type="noConversion"/>
  </si>
  <si>
    <t>蚂蝗只数</t>
    <phoneticPr fontId="2" type="noConversion"/>
  </si>
  <si>
    <t>编号10-1</t>
    <phoneticPr fontId="2" type="noConversion"/>
  </si>
  <si>
    <t>编号10-2</t>
    <phoneticPr fontId="2" type="noConversion"/>
  </si>
  <si>
    <t>编号10-3</t>
  </si>
  <si>
    <t>编号9-1</t>
    <phoneticPr fontId="2" type="noConversion"/>
  </si>
  <si>
    <t>编号9-2</t>
    <phoneticPr fontId="2" type="noConversion"/>
  </si>
  <si>
    <t>编号11-3</t>
    <phoneticPr fontId="2" type="noConversion"/>
  </si>
  <si>
    <t>编号10-4</t>
    <phoneticPr fontId="2" type="noConversion"/>
  </si>
  <si>
    <t>四-李世冲</t>
    <phoneticPr fontId="2" type="noConversion"/>
  </si>
  <si>
    <t>四-李荣昌</t>
    <phoneticPr fontId="2" type="noConversion"/>
  </si>
  <si>
    <t>四-余朝明</t>
    <phoneticPr fontId="2" type="noConversion"/>
  </si>
  <si>
    <t>地址</t>
    <phoneticPr fontId="2" type="noConversion"/>
  </si>
  <si>
    <t>身份证号码</t>
    <phoneticPr fontId="2" type="noConversion"/>
  </si>
  <si>
    <t>电话号码</t>
    <phoneticPr fontId="2" type="noConversion"/>
  </si>
  <si>
    <t>李开应&amp;苏连发</t>
    <phoneticPr fontId="2" type="noConversion"/>
  </si>
  <si>
    <t>13769254755&amp;15288511032</t>
    <phoneticPr fontId="2" type="noConversion"/>
  </si>
  <si>
    <t>王景法&amp;刘文明</t>
    <phoneticPr fontId="2" type="noConversion"/>
  </si>
  <si>
    <t>13354690369&amp;18183876459</t>
    <phoneticPr fontId="2" type="noConversion"/>
  </si>
  <si>
    <t>郭存祥</t>
    <phoneticPr fontId="2" type="noConversion"/>
  </si>
  <si>
    <t>15987213626</t>
  </si>
  <si>
    <t>估计只数</t>
    <phoneticPr fontId="2" type="noConversion"/>
  </si>
  <si>
    <t>8小管</t>
    <phoneticPr fontId="2" type="noConversion"/>
  </si>
  <si>
    <t>？？</t>
    <phoneticPr fontId="2" type="noConversion"/>
  </si>
  <si>
    <t>郭洪富</t>
    <phoneticPr fontId="2" type="noConversion"/>
  </si>
  <si>
    <t>20160712</t>
    <phoneticPr fontId="2" type="noConversion"/>
  </si>
  <si>
    <t>王平昌</t>
    <phoneticPr fontId="2" type="noConversion"/>
  </si>
  <si>
    <t>20160701-0704</t>
    <phoneticPr fontId="2" type="noConversion"/>
  </si>
  <si>
    <t>20160706-0709</t>
    <phoneticPr fontId="2" type="noConversion"/>
  </si>
  <si>
    <t>20160710-0714</t>
    <phoneticPr fontId="2" type="noConversion"/>
  </si>
  <si>
    <t>20160717-0721</t>
    <phoneticPr fontId="2" type="noConversion"/>
  </si>
  <si>
    <t>20160726-0731</t>
    <phoneticPr fontId="2" type="noConversion"/>
  </si>
  <si>
    <t>龙存发</t>
    <phoneticPr fontId="2" type="noConversion"/>
  </si>
  <si>
    <t>罗荣</t>
    <phoneticPr fontId="2" type="noConversion"/>
  </si>
  <si>
    <t>张存付</t>
    <phoneticPr fontId="2" type="noConversion"/>
  </si>
  <si>
    <t>张学良</t>
    <phoneticPr fontId="2" type="noConversion"/>
  </si>
  <si>
    <t>20160704-0710</t>
    <phoneticPr fontId="2" type="noConversion"/>
  </si>
  <si>
    <t>20160711-0713</t>
    <phoneticPr fontId="2" type="noConversion"/>
  </si>
  <si>
    <t>20160712-0716</t>
    <phoneticPr fontId="2" type="noConversion"/>
  </si>
  <si>
    <t>20160720-0726</t>
    <phoneticPr fontId="2" type="noConversion"/>
  </si>
  <si>
    <t>20160713-0717</t>
    <phoneticPr fontId="2" type="noConversion"/>
  </si>
  <si>
    <t>王太如</t>
    <phoneticPr fontId="2" type="noConversion"/>
  </si>
  <si>
    <t>20160703</t>
    <phoneticPr fontId="2" type="noConversion"/>
  </si>
  <si>
    <t>茶建成</t>
    <phoneticPr fontId="2" type="noConversion"/>
  </si>
  <si>
    <t>手机号码</t>
    <phoneticPr fontId="2" type="noConversion"/>
  </si>
  <si>
    <t>532301198011063133</t>
    <phoneticPr fontId="2" type="noConversion"/>
  </si>
  <si>
    <t>13769279751</t>
    <phoneticPr fontId="2" type="noConversion"/>
  </si>
  <si>
    <t>532301198510293110</t>
    <phoneticPr fontId="2" type="noConversion"/>
  </si>
  <si>
    <t>15125865578</t>
    <phoneticPr fontId="2" type="noConversion"/>
  </si>
  <si>
    <t>532301198610053113</t>
    <phoneticPr fontId="2" type="noConversion"/>
  </si>
  <si>
    <t>15891821981</t>
    <phoneticPr fontId="2" type="noConversion"/>
  </si>
  <si>
    <t>532301198702263118</t>
    <phoneticPr fontId="2" type="noConversion"/>
  </si>
  <si>
    <t>15912941971</t>
    <phoneticPr fontId="2" type="noConversion"/>
  </si>
  <si>
    <t>532301198403063132</t>
    <phoneticPr fontId="2" type="noConversion"/>
  </si>
  <si>
    <t>18287842698</t>
    <phoneticPr fontId="2" type="noConversion"/>
  </si>
  <si>
    <t>532301197512173133</t>
    <phoneticPr fontId="2" type="noConversion"/>
  </si>
  <si>
    <t>13987878719</t>
    <phoneticPr fontId="2" type="noConversion"/>
  </si>
  <si>
    <t>532301197308203112</t>
    <phoneticPr fontId="2" type="noConversion"/>
  </si>
  <si>
    <t>13987884167</t>
    <phoneticPr fontId="2" type="noConversion"/>
  </si>
  <si>
    <t>532301197402203135</t>
    <phoneticPr fontId="2" type="noConversion"/>
  </si>
  <si>
    <t>13638744286</t>
    <phoneticPr fontId="2" type="noConversion"/>
  </si>
  <si>
    <t>采样地点</t>
    <phoneticPr fontId="2" type="noConversion"/>
  </si>
  <si>
    <t>哀牢山国家级自然保护区楚雄管理局保甸管护点</t>
    <phoneticPr fontId="2" type="noConversion"/>
  </si>
  <si>
    <t>德波箐大中山村</t>
    <phoneticPr fontId="2" type="noConversion"/>
  </si>
  <si>
    <t>楚雄管理局朵苴村委会</t>
    <phoneticPr fontId="2" type="noConversion"/>
  </si>
  <si>
    <t>楚雄西舍路朵苴村</t>
    <phoneticPr fontId="2" type="noConversion"/>
  </si>
  <si>
    <t>楚雄西舍路下岔河村委会</t>
    <phoneticPr fontId="2" type="noConversion"/>
  </si>
  <si>
    <t>楚雄西舍路闸上村委会苍铺塘村</t>
    <phoneticPr fontId="2" type="noConversion"/>
  </si>
  <si>
    <t>楚雄西舍路闸上村</t>
  </si>
  <si>
    <t>楚雄西舍路新华村委会</t>
    <phoneticPr fontId="2" type="noConversion"/>
  </si>
  <si>
    <t>其他位置信息</t>
    <phoneticPr fontId="2" type="noConversion"/>
  </si>
  <si>
    <t>N24°31′83.68″ E101°03′85.85″</t>
    <phoneticPr fontId="2" type="noConversion"/>
  </si>
  <si>
    <t>大管</t>
    <phoneticPr fontId="2" type="noConversion"/>
  </si>
  <si>
    <t>小管</t>
    <phoneticPr fontId="2" type="noConversion"/>
  </si>
  <si>
    <t>大管</t>
    <phoneticPr fontId="2" type="noConversion"/>
  </si>
  <si>
    <t>蚂蝗只数</t>
    <phoneticPr fontId="2" type="noConversion"/>
  </si>
  <si>
    <t>N24°30′87.11″ E101°04′02.01″</t>
    <phoneticPr fontId="2" type="noConversion"/>
  </si>
  <si>
    <t>N24°30′87.82″ E101°04′01.66″</t>
    <phoneticPr fontId="2" type="noConversion"/>
  </si>
  <si>
    <t>N24°31′68.69″ E101°03′76.48″</t>
    <phoneticPr fontId="2" type="noConversion"/>
  </si>
  <si>
    <t>N24°31′04.97″ E101°04′17.31″</t>
    <phoneticPr fontId="2" type="noConversion"/>
  </si>
  <si>
    <t>海拔2631，N24°38′15.14″ E101°00′13.71″</t>
    <phoneticPr fontId="2" type="noConversion"/>
  </si>
  <si>
    <t>海拔2612，N24°38′15.00″ E101°00′06.86″</t>
    <phoneticPr fontId="2" type="noConversion"/>
  </si>
  <si>
    <t>海拔2360，N24°39′06.07″ E101°02′82.27″</t>
    <phoneticPr fontId="2" type="noConversion"/>
  </si>
  <si>
    <t>海拔2680，N24°38′21.54″ E101°00′15.70″</t>
    <phoneticPr fontId="2" type="noConversion"/>
  </si>
  <si>
    <t>海拔2642，N24°38′15.46″ E101°00′13.73″</t>
    <phoneticPr fontId="2" type="noConversion"/>
  </si>
  <si>
    <t>海拔2621，N24°38′16.74″ E101°00′04.53″</t>
    <phoneticPr fontId="2" type="noConversion"/>
  </si>
  <si>
    <t>海拔2612，N24°38′28.66″ E100°59′95.17″</t>
    <phoneticPr fontId="2" type="noConversion"/>
  </si>
  <si>
    <t>海拔2617，N24°38′18.68″ E100°59′97.10″</t>
    <phoneticPr fontId="2" type="noConversion"/>
  </si>
  <si>
    <t>海拔2610，N24°38′24.31″ E100°59′95.96″</t>
    <phoneticPr fontId="2" type="noConversion"/>
  </si>
  <si>
    <t>海拔2319，N24°38′53.58″ E101°00′59.66″</t>
    <phoneticPr fontId="2" type="noConversion"/>
  </si>
  <si>
    <t>N24°35′73.67″ E101°01′46.06″</t>
    <phoneticPr fontId="2" type="noConversion"/>
  </si>
  <si>
    <t>20160705-0710</t>
    <phoneticPr fontId="2" type="noConversion"/>
  </si>
  <si>
    <t>N24°35′73.64″ E101°01′45.98″</t>
    <phoneticPr fontId="2" type="noConversion"/>
  </si>
  <si>
    <t>N24°36′37.61″ E101°02′10.68″</t>
    <phoneticPr fontId="2" type="noConversion"/>
  </si>
  <si>
    <t>N24°35′44.69″ E101°01′42.88″</t>
    <phoneticPr fontId="2" type="noConversion"/>
  </si>
  <si>
    <t>海拔2548，N24°34′75.27″ E101°02′32.26″</t>
    <phoneticPr fontId="2" type="noConversion"/>
  </si>
  <si>
    <t>海拔2542，N24°34′73.75″ E101°02′14.18″</t>
    <phoneticPr fontId="2" type="noConversion"/>
  </si>
  <si>
    <t>海拔2534，N24°34′70.14″ E101°02′22.92″</t>
    <phoneticPr fontId="2" type="noConversion"/>
  </si>
  <si>
    <t>海拔2541，N24°34′77.04″ E101°02′38.27″</t>
    <phoneticPr fontId="2" type="noConversion"/>
  </si>
  <si>
    <t>20160703</t>
    <phoneticPr fontId="2" type="noConversion"/>
  </si>
  <si>
    <t>N24°35′79.37″ E101°04′65.37″</t>
    <phoneticPr fontId="2" type="noConversion"/>
  </si>
  <si>
    <t>海拔2510，N24°33′02.13″ E101°02′07.42″</t>
    <phoneticPr fontId="2" type="noConversion"/>
  </si>
  <si>
    <t>N24°34′01.08″ E101°02′04.58″</t>
    <phoneticPr fontId="2" type="noConversion"/>
  </si>
  <si>
    <t>海拔2586，N24°34′0.98″ E101°02′01.85″</t>
    <phoneticPr fontId="2" type="noConversion"/>
  </si>
  <si>
    <t>N24°34′0.52″ E101°02′02.66″</t>
    <phoneticPr fontId="2" type="noConversion"/>
  </si>
  <si>
    <t>N24°33′9.70″ E101°02′01.90″</t>
    <phoneticPr fontId="2" type="noConversion"/>
  </si>
  <si>
    <t>海拔2400，N24°33′44.62″ E101°03′32.68″</t>
    <phoneticPr fontId="2" type="noConversion"/>
  </si>
  <si>
    <t>海拔2381，N24°31′64.48″ E101°04′07.50″</t>
    <phoneticPr fontId="2" type="noConversion"/>
  </si>
  <si>
    <t>海拔2415，N24°32′07.08″ E101°03′58.43″</t>
    <phoneticPr fontId="2" type="noConversion"/>
  </si>
  <si>
    <t>海拔2372，N24°33′38.95″ E101°05′16.50″</t>
    <phoneticPr fontId="2" type="noConversion"/>
  </si>
  <si>
    <t>海拔2486，N24°32′06.91″ E101°03′58.49″</t>
    <phoneticPr fontId="2" type="noConversion"/>
  </si>
  <si>
    <t>N24°40′69.30″ E100°57′16.87″</t>
    <phoneticPr fontId="2" type="noConversion"/>
  </si>
  <si>
    <t>N24°38′59.97″ E100°57′81.70″</t>
    <phoneticPr fontId="2" type="noConversion"/>
  </si>
  <si>
    <t>N24°40′24.84″ E100°57′24.07″</t>
    <phoneticPr fontId="2" type="noConversion"/>
  </si>
  <si>
    <t>N24°40′07.56″ E100°57′77.48″</t>
    <phoneticPr fontId="2" type="noConversion"/>
  </si>
  <si>
    <t>N24°40′09.39″ E100°57′79.54″</t>
    <phoneticPr fontId="2" type="noConversion"/>
  </si>
  <si>
    <t>管数</t>
    <phoneticPr fontId="2" type="noConversion"/>
  </si>
  <si>
    <t>只数</t>
    <phoneticPr fontId="2" type="noConversion"/>
  </si>
  <si>
    <t>李发文</t>
    <phoneticPr fontId="2" type="noConversion"/>
  </si>
  <si>
    <t>10</t>
    <phoneticPr fontId="2" type="noConversion"/>
  </si>
  <si>
    <t>532724197201141835</t>
    <phoneticPr fontId="2" type="noConversion"/>
  </si>
  <si>
    <t>15925267413</t>
    <phoneticPr fontId="2" type="noConversion"/>
  </si>
  <si>
    <t>532724198511271517</t>
    <phoneticPr fontId="2" type="noConversion"/>
  </si>
  <si>
    <t>15008811738</t>
    <phoneticPr fontId="2" type="noConversion"/>
  </si>
  <si>
    <t>532724198511271517</t>
    <phoneticPr fontId="2" type="noConversion"/>
  </si>
  <si>
    <t>532724196410061212</t>
    <phoneticPr fontId="2" type="noConversion"/>
  </si>
  <si>
    <t>15912973126</t>
    <phoneticPr fontId="2" type="noConversion"/>
  </si>
  <si>
    <t>小管</t>
    <phoneticPr fontId="2" type="noConversion"/>
  </si>
  <si>
    <t>只数</t>
    <phoneticPr fontId="2" type="noConversion"/>
  </si>
  <si>
    <t>No.1</t>
    <phoneticPr fontId="2" type="noConversion"/>
  </si>
  <si>
    <t>李坤</t>
    <phoneticPr fontId="2" type="noConversion"/>
  </si>
  <si>
    <t>刘永</t>
    <phoneticPr fontId="2" type="noConversion"/>
  </si>
  <si>
    <t>王云武</t>
    <phoneticPr fontId="2" type="noConversion"/>
  </si>
  <si>
    <t>20160701-0702</t>
    <phoneticPr fontId="2" type="noConversion"/>
  </si>
  <si>
    <t>只数</t>
    <phoneticPr fontId="2" type="noConversion"/>
  </si>
  <si>
    <t>15-20</t>
    <phoneticPr fontId="2" type="noConversion"/>
  </si>
  <si>
    <t>王彪</t>
    <phoneticPr fontId="2" type="noConversion"/>
  </si>
  <si>
    <t>王影</t>
    <phoneticPr fontId="2" type="noConversion"/>
  </si>
  <si>
    <t>杨春昌</t>
    <phoneticPr fontId="2" type="noConversion"/>
  </si>
  <si>
    <t>周国宇</t>
    <phoneticPr fontId="2" type="noConversion"/>
  </si>
  <si>
    <t>20160821&amp;27</t>
    <phoneticPr fontId="2" type="noConversion"/>
  </si>
  <si>
    <t>20160823-0824</t>
    <phoneticPr fontId="2" type="noConversion"/>
  </si>
  <si>
    <t>5-10</t>
    <phoneticPr fontId="2" type="noConversion"/>
  </si>
  <si>
    <t>201607-09</t>
    <phoneticPr fontId="2" type="noConversion"/>
  </si>
  <si>
    <t>肖子云</t>
    <phoneticPr fontId="2" type="noConversion"/>
  </si>
  <si>
    <t>李加坤</t>
    <phoneticPr fontId="2" type="noConversion"/>
  </si>
  <si>
    <t>普恒章</t>
    <phoneticPr fontId="2" type="noConversion"/>
  </si>
  <si>
    <t>大尖峰</t>
    <phoneticPr fontId="2" type="noConversion"/>
  </si>
  <si>
    <t>雷打岩</t>
    <phoneticPr fontId="2" type="noConversion"/>
  </si>
  <si>
    <t>大茶房上</t>
    <phoneticPr fontId="2" type="noConversion"/>
  </si>
  <si>
    <t>大茶户</t>
    <phoneticPr fontId="2" type="noConversion"/>
  </si>
  <si>
    <t>何忠云</t>
    <phoneticPr fontId="2" type="noConversion"/>
  </si>
  <si>
    <t>10-20</t>
    <phoneticPr fontId="2" type="noConversion"/>
  </si>
  <si>
    <t>大茶房</t>
    <phoneticPr fontId="2" type="noConversion"/>
  </si>
  <si>
    <t>羊蹄子山</t>
    <phoneticPr fontId="2" type="noConversion"/>
  </si>
  <si>
    <t>20160911</t>
    <phoneticPr fontId="2" type="noConversion"/>
  </si>
  <si>
    <t>黄正先</t>
    <phoneticPr fontId="2" type="noConversion"/>
  </si>
  <si>
    <t>20160702</t>
    <phoneticPr fontId="2" type="noConversion"/>
  </si>
  <si>
    <t>2016709</t>
    <phoneticPr fontId="2" type="noConversion"/>
  </si>
  <si>
    <t>20160824</t>
    <phoneticPr fontId="2" type="noConversion"/>
  </si>
  <si>
    <t>20161028</t>
    <phoneticPr fontId="2" type="noConversion"/>
  </si>
  <si>
    <t>李红伟</t>
    <phoneticPr fontId="2" type="noConversion"/>
  </si>
  <si>
    <t>李昌恩</t>
    <phoneticPr fontId="2" type="noConversion"/>
  </si>
  <si>
    <t>何兴能</t>
    <phoneticPr fontId="2" type="noConversion"/>
  </si>
  <si>
    <t>罗权章</t>
    <phoneticPr fontId="2" type="noConversion"/>
  </si>
  <si>
    <t>范学恩</t>
    <phoneticPr fontId="2" type="noConversion"/>
  </si>
  <si>
    <t>王开昌</t>
    <phoneticPr fontId="2" type="noConversion"/>
  </si>
  <si>
    <t>20160722</t>
    <phoneticPr fontId="2" type="noConversion"/>
  </si>
  <si>
    <t>田子云</t>
    <phoneticPr fontId="2" type="noConversion"/>
  </si>
  <si>
    <t>普明文</t>
    <phoneticPr fontId="2" type="noConversion"/>
  </si>
  <si>
    <t>普宁</t>
    <phoneticPr fontId="2" type="noConversion"/>
  </si>
  <si>
    <t>王立东</t>
    <phoneticPr fontId="2" type="noConversion"/>
  </si>
  <si>
    <t>身份证号码</t>
    <phoneticPr fontId="2" type="noConversion"/>
  </si>
  <si>
    <t>手机号码</t>
    <phoneticPr fontId="2" type="noConversion"/>
  </si>
  <si>
    <t>采样地址</t>
    <phoneticPr fontId="2" type="noConversion"/>
  </si>
  <si>
    <t>？？？</t>
    <phoneticPr fontId="2" type="noConversion"/>
  </si>
  <si>
    <t>13987931449</t>
    <phoneticPr fontId="2" type="noConversion"/>
  </si>
  <si>
    <t>镇沅县九甲镇和平村</t>
  </si>
  <si>
    <t>20160713</t>
    <phoneticPr fontId="2" type="noConversion"/>
  </si>
  <si>
    <t>镇沅县九甲镇和平村千家寨</t>
  </si>
  <si>
    <t>镇沅县九甲镇和平村千家寨</t>
    <phoneticPr fontId="2" type="noConversion"/>
  </si>
  <si>
    <t>532726197505162136</t>
    <phoneticPr fontId="2" type="noConversion"/>
  </si>
  <si>
    <t>13759009851</t>
    <phoneticPr fontId="2" type="noConversion"/>
  </si>
  <si>
    <t>201607-08</t>
    <phoneticPr fontId="2" type="noConversion"/>
  </si>
  <si>
    <t>镇沅九甲甸坑村</t>
    <phoneticPr fontId="2" type="noConversion"/>
  </si>
  <si>
    <t>镇沅九甲甸坑村民委员会</t>
    <phoneticPr fontId="2" type="noConversion"/>
  </si>
  <si>
    <t>532726196904061254</t>
    <phoneticPr fontId="2" type="noConversion"/>
  </si>
  <si>
    <t>13648795316</t>
    <phoneticPr fontId="2" type="noConversion"/>
  </si>
  <si>
    <t>20160708-0710</t>
    <phoneticPr fontId="2" type="noConversion"/>
  </si>
  <si>
    <t>镇沅东洒村</t>
    <phoneticPr fontId="2" type="noConversion"/>
  </si>
  <si>
    <t>532726195903062115</t>
    <phoneticPr fontId="2" type="noConversion"/>
  </si>
  <si>
    <t>13769902526</t>
    <phoneticPr fontId="2" type="noConversion"/>
  </si>
  <si>
    <t>20160708</t>
    <phoneticPr fontId="2" type="noConversion"/>
  </si>
  <si>
    <t>？？</t>
    <phoneticPr fontId="2" type="noConversion"/>
  </si>
  <si>
    <t>13887959989</t>
    <phoneticPr fontId="2" type="noConversion"/>
  </si>
  <si>
    <t>镇沅县九甲镇果吉村</t>
  </si>
  <si>
    <t>镇沅县九甲镇果吉村</t>
    <phoneticPr fontId="2" type="noConversion"/>
  </si>
  <si>
    <t>53272619740801211X</t>
    <phoneticPr fontId="2" type="noConversion"/>
  </si>
  <si>
    <t>15125687717</t>
    <phoneticPr fontId="2" type="noConversion"/>
  </si>
  <si>
    <t>532726195702122118</t>
    <phoneticPr fontId="2" type="noConversion"/>
  </si>
  <si>
    <t>15658794271</t>
    <phoneticPr fontId="2" type="noConversion"/>
  </si>
  <si>
    <t>15925281740</t>
    <phoneticPr fontId="2" type="noConversion"/>
  </si>
  <si>
    <t>镇沅县九甲镇和平村千家寨保护所</t>
  </si>
  <si>
    <t>镇沅县九甲镇和平村千家寨保护所</t>
    <phoneticPr fontId="2" type="noConversion"/>
  </si>
  <si>
    <t>镇沅县九甲镇和平村往南</t>
    <phoneticPr fontId="2" type="noConversion"/>
  </si>
  <si>
    <t>镇沅县九甲镇和平村千家寨保护区</t>
    <phoneticPr fontId="2" type="noConversion"/>
  </si>
  <si>
    <t>海拔2100</t>
    <phoneticPr fontId="2" type="noConversion"/>
  </si>
  <si>
    <t>镇沅县</t>
    <phoneticPr fontId="2" type="noConversion"/>
  </si>
  <si>
    <t>532726196205242412</t>
    <phoneticPr fontId="2" type="noConversion"/>
  </si>
  <si>
    <t>15987982717</t>
    <phoneticPr fontId="2" type="noConversion"/>
  </si>
  <si>
    <t>镇沅县者东镇樟盆村延樟盆组</t>
  </si>
  <si>
    <t>镇沅县者东镇樟盆村延樟盆组</t>
    <phoneticPr fontId="2" type="noConversion"/>
  </si>
  <si>
    <t>镇沅县九甲镇文岗村争山组</t>
  </si>
  <si>
    <t>镇沅县九甲镇文岗村争山组</t>
    <phoneticPr fontId="2" type="noConversion"/>
  </si>
  <si>
    <t>15925281143</t>
  </si>
  <si>
    <t>15925281143</t>
    <phoneticPr fontId="2" type="noConversion"/>
  </si>
  <si>
    <t>201607</t>
    <phoneticPr fontId="2" type="noConversion"/>
  </si>
  <si>
    <t>18387927336</t>
    <phoneticPr fontId="2" type="noConversion"/>
  </si>
  <si>
    <t>53272619860928241X</t>
    <phoneticPr fontId="2" type="noConversion"/>
  </si>
  <si>
    <t>13987901549</t>
    <phoneticPr fontId="2" type="noConversion"/>
  </si>
  <si>
    <t>20160721-0730</t>
    <phoneticPr fontId="2" type="noConversion"/>
  </si>
  <si>
    <t>53272619780514241X</t>
    <phoneticPr fontId="2" type="noConversion"/>
  </si>
  <si>
    <t>15154888456</t>
    <phoneticPr fontId="2" type="noConversion"/>
  </si>
  <si>
    <t>镇沅县者东镇木丁村中山组</t>
    <phoneticPr fontId="2" type="noConversion"/>
  </si>
  <si>
    <t>532726197208282115</t>
    <phoneticPr fontId="2" type="noConversion"/>
  </si>
  <si>
    <t>13578185348</t>
    <phoneticPr fontId="2" type="noConversion"/>
  </si>
  <si>
    <t>镇沅县九甲镇文岗村朵山小组</t>
    <phoneticPr fontId="2" type="noConversion"/>
  </si>
  <si>
    <t>纸场河</t>
    <phoneticPr fontId="2" type="noConversion"/>
  </si>
  <si>
    <t>532726196103102419</t>
  </si>
  <si>
    <t>532726196103102419</t>
    <phoneticPr fontId="2" type="noConversion"/>
  </si>
  <si>
    <t>学堂？</t>
    <phoneticPr fontId="2" type="noConversion"/>
  </si>
  <si>
    <t>53272619800405211X</t>
    <phoneticPr fontId="2" type="noConversion"/>
  </si>
  <si>
    <t>镇沅县九甲镇勐真村文工村民小组</t>
    <phoneticPr fontId="2" type="noConversion"/>
  </si>
  <si>
    <t>13577954998</t>
    <phoneticPr fontId="2" type="noConversion"/>
  </si>
  <si>
    <t>20160709</t>
    <phoneticPr fontId="2" type="noConversion"/>
  </si>
  <si>
    <t>532726195812282411</t>
    <phoneticPr fontId="2" type="noConversion"/>
  </si>
  <si>
    <t>13987907342</t>
    <phoneticPr fontId="2" type="noConversion"/>
  </si>
  <si>
    <t>镇沅县者东镇木丁村大山小组</t>
    <phoneticPr fontId="2" type="noConversion"/>
  </si>
  <si>
    <t>532726196501132410</t>
  </si>
  <si>
    <t>532726196501132410</t>
    <phoneticPr fontId="2" type="noConversion"/>
  </si>
  <si>
    <t>13577961712</t>
  </si>
  <si>
    <t>13577961712</t>
    <phoneticPr fontId="2" type="noConversion"/>
  </si>
  <si>
    <t>镇沅县者东镇凹龙村</t>
  </si>
  <si>
    <t>镇沅县者东镇凹龙村</t>
    <phoneticPr fontId="2" type="noConversion"/>
  </si>
  <si>
    <t>海拔2796</t>
    <phoneticPr fontId="2" type="noConversion"/>
  </si>
  <si>
    <t>海拔2496</t>
    <phoneticPr fontId="2" type="noConversion"/>
  </si>
  <si>
    <t>15987945909</t>
    <phoneticPr fontId="2" type="noConversion"/>
  </si>
  <si>
    <t>镇沅县者东镇新村村</t>
    <phoneticPr fontId="2" type="noConversion"/>
  </si>
  <si>
    <t>532726197806252434</t>
    <phoneticPr fontId="2" type="noConversion"/>
  </si>
  <si>
    <t>15125604726</t>
    <phoneticPr fontId="2" type="noConversion"/>
  </si>
  <si>
    <t>镇沅县麦地村</t>
    <phoneticPr fontId="2" type="noConversion"/>
  </si>
  <si>
    <t>海拔2387</t>
    <phoneticPr fontId="2" type="noConversion"/>
  </si>
  <si>
    <t>海拔2387&amp;3511</t>
    <phoneticPr fontId="2" type="noConversion"/>
  </si>
  <si>
    <t>镇沅县者东镇凹龙村二社</t>
    <phoneticPr fontId="2" type="noConversion"/>
  </si>
  <si>
    <t>532726199008132111</t>
    <phoneticPr fontId="2" type="noConversion"/>
  </si>
  <si>
    <t>镇沅县九甲镇勐真村</t>
  </si>
  <si>
    <t>13649692948</t>
    <phoneticPr fontId="2" type="noConversion"/>
  </si>
  <si>
    <t>20160620</t>
    <phoneticPr fontId="2" type="noConversion"/>
  </si>
  <si>
    <t>镇沅县者东镇麦地村</t>
    <phoneticPr fontId="2" type="noConversion"/>
  </si>
  <si>
    <t>小管</t>
    <phoneticPr fontId="2" type="noConversion"/>
  </si>
  <si>
    <t>无</t>
    <phoneticPr fontId="2" type="noConversion"/>
  </si>
  <si>
    <t>李文和</t>
    <phoneticPr fontId="2" type="noConversion"/>
  </si>
  <si>
    <t>罗文洪</t>
    <phoneticPr fontId="2" type="noConversion"/>
  </si>
  <si>
    <t>唐国正</t>
    <phoneticPr fontId="2" type="noConversion"/>
  </si>
  <si>
    <t>李茂天</t>
    <phoneticPr fontId="2" type="noConversion"/>
  </si>
  <si>
    <t>蒋文奎</t>
    <phoneticPr fontId="2" type="noConversion"/>
  </si>
  <si>
    <t>李先明</t>
    <phoneticPr fontId="2" type="noConversion"/>
  </si>
  <si>
    <t>李桂芳</t>
    <phoneticPr fontId="2" type="noConversion"/>
  </si>
  <si>
    <t>阿发科</t>
    <phoneticPr fontId="2" type="noConversion"/>
  </si>
  <si>
    <t>涂思学</t>
    <phoneticPr fontId="2" type="noConversion"/>
  </si>
  <si>
    <t>杨兆清</t>
    <phoneticPr fontId="2" type="noConversion"/>
  </si>
  <si>
    <t>1</t>
    <phoneticPr fontId="2" type="noConversion"/>
  </si>
  <si>
    <t>2</t>
    <phoneticPr fontId="2" type="noConversion"/>
  </si>
  <si>
    <t>3</t>
    <phoneticPr fontId="2" type="noConversion"/>
  </si>
  <si>
    <t>海拔2696-1</t>
    <phoneticPr fontId="2" type="noConversion"/>
  </si>
  <si>
    <t>海拔2696-2</t>
    <phoneticPr fontId="2" type="noConversion"/>
  </si>
  <si>
    <t>No.11</t>
  </si>
  <si>
    <t>No.12</t>
  </si>
  <si>
    <t>No.13</t>
  </si>
  <si>
    <t>No.14</t>
  </si>
  <si>
    <t>No.15</t>
  </si>
  <si>
    <t>No.16</t>
  </si>
  <si>
    <t>No.17</t>
  </si>
  <si>
    <t>No.18</t>
  </si>
  <si>
    <t>No.19</t>
  </si>
  <si>
    <t>No.20</t>
  </si>
  <si>
    <t>No.21</t>
  </si>
  <si>
    <t>No.22</t>
  </si>
  <si>
    <t>No.23</t>
  </si>
  <si>
    <t>No.24</t>
  </si>
  <si>
    <t>No.25</t>
  </si>
  <si>
    <t>No.26</t>
  </si>
  <si>
    <t>No.27</t>
  </si>
  <si>
    <t>Lab ID</t>
    <phoneticPr fontId="2" type="noConversion"/>
  </si>
  <si>
    <t>SB001</t>
    <phoneticPr fontId="2" type="noConversion"/>
  </si>
  <si>
    <t>SB002</t>
  </si>
  <si>
    <t>SB003</t>
  </si>
  <si>
    <t>SB004</t>
  </si>
  <si>
    <t>SB005</t>
  </si>
  <si>
    <t>SB006</t>
  </si>
  <si>
    <t>SB007</t>
  </si>
  <si>
    <t>SB008</t>
  </si>
  <si>
    <t>SB009</t>
  </si>
  <si>
    <t>SB010</t>
  </si>
  <si>
    <t>SB011</t>
  </si>
  <si>
    <t>SB012</t>
  </si>
  <si>
    <t>SB013</t>
  </si>
  <si>
    <t>SB014</t>
  </si>
  <si>
    <t>SB015</t>
  </si>
  <si>
    <t>SB016</t>
  </si>
  <si>
    <t>SB017</t>
  </si>
  <si>
    <t>SB018</t>
  </si>
  <si>
    <t>SB019</t>
  </si>
  <si>
    <t>SB020</t>
  </si>
  <si>
    <t>SB021</t>
  </si>
  <si>
    <t>SB022</t>
  </si>
  <si>
    <t>SB023</t>
  </si>
  <si>
    <t>SB024</t>
  </si>
  <si>
    <t>SB025</t>
  </si>
  <si>
    <t>SB026</t>
  </si>
  <si>
    <t>SB027</t>
  </si>
  <si>
    <t>SB028</t>
  </si>
  <si>
    <t>SB029</t>
  </si>
  <si>
    <t>SB030</t>
  </si>
  <si>
    <t>SB031</t>
  </si>
  <si>
    <t>SB032</t>
  </si>
  <si>
    <t>SB033</t>
  </si>
  <si>
    <t>SB034</t>
  </si>
  <si>
    <t>SB035</t>
  </si>
  <si>
    <t>SB036</t>
  </si>
  <si>
    <t>SB037</t>
  </si>
  <si>
    <t>SB038</t>
  </si>
  <si>
    <t>SB039</t>
  </si>
  <si>
    <t>SB040</t>
  </si>
  <si>
    <t>SB041</t>
  </si>
  <si>
    <t>SB042</t>
  </si>
  <si>
    <t>SB043</t>
  </si>
  <si>
    <t>SB044</t>
  </si>
  <si>
    <t>SB045</t>
  </si>
  <si>
    <t>SB046</t>
  </si>
  <si>
    <t>SB047</t>
  </si>
  <si>
    <t>SB048</t>
  </si>
  <si>
    <t>SB049</t>
  </si>
  <si>
    <t>SB050</t>
  </si>
  <si>
    <t>SB051</t>
  </si>
  <si>
    <t>SB052</t>
  </si>
  <si>
    <t>SB053</t>
  </si>
  <si>
    <t>SB054</t>
  </si>
  <si>
    <t>SB055</t>
  </si>
  <si>
    <t>SB056</t>
  </si>
  <si>
    <t>SB057</t>
  </si>
  <si>
    <t>SB058</t>
  </si>
  <si>
    <t>SB059</t>
  </si>
  <si>
    <t>SB060</t>
  </si>
  <si>
    <t>SB061</t>
  </si>
  <si>
    <t>SB062</t>
  </si>
  <si>
    <t>SB063</t>
  </si>
  <si>
    <t>SB064</t>
  </si>
  <si>
    <t>SB065</t>
  </si>
  <si>
    <t>SB066</t>
  </si>
  <si>
    <t>SB067</t>
  </si>
  <si>
    <t>SB068</t>
  </si>
  <si>
    <t>SB069</t>
  </si>
  <si>
    <t>SB070</t>
  </si>
  <si>
    <t>SB071</t>
  </si>
  <si>
    <t>SB072</t>
  </si>
  <si>
    <t>SB073</t>
  </si>
  <si>
    <t>SB074</t>
  </si>
  <si>
    <t>SB075</t>
  </si>
  <si>
    <t>SB076</t>
  </si>
  <si>
    <t>SB077</t>
  </si>
  <si>
    <t>SB078</t>
  </si>
  <si>
    <t>SB079</t>
  </si>
  <si>
    <t>SB080</t>
  </si>
  <si>
    <t>SB081</t>
  </si>
  <si>
    <t>SB082</t>
  </si>
  <si>
    <t>SB083</t>
  </si>
  <si>
    <t>SB084</t>
  </si>
  <si>
    <t>SB085</t>
  </si>
  <si>
    <t>SB086</t>
  </si>
  <si>
    <t>SB087</t>
  </si>
  <si>
    <t>SB088</t>
  </si>
  <si>
    <t>SB089</t>
  </si>
  <si>
    <t>SB090</t>
  </si>
  <si>
    <t>SB091</t>
  </si>
  <si>
    <t>SB092</t>
  </si>
  <si>
    <t>SB093</t>
  </si>
  <si>
    <t>SB094</t>
  </si>
  <si>
    <t>SB095</t>
  </si>
  <si>
    <t>SB096</t>
  </si>
  <si>
    <t>SB097</t>
  </si>
  <si>
    <t>SB098</t>
  </si>
  <si>
    <t>SB099</t>
  </si>
  <si>
    <t>SB100</t>
  </si>
  <si>
    <t>SB101</t>
  </si>
  <si>
    <t>SB102</t>
  </si>
  <si>
    <t>SB103</t>
  </si>
  <si>
    <t>SB104</t>
  </si>
  <si>
    <t>SB105</t>
  </si>
  <si>
    <t>SB106</t>
  </si>
  <si>
    <t>SB107</t>
  </si>
  <si>
    <t>SB108</t>
  </si>
  <si>
    <t>SB109</t>
  </si>
  <si>
    <t>SB110</t>
  </si>
  <si>
    <t>SB111</t>
  </si>
  <si>
    <t>SB112</t>
  </si>
  <si>
    <t>SB113</t>
  </si>
  <si>
    <t>SB114</t>
  </si>
  <si>
    <t>SB115</t>
  </si>
  <si>
    <t>SB116</t>
  </si>
  <si>
    <t>SB117</t>
  </si>
  <si>
    <t>SB118</t>
  </si>
  <si>
    <t>SB119</t>
  </si>
  <si>
    <t>SB120</t>
  </si>
  <si>
    <t>SB121</t>
  </si>
  <si>
    <t>SB122</t>
  </si>
  <si>
    <t>SB123</t>
  </si>
  <si>
    <t>SB124</t>
  </si>
  <si>
    <t>SB125</t>
  </si>
  <si>
    <t>SB126</t>
  </si>
  <si>
    <t>SB127</t>
  </si>
  <si>
    <t>SB128</t>
  </si>
  <si>
    <t>SB129</t>
  </si>
  <si>
    <t>SB130</t>
  </si>
  <si>
    <t>SB131</t>
  </si>
  <si>
    <t>SB132</t>
  </si>
  <si>
    <t>SB133</t>
  </si>
  <si>
    <t>SB134</t>
  </si>
  <si>
    <t>SB135</t>
  </si>
  <si>
    <t>SB136</t>
  </si>
  <si>
    <t>SB137</t>
  </si>
  <si>
    <t>SB138</t>
  </si>
  <si>
    <t>SB139</t>
  </si>
  <si>
    <t>SB140</t>
  </si>
  <si>
    <t>SB141</t>
  </si>
  <si>
    <t>SB142</t>
  </si>
  <si>
    <t>SB143</t>
  </si>
  <si>
    <t>SB144</t>
  </si>
  <si>
    <t>SB145</t>
  </si>
  <si>
    <t>SB146</t>
  </si>
  <si>
    <t>SB147</t>
  </si>
  <si>
    <t>SB148</t>
  </si>
  <si>
    <t>SB149</t>
  </si>
  <si>
    <t>SB150</t>
  </si>
  <si>
    <t>SB151</t>
  </si>
  <si>
    <t>SB152</t>
  </si>
  <si>
    <t>SB153</t>
  </si>
  <si>
    <t>SB154</t>
  </si>
  <si>
    <t>Lab ID</t>
    <phoneticPr fontId="2" type="noConversion"/>
  </si>
  <si>
    <t>XP100</t>
  </si>
  <si>
    <t>XP101</t>
  </si>
  <si>
    <t>XP102</t>
  </si>
  <si>
    <t>XP103</t>
  </si>
  <si>
    <t>XP104</t>
  </si>
  <si>
    <t>XP105</t>
  </si>
  <si>
    <t>XP106</t>
  </si>
  <si>
    <t>XP107</t>
  </si>
  <si>
    <t>XP108</t>
  </si>
  <si>
    <t>XP109</t>
  </si>
  <si>
    <t>XP110</t>
  </si>
  <si>
    <t>XP111</t>
  </si>
  <si>
    <t>XP112</t>
  </si>
  <si>
    <t>XP113</t>
  </si>
  <si>
    <t>XP114</t>
  </si>
  <si>
    <t>XP115</t>
  </si>
  <si>
    <t>XP116</t>
  </si>
  <si>
    <t>XP117</t>
  </si>
  <si>
    <t>XP118</t>
  </si>
  <si>
    <t>XP119</t>
  </si>
  <si>
    <t>XP120</t>
  </si>
  <si>
    <t>XP121</t>
  </si>
  <si>
    <t>XP122</t>
  </si>
  <si>
    <t>XP123</t>
  </si>
  <si>
    <t>XP001</t>
    <phoneticPr fontId="2" type="noConversion"/>
  </si>
  <si>
    <t>XP002</t>
  </si>
  <si>
    <t>XP003</t>
  </si>
  <si>
    <t>XP004</t>
  </si>
  <si>
    <t>XP005</t>
  </si>
  <si>
    <t>XP006</t>
  </si>
  <si>
    <t>XP007</t>
  </si>
  <si>
    <t>XP008</t>
  </si>
  <si>
    <t>XP009</t>
  </si>
  <si>
    <t>XP010</t>
  </si>
  <si>
    <t>XP011</t>
  </si>
  <si>
    <t>XP012</t>
  </si>
  <si>
    <t>XP013</t>
  </si>
  <si>
    <t>XP014</t>
  </si>
  <si>
    <t>XP015</t>
  </si>
  <si>
    <t>XP016</t>
  </si>
  <si>
    <t>XP017</t>
  </si>
  <si>
    <t>XP018</t>
  </si>
  <si>
    <t>XP019</t>
  </si>
  <si>
    <t>XP020</t>
  </si>
  <si>
    <t>XP021</t>
  </si>
  <si>
    <t>XP022</t>
  </si>
  <si>
    <t>XP023</t>
  </si>
  <si>
    <t>XP024</t>
  </si>
  <si>
    <t>XP025</t>
  </si>
  <si>
    <t>XP026</t>
  </si>
  <si>
    <t>XP027</t>
  </si>
  <si>
    <t>XP028</t>
  </si>
  <si>
    <t>XP029</t>
  </si>
  <si>
    <t>XP030</t>
  </si>
  <si>
    <t>XP031</t>
  </si>
  <si>
    <t>XP032</t>
  </si>
  <si>
    <t>XP033</t>
  </si>
  <si>
    <t>XP034</t>
  </si>
  <si>
    <t>XP035</t>
  </si>
  <si>
    <t>XP036</t>
  </si>
  <si>
    <t>XP037</t>
  </si>
  <si>
    <t>XP038</t>
  </si>
  <si>
    <t>XP039</t>
  </si>
  <si>
    <t>XP040</t>
  </si>
  <si>
    <t>XP041</t>
  </si>
  <si>
    <t>XP042</t>
  </si>
  <si>
    <t>XP043</t>
  </si>
  <si>
    <t>XP044</t>
  </si>
  <si>
    <t>XP045</t>
  </si>
  <si>
    <t>XP046</t>
  </si>
  <si>
    <t>XP047</t>
  </si>
  <si>
    <t>XP048</t>
  </si>
  <si>
    <t>XP049</t>
  </si>
  <si>
    <t>XP050</t>
  </si>
  <si>
    <t>XP051</t>
  </si>
  <si>
    <t>XP052</t>
  </si>
  <si>
    <t>XP053</t>
  </si>
  <si>
    <t>XP054</t>
  </si>
  <si>
    <t>XP055</t>
  </si>
  <si>
    <t>XP056</t>
  </si>
  <si>
    <t>XP057</t>
  </si>
  <si>
    <t>XP058</t>
  </si>
  <si>
    <t>XP059</t>
  </si>
  <si>
    <t>XP060</t>
  </si>
  <si>
    <t>XP061</t>
  </si>
  <si>
    <t>XP062</t>
  </si>
  <si>
    <t>XP063</t>
  </si>
  <si>
    <t>XP064</t>
  </si>
  <si>
    <t>XP065</t>
  </si>
  <si>
    <t>XP066</t>
  </si>
  <si>
    <t>XP067</t>
  </si>
  <si>
    <t>XP068</t>
  </si>
  <si>
    <t>XP069</t>
  </si>
  <si>
    <t>XP070</t>
  </si>
  <si>
    <t>XP071</t>
  </si>
  <si>
    <t>XP072</t>
  </si>
  <si>
    <t>XP073</t>
  </si>
  <si>
    <t>XP074</t>
  </si>
  <si>
    <t>XP075</t>
  </si>
  <si>
    <t>XP076</t>
  </si>
  <si>
    <t>XP077</t>
  </si>
  <si>
    <t>XP078</t>
  </si>
  <si>
    <t>XP079</t>
  </si>
  <si>
    <t>XP080</t>
  </si>
  <si>
    <t>XP081</t>
  </si>
  <si>
    <t>XP082</t>
  </si>
  <si>
    <t>XP083</t>
  </si>
  <si>
    <t>XP084</t>
  </si>
  <si>
    <t>XP085</t>
  </si>
  <si>
    <t>XP086</t>
  </si>
  <si>
    <t>XP087</t>
  </si>
  <si>
    <t>XP088</t>
  </si>
  <si>
    <t>XP089</t>
  </si>
  <si>
    <t>XP090</t>
  </si>
  <si>
    <t>XP091</t>
  </si>
  <si>
    <t>XP092</t>
  </si>
  <si>
    <t>XP093</t>
  </si>
  <si>
    <t>XP094</t>
  </si>
  <si>
    <t>XP095</t>
  </si>
  <si>
    <t>XP096</t>
  </si>
  <si>
    <t>XP097</t>
  </si>
  <si>
    <t>XP098</t>
  </si>
  <si>
    <t>XP099</t>
  </si>
  <si>
    <t>Lysis buffer</t>
    <phoneticPr fontId="2" type="noConversion"/>
  </si>
  <si>
    <t>Lab ID</t>
    <phoneticPr fontId="2" type="noConversion"/>
  </si>
  <si>
    <t>JD01</t>
    <phoneticPr fontId="2" type="noConversion"/>
  </si>
  <si>
    <t>JD02</t>
  </si>
  <si>
    <t>JD03</t>
  </si>
  <si>
    <t>JD04</t>
  </si>
  <si>
    <t>JD05</t>
  </si>
  <si>
    <t>JD06</t>
  </si>
  <si>
    <t>JD07</t>
  </si>
  <si>
    <t>JD08</t>
  </si>
  <si>
    <t>JD09</t>
  </si>
  <si>
    <t>JD10</t>
  </si>
  <si>
    <t>JD11</t>
  </si>
  <si>
    <t>JD12</t>
  </si>
  <si>
    <t>JD13</t>
  </si>
  <si>
    <t>JD14</t>
  </si>
  <si>
    <t>JD15</t>
  </si>
  <si>
    <t>JD16</t>
  </si>
  <si>
    <t>JD17</t>
  </si>
  <si>
    <t>JD18</t>
  </si>
  <si>
    <t>JD19</t>
  </si>
  <si>
    <t>JD20</t>
  </si>
  <si>
    <t>JD21</t>
  </si>
  <si>
    <t>JD22</t>
  </si>
  <si>
    <t>JD23</t>
  </si>
  <si>
    <t>JD24</t>
  </si>
  <si>
    <t>JD25</t>
  </si>
  <si>
    <t>JD26</t>
  </si>
  <si>
    <t>JD27</t>
  </si>
  <si>
    <t>JD28</t>
  </si>
  <si>
    <t>JD29</t>
  </si>
  <si>
    <t>JD30</t>
  </si>
  <si>
    <t>JD31</t>
  </si>
  <si>
    <t>JD32</t>
  </si>
  <si>
    <t>JD33</t>
  </si>
  <si>
    <t>JD34</t>
  </si>
  <si>
    <t>JD35</t>
  </si>
  <si>
    <t>JD36</t>
  </si>
  <si>
    <t>JD37</t>
  </si>
  <si>
    <t>JD38</t>
  </si>
  <si>
    <t>JD39</t>
  </si>
  <si>
    <t>JD40</t>
  </si>
  <si>
    <t>JD41</t>
  </si>
  <si>
    <t>JD42</t>
  </si>
  <si>
    <t>JD43</t>
  </si>
  <si>
    <t>JD44</t>
  </si>
  <si>
    <t>JD45</t>
  </si>
  <si>
    <t>JD46</t>
  </si>
  <si>
    <t>JD47</t>
  </si>
  <si>
    <t>JD48</t>
  </si>
  <si>
    <t>JD49</t>
  </si>
  <si>
    <t>JD50</t>
  </si>
  <si>
    <t>JD51</t>
  </si>
  <si>
    <t>JD52</t>
  </si>
  <si>
    <t>JD53</t>
  </si>
  <si>
    <t>JD54</t>
  </si>
  <si>
    <t>JD55</t>
  </si>
  <si>
    <t>JD56</t>
  </si>
  <si>
    <t>JD57</t>
  </si>
  <si>
    <t>JD58</t>
  </si>
  <si>
    <t>JD59</t>
  </si>
  <si>
    <t>JD60</t>
  </si>
  <si>
    <t>JD61</t>
  </si>
  <si>
    <t>JD62</t>
  </si>
  <si>
    <t>JD63</t>
  </si>
  <si>
    <t>JD64</t>
  </si>
  <si>
    <t>JD65</t>
  </si>
  <si>
    <t>JD66</t>
  </si>
  <si>
    <t>JD67</t>
  </si>
  <si>
    <t>JD68</t>
  </si>
  <si>
    <t>JD69</t>
  </si>
  <si>
    <t>JD70</t>
  </si>
  <si>
    <t>JD71</t>
  </si>
  <si>
    <t>JD72</t>
  </si>
  <si>
    <t>JD73</t>
  </si>
  <si>
    <t>JD74</t>
  </si>
  <si>
    <t>JD75</t>
  </si>
  <si>
    <t>JD76</t>
  </si>
  <si>
    <t>JD77</t>
  </si>
  <si>
    <t>JD78</t>
  </si>
  <si>
    <t>JD79</t>
  </si>
  <si>
    <t>JD80</t>
  </si>
  <si>
    <t>JD81</t>
  </si>
  <si>
    <t>JD82</t>
  </si>
  <si>
    <t>JD83</t>
  </si>
  <si>
    <t>JD84</t>
  </si>
  <si>
    <t>JD85</t>
  </si>
  <si>
    <t>JD86</t>
  </si>
  <si>
    <t>JD87</t>
  </si>
  <si>
    <t>JD88</t>
  </si>
  <si>
    <t>JD89</t>
  </si>
  <si>
    <t>JD90</t>
  </si>
  <si>
    <t>JD91</t>
  </si>
  <si>
    <t>JD92</t>
  </si>
  <si>
    <t>JD93</t>
  </si>
  <si>
    <t>JD94</t>
  </si>
  <si>
    <t>JD95</t>
  </si>
  <si>
    <t>JD96</t>
  </si>
  <si>
    <t>JD97</t>
  </si>
  <si>
    <t>JD98</t>
  </si>
  <si>
    <t>ZY01</t>
    <phoneticPr fontId="2" type="noConversion"/>
  </si>
  <si>
    <t>ZY02</t>
  </si>
  <si>
    <t>ZY03</t>
  </si>
  <si>
    <t>ZY04</t>
  </si>
  <si>
    <t>ZY05</t>
  </si>
  <si>
    <t>ZY06</t>
  </si>
  <si>
    <t>ZY07</t>
  </si>
  <si>
    <t>ZY08</t>
  </si>
  <si>
    <t>ZY09</t>
  </si>
  <si>
    <t>ZY10</t>
  </si>
  <si>
    <t>ZY11</t>
  </si>
  <si>
    <t>ZY12</t>
  </si>
  <si>
    <t>ZY13</t>
  </si>
  <si>
    <t>ZY14</t>
  </si>
  <si>
    <t>ZY15</t>
  </si>
  <si>
    <t>ZY16</t>
  </si>
  <si>
    <t>ZY17</t>
  </si>
  <si>
    <t>ZY18</t>
  </si>
  <si>
    <t>ZY19</t>
  </si>
  <si>
    <t>ZY20</t>
  </si>
  <si>
    <t>ZY21</t>
  </si>
  <si>
    <t>ZY22</t>
  </si>
  <si>
    <t>ZY23</t>
  </si>
  <si>
    <t>ZY24</t>
  </si>
  <si>
    <t>ZY25</t>
  </si>
  <si>
    <t>ZY26</t>
  </si>
  <si>
    <t>ZY27</t>
  </si>
  <si>
    <t>ZY28</t>
  </si>
  <si>
    <t>ZY29</t>
  </si>
  <si>
    <t>ZY30</t>
  </si>
  <si>
    <t>ZY31</t>
  </si>
  <si>
    <t>ZY32</t>
  </si>
  <si>
    <t>ZY33</t>
  </si>
  <si>
    <t>ZY34</t>
  </si>
  <si>
    <t>ZY35</t>
  </si>
  <si>
    <t>ZY36</t>
  </si>
  <si>
    <t>ZY37</t>
  </si>
  <si>
    <t>ZY38</t>
  </si>
  <si>
    <t>ZY39</t>
  </si>
  <si>
    <t>ZY40</t>
  </si>
  <si>
    <t>ZY41</t>
  </si>
  <si>
    <t>ZY42</t>
  </si>
  <si>
    <t>ZY43</t>
  </si>
  <si>
    <t>ZY44</t>
  </si>
  <si>
    <t>ZY45</t>
  </si>
  <si>
    <t>ZY46</t>
  </si>
  <si>
    <t>ZY47</t>
  </si>
  <si>
    <t>ZY48</t>
  </si>
  <si>
    <t>ZY49</t>
  </si>
  <si>
    <t>ZY50</t>
  </si>
  <si>
    <t>ZY51</t>
  </si>
  <si>
    <t>ZY52</t>
  </si>
  <si>
    <t>ZY53</t>
  </si>
  <si>
    <t>ZY54</t>
  </si>
  <si>
    <t>ZY55</t>
  </si>
  <si>
    <t>ZY56</t>
  </si>
  <si>
    <t>ZY57</t>
  </si>
  <si>
    <t>ZY58</t>
  </si>
  <si>
    <t>ZY59</t>
  </si>
  <si>
    <t>ZY60</t>
  </si>
  <si>
    <t>ZY61</t>
  </si>
  <si>
    <t>ZY62</t>
  </si>
  <si>
    <t>姓名</t>
    <phoneticPr fontId="2" type="noConversion"/>
  </si>
  <si>
    <t>地址</t>
    <phoneticPr fontId="2" type="noConversion"/>
  </si>
  <si>
    <t>大管</t>
    <phoneticPr fontId="2" type="noConversion"/>
  </si>
  <si>
    <t>小管</t>
    <phoneticPr fontId="2" type="noConversion"/>
  </si>
  <si>
    <t>只数</t>
    <phoneticPr fontId="2" type="noConversion"/>
  </si>
  <si>
    <t>No.1</t>
    <phoneticPr fontId="2" type="noConversion"/>
  </si>
  <si>
    <t>身份证号</t>
    <phoneticPr fontId="2" type="noConversion"/>
  </si>
  <si>
    <t>手机号码</t>
    <phoneticPr fontId="2" type="noConversion"/>
  </si>
  <si>
    <t>李恒进</t>
    <phoneticPr fontId="2" type="noConversion"/>
  </si>
  <si>
    <t>1包</t>
    <phoneticPr fontId="2" type="noConversion"/>
  </si>
  <si>
    <t>汪华才</t>
    <phoneticPr fontId="2" type="noConversion"/>
  </si>
  <si>
    <t>南华县马街镇后山村委会芹菜塘村，南华管理局</t>
    <phoneticPr fontId="2" type="noConversion"/>
  </si>
  <si>
    <t>53230119770317311X</t>
    <phoneticPr fontId="2" type="noConversion"/>
  </si>
  <si>
    <t>18787814424</t>
    <phoneticPr fontId="2" type="noConversion"/>
  </si>
  <si>
    <t>施国强</t>
    <phoneticPr fontId="2" type="noConversion"/>
  </si>
  <si>
    <t>？？</t>
    <phoneticPr fontId="2" type="noConversion"/>
  </si>
  <si>
    <t>大中山</t>
    <phoneticPr fontId="2" type="noConversion"/>
  </si>
  <si>
    <t>？？？</t>
    <phoneticPr fontId="2" type="noConversion"/>
  </si>
  <si>
    <t>？？</t>
    <phoneticPr fontId="2" type="noConversion"/>
  </si>
  <si>
    <t>罗发强</t>
    <phoneticPr fontId="2" type="noConversion"/>
  </si>
  <si>
    <t>南华县兔街镇半坡村委会大荒田村</t>
    <phoneticPr fontId="2" type="noConversion"/>
  </si>
  <si>
    <t>？？？</t>
    <phoneticPr fontId="2" type="noConversion"/>
  </si>
  <si>
    <t>15987847998</t>
    <phoneticPr fontId="2" type="noConversion"/>
  </si>
  <si>
    <t>大中山</t>
    <phoneticPr fontId="2" type="noConversion"/>
  </si>
  <si>
    <t>南华县五顶山乡王家村委会山花地小组</t>
    <phoneticPr fontId="2" type="noConversion"/>
  </si>
  <si>
    <t>532324197705112112</t>
    <phoneticPr fontId="2" type="noConversion"/>
  </si>
  <si>
    <t>13769251821</t>
    <phoneticPr fontId="2" type="noConversion"/>
  </si>
  <si>
    <t>南华县兔街</t>
    <phoneticPr fontId="2" type="noConversion"/>
  </si>
  <si>
    <t>南华管理局马街管理站</t>
    <phoneticPr fontId="2" type="noConversion"/>
  </si>
  <si>
    <t>532324197306082358</t>
    <phoneticPr fontId="2" type="noConversion"/>
  </si>
  <si>
    <t>15887520320</t>
    <phoneticPr fontId="2" type="noConversion"/>
  </si>
  <si>
    <t>南华县兔街镇半坡村委会大荒田村</t>
    <phoneticPr fontId="2" type="noConversion"/>
  </si>
  <si>
    <t>14769336960</t>
    <phoneticPr fontId="2" type="noConversion"/>
  </si>
  <si>
    <t>南华县兔街镇半坡村委会桃树村</t>
    <phoneticPr fontId="2" type="noConversion"/>
  </si>
  <si>
    <t>15125969798</t>
    <phoneticPr fontId="2" type="noConversion"/>
  </si>
  <si>
    <t>南华县马街镇沙坦郎村</t>
    <phoneticPr fontId="2" type="noConversion"/>
  </si>
  <si>
    <t>53232419820629231X</t>
    <phoneticPr fontId="2" type="noConversion"/>
  </si>
  <si>
    <t>15969321758</t>
    <phoneticPr fontId="2" type="noConversion"/>
  </si>
  <si>
    <t>南华县马街镇上村马街管理站</t>
    <phoneticPr fontId="2" type="noConversion"/>
  </si>
  <si>
    <t>532324196407272316</t>
    <phoneticPr fontId="2" type="noConversion"/>
  </si>
  <si>
    <t>15125782152</t>
    <phoneticPr fontId="2" type="noConversion"/>
  </si>
  <si>
    <t>罗先华</t>
    <phoneticPr fontId="2" type="noConversion"/>
  </si>
  <si>
    <t>532324197601103331</t>
    <phoneticPr fontId="2" type="noConversion"/>
  </si>
  <si>
    <t>15057230320</t>
    <phoneticPr fontId="2" type="noConversion"/>
  </si>
  <si>
    <t>何成富</t>
    <phoneticPr fontId="2" type="noConversion"/>
  </si>
  <si>
    <t>南华县大中山保护区管理局</t>
    <phoneticPr fontId="2" type="noConversion"/>
  </si>
  <si>
    <t>13987812514</t>
    <phoneticPr fontId="2" type="noConversion"/>
  </si>
  <si>
    <t>周正航</t>
    <phoneticPr fontId="2" type="noConversion"/>
  </si>
  <si>
    <t>20160710-0720</t>
    <phoneticPr fontId="2" type="noConversion"/>
  </si>
  <si>
    <t>南华管理局大中山站</t>
    <phoneticPr fontId="2" type="noConversion"/>
  </si>
  <si>
    <t>周正航</t>
    <phoneticPr fontId="2" type="noConversion"/>
  </si>
  <si>
    <t>20160720-0730</t>
    <phoneticPr fontId="2" type="noConversion"/>
  </si>
  <si>
    <t>南华管理局大中山站第二责任区</t>
    <phoneticPr fontId="2" type="noConversion"/>
  </si>
  <si>
    <t>自国先</t>
    <phoneticPr fontId="2" type="noConversion"/>
  </si>
  <si>
    <t>20160729-0804</t>
    <phoneticPr fontId="2" type="noConversion"/>
  </si>
  <si>
    <t>南华县兔街镇长梁孜中山村</t>
    <phoneticPr fontId="2" type="noConversion"/>
  </si>
  <si>
    <t>532324196808102553</t>
    <phoneticPr fontId="2" type="noConversion"/>
  </si>
  <si>
    <t>13987848860</t>
    <phoneticPr fontId="2" type="noConversion"/>
  </si>
  <si>
    <t>自国先</t>
    <phoneticPr fontId="2" type="noConversion"/>
  </si>
  <si>
    <t>20160805-0815</t>
    <phoneticPr fontId="2" type="noConversion"/>
  </si>
  <si>
    <t>13987848860</t>
    <phoneticPr fontId="2" type="noConversion"/>
  </si>
  <si>
    <t>李存明</t>
    <phoneticPr fontId="2" type="noConversion"/>
  </si>
  <si>
    <t>13638773306</t>
    <phoneticPr fontId="2" type="noConversion"/>
  </si>
  <si>
    <t>杨子光</t>
    <phoneticPr fontId="2" type="noConversion"/>
  </si>
  <si>
    <t>20160807-0815</t>
    <phoneticPr fontId="2" type="noConversion"/>
  </si>
  <si>
    <t>南华县兔街镇长梁孜村委会长梁孜村19号</t>
    <phoneticPr fontId="2" type="noConversion"/>
  </si>
  <si>
    <t>532324197405042511</t>
    <phoneticPr fontId="2" type="noConversion"/>
  </si>
  <si>
    <t>15096465131</t>
    <phoneticPr fontId="2" type="noConversion"/>
  </si>
  <si>
    <t>阿发旺</t>
    <phoneticPr fontId="2" type="noConversion"/>
  </si>
  <si>
    <t>南华县兔街镇半坡村委会望天坡小组</t>
    <phoneticPr fontId="2" type="noConversion"/>
  </si>
  <si>
    <t>15924785716</t>
    <phoneticPr fontId="2" type="noConversion"/>
  </si>
  <si>
    <t>鲁发清</t>
    <phoneticPr fontId="2" type="noConversion"/>
  </si>
  <si>
    <t>南华县兔街镇小戈瓦村委会大村</t>
    <phoneticPr fontId="2" type="noConversion"/>
  </si>
  <si>
    <t>532324196304142519</t>
    <phoneticPr fontId="2" type="noConversion"/>
  </si>
  <si>
    <t>15125835818</t>
    <phoneticPr fontId="2" type="noConversion"/>
  </si>
  <si>
    <t>鲁新正</t>
    <phoneticPr fontId="2" type="noConversion"/>
  </si>
  <si>
    <t>南华县兔街镇干龙潭村委会上村</t>
    <phoneticPr fontId="2" type="noConversion"/>
  </si>
  <si>
    <t>532324197611072519</t>
    <phoneticPr fontId="2" type="noConversion"/>
  </si>
  <si>
    <t>15974785742</t>
    <phoneticPr fontId="2" type="noConversion"/>
  </si>
  <si>
    <t>张应有</t>
    <phoneticPr fontId="2" type="noConversion"/>
  </si>
  <si>
    <t>南华县兔街镇嘴孜村兔街站</t>
    <phoneticPr fontId="2" type="noConversion"/>
  </si>
  <si>
    <t>532324197002172514</t>
    <phoneticPr fontId="2" type="noConversion"/>
  </si>
  <si>
    <t>15096454725</t>
    <phoneticPr fontId="2" type="noConversion"/>
  </si>
  <si>
    <t>李乾明</t>
    <phoneticPr fontId="2" type="noConversion"/>
  </si>
  <si>
    <t>20160716&amp;0721</t>
    <phoneticPr fontId="2" type="noConversion"/>
  </si>
  <si>
    <t>南华县兔街镇半坡村委会郭份田村</t>
    <phoneticPr fontId="2" type="noConversion"/>
  </si>
  <si>
    <t>532324198101062534</t>
    <phoneticPr fontId="2" type="noConversion"/>
  </si>
  <si>
    <t>18787824181</t>
    <phoneticPr fontId="2" type="noConversion"/>
  </si>
  <si>
    <t>20160718&amp;0721</t>
    <phoneticPr fontId="2" type="noConversion"/>
  </si>
  <si>
    <t>20160802-0806</t>
    <phoneticPr fontId="2" type="noConversion"/>
  </si>
  <si>
    <t>南华县兔街镇兔街管理站</t>
    <phoneticPr fontId="2" type="noConversion"/>
  </si>
  <si>
    <t>532324196705122519</t>
    <phoneticPr fontId="2" type="noConversion"/>
  </si>
  <si>
    <t>15125788989</t>
    <phoneticPr fontId="2" type="noConversion"/>
  </si>
  <si>
    <t>南华县马丁镇唐家村委会唐家小组大中山站</t>
    <phoneticPr fontId="2" type="noConversion"/>
  </si>
  <si>
    <t>532324196707172317</t>
    <phoneticPr fontId="2" type="noConversion"/>
  </si>
  <si>
    <t>15125709124</t>
    <phoneticPr fontId="2" type="noConversion"/>
  </si>
  <si>
    <t>刘朝贵</t>
    <phoneticPr fontId="2" type="noConversion"/>
  </si>
  <si>
    <t>南华县兔街镇小古树村委会团山村</t>
    <phoneticPr fontId="2" type="noConversion"/>
  </si>
  <si>
    <t>532324196201262518</t>
    <phoneticPr fontId="2" type="noConversion"/>
  </si>
  <si>
    <t>13577805441</t>
    <phoneticPr fontId="2" type="noConversion"/>
  </si>
  <si>
    <t>杨子光</t>
    <phoneticPr fontId="2" type="noConversion"/>
  </si>
  <si>
    <t>20160802-0811</t>
    <phoneticPr fontId="2" type="noConversion"/>
  </si>
  <si>
    <t>南华县兔街镇长梁孜村委会长梁孜村19号</t>
    <phoneticPr fontId="2" type="noConversion"/>
  </si>
  <si>
    <t>？？？</t>
    <phoneticPr fontId="2" type="noConversion"/>
  </si>
  <si>
    <t>532324197405042511</t>
    <phoneticPr fontId="2" type="noConversion"/>
  </si>
  <si>
    <t>15096465131</t>
    <phoneticPr fontId="2" type="noConversion"/>
  </si>
  <si>
    <t>鲁发清</t>
    <phoneticPr fontId="2" type="noConversion"/>
  </si>
  <si>
    <t>南华县兔街镇小戈瓦村委会大村</t>
    <phoneticPr fontId="2" type="noConversion"/>
  </si>
  <si>
    <t>532324196304142519</t>
    <phoneticPr fontId="2" type="noConversion"/>
  </si>
  <si>
    <t>15125835818</t>
    <phoneticPr fontId="2" type="noConversion"/>
  </si>
  <si>
    <t>鲁新正</t>
    <phoneticPr fontId="2" type="noConversion"/>
  </si>
  <si>
    <t>南华县兔街镇干龙潭村委会上村</t>
    <phoneticPr fontId="2" type="noConversion"/>
  </si>
  <si>
    <t>？？？</t>
    <phoneticPr fontId="2" type="noConversion"/>
  </si>
  <si>
    <t>532324197611072519</t>
    <phoneticPr fontId="2" type="noConversion"/>
  </si>
  <si>
    <t>15974785742</t>
    <phoneticPr fontId="2" type="noConversion"/>
  </si>
  <si>
    <t>张应有</t>
    <phoneticPr fontId="2" type="noConversion"/>
  </si>
  <si>
    <t>南华县兔街镇嘴孜村兔街站</t>
    <phoneticPr fontId="2" type="noConversion"/>
  </si>
  <si>
    <t>532324197002172514</t>
    <phoneticPr fontId="2" type="noConversion"/>
  </si>
  <si>
    <t>15096454725</t>
    <phoneticPr fontId="2" type="noConversion"/>
  </si>
  <si>
    <t>左开达</t>
    <phoneticPr fontId="2" type="noConversion"/>
  </si>
  <si>
    <t>大中山管理站</t>
    <phoneticPr fontId="2" type="noConversion"/>
  </si>
  <si>
    <t>？？？</t>
    <phoneticPr fontId="2" type="noConversion"/>
  </si>
  <si>
    <t>？？</t>
    <phoneticPr fontId="2" type="noConversion"/>
  </si>
  <si>
    <t>王学贵</t>
    <phoneticPr fontId="2" type="noConversion"/>
  </si>
  <si>
    <t>南华县兔街镇兔街村委会秀田村民小组</t>
    <phoneticPr fontId="2" type="noConversion"/>
  </si>
  <si>
    <t>532324197202252519</t>
    <phoneticPr fontId="2" type="noConversion"/>
  </si>
  <si>
    <t>13628780949</t>
    <phoneticPr fontId="2" type="noConversion"/>
  </si>
  <si>
    <t>只数</t>
    <phoneticPr fontId="2" type="noConversion"/>
  </si>
  <si>
    <t>Lab ID</t>
    <phoneticPr fontId="2" type="noConversion"/>
  </si>
  <si>
    <t>CX01</t>
    <phoneticPr fontId="2" type="noConversion"/>
  </si>
  <si>
    <t>CX02</t>
  </si>
  <si>
    <t>CX03</t>
  </si>
  <si>
    <t>CX04</t>
  </si>
  <si>
    <t>CX05</t>
  </si>
  <si>
    <t>CX06</t>
  </si>
  <si>
    <t>CX07</t>
  </si>
  <si>
    <t>CX08</t>
  </si>
  <si>
    <t>CX09</t>
  </si>
  <si>
    <t>CX10</t>
  </si>
  <si>
    <t>CX11</t>
  </si>
  <si>
    <t>CX12</t>
  </si>
  <si>
    <t>CX13</t>
  </si>
  <si>
    <t>CX14</t>
  </si>
  <si>
    <t>CX15</t>
  </si>
  <si>
    <t>CX16</t>
  </si>
  <si>
    <t>CX17</t>
  </si>
  <si>
    <t>CX18</t>
  </si>
  <si>
    <t>CX19</t>
  </si>
  <si>
    <t>CX20</t>
  </si>
  <si>
    <t>CX21</t>
  </si>
  <si>
    <t>CX22</t>
  </si>
  <si>
    <t>CX23</t>
  </si>
  <si>
    <t>CX24</t>
  </si>
  <si>
    <t>CX25</t>
  </si>
  <si>
    <t>CX26</t>
  </si>
  <si>
    <t>CX27</t>
  </si>
  <si>
    <t>CX28</t>
  </si>
  <si>
    <t>CX29</t>
  </si>
  <si>
    <t>CX30</t>
  </si>
  <si>
    <t>CX31</t>
  </si>
  <si>
    <t>CX32</t>
  </si>
  <si>
    <t>CX33</t>
  </si>
  <si>
    <t>CX34</t>
  </si>
  <si>
    <t>CX35</t>
  </si>
  <si>
    <t>CX36</t>
  </si>
  <si>
    <t>CX37</t>
  </si>
  <si>
    <t>CX38</t>
  </si>
  <si>
    <t>CX39</t>
  </si>
  <si>
    <t>no</t>
    <phoneticPr fontId="2" type="noConversion"/>
  </si>
  <si>
    <t>not leech</t>
    <phoneticPr fontId="2" type="noConversion"/>
  </si>
  <si>
    <t>NH01</t>
    <phoneticPr fontId="2" type="noConversion"/>
  </si>
  <si>
    <t>NH02</t>
  </si>
  <si>
    <t>NH03</t>
  </si>
  <si>
    <t>NH04</t>
  </si>
  <si>
    <t>NH05</t>
  </si>
  <si>
    <t>NH06</t>
  </si>
  <si>
    <t>NH07</t>
  </si>
  <si>
    <t>NH08</t>
  </si>
  <si>
    <t>NH09</t>
  </si>
  <si>
    <t>NH10</t>
  </si>
  <si>
    <t>NH11</t>
  </si>
  <si>
    <t>NH12</t>
  </si>
  <si>
    <t>NH13</t>
  </si>
  <si>
    <t>NH14</t>
  </si>
  <si>
    <t>NH15</t>
  </si>
  <si>
    <t>NH16</t>
  </si>
  <si>
    <t>NH17</t>
  </si>
  <si>
    <t>NH18</t>
  </si>
  <si>
    <t>NH19</t>
  </si>
  <si>
    <t>NH20</t>
  </si>
  <si>
    <t>NH21</t>
  </si>
  <si>
    <t>NH22</t>
  </si>
  <si>
    <t>NH23</t>
  </si>
  <si>
    <t>NH24</t>
  </si>
  <si>
    <t>NH25</t>
  </si>
  <si>
    <t>NH26</t>
  </si>
  <si>
    <t>NH27</t>
  </si>
  <si>
    <t>NH28</t>
  </si>
  <si>
    <t>NH29</t>
  </si>
  <si>
    <t>32&gt;=100</t>
    <phoneticPr fontId="2" type="noConversion"/>
  </si>
  <si>
    <t>33&gt;=100</t>
    <phoneticPr fontId="2" type="noConversion"/>
  </si>
  <si>
    <t>18&gt;=100</t>
    <phoneticPr fontId="2" type="noConversion"/>
  </si>
  <si>
    <t>14&gt;=100</t>
    <phoneticPr fontId="2" type="noConversion"/>
  </si>
  <si>
    <t>5&gt;200</t>
    <phoneticPr fontId="2" type="noConversion"/>
  </si>
  <si>
    <t>1&gt;200</t>
    <phoneticPr fontId="2" type="noConversion"/>
  </si>
  <si>
    <t>5&gt;200</t>
    <phoneticPr fontId="2" type="noConversion"/>
  </si>
  <si>
    <t>16&gt;200</t>
    <phoneticPr fontId="2" type="noConversion"/>
  </si>
  <si>
    <t>30&gt;150</t>
    <phoneticPr fontId="2" type="noConversion"/>
  </si>
  <si>
    <t>15&gt;150</t>
    <phoneticPr fontId="2" type="noConversion"/>
  </si>
  <si>
    <t>7&gt;150</t>
    <phoneticPr fontId="2" type="noConversion"/>
  </si>
  <si>
    <t>9&gt;150</t>
    <phoneticPr fontId="2" type="noConversion"/>
  </si>
  <si>
    <t>Lysis buffer (ml)</t>
    <phoneticPr fontId="2" type="noConversion"/>
  </si>
  <si>
    <t>PCR FAILED</t>
    <phoneticPr fontId="2" type="noConversion"/>
  </si>
  <si>
    <t>15</t>
    <phoneticPr fontId="2" type="noConversion"/>
  </si>
  <si>
    <t>2</t>
    <phoneticPr fontId="2" type="noConversion"/>
  </si>
  <si>
    <t>2</t>
    <phoneticPr fontId="2" type="noConversion"/>
  </si>
  <si>
    <t>1</t>
    <phoneticPr fontId="2" type="noConversion"/>
  </si>
  <si>
    <t>3</t>
    <phoneticPr fontId="2" type="noConversion"/>
  </si>
  <si>
    <t>25</t>
    <phoneticPr fontId="2" type="noConversion"/>
  </si>
  <si>
    <t>20</t>
    <phoneticPr fontId="2" type="noConversion"/>
  </si>
  <si>
    <t>5</t>
    <phoneticPr fontId="2" type="noConversion"/>
  </si>
  <si>
    <t>5</t>
    <phoneticPr fontId="2" type="noConversion"/>
  </si>
  <si>
    <t>4</t>
    <phoneticPr fontId="2" type="noConversion"/>
  </si>
  <si>
    <t>7.5</t>
    <phoneticPr fontId="2" type="noConversion"/>
  </si>
  <si>
    <t>Lysis buffer (ml)</t>
    <phoneticPr fontId="2" type="noConversion"/>
  </si>
  <si>
    <t>3</t>
    <phoneticPr fontId="2" type="noConversion"/>
  </si>
  <si>
    <t>5</t>
    <phoneticPr fontId="2" type="noConversion"/>
  </si>
  <si>
    <t>4</t>
    <phoneticPr fontId="2" type="noConversion"/>
  </si>
  <si>
    <t>6</t>
    <phoneticPr fontId="2" type="noConversion"/>
  </si>
  <si>
    <t>13</t>
    <phoneticPr fontId="2" type="noConversion"/>
  </si>
  <si>
    <t>1</t>
    <phoneticPr fontId="2" type="noConversion"/>
  </si>
  <si>
    <t>3</t>
    <phoneticPr fontId="2" type="noConversion"/>
  </si>
  <si>
    <t>10</t>
    <phoneticPr fontId="2" type="noConversion"/>
  </si>
  <si>
    <t>4</t>
    <phoneticPr fontId="2" type="noConversion"/>
  </si>
  <si>
    <t>0.5</t>
    <phoneticPr fontId="2" type="noConversion"/>
  </si>
  <si>
    <t>0.5</t>
    <phoneticPr fontId="2" type="noConversion"/>
  </si>
  <si>
    <t>7.5</t>
    <phoneticPr fontId="2" type="noConversion"/>
  </si>
  <si>
    <t>Lysis buffer (ml)</t>
    <phoneticPr fontId="2" type="noConversion"/>
  </si>
  <si>
    <t>2+2.5+2+2+2</t>
    <phoneticPr fontId="2" type="noConversion"/>
  </si>
  <si>
    <t>2.5+2.5+2+2+2</t>
    <phoneticPr fontId="2" type="noConversion"/>
  </si>
  <si>
    <t>1.1+2+1.5+2+2.5</t>
    <phoneticPr fontId="2" type="noConversion"/>
  </si>
  <si>
    <t>2.5+2.5+2.5+2.5+2</t>
    <phoneticPr fontId="2" type="noConversion"/>
  </si>
  <si>
    <t>2+2+2.5+1.1+2</t>
    <phoneticPr fontId="2" type="noConversion"/>
  </si>
  <si>
    <t>2+1.5+2.5+0.7+1.5</t>
    <phoneticPr fontId="2" type="noConversion"/>
  </si>
  <si>
    <t>2.5+1.5+2.5+2.5+2.5</t>
    <phoneticPr fontId="2" type="noConversion"/>
  </si>
  <si>
    <t>2+2.5+1.5+2+2.5</t>
    <phoneticPr fontId="2" type="noConversion"/>
  </si>
  <si>
    <t>1.1+0.5+0.5+0.7+1.1</t>
    <phoneticPr fontId="2" type="noConversion"/>
  </si>
  <si>
    <t>1.5+1.5+0.7+2+0.5</t>
    <phoneticPr fontId="2" type="noConversion"/>
  </si>
  <si>
    <t>0.9+0.5+0.5+0.5</t>
    <phoneticPr fontId="2" type="noConversion"/>
  </si>
  <si>
    <t>1.1+2.5+1.5+1.5+0.9</t>
    <phoneticPr fontId="2" type="noConversion"/>
  </si>
  <si>
    <t>2.5+1.1+1.5+2+2</t>
    <phoneticPr fontId="2" type="noConversion"/>
  </si>
  <si>
    <t>2*5</t>
    <phoneticPr fontId="2" type="noConversion"/>
  </si>
  <si>
    <t>2.5+2*4</t>
    <phoneticPr fontId="2" type="noConversion"/>
  </si>
  <si>
    <t>2+1.1+1.1+2+2</t>
    <phoneticPr fontId="2" type="noConversion"/>
  </si>
  <si>
    <t>2+2+2.5+2.5+1.5</t>
    <phoneticPr fontId="2" type="noConversion"/>
  </si>
  <si>
    <t>2.5+2.5+2.5+2+2.5</t>
    <phoneticPr fontId="2" type="noConversion"/>
  </si>
  <si>
    <t>1.5+2+2+1.5+0.7</t>
    <phoneticPr fontId="2" type="noConversion"/>
  </si>
  <si>
    <t>2+2+2+1.1+2</t>
    <phoneticPr fontId="2" type="noConversion"/>
  </si>
  <si>
    <t>2+2.5+1.1+2.5+1.1</t>
    <phoneticPr fontId="2" type="noConversion"/>
  </si>
  <si>
    <t>2+2+2+1.5+2</t>
    <phoneticPr fontId="2" type="noConversion"/>
  </si>
  <si>
    <t>2.5+2.5+2.5+0.9+2</t>
    <phoneticPr fontId="2" type="noConversion"/>
  </si>
  <si>
    <t>1.5+2+2+1.1+2</t>
    <phoneticPr fontId="2" type="noConversion"/>
  </si>
  <si>
    <t>2*4+2.5</t>
    <phoneticPr fontId="2" type="noConversion"/>
  </si>
  <si>
    <t>1.8*3+1.6*2</t>
    <phoneticPr fontId="2" type="noConversion"/>
  </si>
  <si>
    <t>2+2.5+1.5+2+2</t>
    <phoneticPr fontId="2" type="noConversion"/>
  </si>
  <si>
    <t>2+1.5+2+1.1+0.9</t>
    <phoneticPr fontId="2" type="noConversion"/>
  </si>
  <si>
    <t>2+1.5+2.5+2+2</t>
    <phoneticPr fontId="2" type="noConversion"/>
  </si>
  <si>
    <t>2.5+2+2.5+2+2.5</t>
    <phoneticPr fontId="2" type="noConversion"/>
  </si>
  <si>
    <t>PCR FAILED</t>
    <phoneticPr fontId="2" type="noConversion"/>
  </si>
  <si>
    <t>2+2+2+2.5+2</t>
    <phoneticPr fontId="2" type="noConversion"/>
  </si>
  <si>
    <t>0.7+0.5+0.7+0.7+0.3</t>
    <phoneticPr fontId="2" type="noConversion"/>
  </si>
  <si>
    <t>0.9+0.3+0.7+0.7+0.7</t>
    <phoneticPr fontId="2" type="noConversion"/>
  </si>
  <si>
    <t>0.9+0.9+1.1+0.5+0.9</t>
    <phoneticPr fontId="2" type="noConversion"/>
  </si>
  <si>
    <t>0.5+0.9+1.1+0.9+0.7</t>
    <phoneticPr fontId="2" type="noConversion"/>
  </si>
  <si>
    <t>1.5+1.1+1.5+2+2</t>
    <phoneticPr fontId="2" type="noConversion"/>
  </si>
  <si>
    <t>1.1+1.1+1.5+1.1+1.1</t>
    <phoneticPr fontId="2" type="noConversion"/>
  </si>
  <si>
    <t>0.9*4+1.1</t>
    <phoneticPr fontId="2" type="noConversion"/>
  </si>
  <si>
    <t>0.7+1.1+1.1+0.9+1.5</t>
    <phoneticPr fontId="2" type="noConversion"/>
  </si>
  <si>
    <t>1.5+2+1.1+1.5+2</t>
    <phoneticPr fontId="2" type="noConversion"/>
  </si>
  <si>
    <t>1.5+0.7+0.7+1.5+0.7</t>
    <phoneticPr fontId="2" type="noConversion"/>
  </si>
  <si>
    <t>0.7+0.7+0.9+0.9+1.1</t>
    <phoneticPr fontId="2" type="noConversion"/>
  </si>
  <si>
    <t>0.7+1.1+0.9+1.1+0.3</t>
    <phoneticPr fontId="2" type="noConversion"/>
  </si>
  <si>
    <t>0.9+1.1+0.5+0.9+0.3</t>
    <phoneticPr fontId="2" type="noConversion"/>
  </si>
  <si>
    <t>2+1.5+1.5+2+1.1</t>
    <phoneticPr fontId="2" type="noConversion"/>
  </si>
  <si>
    <t>2+1.5+1.5+1.5+1.1</t>
    <phoneticPr fontId="2" type="noConversion"/>
  </si>
  <si>
    <t>1.5*5</t>
    <phoneticPr fontId="2" type="noConversion"/>
  </si>
  <si>
    <t>1.5+1.1+1.5+1.5+2</t>
    <phoneticPr fontId="2" type="noConversion"/>
  </si>
  <si>
    <t>2+1.5+2+2+2</t>
    <phoneticPr fontId="2" type="noConversion"/>
  </si>
  <si>
    <t>0.5+0.9+0.5+0.7+0.9</t>
    <phoneticPr fontId="2" type="noConversion"/>
  </si>
  <si>
    <t>0.9+0.7+0.7+0.7+0.5</t>
    <phoneticPr fontId="2" type="noConversion"/>
  </si>
  <si>
    <t>0.7*4+0.5</t>
    <phoneticPr fontId="2" type="noConversion"/>
  </si>
  <si>
    <t>0.7*5</t>
    <phoneticPr fontId="2" type="noConversion"/>
  </si>
  <si>
    <t>2*5</t>
    <phoneticPr fontId="2" type="noConversion"/>
  </si>
  <si>
    <t>1.5+2*4</t>
    <phoneticPr fontId="2" type="noConversion"/>
  </si>
  <si>
    <t>0.9+2+2+2+1.5</t>
    <phoneticPr fontId="2" type="noConversion"/>
  </si>
  <si>
    <t>1.5+1.1+1.5+1.1+1.5</t>
    <phoneticPr fontId="2" type="noConversion"/>
  </si>
  <si>
    <t>0.5+0.7+0.7+0.7+0.5</t>
    <phoneticPr fontId="2" type="noConversion"/>
  </si>
  <si>
    <t>1.5+1.1+0.7+2+0.7</t>
    <phoneticPr fontId="2" type="noConversion"/>
  </si>
  <si>
    <t>1.5+1.1+1.1+1.1+0.9</t>
    <phoneticPr fontId="2" type="noConversion"/>
  </si>
  <si>
    <t>1.5*4+1.1</t>
    <phoneticPr fontId="2" type="noConversion"/>
  </si>
  <si>
    <t>1.1+1.5+1.1+0.7+0.9</t>
    <phoneticPr fontId="2" type="noConversion"/>
  </si>
  <si>
    <t>0.9*3+1.1+1.1</t>
    <phoneticPr fontId="2" type="noConversion"/>
  </si>
  <si>
    <t>1.1+0.7+1.1+0.9+1.1</t>
    <phoneticPr fontId="2" type="noConversion"/>
  </si>
  <si>
    <t>0.9+0.9+0.7+0.9+0.9</t>
    <phoneticPr fontId="2" type="noConversion"/>
  </si>
  <si>
    <t>1.1+0.7+0.7+1.1+1.1</t>
    <phoneticPr fontId="2" type="noConversion"/>
  </si>
  <si>
    <t>1.5+1.5+2+1.5+1.5</t>
    <phoneticPr fontId="2" type="noConversion"/>
  </si>
  <si>
    <t>2.5*5</t>
    <phoneticPr fontId="2" type="noConversion"/>
  </si>
  <si>
    <t>2+2.5+1.1+2+2.5</t>
    <phoneticPr fontId="2" type="noConversion"/>
  </si>
  <si>
    <t>2.5+1.5+2+2+2</t>
    <phoneticPr fontId="2" type="noConversion"/>
  </si>
  <si>
    <t>2+1.5+2+2.5+0.9</t>
    <phoneticPr fontId="2" type="noConversion"/>
  </si>
  <si>
    <t>1.1+1.1+1.1+0.9+0.7</t>
    <phoneticPr fontId="2" type="noConversion"/>
  </si>
  <si>
    <t>0.5+0.7+0.9*3</t>
    <phoneticPr fontId="2" type="noConversion"/>
  </si>
  <si>
    <t>1.5+2+1.5+1.5+2</t>
    <phoneticPr fontId="2" type="noConversion"/>
  </si>
  <si>
    <t>0.9+2+1.1+0.9+1.5</t>
    <phoneticPr fontId="2" type="noConversion"/>
  </si>
  <si>
    <t>2+2+1.5+1.5+2</t>
    <phoneticPr fontId="2" type="noConversion"/>
  </si>
  <si>
    <t>1.1+2+1.5+1.1+1.1</t>
    <phoneticPr fontId="2" type="noConversion"/>
  </si>
  <si>
    <t>2+2.5+2+2+1.1</t>
    <phoneticPr fontId="2" type="noConversion"/>
  </si>
  <si>
    <t>1.1+0.7+1.1+1.1+0.9</t>
    <phoneticPr fontId="2" type="noConversion"/>
  </si>
  <si>
    <t>0.9*3+0.5*2</t>
    <phoneticPr fontId="2" type="noConversion"/>
  </si>
  <si>
    <t>1.5+0.9*3+0.7</t>
    <phoneticPr fontId="2" type="noConversion"/>
  </si>
  <si>
    <t>2+1.5+3+2+2</t>
    <phoneticPr fontId="2" type="noConversion"/>
  </si>
  <si>
    <t>2+1.5+2+2+1.5</t>
    <phoneticPr fontId="2" type="noConversion"/>
  </si>
  <si>
    <t>2+2+0.7+0.9+0.9</t>
    <phoneticPr fontId="2" type="noConversion"/>
  </si>
  <si>
    <t>3+2.5+2.5+3+1.5</t>
    <phoneticPr fontId="2" type="noConversion"/>
  </si>
  <si>
    <t>1.5+2+1.5+2+2</t>
    <phoneticPr fontId="2" type="noConversion"/>
  </si>
  <si>
    <t>2+2.5+2+2.5+2</t>
    <phoneticPr fontId="2" type="noConversion"/>
  </si>
  <si>
    <t>2.5+2+2+1.5+2</t>
    <phoneticPr fontId="2" type="noConversion"/>
  </si>
  <si>
    <t>2+1.5+2+1.5+1.5</t>
    <phoneticPr fontId="2" type="noConversion"/>
  </si>
  <si>
    <t>1.5+0.9+1.5+1.5+1.5</t>
    <phoneticPr fontId="2" type="noConversion"/>
  </si>
  <si>
    <t>0.9*3+0.7+0.5</t>
    <phoneticPr fontId="2" type="noConversion"/>
  </si>
  <si>
    <t>0.7+0.9+0.5+0.7+0.5</t>
    <phoneticPr fontId="2" type="noConversion"/>
  </si>
  <si>
    <t>双柏</t>
  </si>
  <si>
    <t>新平</t>
  </si>
  <si>
    <t>景东</t>
  </si>
  <si>
    <t>No. 21</t>
  </si>
  <si>
    <t>楚雄</t>
  </si>
  <si>
    <t>镇沅</t>
  </si>
  <si>
    <t>南华</t>
  </si>
  <si>
    <t>leech_volume</t>
  </si>
  <si>
    <t>NA</t>
  </si>
  <si>
    <t>采样日期开始</t>
  </si>
  <si>
    <t>采样日期结束</t>
  </si>
  <si>
    <t>2016/0810</t>
  </si>
  <si>
    <t>2016/0828</t>
  </si>
  <si>
    <t>2016/0718-0727</t>
  </si>
  <si>
    <t>2016/0809-0818</t>
  </si>
  <si>
    <t>2016/0819-0828</t>
  </si>
  <si>
    <t>2016/0829-0830</t>
  </si>
  <si>
    <t>2016/0709-0718</t>
  </si>
  <si>
    <t>2016/0719</t>
  </si>
  <si>
    <t>2016/0723</t>
  </si>
  <si>
    <t>2016/0726</t>
  </si>
  <si>
    <t>2016/0720-0729</t>
  </si>
  <si>
    <t>2016/0729-0808</t>
  </si>
  <si>
    <t>2016/0808-0818</t>
  </si>
  <si>
    <t>2016/0818-0828</t>
  </si>
  <si>
    <t>2016/0709-0716</t>
  </si>
  <si>
    <t>2016/0717-0718</t>
  </si>
  <si>
    <t>2016/0718-0725</t>
  </si>
  <si>
    <t>2016/0725-0729</t>
  </si>
  <si>
    <t>2016/0716</t>
  </si>
  <si>
    <t>2016/0716-0718</t>
  </si>
  <si>
    <t>2016/0729-0802</t>
  </si>
  <si>
    <t>2016/0810-0813</t>
  </si>
  <si>
    <t>2016/0720-0728</t>
  </si>
  <si>
    <t>2016/0729-0807</t>
  </si>
  <si>
    <t>2016/0808-0817</t>
  </si>
  <si>
    <t>2016/0818-27</t>
  </si>
  <si>
    <t>2016/0723-0801</t>
  </si>
  <si>
    <t>2016/0802-0811</t>
  </si>
  <si>
    <t>2016/0812-0821</t>
  </si>
  <si>
    <t>2016/0822-0830</t>
  </si>
  <si>
    <t>2016/08</t>
  </si>
  <si>
    <t>2016/0720-0825</t>
  </si>
  <si>
    <t>2016/0709-0828</t>
  </si>
  <si>
    <t>2016/0809</t>
  </si>
  <si>
    <t>2016/0812</t>
  </si>
  <si>
    <t>2016/0814</t>
  </si>
  <si>
    <t>2016/0820</t>
  </si>
  <si>
    <t>2016/0816</t>
  </si>
  <si>
    <t>2016/0802-0813</t>
  </si>
  <si>
    <t>2016/0813-0824</t>
  </si>
  <si>
    <t>2016/0825</t>
  </si>
  <si>
    <t>2016/0708-0717</t>
  </si>
  <si>
    <t>2016/0728-0806</t>
  </si>
  <si>
    <t>2016/0807-0816</t>
  </si>
  <si>
    <t>2016/0730-0808</t>
  </si>
  <si>
    <t>2016/0818-0827</t>
  </si>
  <si>
    <t>2016/0711-0720</t>
  </si>
  <si>
    <t>2016/0721-0730</t>
  </si>
  <si>
    <t>2016/0801-0810</t>
  </si>
  <si>
    <t>2016/0811-0821</t>
  </si>
  <si>
    <t>2016/0717-0720</t>
  </si>
  <si>
    <t>2016/0721-0726</t>
  </si>
  <si>
    <t>2016/0727-0802</t>
  </si>
  <si>
    <t>2016/0709</t>
  </si>
  <si>
    <t>2016/0719-0725</t>
  </si>
  <si>
    <t>2016/0725-0727</t>
  </si>
  <si>
    <t>2016/0727-0729</t>
  </si>
  <si>
    <t>2016/0806-0814</t>
  </si>
  <si>
    <t>2016/0718</t>
  </si>
  <si>
    <t>2016/0725</t>
  </si>
  <si>
    <t>2016/0808</t>
  </si>
  <si>
    <t>2016/0731-0809</t>
  </si>
  <si>
    <t>2016/0810-0819</t>
  </si>
  <si>
    <t>2016/0709-0717</t>
  </si>
  <si>
    <t>2016/0718-0721</t>
  </si>
  <si>
    <t>2016/0730</t>
  </si>
  <si>
    <t>2016/0715</t>
  </si>
  <si>
    <t>2016/0720</t>
  </si>
  <si>
    <t>2016/0805</t>
  </si>
  <si>
    <t>2016/0817</t>
  </si>
  <si>
    <t>2016/0714</t>
  </si>
  <si>
    <t>2016/0819</t>
  </si>
  <si>
    <t>2016/0713-0829</t>
  </si>
  <si>
    <t>2016/0718-0829</t>
  </si>
  <si>
    <t>2016/0620</t>
  </si>
  <si>
    <t>2016/0710</t>
  </si>
  <si>
    <t>2016/0709-0827</t>
  </si>
  <si>
    <t>2016/0709-0823</t>
  </si>
  <si>
    <t>2016/0717-0723</t>
  </si>
  <si>
    <t>2016/0810-0818</t>
  </si>
  <si>
    <t>2016/0714-0826</t>
  </si>
  <si>
    <t>2016/0718-0720</t>
  </si>
  <si>
    <t>2016/0724</t>
  </si>
  <si>
    <t>2016/0725-08/05</t>
  </si>
  <si>
    <t>2016/08/09-08/18</t>
  </si>
  <si>
    <t>海拔</t>
  </si>
  <si>
    <t>24°26′39.61″</t>
  </si>
  <si>
    <t>lysis_buffer</t>
  </si>
  <si>
    <t>volume_calc</t>
  </si>
  <si>
    <t>大管</t>
  </si>
  <si>
    <t>PCR</t>
  </si>
  <si>
    <t>FID</t>
  </si>
  <si>
    <t>镇沅县</t>
  </si>
  <si>
    <t>阿发科</t>
  </si>
  <si>
    <t>阿发旺</t>
  </si>
  <si>
    <t>毕勇</t>
  </si>
  <si>
    <t>卞荣</t>
  </si>
  <si>
    <t>茶建成</t>
  </si>
  <si>
    <t>陈春礼</t>
  </si>
  <si>
    <t>陈春明</t>
  </si>
  <si>
    <t>陈德忠</t>
  </si>
  <si>
    <t>陈家发</t>
  </si>
  <si>
    <t>陈昆</t>
  </si>
  <si>
    <t>鄂保贵</t>
  </si>
  <si>
    <t>范学恩</t>
  </si>
  <si>
    <t>付和金</t>
  </si>
  <si>
    <t>高如本</t>
  </si>
  <si>
    <t>顾文橙</t>
  </si>
  <si>
    <t>郭存义</t>
  </si>
  <si>
    <t>郭洪富</t>
  </si>
  <si>
    <t>郭万明</t>
  </si>
  <si>
    <t>何刚云</t>
  </si>
  <si>
    <t>何罡安</t>
  </si>
  <si>
    <t>何文超</t>
  </si>
  <si>
    <t>何兴能</t>
  </si>
  <si>
    <t>何忠云</t>
  </si>
  <si>
    <t>胡家才</t>
  </si>
  <si>
    <t>黄丕山</t>
  </si>
  <si>
    <t>黄正先</t>
  </si>
  <si>
    <t>黄中学</t>
  </si>
  <si>
    <t>蒋文奎</t>
  </si>
  <si>
    <t>李昌思</t>
  </si>
  <si>
    <t>李昌恩</t>
  </si>
  <si>
    <t>李存明</t>
  </si>
  <si>
    <t>李发文</t>
  </si>
  <si>
    <t>李富平</t>
  </si>
  <si>
    <t>李贵华</t>
  </si>
  <si>
    <t>李贵有</t>
  </si>
  <si>
    <t>李恒进</t>
  </si>
  <si>
    <t>李红伟</t>
  </si>
  <si>
    <t>李加华</t>
  </si>
  <si>
    <t>李家坤</t>
  </si>
  <si>
    <t>李加坤</t>
  </si>
  <si>
    <t>李家平</t>
  </si>
  <si>
    <t>李开华</t>
  </si>
  <si>
    <t>李开应</t>
  </si>
  <si>
    <t>李开愉</t>
  </si>
  <si>
    <t>李林东</t>
  </si>
  <si>
    <t>李明德</t>
  </si>
  <si>
    <t>李明祥</t>
  </si>
  <si>
    <t>李迁华</t>
  </si>
  <si>
    <t>李乾明</t>
  </si>
  <si>
    <t>李荣发</t>
  </si>
  <si>
    <t>李荣明</t>
  </si>
  <si>
    <t>李天荣</t>
  </si>
  <si>
    <t>李廷峰</t>
  </si>
  <si>
    <t>李廷万</t>
  </si>
  <si>
    <t>李文翠</t>
  </si>
  <si>
    <t>李文和</t>
  </si>
  <si>
    <t>李文顺</t>
  </si>
  <si>
    <t>李先明</t>
  </si>
  <si>
    <t>李新荣</t>
  </si>
  <si>
    <t>李应付</t>
  </si>
  <si>
    <t>李有国</t>
  </si>
  <si>
    <t>李志国</t>
  </si>
  <si>
    <t>李忠燕</t>
  </si>
  <si>
    <t>刘朝贵</t>
  </si>
  <si>
    <t>刘文生</t>
  </si>
  <si>
    <t>刘永</t>
  </si>
  <si>
    <t>龙存发</t>
  </si>
  <si>
    <t>鲁成荣</t>
  </si>
  <si>
    <t>鲁发清</t>
  </si>
  <si>
    <t>鲁开登</t>
  </si>
  <si>
    <t>鲁开福</t>
  </si>
  <si>
    <t>鲁开军</t>
  </si>
  <si>
    <t>鲁平</t>
  </si>
  <si>
    <t>鲁顺福</t>
  </si>
  <si>
    <t>鲁中国</t>
  </si>
  <si>
    <t>罗德勇</t>
  </si>
  <si>
    <t>罗发强</t>
  </si>
  <si>
    <t>罗权章</t>
  </si>
  <si>
    <t>罗荣</t>
  </si>
  <si>
    <t>罗先华</t>
  </si>
  <si>
    <t>罗永良</t>
  </si>
  <si>
    <t>罗有明</t>
  </si>
  <si>
    <t>罗正富</t>
  </si>
  <si>
    <t>罗正贵</t>
  </si>
  <si>
    <t>彭开相</t>
  </si>
  <si>
    <t>普恒章</t>
  </si>
  <si>
    <t>普明文</t>
  </si>
  <si>
    <t>普学忠</t>
  </si>
  <si>
    <t>唐国正</t>
  </si>
  <si>
    <t>田子云</t>
  </si>
  <si>
    <t>涂思学</t>
  </si>
  <si>
    <t>汪华才</t>
  </si>
  <si>
    <t>王彪</t>
  </si>
  <si>
    <t>王炳富</t>
  </si>
  <si>
    <t>王炳兴</t>
  </si>
  <si>
    <t>王芳</t>
  </si>
  <si>
    <t>王光鹏</t>
  </si>
  <si>
    <t>王贵海</t>
  </si>
  <si>
    <t>王贵全</t>
  </si>
  <si>
    <t>王贵永</t>
  </si>
  <si>
    <t>王贵友</t>
  </si>
  <si>
    <t>王贵元</t>
  </si>
  <si>
    <t>王景禄</t>
  </si>
  <si>
    <t>王开昌</t>
  </si>
  <si>
    <t>王开定</t>
  </si>
  <si>
    <t>王开远</t>
  </si>
  <si>
    <t>王立东</t>
  </si>
  <si>
    <t>王平昌</t>
  </si>
  <si>
    <t>王全文</t>
  </si>
  <si>
    <t>王学贵</t>
  </si>
  <si>
    <t>王影</t>
  </si>
  <si>
    <t>王云武</t>
  </si>
  <si>
    <t>王正存</t>
  </si>
  <si>
    <t>王正寿</t>
  </si>
  <si>
    <t>吴顺林</t>
  </si>
  <si>
    <t>肖子云</t>
  </si>
  <si>
    <t>谢天华</t>
  </si>
  <si>
    <t>熊开忠</t>
  </si>
  <si>
    <t>杨春昌</t>
  </si>
  <si>
    <t>杨兆清</t>
  </si>
  <si>
    <t>杨子光</t>
  </si>
  <si>
    <t>雨小祥</t>
  </si>
  <si>
    <t>詹清平</t>
  </si>
  <si>
    <t>张存付</t>
  </si>
  <si>
    <t>张贵昌</t>
  </si>
  <si>
    <t>张开堂</t>
  </si>
  <si>
    <t>张应有</t>
  </si>
  <si>
    <t>张汝志</t>
  </si>
  <si>
    <t>张学发</t>
  </si>
  <si>
    <t>张学良</t>
  </si>
  <si>
    <t>张兆寿</t>
  </si>
  <si>
    <t>张志明</t>
  </si>
  <si>
    <t>者付华</t>
  </si>
  <si>
    <t>钟其德</t>
  </si>
  <si>
    <t>钟应兴</t>
  </si>
  <si>
    <t>周开伸</t>
  </si>
  <si>
    <t>周礼银</t>
  </si>
  <si>
    <t>周强</t>
  </si>
  <si>
    <t>周微</t>
  </si>
  <si>
    <t>周正航</t>
  </si>
  <si>
    <t>朱荣兴</t>
  </si>
  <si>
    <t>祝发贵</t>
  </si>
  <si>
    <t>祝正贵</t>
  </si>
  <si>
    <t>紫保贵</t>
  </si>
  <si>
    <t>自付文</t>
  </si>
  <si>
    <t>左开达</t>
  </si>
  <si>
    <t>Lab ID</t>
  </si>
  <si>
    <t>小管</t>
  </si>
  <si>
    <t>蚂蝗只数</t>
  </si>
  <si>
    <t>No.1</t>
  </si>
  <si>
    <t>地址</t>
  </si>
  <si>
    <t>其他位置信息</t>
  </si>
  <si>
    <t>SB001</t>
  </si>
  <si>
    <t>532322196511060548</t>
  </si>
  <si>
    <t>14769315809</t>
  </si>
  <si>
    <t>`</t>
  </si>
  <si>
    <t>双柏县鄂嘉镇麻旺村委会大麻旧村</t>
  </si>
  <si>
    <t>532322196404060534</t>
  </si>
  <si>
    <t>18183781341</t>
  </si>
  <si>
    <t>海拔2496-2578 101°07′65.98″</t>
  </si>
  <si>
    <t>海拔2543-2548 24°26′46.11″</t>
  </si>
  <si>
    <t>海拔2572-2486 101°06′59.81″</t>
  </si>
  <si>
    <t>双柏县鄂嘉镇新树村委会旧垄山</t>
  </si>
  <si>
    <t>海拔2334，N24°22′52.5″ E101°15′33.9″</t>
  </si>
  <si>
    <t>532322197507090511</t>
  </si>
  <si>
    <t>18387810209</t>
  </si>
  <si>
    <t>海拔2614，N24°22′16.9″ E101°15′39.8″</t>
  </si>
  <si>
    <t>海拔2488，N24°21′25.6″ E101°16′21.3″</t>
  </si>
  <si>
    <t>海拔2818，N24°21′59.9″ E101°96′02″</t>
  </si>
  <si>
    <t>海拔2276，N24°22′50.5″ E101°16′58.4″</t>
  </si>
  <si>
    <t>双柏县鄂嘉镇麻旺村委会三岔河</t>
  </si>
  <si>
    <t>海拔2476 N24°28′29°04″，E101°5′18.53″</t>
  </si>
  <si>
    <t>2+2.5+2+2+2</t>
  </si>
  <si>
    <t>532322197306090515</t>
  </si>
  <si>
    <t>13368782547</t>
  </si>
  <si>
    <t>海拔2811 N24°27′23.70″，E101°5′17.51″</t>
  </si>
  <si>
    <t>2.5+2.5+2+2+2</t>
  </si>
  <si>
    <t>海拔2517 N23°25′27.65″，E102°54′10.78″</t>
  </si>
  <si>
    <t>1.1+2+1.5+2+2.5</t>
  </si>
  <si>
    <t>海拔2412 N24°27′38.47″，E101°54′65″</t>
  </si>
  <si>
    <t>2.5+2.5+2.5+2.5+2</t>
  </si>
  <si>
    <t>海拔2570，N24°19′22.01″ E101°17′10.19″</t>
  </si>
  <si>
    <t>532322198604170518</t>
  </si>
  <si>
    <t>13638703405</t>
  </si>
  <si>
    <t>海拔2570，N24°19′22.01″ E101°17′10.9″</t>
  </si>
  <si>
    <t>双柏县鄂嘉镇茶叶村委会三岔河管护点</t>
  </si>
  <si>
    <t>海拔2388 N24°27′59.12″，E101°5′35.94″</t>
  </si>
  <si>
    <t>2+2+2.5+1.1+2</t>
  </si>
  <si>
    <t>532322197305030510</t>
  </si>
  <si>
    <t>15368553240</t>
  </si>
  <si>
    <t>海拔2438 N24°28′37.25″，E101°5′22.29″</t>
  </si>
  <si>
    <t>2+1.5+2.5+0.7+1.5</t>
  </si>
  <si>
    <t>双柏县鄂嘉镇茶叶村委会茶叶山</t>
  </si>
  <si>
    <t>海拔2517 N24°27′38.76″，E101°5′31.34″</t>
  </si>
  <si>
    <t>2.5+1.5+2.5+2.5+2.5</t>
  </si>
  <si>
    <t>双柏县鄂嘉镇茶叶村委会</t>
  </si>
  <si>
    <t>海拔2420 N24°27′23.96″，E101°5′56.55″</t>
  </si>
  <si>
    <t>2+2.5+1.5+2+2.5</t>
  </si>
  <si>
    <t>双柏县鄂嘉镇麻旺村委会下村7号</t>
  </si>
  <si>
    <t>532322196404110538</t>
  </si>
  <si>
    <t>13354690369&amp;18183876459</t>
  </si>
  <si>
    <t>双柏县鄂嘉镇新厂村委会大龙汤村一号</t>
  </si>
  <si>
    <t>海拔2454，2461，N24°26′31.81″ E101°07′45.81″</t>
  </si>
  <si>
    <t xml:space="preserve">海拔2496，2461，N24°25′19.56″ </t>
  </si>
  <si>
    <t>海拔2445，2442，E101°07′53.96″</t>
  </si>
  <si>
    <t>海拔2691 N24°17′22.03″，E101°17′10.24″</t>
  </si>
  <si>
    <t>532322196812100515</t>
  </si>
  <si>
    <t>15288564767</t>
  </si>
  <si>
    <t>双柏县鄂嘉镇义隆村</t>
  </si>
  <si>
    <t>海拔2501，N24°23′56.35″ E101°15′01.84″</t>
  </si>
  <si>
    <t>532322196401260514</t>
  </si>
  <si>
    <t>13987859414</t>
  </si>
  <si>
    <t>海拔2640，N24°22′07.02″ E101°15′25.82″</t>
  </si>
  <si>
    <t>海拔2750，N24°21′49.51″ E101°21′49.51″</t>
  </si>
  <si>
    <t>海拔2361，N24°22′46.92″ E101°15′45.10″</t>
  </si>
  <si>
    <t>双柏县老厂岔河站</t>
  </si>
  <si>
    <t>1.1+0.5+0.5+0.7+1.1</t>
  </si>
  <si>
    <t>532322198610100516</t>
  </si>
  <si>
    <t>13368786046</t>
  </si>
  <si>
    <t>郭存祥</t>
  </si>
  <si>
    <t>53232219690801059X</t>
  </si>
  <si>
    <t>双柏县老厂三岔河村</t>
  </si>
  <si>
    <t>53232219721207053X</t>
  </si>
  <si>
    <t>15987861510</t>
  </si>
  <si>
    <t>王贵学</t>
  </si>
  <si>
    <t>双柏县鄂嘉镇老厂村委会茶树村10号</t>
  </si>
  <si>
    <t>海拔2454，N24°21′40.46″ E101°7′45.24″</t>
  </si>
  <si>
    <t>532322196009120510</t>
  </si>
  <si>
    <t>18164783532</t>
  </si>
  <si>
    <t>海拔2495，N24°23′51.67″ E101°6′45.23″</t>
  </si>
  <si>
    <t>海拔2475，N24°23′41.35″ E101°8′45.14″</t>
  </si>
  <si>
    <t>海拔2478，N24°23′38.45″ E101°8′45.24″</t>
  </si>
  <si>
    <t>双柏县鄂嘉镇义隆村钠嫩村民小组</t>
  </si>
  <si>
    <t>海拔2706 N24°21′54.43″，E101°15′46.94″</t>
  </si>
  <si>
    <t>532322195909080514</t>
  </si>
  <si>
    <t>13987886798</t>
  </si>
  <si>
    <t>海拔2416 N24°22′53.70″，E101°15′02.61″</t>
  </si>
  <si>
    <t>海拔2502 N24°22′50.59″，E101°15′03.05″</t>
  </si>
  <si>
    <t>海拔2475 N24°22′26.27″，E101°15′20.41″</t>
  </si>
  <si>
    <t>海拔2213 N24°22′46.92″，E101°16′22.23″</t>
  </si>
  <si>
    <t>双柏县鄂嘉镇麻旺村委会上丕坡</t>
  </si>
  <si>
    <t>2433.2430.2389.2294.2335.2427.2271.2375</t>
  </si>
  <si>
    <t>1.5+1.5+0.7+2+0.5</t>
  </si>
  <si>
    <t>532322197610050550</t>
  </si>
  <si>
    <t>13529710376</t>
  </si>
  <si>
    <t>2427.2353.2347</t>
  </si>
  <si>
    <t>2565.5-2545.7-2488-2466.9-2428</t>
  </si>
  <si>
    <t>0.9+0.5+0.5+0.5</t>
  </si>
  <si>
    <t>2585-2363.9-2376-2457.7-2539.4-2427.4-2450-2463</t>
  </si>
  <si>
    <t>1.1+2.5+1.5+1.5+0.9</t>
  </si>
  <si>
    <t>双柏县鄂嘉镇新树村</t>
  </si>
  <si>
    <t>2602</t>
  </si>
  <si>
    <t>532322197607070518</t>
  </si>
  <si>
    <t>15288574990&amp;15758311346</t>
  </si>
  <si>
    <t>2603</t>
  </si>
  <si>
    <t>2608</t>
  </si>
  <si>
    <t>2605</t>
  </si>
  <si>
    <t>李进才</t>
  </si>
  <si>
    <t>53232219671115053X</t>
  </si>
  <si>
    <t>15987207162</t>
  </si>
  <si>
    <t>海拔2751，N24°21′44.4″ E101°15′56.41″</t>
  </si>
  <si>
    <t>海拔2369，N24°22′54.0″ E101°15′27.5″</t>
  </si>
  <si>
    <t>海拔2481，N24°22′46.9″ E101°15′19.8″</t>
  </si>
  <si>
    <t>海拔2188，N24°22′49.1″ E101°10′08.9″</t>
  </si>
  <si>
    <t>李荣</t>
  </si>
  <si>
    <t>双柏县鄂嘉镇鄂嘉村成外小组</t>
  </si>
  <si>
    <t>2456-2376</t>
  </si>
  <si>
    <t>532322196110080556</t>
  </si>
  <si>
    <t>15987222209</t>
  </si>
  <si>
    <t>2640-2348</t>
  </si>
  <si>
    <t>2544-2328</t>
  </si>
  <si>
    <t>2485-2356</t>
  </si>
  <si>
    <t>海拔2246，N24°29′28.19″ E101°4′49.22″</t>
  </si>
  <si>
    <t>2.5+1.1+1.5+2+2</t>
  </si>
  <si>
    <t>532322197508260551</t>
  </si>
  <si>
    <t>18183788915</t>
  </si>
  <si>
    <t>海拔2416，N24°27′31.17″ E101°5′43.85″</t>
  </si>
  <si>
    <t>2*5</t>
  </si>
  <si>
    <t>N24°23′33.16″ E101°5′14.73″</t>
  </si>
  <si>
    <t>2.5+2*4</t>
  </si>
  <si>
    <t>海拔2417，N24°27′17.22″ E101°5′25.06″</t>
  </si>
  <si>
    <t>2+1.1+1.1+2+2</t>
  </si>
  <si>
    <t>双柏县鄂嘉镇茶叶村委会茶叶山下村三岔河管护点</t>
  </si>
  <si>
    <t>海拔2411 N24°28′43.49″，E101°5′45.98″</t>
  </si>
  <si>
    <t>2+2+2.5+2.5+1.5</t>
  </si>
  <si>
    <t>532322198911130516</t>
  </si>
  <si>
    <t>15368550436</t>
  </si>
  <si>
    <t>海拔2426 N24°28′24.25″，E101°5′38.03″</t>
  </si>
  <si>
    <t>2.5+2.5+2.5+2+2.5</t>
  </si>
  <si>
    <t>海拔2398 N24°27′39.70″，E101°5′37.97″</t>
  </si>
  <si>
    <t>1.5+2+2+1.5+0.7</t>
  </si>
  <si>
    <t>海拔2454 N24°27′38.53″，E101°5′34.79″</t>
  </si>
  <si>
    <t>2+2+2+1.1+2</t>
  </si>
  <si>
    <t>海拔2540 N24°29′7.69″，E101°8′24.79″</t>
  </si>
  <si>
    <t>PCR FAILED</t>
  </si>
  <si>
    <t>双柏县鄂嘉镇新厂村中厂</t>
  </si>
  <si>
    <t>2553-2575-2540</t>
  </si>
  <si>
    <t>532322197010120519</t>
  </si>
  <si>
    <t>15912923610</t>
  </si>
  <si>
    <t>2487-2480-2483-2503</t>
  </si>
  <si>
    <t>2571-2484</t>
  </si>
  <si>
    <t>双柏县鄂嘉镇老厂村委会杏子树</t>
  </si>
  <si>
    <t>海拔2487 N24°23′40.46″，E101°9′46.24″</t>
  </si>
  <si>
    <t>53232219770802051x</t>
  </si>
  <si>
    <t>13987885572</t>
  </si>
  <si>
    <t>双柏县鄂嘉镇老厂村岔河三家村</t>
  </si>
  <si>
    <t>海拔2405 N24°23′40.35″，E101°9′46.17″</t>
  </si>
  <si>
    <t>海拔2496 N24°24′51.57″，E101°6′45.23″</t>
  </si>
  <si>
    <t>海拔2351 N24°23′41.38″，E101°9′42.71″</t>
  </si>
  <si>
    <t>李福安</t>
  </si>
  <si>
    <t>双柏县鄂嘉镇老厂村委会龙打坝小组</t>
  </si>
  <si>
    <t>2476</t>
  </si>
  <si>
    <t>532322196403090339</t>
  </si>
  <si>
    <t>15891827894</t>
  </si>
  <si>
    <t>2524</t>
  </si>
  <si>
    <t>2423</t>
  </si>
  <si>
    <t>2386</t>
  </si>
  <si>
    <t>海拔2191 N24°29′27.13″，E101°4′50.16″</t>
  </si>
  <si>
    <t>2+2.5+1.1+2.5+1.1</t>
  </si>
  <si>
    <t>532322196704040519</t>
  </si>
  <si>
    <t>18187834612</t>
  </si>
  <si>
    <t>海拔2414 N24°2′90.13″，E101°5′25.21″</t>
  </si>
  <si>
    <t>2+2+2+1.5+2</t>
  </si>
  <si>
    <t>海拔2495 N24°27′36.43″，E101°5′39.00″</t>
  </si>
  <si>
    <t>2.5+2.5+2.5+0.9+2</t>
  </si>
  <si>
    <t>1.5+2+2+1.1+2</t>
  </si>
  <si>
    <t>双柏县鄂嘉镇义隆村委会上村村民小组</t>
  </si>
  <si>
    <t>海拔2551，N24°22′20.4″ E101°15′26.4″</t>
  </si>
  <si>
    <t>532322196406160512</t>
  </si>
  <si>
    <t>18182984872</t>
  </si>
  <si>
    <t>海拔2329，N24°22′52.5″ E101°15′40.2″</t>
  </si>
  <si>
    <t>海拔2771，N24°21′26.2″ E101°16′13.4″</t>
  </si>
  <si>
    <t>海拔2453，N24°22′46.9″ E101°15′20.3″</t>
  </si>
  <si>
    <t>海拔2225，N24°22′48.9″ E101°16′02.8″</t>
  </si>
  <si>
    <t>刘文祥</t>
  </si>
  <si>
    <t>双柏县鄂嘉镇新厂村大龙汤1号</t>
  </si>
  <si>
    <t>海拔2382 N24°26′48.89″，E101°7′41.65″</t>
  </si>
  <si>
    <t>53232219810509053X</t>
  </si>
  <si>
    <t>18308789745</t>
  </si>
  <si>
    <t>海拔2388 N24°26′32.63″，E101°7′35.87″</t>
  </si>
  <si>
    <t>双柏县鄂嘉镇新厂村大龙汤</t>
  </si>
  <si>
    <t>海拔2500-2529 E101°7′72.76″</t>
  </si>
  <si>
    <t>海拔2387-2492 E101°7′35.87″</t>
  </si>
  <si>
    <t>双柏县鄂嘉镇老厂村委会岔河大亳山</t>
  </si>
  <si>
    <t>海拔2487，N24°23′40.46″ E101°9′46.24″</t>
  </si>
  <si>
    <t>532322196606240517</t>
  </si>
  <si>
    <t>18787867656</t>
  </si>
  <si>
    <t>双柏县鄂嘉镇老厂村委会铺子</t>
  </si>
  <si>
    <t>海拔2405，N24°23′42.8″ E101°10′21.5″</t>
  </si>
  <si>
    <t>海拔2504，N24°23′40.57″ E101°7′45.24″</t>
  </si>
  <si>
    <t>海拔2351，N24°23′41.38″ E101°9′42.71″</t>
  </si>
  <si>
    <t>海拔2305，N24°21′51.47″ E101°7′42.74″</t>
  </si>
  <si>
    <t>双柏县鄂嘉镇岔河</t>
  </si>
  <si>
    <t>532322196308180536</t>
  </si>
  <si>
    <t>15096478414</t>
  </si>
  <si>
    <t>双柏县鄂嘉镇密架村委会岔河森林管护点</t>
  </si>
  <si>
    <t>101°16′1.48″</t>
  </si>
  <si>
    <t>532322198006250518</t>
  </si>
  <si>
    <t>13987891571</t>
  </si>
  <si>
    <t>24°24′56.92″</t>
  </si>
  <si>
    <t>24°24′38.93″</t>
  </si>
  <si>
    <t>双柏县鄂嘉镇密架村委会际天树岔河森林管护点</t>
  </si>
  <si>
    <t>N24°24′38.36″ E101°19′1.49″</t>
  </si>
  <si>
    <t>双柏县鄂嘉镇老厂村岔河</t>
  </si>
  <si>
    <t>532322196404170514</t>
  </si>
  <si>
    <t>15125722369</t>
  </si>
  <si>
    <t>双柏县鄂嘉镇新树村委会尖石头村民小组</t>
  </si>
  <si>
    <t>2630</t>
  </si>
  <si>
    <t>532322197804160555</t>
  </si>
  <si>
    <t>15125740848&amp;15288509201</t>
  </si>
  <si>
    <t>2667</t>
  </si>
  <si>
    <t>2670</t>
  </si>
  <si>
    <t>2640</t>
  </si>
  <si>
    <t>双柏县鄂嘉镇老厂村委会松树林</t>
  </si>
  <si>
    <t>532322196209090519</t>
  </si>
  <si>
    <t>15026017075</t>
  </si>
  <si>
    <t>N24°28′25.68″ E101°5′22.25″</t>
  </si>
  <si>
    <t>2*4+2.5</t>
  </si>
  <si>
    <t>53232219660611051X</t>
  </si>
  <si>
    <t>15987828019</t>
  </si>
  <si>
    <t>N24°27′23.70″ E101°5′17.51″</t>
  </si>
  <si>
    <t>1.8*3+1.6*2</t>
  </si>
  <si>
    <t>N24°28′31.71″ E101°5′17.05″</t>
  </si>
  <si>
    <t>2+2.5+1.5+2+2</t>
  </si>
  <si>
    <t>海拔2437，N24°27′35.59″ E101°5′31.62″</t>
  </si>
  <si>
    <t>张玉龙</t>
  </si>
  <si>
    <t>双柏县鄂嘉镇新厂村委会张家社</t>
  </si>
  <si>
    <t>2483</t>
  </si>
  <si>
    <t>532322196411020514</t>
  </si>
  <si>
    <t>15288546609</t>
  </si>
  <si>
    <t>海拔2614 N24°26′54.63″，E101°6′47.77″</t>
  </si>
  <si>
    <t>双柏县鄂嘉镇新厂村委会张家社 季青林</t>
  </si>
  <si>
    <t>海拔2423 N24°17′64″，E101°6′51.1″</t>
  </si>
  <si>
    <t>海拔2508 N24°27′5.63″，E101°6′45.43″</t>
  </si>
  <si>
    <t>海拔2506，N24°22′33.32″ E101°15′21.18″</t>
  </si>
  <si>
    <t>53232219801007536</t>
  </si>
  <si>
    <t>15987245764</t>
  </si>
  <si>
    <t>海拔2801，N24°21′59.88″ E101°16′00.95″</t>
  </si>
  <si>
    <t>海拔2517，N24°22′45.21″ E101°15′05.22″</t>
  </si>
  <si>
    <t>海拔2811，N24°21′44.90″ E101°15′27.96″</t>
  </si>
  <si>
    <t>海拔2361，N24°22′37.53″ E101°5′21.48″</t>
  </si>
  <si>
    <t>2606</t>
  </si>
  <si>
    <t>13769254755&amp;15288511032</t>
  </si>
  <si>
    <t>53232219640207051X</t>
  </si>
  <si>
    <t>2625</t>
  </si>
  <si>
    <t>2615</t>
  </si>
  <si>
    <t>2631</t>
  </si>
  <si>
    <t>海拔2206，N24°28′10.60″ E101°5′47.14″</t>
  </si>
  <si>
    <t>2+1.5+2+1.1+0.9</t>
  </si>
  <si>
    <t>532322196912020512</t>
  </si>
  <si>
    <t>13368784380</t>
  </si>
  <si>
    <t>海拔2352，N24°28′40.48″ E101°5′38.74″</t>
  </si>
  <si>
    <t>2+1.5+2.5+2+2</t>
  </si>
  <si>
    <t>海拔2626，N24°28′11.67″ E101°5′46.34″</t>
  </si>
  <si>
    <t>2.5+2+2.5+2+2.5</t>
  </si>
  <si>
    <t>海拔2323，N24°27′36.55″ E101°5′38.84″</t>
  </si>
  <si>
    <t>2+2+2+2.5+2</t>
  </si>
  <si>
    <t>双柏县鄂嘉镇茶叶村委会茶叶新村</t>
  </si>
  <si>
    <t>海拔2354，N24°47′47.69″ E101°12′52.84″</t>
  </si>
  <si>
    <t>XP001</t>
  </si>
  <si>
    <t>李发新</t>
  </si>
  <si>
    <t>20160814</t>
  </si>
  <si>
    <t>2690663-17736115</t>
  </si>
  <si>
    <t>532428197303171911</t>
  </si>
  <si>
    <t>18088911760</t>
  </si>
  <si>
    <t>2689661-17735663</t>
  </si>
  <si>
    <t>20160815</t>
  </si>
  <si>
    <t>2689211-17735363</t>
  </si>
  <si>
    <t>2688340-17734928</t>
  </si>
  <si>
    <t>20160922</t>
  </si>
  <si>
    <t>2691102-17734351</t>
  </si>
  <si>
    <t>20160923</t>
  </si>
  <si>
    <t>2690447-1773400</t>
  </si>
  <si>
    <t>2691341-17733590</t>
  </si>
  <si>
    <t>2690774-17733590</t>
  </si>
  <si>
    <t>新平水塘管理所波村干龙坝</t>
  </si>
  <si>
    <t>20160803</t>
  </si>
  <si>
    <t>海拔2400</t>
  </si>
  <si>
    <t>53042719610909231X</t>
  </si>
  <si>
    <t>13529698316</t>
  </si>
  <si>
    <t>20160805</t>
  </si>
  <si>
    <t>新平水塘管理所波村棚房箐</t>
  </si>
  <si>
    <t>20160808</t>
  </si>
  <si>
    <t>海拔2700</t>
  </si>
  <si>
    <t>新平水塘管理所波村明子山梁子</t>
  </si>
  <si>
    <t>20160812</t>
  </si>
  <si>
    <t>0.7+0.5+0.7+0.7+0.3</t>
  </si>
  <si>
    <t>新平水塘波村干龙坝</t>
  </si>
  <si>
    <t>20160806</t>
  </si>
  <si>
    <t>新平水塘波村棚房梁子</t>
  </si>
  <si>
    <t>20160809</t>
  </si>
  <si>
    <t>海拔2650</t>
  </si>
  <si>
    <t>0.9+0.3+0.7+0.7+0.7</t>
  </si>
  <si>
    <t>新平水塘波村明子山梁子</t>
  </si>
  <si>
    <t>20160810</t>
  </si>
  <si>
    <t>新平水塘波村明子山</t>
  </si>
  <si>
    <t>海拔2450</t>
  </si>
  <si>
    <t>新平水塘波村明子山箐</t>
  </si>
  <si>
    <t>20160821</t>
  </si>
  <si>
    <t>海拔2460</t>
  </si>
  <si>
    <t>新平者竜渔科村</t>
  </si>
  <si>
    <t>20160704</t>
  </si>
  <si>
    <t>2682150-17739701</t>
  </si>
  <si>
    <t>532428196806131917</t>
  </si>
  <si>
    <t>18088911752</t>
  </si>
  <si>
    <t>2681938-17739901</t>
  </si>
  <si>
    <t>20160705</t>
  </si>
  <si>
    <t>2685224-17736878</t>
  </si>
  <si>
    <t>2683676-17738572</t>
  </si>
  <si>
    <t>2680500-17738453</t>
  </si>
  <si>
    <t>2680285-17739110</t>
  </si>
  <si>
    <t>2681917-17739917</t>
  </si>
  <si>
    <t>2681366-17739283</t>
  </si>
  <si>
    <t>0.9+0.9+1.1+0.5+0.9</t>
  </si>
  <si>
    <t>532428197506021913</t>
  </si>
  <si>
    <t>18088911758</t>
  </si>
  <si>
    <t>20160813</t>
  </si>
  <si>
    <t>1690774-17733590</t>
  </si>
  <si>
    <t>2690447-17733400</t>
  </si>
  <si>
    <t>20160924</t>
  </si>
  <si>
    <t>20160925</t>
  </si>
  <si>
    <t>0.5+0.9+1.1+0.9+0.7</t>
  </si>
  <si>
    <t>大口，保家堰</t>
  </si>
  <si>
    <t>20160723</t>
  </si>
  <si>
    <t>海拔2300</t>
  </si>
  <si>
    <t>1.5+1.1+1.5+2+2</t>
  </si>
  <si>
    <t>530427198307101511</t>
  </si>
  <si>
    <t>15894289134</t>
  </si>
  <si>
    <t>20160807</t>
  </si>
  <si>
    <t>海拔2200</t>
  </si>
  <si>
    <t>大口，山门口</t>
  </si>
  <si>
    <t>20160820</t>
  </si>
  <si>
    <t>海拔2500</t>
  </si>
  <si>
    <t>20160829</t>
  </si>
  <si>
    <t>红柒林</t>
  </si>
  <si>
    <t>20160711-0716</t>
  </si>
  <si>
    <t>530427196301231535</t>
  </si>
  <si>
    <t>13529991363</t>
  </si>
  <si>
    <t>白水河</t>
  </si>
  <si>
    <t>20160802-0804</t>
  </si>
  <si>
    <t>大个甲</t>
  </si>
  <si>
    <t>20160813-0821</t>
  </si>
  <si>
    <t>新平水塘旧哈村</t>
  </si>
  <si>
    <t>20160722-0723</t>
  </si>
  <si>
    <t>1.1+1.1+1.5+1.1+1.1</t>
  </si>
  <si>
    <t>532428195712101552</t>
  </si>
  <si>
    <t>15894298336</t>
  </si>
  <si>
    <t>20160724-0725</t>
  </si>
  <si>
    <t>0.9*4+1.1</t>
  </si>
  <si>
    <t>20160726-0728</t>
  </si>
  <si>
    <t>20160729-0730</t>
  </si>
  <si>
    <t>0.7+1.1+1.1+0.9+1.5</t>
  </si>
  <si>
    <t>20160731-0803</t>
  </si>
  <si>
    <t>1.5+2+1.1+1.5+2</t>
  </si>
  <si>
    <t>20160811</t>
  </si>
  <si>
    <t>2678324-17739715</t>
  </si>
  <si>
    <t>53242819650217191X</t>
  </si>
  <si>
    <t>18088911762</t>
  </si>
  <si>
    <t>2677914-17740076</t>
  </si>
  <si>
    <t>2679070-17738982</t>
  </si>
  <si>
    <t>2679400-17739129</t>
  </si>
  <si>
    <t>532428197103181912</t>
  </si>
  <si>
    <t>18088911757</t>
  </si>
  <si>
    <t>2681917-17739919</t>
  </si>
  <si>
    <t>20160706</t>
  </si>
  <si>
    <t>2684028-17735311</t>
  </si>
  <si>
    <t>532428196402021910</t>
  </si>
  <si>
    <t>15987718497</t>
  </si>
  <si>
    <t>2685126-17736371</t>
  </si>
  <si>
    <t>20160707</t>
  </si>
  <si>
    <t>2682330-17736317</t>
  </si>
  <si>
    <t>2681725-17736683</t>
  </si>
  <si>
    <t>20160816</t>
  </si>
  <si>
    <t>2686896-17734868</t>
  </si>
  <si>
    <t>532428195703121930</t>
  </si>
  <si>
    <t>18088911755</t>
  </si>
  <si>
    <t>2686318-17734227</t>
  </si>
  <si>
    <t>20160817</t>
  </si>
  <si>
    <t>2686386-17735245</t>
  </si>
  <si>
    <t>新平者竜竹箐村</t>
  </si>
  <si>
    <t>2693580-17732565</t>
  </si>
  <si>
    <t>1.5+0.7+0.7+1.5+0.7</t>
  </si>
  <si>
    <t>532428196202221911</t>
  </si>
  <si>
    <t>18088911750</t>
  </si>
  <si>
    <t>2692356-17733597</t>
  </si>
  <si>
    <t>0.7+0.7+0.9+0.9+1.1</t>
  </si>
  <si>
    <t>2691702-17733158</t>
  </si>
  <si>
    <t>2691821-17733309</t>
  </si>
  <si>
    <t>新平县者竜乡竹箐村</t>
  </si>
  <si>
    <t>2690435-17730991</t>
  </si>
  <si>
    <t>532428196903291939</t>
  </si>
  <si>
    <t>2691397-17733089</t>
  </si>
  <si>
    <t>2690041-17730878</t>
  </si>
  <si>
    <t>2689008-17732139</t>
  </si>
  <si>
    <t>张学林</t>
  </si>
  <si>
    <t>新平县戛沙镇小坝多村阴波黑组</t>
  </si>
  <si>
    <t>20160715</t>
  </si>
  <si>
    <t>老箐，海拔2222。N23°49′59.05″ E101°36′30.31″</t>
  </si>
  <si>
    <t>530427197312242314</t>
  </si>
  <si>
    <t>18088911726</t>
  </si>
  <si>
    <t>0.7+1.1+0.9+1.1+0.3</t>
  </si>
  <si>
    <t>0.9+1.1+0.5+0.9+0.3</t>
  </si>
  <si>
    <t>新平水塘波村杨家箐</t>
  </si>
  <si>
    <t>20160908</t>
  </si>
  <si>
    <t>新平水塘波村老牛场</t>
  </si>
  <si>
    <t>20160913</t>
  </si>
  <si>
    <t>N02677457，E00743664</t>
  </si>
  <si>
    <t>张立德</t>
  </si>
  <si>
    <t>20160611</t>
  </si>
  <si>
    <t>530427197904142114</t>
  </si>
  <si>
    <t>15284433862</t>
  </si>
  <si>
    <t>20160620</t>
  </si>
  <si>
    <t>20160629</t>
  </si>
  <si>
    <t>2016????</t>
  </si>
  <si>
    <t>新平县平掌乡仓房村旧岩小组</t>
  </si>
  <si>
    <t>李荣昌</t>
  </si>
  <si>
    <t>新平县戛洒镇发启盘龙</t>
  </si>
  <si>
    <t>20160730</t>
  </si>
  <si>
    <t>2658717.7-17755092.2</t>
  </si>
  <si>
    <t>2+1.5+1.5+2+1.1</t>
  </si>
  <si>
    <t>530427197009161351</t>
  </si>
  <si>
    <t>18787771048</t>
  </si>
  <si>
    <t>2658729.4-17755107.0</t>
  </si>
  <si>
    <t>2+1.5+1.5+1.5+1.1</t>
  </si>
  <si>
    <t>2658746.3-17755197.7</t>
  </si>
  <si>
    <t>1.5*5</t>
  </si>
  <si>
    <t>2658706.8-17755086.9</t>
  </si>
  <si>
    <t>1.5+1.1+1.5+1.5+2</t>
  </si>
  <si>
    <t>新平县戛洒镇盘龙</t>
  </si>
  <si>
    <t>2659290.6-17754694.1</t>
  </si>
  <si>
    <t>2+1.5+2+2+2</t>
  </si>
  <si>
    <t>张春应</t>
  </si>
  <si>
    <t>530427197801080950</t>
  </si>
  <si>
    <t>18088911725</t>
  </si>
  <si>
    <t>编号10-1</t>
  </si>
  <si>
    <t>0.5+0.9+0.5+0.7+0.9</t>
  </si>
  <si>
    <t>编号10-2</t>
  </si>
  <si>
    <t>0.9+0.7+0.7+0.7+0.5</t>
  </si>
  <si>
    <t>0.7*4+0.5</t>
  </si>
  <si>
    <t>新平县蓡沙镇胜利村段甲组</t>
  </si>
  <si>
    <t>20160725</t>
  </si>
  <si>
    <t>白石岩，海拔2388。N23°48′00.92″ E101°38′03.83″</t>
  </si>
  <si>
    <t>0.7*5</t>
  </si>
  <si>
    <t>张明忠</t>
  </si>
  <si>
    <t>新平县戛洒镇耀南村金山原始森林</t>
  </si>
  <si>
    <t>20160729</t>
  </si>
  <si>
    <t>海拔2485,2650893.7-17755086.3</t>
  </si>
  <si>
    <t>532428196404082139</t>
  </si>
  <si>
    <t>13988455214</t>
  </si>
  <si>
    <t>新平县戛洒镇耀南村金山丫口金山原始森林</t>
  </si>
  <si>
    <t>海拔2498,2650911.7-17755190.7</t>
  </si>
  <si>
    <t>1.5+2*4</t>
  </si>
  <si>
    <t>新平县戛洒镇耀南村花山脚金拱洞</t>
  </si>
  <si>
    <t>海拔2516,2651054.1-17755397.2</t>
  </si>
  <si>
    <t>0.9+2+2+2+1.5</t>
  </si>
  <si>
    <t>海拔2521,2651204.1.1-17755496.1</t>
  </si>
  <si>
    <t>1.5+1.1+1.5+1.1+1.5</t>
  </si>
  <si>
    <t>新平县戛洒镇耀南村金山丫口</t>
  </si>
  <si>
    <t>海拔2546,2650798.3-17755473.2</t>
  </si>
  <si>
    <t>新平县建兴乡磨味村狗头坡组</t>
  </si>
  <si>
    <t>海拔2386。N23°48′58.60″ E101°36′49.36″</t>
  </si>
  <si>
    <t>532428196808241116</t>
  </si>
  <si>
    <t>18088911723</t>
  </si>
  <si>
    <t>普国全</t>
  </si>
  <si>
    <t>新平县戛洒镇耀南村（长臂猿听点）</t>
  </si>
  <si>
    <t>201607</t>
  </si>
  <si>
    <t>海拔2391，十字路口长臂猿，2651749.1-17757171.4</t>
  </si>
  <si>
    <t>530427197601131311</t>
  </si>
  <si>
    <t>18724831039</t>
  </si>
  <si>
    <t>海拔2546.2650708.3-17755473.2</t>
  </si>
  <si>
    <t>海拔2516.2650764.2-17755470.1</t>
  </si>
  <si>
    <t>海拔2174，茶马古道，2652589.4-17755865.6</t>
  </si>
  <si>
    <t>海拔2401，金山丫口，2651398.4-17754510.1</t>
  </si>
  <si>
    <t>王平</t>
  </si>
  <si>
    <t>编号9-1</t>
  </si>
  <si>
    <t>0.5+0.7+0.7+0.7+0.5</t>
  </si>
  <si>
    <t>532428197510250911</t>
  </si>
  <si>
    <t>18088911719</t>
  </si>
  <si>
    <t>编号9-2</t>
  </si>
  <si>
    <t>编号11-3</t>
  </si>
  <si>
    <t>1.5+1.1+0.7+2+0.7</t>
  </si>
  <si>
    <t>编号10-4</t>
  </si>
  <si>
    <t>新平县戛沙镇仁和村坝多组</t>
  </si>
  <si>
    <t>海拔1993，湾河，N23°50′31.62″ E101°57′27.32″</t>
  </si>
  <si>
    <t>李荣兵</t>
  </si>
  <si>
    <t>海拔2549,2650814.1-17755464.4</t>
  </si>
  <si>
    <t>532428197211161310</t>
  </si>
  <si>
    <t>13577769875</t>
  </si>
  <si>
    <t>新平县戛洒镇耀南村花山路</t>
  </si>
  <si>
    <t>海拔2491,2650879.1-17755419.1</t>
  </si>
  <si>
    <t>新平县戛洒镇耀南村花山</t>
  </si>
  <si>
    <t>海拔2571,2650790.1-17755466.5</t>
  </si>
  <si>
    <t>新平县戛洒镇耀南村金拱洞上边</t>
  </si>
  <si>
    <t>海拔2508,265099.1-17755420.3</t>
  </si>
  <si>
    <t>新平县戛洒发启火山</t>
  </si>
  <si>
    <t>海拔2111.3，2658807.7-17755085.0</t>
  </si>
  <si>
    <t>1.5+1.1+1.1+1.1+0.9</t>
  </si>
  <si>
    <t>532428197512191337</t>
  </si>
  <si>
    <t>海拔2225.9，2658710.3-17755048.6</t>
  </si>
  <si>
    <t>1.5*4+1.1</t>
  </si>
  <si>
    <t>新平县戛洒镇耀南村云盘</t>
  </si>
  <si>
    <t>海拔2203，2658725.4-17755056.2</t>
  </si>
  <si>
    <t>1.1+1.5+1.1+0.7+0.9</t>
  </si>
  <si>
    <t>532428198209091311</t>
  </si>
  <si>
    <t>新平县戛洒发启盘龙</t>
  </si>
  <si>
    <t>海拔2124，2658804.7-17755022.0</t>
  </si>
  <si>
    <t>0.9*3+1.1+1.1</t>
  </si>
  <si>
    <t>新平县戛洒镇耀南村徐？草塘22号</t>
  </si>
  <si>
    <t>海拔2197.4，2658735.2-17755045.4</t>
  </si>
  <si>
    <t>1.1+0.7+1.1+0.9+1.1</t>
  </si>
  <si>
    <t>532428196006121331</t>
  </si>
  <si>
    <t>JD01</t>
  </si>
  <si>
    <t>景东县小龙街多依树村二组</t>
  </si>
  <si>
    <t>20160710</t>
  </si>
  <si>
    <t>532724196406222116</t>
  </si>
  <si>
    <t>13987924932</t>
  </si>
  <si>
    <t>20160720</t>
  </si>
  <si>
    <t>景东县小龙街多依树村百竹林二组</t>
  </si>
  <si>
    <t>20161015</t>
  </si>
  <si>
    <t>景东县太忠镇平掌村柏树组</t>
  </si>
  <si>
    <t>20160716</t>
  </si>
  <si>
    <t>53272419660720183X</t>
  </si>
  <si>
    <t>13769992749</t>
  </si>
  <si>
    <t>景东县太忠镇平掌村</t>
  </si>
  <si>
    <t>海拔2331，N24°31′4.49″ E101°127.58？</t>
  </si>
  <si>
    <t>海拔2345，N24°31′4″ E101°127.42？</t>
  </si>
  <si>
    <t>20160831</t>
  </si>
  <si>
    <t>景东县太忠镇嘎仰村民委员会明子山村民小组</t>
  </si>
  <si>
    <t>20160909</t>
  </si>
  <si>
    <t>海拔2381，N24°33′20.37″ E101°0′21.01″</t>
  </si>
  <si>
    <t>0.9+0.9+0.7+0.9+0.9</t>
  </si>
  <si>
    <t>532724197001221830</t>
  </si>
  <si>
    <t>13577946258</t>
  </si>
  <si>
    <t>海拔2366，N24°33′15.91″ E101°0′22.02″</t>
  </si>
  <si>
    <t>N24°33′23.75″ E101°59′13.35″</t>
  </si>
  <si>
    <t>20161013</t>
  </si>
  <si>
    <t>N24°33′25.82″ E101°59′14.34″</t>
  </si>
  <si>
    <t>1.1+0.7+0.7+1.1+1.1</t>
  </si>
  <si>
    <t>海拔2423，N24°32′51.66″ E100°59′46.58″</t>
  </si>
  <si>
    <t>海拔2362，06:38:00,91.56km</t>
  </si>
  <si>
    <t>20160919</t>
  </si>
  <si>
    <t>N24°33′11.81″ E101°59′30.02″</t>
  </si>
  <si>
    <t>海拔2316，N24°33′23.34″ E101°59′59.82″</t>
  </si>
  <si>
    <t>景东县小龙乡锅瓦张家组</t>
  </si>
  <si>
    <t>20160711</t>
  </si>
  <si>
    <t>532724196901172136</t>
  </si>
  <si>
    <t>138887949236</t>
  </si>
  <si>
    <t>景东花山镇文明村岩头组</t>
  </si>
  <si>
    <t>20160625</t>
  </si>
  <si>
    <t>532724198412051236</t>
  </si>
  <si>
    <t>13154887030</t>
  </si>
  <si>
    <t>20160801</t>
  </si>
  <si>
    <t>景东县小龙街乡小村村民委员会肖井组</t>
  </si>
  <si>
    <t>20160713-0728</t>
  </si>
  <si>
    <t>532724195903162113</t>
  </si>
  <si>
    <t>18287956453</t>
  </si>
  <si>
    <t>20160729-0814</t>
  </si>
  <si>
    <t>20160815-0830</t>
  </si>
  <si>
    <t>景东县花山镇苫山村大楚雄村民小组</t>
  </si>
  <si>
    <t>20160708-0717</t>
  </si>
  <si>
    <t>海拔2264，N24°18′13.42″ E101°14′00.66″</t>
  </si>
  <si>
    <t>1.5+1.5+2+1.5+1.5</t>
  </si>
  <si>
    <t>532724196410061212</t>
  </si>
  <si>
    <t>15912973126</t>
  </si>
  <si>
    <t>20160714-0812</t>
  </si>
  <si>
    <t>海拔2452，N24°18′27.39″ E101°13′03.09″</t>
  </si>
  <si>
    <t>20160718-0727</t>
  </si>
  <si>
    <t>2.5*5</t>
  </si>
  <si>
    <t>20160809-0817</t>
  </si>
  <si>
    <t>海拔2123，N24°18′33.12″ E101°13′52.47″</t>
  </si>
  <si>
    <t>2+2.5+1.1+2+2.5</t>
  </si>
  <si>
    <t>景东太忠镇嘎仰村委会二道河小组</t>
  </si>
  <si>
    <t>20160708</t>
  </si>
  <si>
    <t>N24°34′21.43″ E101°02′？.39″</t>
  </si>
  <si>
    <t>532724198411121810</t>
  </si>
  <si>
    <t>15125673626</t>
  </si>
  <si>
    <t>20160718</t>
  </si>
  <si>
    <t>20161001</t>
  </si>
  <si>
    <t>吴丙华</t>
  </si>
  <si>
    <t>景东花山秀龙大山组苦桥地洞</t>
  </si>
  <si>
    <t>532724197507121212</t>
  </si>
  <si>
    <t>15925295292</t>
  </si>
  <si>
    <t>景东花山秀龙大山组猴子蜗尿箐</t>
  </si>
  <si>
    <t>景东花山秀龙大山组新草子打洞处</t>
  </si>
  <si>
    <t>20160709&amp;0804</t>
  </si>
  <si>
    <t>景东县大街镇昆岗村山头组，大草坝</t>
  </si>
  <si>
    <t>20160705-0718</t>
  </si>
  <si>
    <t>海拔2552，N24°25′34.26″ E101°07′07.02″</t>
  </si>
  <si>
    <t>532724197001091511</t>
  </si>
  <si>
    <t>13577954774</t>
  </si>
  <si>
    <t>景东县大街镇昆岗村，三颗桩</t>
  </si>
  <si>
    <t>海拔2492，N24°25′19.78″ E101°06′40.20″</t>
  </si>
  <si>
    <t>景东县大街镇昆岗村，中山</t>
  </si>
  <si>
    <t>201608-09</t>
  </si>
  <si>
    <t>海拔2280，N24°24′55.53″ E101°06′58.66″</t>
  </si>
  <si>
    <t>景东县大街镇昆岗村，大关山槽子</t>
  </si>
  <si>
    <t>2016009</t>
  </si>
  <si>
    <t>海拔2691，N24°25′45.04″ E101°06′34.10″</t>
  </si>
  <si>
    <t>龙街垭口</t>
  </si>
  <si>
    <t>20160618-0720</t>
  </si>
  <si>
    <t>53272419640814211X</t>
  </si>
  <si>
    <t>13759007385</t>
  </si>
  <si>
    <t>20160702-0709</t>
  </si>
  <si>
    <t>杨华安</t>
  </si>
  <si>
    <t>龙街乡垭口村小看马组</t>
  </si>
  <si>
    <t>20160615-0716</t>
  </si>
  <si>
    <t>532724197908142110</t>
  </si>
  <si>
    <t>13577971579</t>
  </si>
  <si>
    <t>20160702-0706</t>
  </si>
  <si>
    <t>景东县龙街乡新平村</t>
  </si>
  <si>
    <t>？？</t>
  </si>
  <si>
    <t>14769387747</t>
  </si>
  <si>
    <t>景东县龙街乡东山村民委员会</t>
  </si>
  <si>
    <t>532724197806192117</t>
  </si>
  <si>
    <t>13608799334</t>
  </si>
  <si>
    <t>20160827</t>
  </si>
  <si>
    <t>景东县大街镇平地上村</t>
  </si>
  <si>
    <t>20160726</t>
  </si>
  <si>
    <t>海拔2742，N24°26′14.40″ E101°05′59.09″</t>
  </si>
  <si>
    <t>532724198511271517</t>
  </si>
  <si>
    <t>15008811738</t>
  </si>
  <si>
    <t>20160912</t>
  </si>
  <si>
    <t>海拔2397，N24°26′35.99″ E101°05′09.65″</t>
  </si>
  <si>
    <t>2016916</t>
  </si>
  <si>
    <t>海拔2390，N24°26′10.73″ E101°05′52.16″</t>
  </si>
  <si>
    <t>20160928</t>
  </si>
  <si>
    <t>海拔2490，N24°26′49.32″ E101°05′01.61″</t>
  </si>
  <si>
    <t>20160805&amp;0910</t>
  </si>
  <si>
    <t>海拔2211，N24°26′06.74″ E101°05′12.71″</t>
  </si>
  <si>
    <t>景东县大街镇气力村箐门口小组，白沙井</t>
  </si>
  <si>
    <t>20160822</t>
  </si>
  <si>
    <t>海拔2373，N24°24′24.10″ E101°07′12.01″</t>
  </si>
  <si>
    <t>2.5+1.5+2+2+2</t>
  </si>
  <si>
    <t>532724197401281517</t>
  </si>
  <si>
    <t>15987976882</t>
  </si>
  <si>
    <t>景东县大街镇气力村箐门口小组，水箐口</t>
  </si>
  <si>
    <t>20160916</t>
  </si>
  <si>
    <t>海拔2480，N24°24′39.12″ E101°07′32.94″</t>
  </si>
  <si>
    <t>2+1.5+2+2.5+0.9</t>
  </si>
  <si>
    <t>海拔2506，N24°24′46.06″ E101°07′32.02″</t>
  </si>
  <si>
    <t>景东县大街镇气力村箐门口小组，小过脉</t>
  </si>
  <si>
    <t>海拔2517，N24°24′47.52″ E101°07′21.18″</t>
  </si>
  <si>
    <t>海拔2514，N24°24′46.08″ E101°07′20.94″</t>
  </si>
  <si>
    <t>1.1+1.1+1.1+0.9+0.7</t>
  </si>
  <si>
    <t>景东县龙街乡寿府水？一组，小沙水大白水</t>
  </si>
  <si>
    <t>201608</t>
  </si>
  <si>
    <t>532724197007132139</t>
  </si>
  <si>
    <t>15912958748</t>
  </si>
  <si>
    <t>景东县太忠镇麦地村</t>
  </si>
  <si>
    <t>20160713</t>
  </si>
  <si>
    <t>N24°30′19.3″ E101°02′13.03″</t>
  </si>
  <si>
    <t>532724198309201814</t>
  </si>
  <si>
    <t>15891987207</t>
  </si>
  <si>
    <t>景东县太忠镇麦地村外中山组</t>
  </si>
  <si>
    <t>2016718</t>
  </si>
  <si>
    <t>N24°30′29.79″ E101°01′53.14″</t>
  </si>
  <si>
    <t>N24°30′25.77″ E101°02′10.83″</t>
  </si>
  <si>
    <t>N24°30′35.53″ E101°01′14.44″</t>
  </si>
  <si>
    <t>20160828</t>
  </si>
  <si>
    <t>N24°30′32.65″ E101°01′20.14″</t>
  </si>
  <si>
    <t>杨朝华</t>
  </si>
  <si>
    <t>景东县太忠镇方家箐村上村组</t>
  </si>
  <si>
    <t>20160709</t>
  </si>
  <si>
    <t>海拔2450，N24°31′56.74″ E101°0′26.5″</t>
  </si>
  <si>
    <t>532724198511291833</t>
  </si>
  <si>
    <t>15125342326</t>
  </si>
  <si>
    <t>海拔2483，N24°33′45.65″ E101°0′54.4″</t>
  </si>
  <si>
    <t>海拔2456，N24°32′22.6″ E101°0′25.23″</t>
  </si>
  <si>
    <t>20160902</t>
  </si>
  <si>
    <t>海拔2456，N24°32′11.15″ E101°0′26.86″</t>
  </si>
  <si>
    <t>景东县龙街乡竹者村</t>
  </si>
  <si>
    <t>20160818</t>
  </si>
  <si>
    <t>532724196583872113？</t>
  </si>
  <si>
    <t>13577959513</t>
  </si>
  <si>
    <t>景东县麦地村黄风箐小组</t>
  </si>
  <si>
    <t>海拔2491，N24°29′4.88″ E101°03′44.34″</t>
  </si>
  <si>
    <t>0.5+0.7+0.9*3</t>
  </si>
  <si>
    <t>532724198410121819</t>
  </si>
  <si>
    <t>15125657367</t>
  </si>
  <si>
    <t>20160717</t>
  </si>
  <si>
    <t>海拔2419，N24°29′4.88″ E101°03′44.43″</t>
  </si>
  <si>
    <t>20160721</t>
  </si>
  <si>
    <t>海拔2408，N24°29′4.88″ E101°03′44.43″</t>
  </si>
  <si>
    <t>海拔2330，N24°28′36.79″ E101°04′19.98″</t>
  </si>
  <si>
    <t>海拔2317，N24°28′41.53″ E101°04′21.64″</t>
  </si>
  <si>
    <t>景东县花山镇淇海村大山组</t>
  </si>
  <si>
    <t>2016</t>
  </si>
  <si>
    <t>532724196409241232</t>
  </si>
  <si>
    <t>15154839262</t>
  </si>
  <si>
    <t>1.5+2+1.5+1.5+2</t>
  </si>
  <si>
    <t>景东县花山镇小勺村</t>
  </si>
  <si>
    <t>532724196804151237</t>
  </si>
  <si>
    <t>14769359259</t>
  </si>
  <si>
    <t>景东县花山镇撇罗村民委员会龙树小组</t>
  </si>
  <si>
    <t>20160703-0731</t>
  </si>
  <si>
    <t>海拔2047，N24°18′59.29″ E101°12′04.33″</t>
  </si>
  <si>
    <t>532724196608131212</t>
  </si>
  <si>
    <t>15008735389</t>
  </si>
  <si>
    <t>海拔2406，N24°19′15.35″ E101°12′03.85″</t>
  </si>
  <si>
    <t>景东县花山乡芦山村碱水组</t>
  </si>
  <si>
    <t>20160725-0825</t>
  </si>
  <si>
    <t>N24°17′31.01″ E101°13′40.67″</t>
  </si>
  <si>
    <t>532724196401021219</t>
  </si>
  <si>
    <t>15287665605</t>
  </si>
  <si>
    <t>201607-08</t>
  </si>
  <si>
    <t>N24°17′306144″？ E101°13′39.63″</t>
  </si>
  <si>
    <t>景东县花山镇文岗村箐边组</t>
  </si>
  <si>
    <t>0.9+2+1.1+0.9+1.5</t>
  </si>
  <si>
    <t>532427195609021213</t>
  </si>
  <si>
    <t>15912997087</t>
  </si>
  <si>
    <t>景东县芦山村</t>
  </si>
  <si>
    <t>20160710-0719</t>
  </si>
  <si>
    <t>海拔2375，N24°18′21.91″ E101°13′48.64″</t>
  </si>
  <si>
    <t>2+2+1.5+1.5+2</t>
  </si>
  <si>
    <t>532724195509151213</t>
  </si>
  <si>
    <t>18214041646</t>
  </si>
  <si>
    <t>20160720-30</t>
  </si>
  <si>
    <t>海拔2057，N24°17′55.30″ E101°13′22.04″</t>
  </si>
  <si>
    <t>1.1+2+1.5+1.1+1.1</t>
  </si>
  <si>
    <t>海拔2423，N24°18′63.20″ E101°13′46。08″</t>
  </si>
  <si>
    <t>20160801-0810</t>
  </si>
  <si>
    <t>海拔2160，N24°18′10.80″ E101°13′49.50″</t>
  </si>
  <si>
    <t>景东县太忠镇麦地村委会大村小组</t>
  </si>
  <si>
    <t>532724197201141835</t>
  </si>
  <si>
    <t>15925267413</t>
  </si>
  <si>
    <t>2+2.5+2+2+1.1</t>
  </si>
  <si>
    <t>1.1+0.7+1.1+1.1+0.9</t>
  </si>
  <si>
    <t>CX01</t>
  </si>
  <si>
    <t>哀牢山国家级自然保护区楚雄管理局保甸管护点</t>
  </si>
  <si>
    <t>20160712</t>
  </si>
  <si>
    <t>N24°40′69.30″ E100°57′16.87″</t>
  </si>
  <si>
    <t>2</t>
  </si>
  <si>
    <t>532301197402203135</t>
  </si>
  <si>
    <t>13638744286</t>
  </si>
  <si>
    <t>N24°40′24.84″ E100°57′24.07″</t>
  </si>
  <si>
    <t>20160719</t>
  </si>
  <si>
    <t>N24°40′09.39″ E100°57′79.54″</t>
  </si>
  <si>
    <t>1</t>
  </si>
  <si>
    <t>N24°38′59.97″ E100°57′81.70″</t>
  </si>
  <si>
    <t>3</t>
  </si>
  <si>
    <t>20160724</t>
  </si>
  <si>
    <t>N24°40′07.56″ E100°57′77.48″</t>
  </si>
  <si>
    <t>德波箐大中山村</t>
  </si>
  <si>
    <t>20160701-0704</t>
  </si>
  <si>
    <t>海拔2372，N24°33′38.95″ E101°05′16.50″</t>
  </si>
  <si>
    <t>15</t>
  </si>
  <si>
    <t>532301197308203112</t>
  </si>
  <si>
    <t>13987884167</t>
  </si>
  <si>
    <t>20160706-0709</t>
  </si>
  <si>
    <t>海拔2486，N24°32′06.91″ E101°03′58.49″</t>
  </si>
  <si>
    <t>25</t>
  </si>
  <si>
    <t>20160710-0714</t>
  </si>
  <si>
    <t>海拔2415，N24°32′07.08″ E101°03′58.43″</t>
  </si>
  <si>
    <t>20160717-0721</t>
  </si>
  <si>
    <t>海拔2381，N24°31′64.48″ E101°04′07.50″</t>
  </si>
  <si>
    <t>20</t>
  </si>
  <si>
    <t>20160726-0731</t>
  </si>
  <si>
    <t>海拔2400，N24°33′44.62″ E101°03′32.68″</t>
  </si>
  <si>
    <t>楚雄管理局朵苴村委会</t>
  </si>
  <si>
    <t>N24°34′0.52″ E101°02′02.66″</t>
  </si>
  <si>
    <t>5</t>
  </si>
  <si>
    <t>532301197512173133</t>
  </si>
  <si>
    <t>13987878719</t>
  </si>
  <si>
    <t>海拔2586，N24°34′0.98″ E101°02′01.85″</t>
  </si>
  <si>
    <t>N24°34′01.08″ E101°02′04.58″</t>
  </si>
  <si>
    <t>4</t>
  </si>
  <si>
    <t>海拔2510，N24°33′02.13″ E101°02′07.42″</t>
  </si>
  <si>
    <t>7.5</t>
  </si>
  <si>
    <t>N24°33′9.70″ E101°02′01.90″</t>
  </si>
  <si>
    <t>楚雄西舍路朵苴村</t>
  </si>
  <si>
    <t>20160703</t>
  </si>
  <si>
    <t>N24°35′79.37″ E101°04′65.37″</t>
  </si>
  <si>
    <t>532301198403063132</t>
  </si>
  <si>
    <t>18287842698</t>
  </si>
  <si>
    <t>海拔2548，N24°34′75.27″ E101°02′32.26″</t>
  </si>
  <si>
    <t>海拔2534，N24°34′70.14″ E101°02′22.92″</t>
  </si>
  <si>
    <t>海拔2541，N24°34′77.04″ E101°02′38.27″</t>
  </si>
  <si>
    <t>6</t>
  </si>
  <si>
    <t>海拔2542，N24°34′73.75″ E101°02′14.18″</t>
  </si>
  <si>
    <t>楚雄西舍路下岔河村委会</t>
  </si>
  <si>
    <t>20160705-0710</t>
  </si>
  <si>
    <t>N24°36′37.61″ E101°02′10.68″</t>
  </si>
  <si>
    <t>532301198702263118</t>
  </si>
  <si>
    <t>15912941971</t>
  </si>
  <si>
    <t>N24°35′44.69″ E101°01′42.88″</t>
  </si>
  <si>
    <t>N24°35′73.64″ E101°01′45.98″</t>
  </si>
  <si>
    <t>N24°35′73.67″ E101°01′46.06″</t>
  </si>
  <si>
    <t>楚雄西舍路新华村委会</t>
  </si>
  <si>
    <t>20160704-0710</t>
  </si>
  <si>
    <t>N24°31′83.68″ E101°03′85.85″</t>
  </si>
  <si>
    <t>532301198011063133</t>
  </si>
  <si>
    <t>13769279751</t>
  </si>
  <si>
    <t>20160711-0713</t>
  </si>
  <si>
    <t>N24°30′87.82″ E101°04′01.66″</t>
  </si>
  <si>
    <t>20160712-0716</t>
  </si>
  <si>
    <t>N24°30′87.11″ E101°04′02.01″</t>
  </si>
  <si>
    <t>20160720-0726</t>
  </si>
  <si>
    <t>N24°31′68.69″ E101°03′76.48″</t>
  </si>
  <si>
    <t>20160713-0717</t>
  </si>
  <si>
    <t>N24°31′04.97″ E101°04′17.31″</t>
  </si>
  <si>
    <t>0.5</t>
  </si>
  <si>
    <t>王太如</t>
  </si>
  <si>
    <t>楚雄西舍路闸上村委会苍铺塘村</t>
  </si>
  <si>
    <t>532301198610053113</t>
  </si>
  <si>
    <t>15891821981</t>
  </si>
  <si>
    <t>海拔2612，N24°38′15.00″ E101°00′06.86″</t>
  </si>
  <si>
    <t>532301198510293110</t>
  </si>
  <si>
    <t>15125865578</t>
  </si>
  <si>
    <t>海拔2360，N24°39′06.07″ E101°02′82.27″</t>
  </si>
  <si>
    <t>海拔2631，N24°38′15.14″ E101°00′13.71″</t>
  </si>
  <si>
    <t>20160714</t>
  </si>
  <si>
    <t>海拔2642，N24°38′15.46″ E101°00′13.73″</t>
  </si>
  <si>
    <t>海拔2680，N24°38′21.54″ E101°00′15.70″</t>
  </si>
  <si>
    <t>ZY01</t>
  </si>
  <si>
    <t>李坤</t>
  </si>
  <si>
    <t>镇沅县者东镇麦地村</t>
  </si>
  <si>
    <t>532726199008132111</t>
  </si>
  <si>
    <t>13649692948</t>
  </si>
  <si>
    <t>镇沅县麦地村</t>
  </si>
  <si>
    <t>532726197806252434</t>
  </si>
  <si>
    <t>15125604726</t>
  </si>
  <si>
    <t>镇沅县者东镇新村村</t>
  </si>
  <si>
    <t>15987945909</t>
  </si>
  <si>
    <t>20160721-0730</t>
  </si>
  <si>
    <t>53272619860928241X</t>
  </si>
  <si>
    <t>13987901549</t>
  </si>
  <si>
    <t>镇沅县九甲镇勐真村文工村民小组</t>
  </si>
  <si>
    <t>53272619800405211X</t>
  </si>
  <si>
    <t>13577954998</t>
  </si>
  <si>
    <t>镇沅东洒村</t>
  </si>
  <si>
    <t>532726195903062115</t>
  </si>
  <si>
    <t>13769902526</t>
  </si>
  <si>
    <t>20160708-0710</t>
  </si>
  <si>
    <t>532726196904061254</t>
  </si>
  <si>
    <t>13648795316</t>
  </si>
  <si>
    <t>镇沅九甲甸坑村民委员会</t>
  </si>
  <si>
    <t>532726197505162136</t>
  </si>
  <si>
    <t>13759009851</t>
  </si>
  <si>
    <t>镇沅九甲甸坑村</t>
  </si>
  <si>
    <t>镇沅县者东镇凹龙村二社</t>
  </si>
  <si>
    <t>20160701-0702</t>
  </si>
  <si>
    <t>海拔2387&amp;3511</t>
  </si>
  <si>
    <t>海拔2387</t>
  </si>
  <si>
    <t>0.9*3+0.5*2</t>
  </si>
  <si>
    <t>海拔2496</t>
  </si>
  <si>
    <t>海拔2796</t>
  </si>
  <si>
    <t>1.5+0.9*3+0.7</t>
  </si>
  <si>
    <t>20160722</t>
  </si>
  <si>
    <t>2+1.5+3+2+2</t>
  </si>
  <si>
    <t>海拔2696-1</t>
  </si>
  <si>
    <t>2+1.5+2+2+1.5</t>
  </si>
  <si>
    <t>海拔2696-2</t>
  </si>
  <si>
    <t>2+2+0.7+0.9+0.9</t>
  </si>
  <si>
    <t>3+2.5+2.5+3+1.5</t>
  </si>
  <si>
    <t>1.5+2+1.5+2+2</t>
  </si>
  <si>
    <t>2+2.5+2+2.5+2</t>
  </si>
  <si>
    <t>2.5+2+2+1.5+2</t>
  </si>
  <si>
    <t>学堂？</t>
  </si>
  <si>
    <t>2+1.5+2+1.5+1.5</t>
  </si>
  <si>
    <t>1.5+0.9+1.5+1.5+1.5</t>
  </si>
  <si>
    <t>周国宇</t>
  </si>
  <si>
    <t>镇沅县者东镇木丁村大山小组</t>
  </si>
  <si>
    <t>532726195812282411</t>
  </si>
  <si>
    <t>13987907342</t>
  </si>
  <si>
    <t>20160821&amp;27</t>
  </si>
  <si>
    <t>20160823-0824</t>
  </si>
  <si>
    <t>镇沅县九甲镇文岗村朵山小组</t>
  </si>
  <si>
    <t>201607-09</t>
  </si>
  <si>
    <t>纸场河</t>
  </si>
  <si>
    <t>532726197208282115</t>
  </si>
  <si>
    <t>13578185348</t>
  </si>
  <si>
    <t>镇沅县者东镇木丁村中山组</t>
  </si>
  <si>
    <t>53272619780514241X</t>
  </si>
  <si>
    <t>15154888456</t>
  </si>
  <si>
    <t>532726196205242412</t>
  </si>
  <si>
    <t>15987982717</t>
  </si>
  <si>
    <t>20160911</t>
  </si>
  <si>
    <t>大尖峰</t>
  </si>
  <si>
    <t>雷打岩</t>
  </si>
  <si>
    <t>大茶房上</t>
  </si>
  <si>
    <t>大茶户</t>
  </si>
  <si>
    <t>普宁</t>
  </si>
  <si>
    <t>大茶房</t>
  </si>
  <si>
    <t>18387927336</t>
  </si>
  <si>
    <t>羊蹄子山</t>
  </si>
  <si>
    <t>镇沅县九甲镇和平村往南</t>
  </si>
  <si>
    <t>20160702</t>
  </si>
  <si>
    <t>15925281740</t>
  </si>
  <si>
    <t>2016709</t>
  </si>
  <si>
    <t>20160824</t>
  </si>
  <si>
    <t>镇沅县九甲镇和平村千家寨保护区</t>
  </si>
  <si>
    <t>20161028</t>
  </si>
  <si>
    <t>海拔2100</t>
  </si>
  <si>
    <t>0.9*3+0.7+0.5</t>
  </si>
  <si>
    <t>532726195702122118</t>
  </si>
  <si>
    <t>15658794271</t>
  </si>
  <si>
    <t>20160825</t>
  </si>
  <si>
    <t>53272619740801211X</t>
  </si>
  <si>
    <t>15125687717</t>
  </si>
  <si>
    <t>13887959989</t>
  </si>
  <si>
    <t>13987931449</t>
  </si>
  <si>
    <t>0.7+0.9+0.5+0.7+0.5</t>
  </si>
  <si>
    <t>NH01</t>
  </si>
  <si>
    <t>1包</t>
  </si>
  <si>
    <t>南华县马街镇后山村委会芹菜塘村，南华管理局</t>
  </si>
  <si>
    <t>53230119770317311X</t>
  </si>
  <si>
    <t>18787814424</t>
  </si>
  <si>
    <t>施国强</t>
  </si>
  <si>
    <t>大中山</t>
  </si>
  <si>
    <t>南华县兔街镇半坡村委会大荒田村</t>
  </si>
  <si>
    <t>15987847998</t>
  </si>
  <si>
    <t>罗文洪</t>
  </si>
  <si>
    <t>李茂天</t>
  </si>
  <si>
    <t>南华县五顶山乡王家村委会山花地小组</t>
  </si>
  <si>
    <t>532324197705112112</t>
  </si>
  <si>
    <t>13769251821</t>
  </si>
  <si>
    <t>南华县兔街</t>
  </si>
  <si>
    <t>南华管理局马街管理站</t>
  </si>
  <si>
    <t>532324197306082358</t>
  </si>
  <si>
    <t>15887520320</t>
  </si>
  <si>
    <t>李桂芳</t>
  </si>
  <si>
    <t>14769336960</t>
  </si>
  <si>
    <t>南华县兔街镇半坡村委会桃树村</t>
  </si>
  <si>
    <t>15125969798</t>
  </si>
  <si>
    <t>南华县马街镇沙坦郎村</t>
  </si>
  <si>
    <t>53232419820629231X</t>
  </si>
  <si>
    <t>15969321758</t>
  </si>
  <si>
    <t>南华县马街镇上村马街管理站</t>
  </si>
  <si>
    <t>532324196407272316</t>
  </si>
  <si>
    <t>15125782152</t>
  </si>
  <si>
    <t>532324197601103331</t>
  </si>
  <si>
    <t>15057230320</t>
  </si>
  <si>
    <t>何成富</t>
  </si>
  <si>
    <t>南华县大中山保护区管理局</t>
  </si>
  <si>
    <t>13987812514</t>
  </si>
  <si>
    <t>南华管理局大中山站</t>
  </si>
  <si>
    <t>20160710-0720</t>
  </si>
  <si>
    <t>南华管理局大中山站第二责任区</t>
  </si>
  <si>
    <t>20160720-0730</t>
  </si>
  <si>
    <t>自国先</t>
  </si>
  <si>
    <t>南华县兔街镇长梁孜中山村</t>
  </si>
  <si>
    <t>20160729-0804</t>
  </si>
  <si>
    <t>532324196808102553</t>
  </si>
  <si>
    <t>13987848860</t>
  </si>
  <si>
    <t>20160805-0815</t>
  </si>
  <si>
    <t>13638773306</t>
  </si>
  <si>
    <t>南华县兔街镇长梁孜村委会长梁孜村19号</t>
  </si>
  <si>
    <t>20160807-0815</t>
  </si>
  <si>
    <t>532324197405042511</t>
  </si>
  <si>
    <t>15096465131</t>
  </si>
  <si>
    <t>南华县兔街镇半坡村委会望天坡小组</t>
  </si>
  <si>
    <t>15924785716</t>
  </si>
  <si>
    <t>南华县兔街镇小戈瓦村委会大村</t>
  </si>
  <si>
    <t>532324196304142519</t>
  </si>
  <si>
    <t>15125835818</t>
  </si>
  <si>
    <t>鲁新正</t>
  </si>
  <si>
    <t>南华县兔街镇干龙潭村委会上村</t>
  </si>
  <si>
    <t>532324197611072519</t>
  </si>
  <si>
    <t>15974785742</t>
  </si>
  <si>
    <t>南华县兔街镇嘴孜村兔街站</t>
  </si>
  <si>
    <t>532324197002172514</t>
  </si>
  <si>
    <t>15096454725</t>
  </si>
  <si>
    <t>南华县兔街镇半坡村委会郭份田村</t>
  </si>
  <si>
    <t>20160716&amp;0721</t>
  </si>
  <si>
    <t>532324198101062534</t>
  </si>
  <si>
    <t>18787824181</t>
  </si>
  <si>
    <t>20160718&amp;0721</t>
  </si>
  <si>
    <t>鲁兴连</t>
  </si>
  <si>
    <t>周开军</t>
  </si>
  <si>
    <t>王景法</t>
  </si>
  <si>
    <t>刘文明</t>
  </si>
  <si>
    <t>李有华</t>
  </si>
  <si>
    <t>李廷梅</t>
  </si>
  <si>
    <t>杨荣高</t>
  </si>
  <si>
    <t>李波</t>
  </si>
  <si>
    <t>李先富</t>
  </si>
  <si>
    <t>何学会</t>
  </si>
  <si>
    <t>李廷华</t>
  </si>
  <si>
    <t>王开丙</t>
  </si>
  <si>
    <t>董应付</t>
  </si>
  <si>
    <t>王开岳</t>
  </si>
  <si>
    <t>郭存寿</t>
  </si>
  <si>
    <t>王培有</t>
  </si>
  <si>
    <t>徐丕芳</t>
  </si>
  <si>
    <t>李学良</t>
  </si>
  <si>
    <t>王以华</t>
  </si>
  <si>
    <t>鲁光荣</t>
  </si>
  <si>
    <t>王开佐</t>
  </si>
  <si>
    <t>周开洪</t>
  </si>
  <si>
    <t>李富全</t>
  </si>
  <si>
    <t>苏连发</t>
  </si>
  <si>
    <t>王开宽</t>
  </si>
  <si>
    <t>王开润</t>
  </si>
  <si>
    <t>name</t>
    <phoneticPr fontId="2" type="noConversion"/>
  </si>
  <si>
    <t>姓名1_ranger_1_name</t>
  </si>
  <si>
    <t>姓名2_ranger_2_name</t>
  </si>
  <si>
    <t>polygonID_consensus</t>
  </si>
  <si>
    <t>李世冲</t>
  </si>
  <si>
    <t>李宗平</t>
  </si>
  <si>
    <t>余朝明</t>
  </si>
  <si>
    <t>polygon_ranger_name1</t>
  </si>
  <si>
    <t>polygon_ranger_2_name</t>
  </si>
  <si>
    <t>地区</t>
  </si>
  <si>
    <t>2016采集人</t>
  </si>
  <si>
    <t>备注</t>
  </si>
  <si>
    <t>被替换的2015年采集人员</t>
  </si>
  <si>
    <t>此人无位置信息</t>
  </si>
  <si>
    <t>张明付</t>
  </si>
  <si>
    <t>有两份样品</t>
  </si>
  <si>
    <t>李荣兵</t>
    <phoneticPr fontId="26" type="noConversion"/>
  </si>
  <si>
    <t>无人名，采样地点：杨家箐、老牛场</t>
  </si>
  <si>
    <t>杞朝华</t>
    <phoneticPr fontId="2" type="noConversion"/>
  </si>
  <si>
    <t>自国光</t>
    <phoneticPr fontId="2" type="noConversion"/>
  </si>
  <si>
    <t>范学恩</t>
    <phoneticPr fontId="2" type="noConversion"/>
  </si>
  <si>
    <t>者东镇樟盆村。李加华</t>
    <phoneticPr fontId="2" type="noConversion"/>
  </si>
  <si>
    <t>九甲镇文刚村。普恒章、熊开良、张兆寿</t>
    <phoneticPr fontId="2" type="noConversion"/>
  </si>
  <si>
    <t>杨忠顺</t>
    <phoneticPr fontId="2" type="noConversion"/>
  </si>
  <si>
    <t>Ranger_name_in_2016</t>
    <phoneticPr fontId="2" type="noConversion"/>
  </si>
  <si>
    <t>Ranger_name_in_2015</t>
    <phoneticPr fontId="2" type="noConversion"/>
  </si>
  <si>
    <t>九甲果吉村。何兴能</t>
    <phoneticPr fontId="2" type="noConversion"/>
  </si>
  <si>
    <t>哀牢山65区（平河管护点）</t>
    <phoneticPr fontId="2" type="noConversion"/>
  </si>
  <si>
    <t>无位置信息</t>
    <phoneticPr fontId="2" type="noConversion"/>
  </si>
  <si>
    <t>哀牢山4区（三岔河管护点）</t>
    <phoneticPr fontId="2" type="noConversion"/>
  </si>
  <si>
    <t>无位置信息</t>
    <phoneticPr fontId="2" type="noConversion"/>
  </si>
  <si>
    <t>哀牢山2区（三岔河管护点）</t>
    <phoneticPr fontId="2" type="noConversion"/>
  </si>
  <si>
    <t>无位置信息</t>
    <phoneticPr fontId="2" type="noConversion"/>
  </si>
  <si>
    <t>哀牢山6区（三岔河管护点）</t>
    <phoneticPr fontId="2" type="noConversion"/>
  </si>
  <si>
    <t>无位置信息</t>
    <phoneticPr fontId="2" type="noConversion"/>
  </si>
  <si>
    <t>哀牢山69区（平河管护点）</t>
    <phoneticPr fontId="2" type="noConversion"/>
  </si>
  <si>
    <t>无位置信息</t>
    <phoneticPr fontId="2" type="noConversion"/>
  </si>
  <si>
    <t>哀牢山64区（平河管护点）</t>
    <phoneticPr fontId="2" type="noConversion"/>
  </si>
  <si>
    <t>无位置信息</t>
    <phoneticPr fontId="2" type="noConversion"/>
  </si>
  <si>
    <t>哀牢山54区（大窝铺河管护点）</t>
    <phoneticPr fontId="2" type="noConversion"/>
  </si>
  <si>
    <t>无位置信息</t>
    <phoneticPr fontId="2" type="noConversion"/>
  </si>
  <si>
    <t>哀牢山67区（平河管护点）</t>
    <phoneticPr fontId="2" type="noConversion"/>
  </si>
  <si>
    <t>与15年位置信息不一致</t>
    <phoneticPr fontId="2" type="noConversion"/>
  </si>
  <si>
    <t>王光鹏</t>
    <phoneticPr fontId="2" type="noConversion"/>
  </si>
  <si>
    <t>哀牢山69区（平河管护点）</t>
    <phoneticPr fontId="2" type="noConversion"/>
  </si>
  <si>
    <t>与15年位置信息不一致</t>
    <phoneticPr fontId="2" type="noConversion"/>
  </si>
  <si>
    <t>郭万明</t>
    <phoneticPr fontId="2" type="noConversion"/>
  </si>
  <si>
    <t>哀牢山63区（平河管护点）</t>
    <phoneticPr fontId="2" type="noConversion"/>
  </si>
  <si>
    <t>与15年位置信息不一致</t>
    <phoneticPr fontId="2" type="noConversion"/>
  </si>
  <si>
    <t>卞荣</t>
    <phoneticPr fontId="2" type="noConversion"/>
  </si>
  <si>
    <t>哀牢山60区（平河管护点）</t>
    <phoneticPr fontId="2" type="noConversion"/>
  </si>
  <si>
    <t>与15年位置信息不一致</t>
    <phoneticPr fontId="2" type="noConversion"/>
  </si>
  <si>
    <t>朱荣兴</t>
    <phoneticPr fontId="2" type="noConversion"/>
  </si>
  <si>
    <t>哀牢山49区（岔河管护点）</t>
    <phoneticPr fontId="2" type="noConversion"/>
  </si>
  <si>
    <t>无位置信息</t>
    <phoneticPr fontId="2" type="noConversion"/>
  </si>
  <si>
    <t>哀牢山18区（岔河管护点）</t>
    <phoneticPr fontId="2" type="noConversion"/>
  </si>
  <si>
    <t>无位置信息</t>
    <phoneticPr fontId="2" type="noConversion"/>
  </si>
  <si>
    <t>哀牢山区（平河管护点）</t>
    <phoneticPr fontId="2" type="noConversion"/>
  </si>
  <si>
    <t>哀牢山68区（平河管护点）</t>
    <phoneticPr fontId="2" type="noConversion"/>
  </si>
  <si>
    <t>无位置信息</t>
    <phoneticPr fontId="2" type="noConversion"/>
  </si>
  <si>
    <t>哀牢山52区（大窝铺河管护点）</t>
    <phoneticPr fontId="2" type="noConversion"/>
  </si>
  <si>
    <t>无位置信息</t>
    <phoneticPr fontId="2" type="noConversion"/>
  </si>
  <si>
    <t>哀牢山57区（大窝铺河管护点）</t>
    <phoneticPr fontId="2" type="noConversion"/>
  </si>
  <si>
    <t>哀牢山46区（岔河管护点）</t>
    <phoneticPr fontId="2" type="noConversion"/>
  </si>
  <si>
    <t>无位置信息</t>
    <phoneticPr fontId="2" type="noConversion"/>
  </si>
  <si>
    <t>哀牢山19区（岔河管护点）</t>
    <phoneticPr fontId="2" type="noConversion"/>
  </si>
  <si>
    <t>无位置信息</t>
    <phoneticPr fontId="2" type="noConversion"/>
  </si>
  <si>
    <t>哀牢山50区（大窝铺河管护点）</t>
    <phoneticPr fontId="2" type="noConversion"/>
  </si>
  <si>
    <t>无位置信息</t>
    <phoneticPr fontId="2" type="noConversion"/>
  </si>
  <si>
    <t>哀牢山51区（大窝铺河管护点）</t>
    <phoneticPr fontId="2" type="noConversion"/>
  </si>
  <si>
    <t>无位置信息</t>
    <phoneticPr fontId="2" type="noConversion"/>
  </si>
  <si>
    <t>哀牢山53区（大窝铺河管护点）</t>
    <phoneticPr fontId="2" type="noConversion"/>
  </si>
  <si>
    <t>无位置信息</t>
    <phoneticPr fontId="2" type="noConversion"/>
  </si>
  <si>
    <t>哀牢山29区（小河坝管护点）</t>
    <phoneticPr fontId="2" type="noConversion"/>
  </si>
  <si>
    <t>哀牢山3区（三岔河管护点）</t>
    <phoneticPr fontId="2" type="noConversion"/>
  </si>
  <si>
    <t>无位置信息</t>
    <phoneticPr fontId="2" type="noConversion"/>
  </si>
  <si>
    <t>哀牢山1区（三岔河管护点）</t>
    <phoneticPr fontId="2" type="noConversion"/>
  </si>
  <si>
    <t>无位置信息</t>
    <phoneticPr fontId="2" type="noConversion"/>
  </si>
  <si>
    <t>哀牢山31区（老柴窝管护点）</t>
    <phoneticPr fontId="2" type="noConversion"/>
  </si>
  <si>
    <t>无位置信息</t>
    <phoneticPr fontId="2" type="noConversion"/>
  </si>
  <si>
    <t>哀牢山29区（老柴窝管护点）</t>
    <phoneticPr fontId="2" type="noConversion"/>
  </si>
  <si>
    <t>无位置信息</t>
    <phoneticPr fontId="2" type="noConversion"/>
  </si>
  <si>
    <t>哀牢山26区（老柴窝管护点）</t>
    <phoneticPr fontId="2" type="noConversion"/>
  </si>
  <si>
    <t>无位置信息</t>
    <phoneticPr fontId="2" type="noConversion"/>
  </si>
  <si>
    <t>代发荣</t>
    <phoneticPr fontId="2" type="noConversion"/>
  </si>
  <si>
    <t>哀牢山55区（大窝铺河管护点）</t>
    <phoneticPr fontId="2" type="noConversion"/>
  </si>
  <si>
    <t>哀牢山17区（小河坝管护点）</t>
    <phoneticPr fontId="2" type="noConversion"/>
  </si>
  <si>
    <t>无位置信息</t>
    <phoneticPr fontId="2" type="noConversion"/>
  </si>
  <si>
    <t>哀牢山21区（小河坝管护点）</t>
    <phoneticPr fontId="2" type="noConversion"/>
  </si>
  <si>
    <t>哀牢山30区（老柴窝管护点）</t>
    <phoneticPr fontId="2" type="noConversion"/>
  </si>
  <si>
    <t>哀牢山33区（老柴窝管护点）</t>
    <phoneticPr fontId="2" type="noConversion"/>
  </si>
  <si>
    <t>哀牢山10区（三岔河管护点）</t>
    <phoneticPr fontId="2" type="noConversion"/>
  </si>
  <si>
    <t>哀牢山10区（三岔河管护点）</t>
    <phoneticPr fontId="2" type="noConversion"/>
  </si>
  <si>
    <t>哀牢山15区（小河坝管护点）</t>
    <phoneticPr fontId="2" type="noConversion"/>
  </si>
  <si>
    <t>哀牢山8区（三岔河管护点）</t>
    <phoneticPr fontId="2" type="noConversion"/>
  </si>
  <si>
    <t>王芳</t>
    <phoneticPr fontId="29" type="noConversion"/>
  </si>
  <si>
    <t>李恒进</t>
    <phoneticPr fontId="29" type="noConversion"/>
  </si>
  <si>
    <t>李文和</t>
    <phoneticPr fontId="29" type="noConversion"/>
  </si>
  <si>
    <t>新平哀牢山县级自然保护区采样</t>
    <phoneticPr fontId="26" type="noConversion"/>
  </si>
  <si>
    <t>者东镇麦地村。王彪</t>
    <phoneticPr fontId="2" type="noConversion"/>
  </si>
  <si>
    <t>者东镇东山村。范学恩</t>
    <phoneticPr fontId="2" type="noConversion"/>
  </si>
  <si>
    <t>者东镇木厂村。肖子云</t>
    <phoneticPr fontId="2" type="noConversion"/>
  </si>
  <si>
    <t>蒋文奎</t>
    <phoneticPr fontId="29" type="noConversion"/>
  </si>
  <si>
    <t>新平哀牢山县级自然保护区采样</t>
    <phoneticPr fontId="26" type="noConversion"/>
  </si>
  <si>
    <t>Table_name</t>
    <phoneticPr fontId="2" type="noConversion"/>
  </si>
  <si>
    <t>Created_by</t>
    <phoneticPr fontId="2" type="noConversion"/>
  </si>
  <si>
    <t>Created_time</t>
    <phoneticPr fontId="2" type="noConversion"/>
  </si>
  <si>
    <t>Description</t>
    <phoneticPr fontId="2" type="noConversion"/>
  </si>
  <si>
    <t>Doug</t>
    <phoneticPr fontId="2" type="noConversion"/>
  </si>
  <si>
    <t>All</t>
    <phoneticPr fontId="2" type="noConversion"/>
  </si>
  <si>
    <t>Jiaxin Wang</t>
    <phoneticPr fontId="2" type="noConversion"/>
  </si>
  <si>
    <t>2017-07-29</t>
    <phoneticPr fontId="2" type="noConversion"/>
  </si>
  <si>
    <t>2017-04-05</t>
    <phoneticPr fontId="2" type="noConversion"/>
  </si>
  <si>
    <t>自正荣</t>
  </si>
  <si>
    <t>自正荣</t>
    <phoneticPr fontId="26" type="noConversion"/>
  </si>
  <si>
    <t>代发荣</t>
  </si>
  <si>
    <t>李桂芳</t>
    <phoneticPr fontId="2" type="noConversion"/>
  </si>
  <si>
    <t>何成富</t>
    <phoneticPr fontId="2" type="noConversion"/>
  </si>
  <si>
    <t>张应有</t>
    <phoneticPr fontId="2" type="noConversion"/>
  </si>
  <si>
    <t>李桂芳</t>
    <phoneticPr fontId="2" type="noConversion"/>
  </si>
  <si>
    <t>李桂芳</t>
    <phoneticPr fontId="29" type="noConversion"/>
  </si>
  <si>
    <t>何成富</t>
    <phoneticPr fontId="29" type="noConversion"/>
  </si>
  <si>
    <t>张应有</t>
    <phoneticPr fontId="2" type="noConversion"/>
  </si>
  <si>
    <t>张应有</t>
    <phoneticPr fontId="29" type="noConversion"/>
  </si>
  <si>
    <t>杨忠顺</t>
    <phoneticPr fontId="2" type="noConversion"/>
  </si>
  <si>
    <t>All sample data including ranger name, ID, cell phone number, collection location, leech sample number…</t>
    <phoneticPr fontId="2" type="noConversion"/>
  </si>
  <si>
    <t>双柏</t>
    <phoneticPr fontId="2" type="noConversion"/>
  </si>
  <si>
    <t>Sample data is collected in 双柏</t>
    <phoneticPr fontId="2" type="noConversion"/>
  </si>
  <si>
    <t>新平</t>
    <phoneticPr fontId="2" type="noConversion"/>
  </si>
  <si>
    <t>Sample data is collected in 新平</t>
    <phoneticPr fontId="2" type="noConversion"/>
  </si>
  <si>
    <t>景东</t>
    <phoneticPr fontId="2" type="noConversion"/>
  </si>
  <si>
    <t>Sample data is collected in 景东</t>
    <phoneticPr fontId="2" type="noConversion"/>
  </si>
  <si>
    <t>楚雄</t>
    <phoneticPr fontId="2" type="noConversion"/>
  </si>
  <si>
    <t>镇沅</t>
    <phoneticPr fontId="2" type="noConversion"/>
  </si>
  <si>
    <t>Sample data is collected in 楚雄</t>
    <phoneticPr fontId="2" type="noConversion"/>
  </si>
  <si>
    <t>Sample data is collected in 镇沅</t>
    <phoneticPr fontId="2" type="noConversion"/>
  </si>
  <si>
    <t>南华</t>
    <phoneticPr fontId="2" type="noConversion"/>
  </si>
  <si>
    <t>Sample data is collected in 南华</t>
    <phoneticPr fontId="2" type="noConversion"/>
  </si>
  <si>
    <t>Sheet1</t>
    <phoneticPr fontId="2" type="noConversion"/>
  </si>
  <si>
    <t>Sheet2</t>
    <phoneticPr fontId="2" type="noConversion"/>
  </si>
  <si>
    <t>2017-04-05</t>
  </si>
  <si>
    <t>Unkonwn, maybe temp data</t>
    <phoneticPr fontId="2" type="noConversion"/>
  </si>
  <si>
    <t>Derived from table of "All" and added ranger's name and polygon ID of year 2015 for contrast</t>
    <phoneticPr fontId="2" type="noConversion"/>
  </si>
  <si>
    <t>Rangers of 2016 data, including ranger's name, ID, cell phone number and location, link to table of "sample_database"</t>
    <phoneticPr fontId="2" type="noConversion"/>
  </si>
  <si>
    <t>ranger_database_2016</t>
    <phoneticPr fontId="2" type="noConversion"/>
  </si>
  <si>
    <t>Lin Wang</t>
    <phoneticPr fontId="2" type="noConversion"/>
  </si>
  <si>
    <t>2017-08-04</t>
    <phoneticPr fontId="2" type="noConversion"/>
  </si>
  <si>
    <t>护林员数据库_ranger_database</t>
    <phoneticPr fontId="2" type="noConversion"/>
  </si>
  <si>
    <t>Columns Same as table of "护林员数据库_ranger_database", but the records are different. Table of "护林员数据库_ranger_database" may omit some records</t>
    <phoneticPr fontId="2" type="noConversion"/>
  </si>
  <si>
    <t>sample_database</t>
    <phoneticPr fontId="2" type="noConversion"/>
  </si>
  <si>
    <t>Metadata</t>
    <phoneticPr fontId="2" type="noConversion"/>
  </si>
  <si>
    <t>Description of tables, data of data</t>
    <phoneticPr fontId="2" type="noConversion"/>
  </si>
  <si>
    <t>太山箐，海拔2199。N23°22.3745 E103°22.8162</t>
    <phoneticPr fontId="2" type="noConversion"/>
  </si>
  <si>
    <t>x_axis</t>
    <phoneticPr fontId="2" type="noConversion"/>
  </si>
  <si>
    <t>y_axis</t>
    <phoneticPr fontId="2" type="noConversion"/>
  </si>
  <si>
    <t>polygonID_consensus</t>
    <phoneticPr fontId="2" type="noConversion"/>
  </si>
  <si>
    <t>polygonID_consensus</t>
    <phoneticPr fontId="2" type="noConversion"/>
  </si>
  <si>
    <t>polygonID_consensus_by_ranger_1_name</t>
    <phoneticPr fontId="2" type="noConversion"/>
  </si>
  <si>
    <t>polygonID_consensus_by_ranger_2_name</t>
    <phoneticPr fontId="2" type="noConversion"/>
  </si>
  <si>
    <t>polygonID_consensus_by_gps</t>
    <phoneticPr fontId="2" type="noConversion"/>
  </si>
  <si>
    <t>NA</t>
    <phoneticPr fontId="2" type="noConversion"/>
  </si>
  <si>
    <t>NA</t>
    <phoneticPr fontId="2" type="noConversion"/>
  </si>
  <si>
    <t>海拔2610，N24°38.2431 E100°59.9596</t>
    <phoneticPr fontId="2" type="noConversion"/>
  </si>
  <si>
    <t>海拔2621，N24°38.1674 E101°00.0453</t>
    <phoneticPr fontId="2" type="noConversion"/>
  </si>
  <si>
    <t>海拔2617，N24°38.1868 E100°59.9710</t>
    <phoneticPr fontId="2" type="noConversion"/>
  </si>
  <si>
    <t>海拔2612，N24°38.2866 E100°59.9517</t>
    <phoneticPr fontId="2" type="noConversion"/>
  </si>
  <si>
    <t>海拔2319，N24°38.5358 E101°00.5966</t>
    <phoneticPr fontId="2" type="noConversion"/>
  </si>
  <si>
    <t>海拔2351 N24°23′41.39″，E101°9′42.71″</t>
    <phoneticPr fontId="2" type="noConversion"/>
  </si>
  <si>
    <t>海拔2329，N24°22′52.5″ E101°15′40.2″</t>
    <phoneticPr fontId="2" type="noConversion"/>
  </si>
  <si>
    <t>海拔2461，N24°26′31.81″ E101°07′43.81″</t>
    <phoneticPr fontId="2" type="noConversion"/>
  </si>
  <si>
    <t>id</t>
    <phoneticPr fontId="2" type="noConversion"/>
  </si>
  <si>
    <t>id</t>
  </si>
  <si>
    <t>采集坐标</t>
  </si>
  <si>
    <t>x</t>
  </si>
  <si>
    <t>y</t>
  </si>
  <si>
    <t>Update_from_YIFIP</t>
    <phoneticPr fontId="2" type="noConversion"/>
  </si>
  <si>
    <t>x_dd</t>
    <phoneticPr fontId="2" type="noConversion"/>
  </si>
  <si>
    <t>y_dd</t>
    <phoneticPr fontId="2" type="noConversion"/>
  </si>
  <si>
    <t>其他位置信</t>
  </si>
  <si>
    <t>x_axis</t>
  </si>
  <si>
    <t>y_axis</t>
  </si>
  <si>
    <t>polygon_id</t>
  </si>
  <si>
    <t>海拔2461，N24°26′31.81″ E101°07′43.81″</t>
  </si>
  <si>
    <t>海拔2351 N24°23′41.39″，E101°9′42.71″</t>
  </si>
  <si>
    <t>太山箐，海拔2199。N23°22.3745 E103°22.8162</t>
  </si>
  <si>
    <t>海拔2319，N24°38.5358 E101°00.5966</t>
  </si>
  <si>
    <t>海拔2610，N24°38.2431 E100°59.9596</t>
  </si>
  <si>
    <t>海拔2612，N24°38.2866 E100°59.9517</t>
  </si>
  <si>
    <t>海拔2617，N24°38.1868 E100°59.9710</t>
  </si>
  <si>
    <t>海拔2621，N24°38.1674 E101°00.0453</t>
  </si>
  <si>
    <t>姓名1_ranger</t>
    <phoneticPr fontId="2" type="noConversion"/>
  </si>
  <si>
    <t>姓名2_ranger</t>
    <phoneticPr fontId="2" type="noConversion"/>
  </si>
  <si>
    <t>polygon_id_new</t>
    <phoneticPr fontId="2" type="noConversion"/>
  </si>
  <si>
    <t>update_polygonID</t>
    <phoneticPr fontId="2" type="noConversion"/>
  </si>
  <si>
    <t>李发兴</t>
    <phoneticPr fontId="2" type="noConversion"/>
  </si>
  <si>
    <t>Update data were from Yunnan Institute of Forest Inventory and Planning. Checking the data and link to the table of "sample_database" and table of "Export_to_ArcGIS"</t>
    <phoneticPr fontId="2" type="noConversion"/>
  </si>
  <si>
    <t>2017-09-04</t>
    <phoneticPr fontId="2" type="noConversion"/>
  </si>
  <si>
    <t>Export_to_ArcGIS</t>
    <phoneticPr fontId="2" type="noConversion"/>
  </si>
  <si>
    <t>The GPS points with latitude and longitude coordinates were prepared for using in ArcGIS</t>
    <phoneticPr fontId="2" type="noConversion"/>
  </si>
  <si>
    <t>李荣兵</t>
    <phoneticPr fontId="2" type="noConversion"/>
  </si>
  <si>
    <t>四-李宗平</t>
    <phoneticPr fontId="2" type="noConversion"/>
  </si>
  <si>
    <t>四-李世冲</t>
    <phoneticPr fontId="2" type="noConversion"/>
  </si>
  <si>
    <t>四-李宗平</t>
    <phoneticPr fontId="2" type="noConversion"/>
  </si>
  <si>
    <t>四-李荣昌</t>
    <phoneticPr fontId="2" type="noConversion"/>
  </si>
  <si>
    <t>四-余朝明</t>
    <phoneticPr fontId="2" type="noConversion"/>
  </si>
  <si>
    <t>ranger_name</t>
  </si>
  <si>
    <t>Polygon_ID</t>
    <phoneticPr fontId="2" type="noConversion"/>
  </si>
  <si>
    <t>Row Labels</t>
  </si>
  <si>
    <t>25 or 24</t>
  </si>
  <si>
    <t>28 or 27</t>
  </si>
  <si>
    <t>89 or 90</t>
  </si>
  <si>
    <t>Grand Total</t>
  </si>
  <si>
    <t>Column Labels</t>
  </si>
  <si>
    <t>代发菜&amp;李学良</t>
  </si>
  <si>
    <t>周强&amp;李有国</t>
  </si>
  <si>
    <t>四-余朝明</t>
  </si>
  <si>
    <t>四-李世冲</t>
  </si>
  <si>
    <t>四-李宗平</t>
  </si>
  <si>
    <t>四-李荣昌</t>
  </si>
  <si>
    <t>徐丕芳&amp;王开定</t>
  </si>
  <si>
    <t>李先富&amp;何学会</t>
  </si>
  <si>
    <t>李开应&amp;苏连发</t>
  </si>
  <si>
    <t>李有华&amp;李廷梅</t>
  </si>
  <si>
    <t>李贵华&amp;李富全</t>
  </si>
  <si>
    <t>杨荣高&amp;李波</t>
  </si>
  <si>
    <t>王以华&amp;鲁光荣</t>
  </si>
  <si>
    <t>王光鹏&amp;王开岳</t>
  </si>
  <si>
    <t>王开丙&amp;董应付</t>
  </si>
  <si>
    <t>王开佐&amp;周开洪</t>
  </si>
  <si>
    <t>王开宽&amp;王开润</t>
  </si>
  <si>
    <t>王开远&amp;周开军</t>
  </si>
  <si>
    <t>王景法&amp;刘文明</t>
  </si>
  <si>
    <t>王炳兴&amp;李廷华</t>
  </si>
  <si>
    <t>王炳富&amp;李开华</t>
  </si>
  <si>
    <t>白正荣</t>
  </si>
  <si>
    <t>郭存寿&amp;王培有</t>
  </si>
  <si>
    <t>鲁兴连&amp;祝正贵</t>
  </si>
  <si>
    <t>Count of 姓名</t>
  </si>
  <si>
    <t>region_English</t>
  </si>
  <si>
    <t>NanHua</t>
  </si>
  <si>
    <t>ShuangBai</t>
  </si>
  <si>
    <t>XinPing</t>
  </si>
  <si>
    <t>JingDong</t>
  </si>
  <si>
    <t>ChuXiong</t>
  </si>
  <si>
    <t>ZhenYuan</t>
  </si>
  <si>
    <t>Big_tubes</t>
  </si>
  <si>
    <t>Small_tubes</t>
  </si>
  <si>
    <t>region_Chinese</t>
  </si>
  <si>
    <t>Ranger_name</t>
  </si>
  <si>
    <t>leech_qty</t>
  </si>
  <si>
    <t>Tube_1</t>
  </si>
  <si>
    <t>Tube_2</t>
  </si>
  <si>
    <t>Tube_3</t>
  </si>
  <si>
    <t>Tube_4</t>
  </si>
  <si>
    <t>Tube_5</t>
  </si>
  <si>
    <t>Tube_6</t>
  </si>
  <si>
    <t>Tube_7</t>
  </si>
  <si>
    <t>Tube_8</t>
  </si>
  <si>
    <t>Tube_9</t>
  </si>
  <si>
    <t>Tube_10</t>
  </si>
  <si>
    <t>Tube_11</t>
  </si>
  <si>
    <t>Tube_12</t>
  </si>
  <si>
    <t>Tube_13</t>
  </si>
  <si>
    <t>Tube_14</t>
  </si>
  <si>
    <t>Tube_15</t>
  </si>
  <si>
    <t>Tube_16</t>
  </si>
  <si>
    <t>Tube_17</t>
  </si>
  <si>
    <t>Tube_18</t>
  </si>
  <si>
    <t>Tube_19</t>
  </si>
  <si>
    <t>Tube_20</t>
  </si>
  <si>
    <t>Tube_21</t>
  </si>
  <si>
    <t>Tube_22</t>
  </si>
  <si>
    <t>Tube_23</t>
  </si>
  <si>
    <t>Tube_24</t>
  </si>
  <si>
    <t>Tube_25</t>
  </si>
  <si>
    <t>Tube_26</t>
  </si>
  <si>
    <t>Tube_27</t>
  </si>
  <si>
    <t>Ranger_address</t>
  </si>
  <si>
    <t>Ranger_ID</t>
  </si>
  <si>
    <t>Region_Chinese</t>
  </si>
  <si>
    <t>Region_English</t>
  </si>
  <si>
    <t>Ranger_Chinese</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</si>
  <si>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</si>
  <si>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</si>
  <si>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</si>
  <si>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</si>
  <si>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</si>
  <si>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</si>
  <si>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</si>
  <si>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</si>
  <si>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</si>
  <si>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</si>
  <si>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</si>
  <si>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</si>
  <si>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</si>
  <si>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</si>
  <si>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</si>
  <si>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</si>
  <si>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</si>
  <si>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</si>
  <si>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</si>
  <si>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</si>
  <si>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</si>
  <si>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</si>
  <si>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</si>
  <si>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</si>
  <si>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</si>
  <si>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</si>
  <si>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</si>
  <si>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</si>
  <si>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</si>
  <si>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</si>
  <si>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</si>
  <si>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</si>
  <si>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</si>
  <si>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</si>
  <si>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</si>
  <si>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</si>
  <si>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</si>
  <si>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</si>
  <si>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</si>
  <si>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</si>
  <si>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</si>
  <si>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</si>
  <si>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</si>
  <si>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</si>
  <si>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</si>
  <si>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</si>
  <si>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</si>
  <si>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</si>
  <si>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</si>
  <si>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</si>
  <si>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</si>
  <si>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</si>
  <si>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</si>
  <si>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</si>
  <si>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</si>
  <si>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</si>
  <si>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</si>
  <si>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</si>
  <si>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</si>
  <si>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</si>
  <si>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</si>
  <si>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</si>
  <si>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</si>
  <si>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</si>
  <si>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</si>
  <si>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</si>
  <si>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</si>
  <si>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</si>
  <si>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</si>
  <si>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</si>
  <si>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</si>
  <si>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</si>
  <si>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</si>
  <si>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</si>
  <si>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</si>
  <si>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</si>
  <si>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</si>
  <si>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</si>
  <si>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</si>
  <si>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</si>
  <si>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</si>
  <si>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</si>
  <si>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</si>
  <si>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</si>
  <si>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</si>
  <si>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</si>
  <si>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</si>
  <si>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</si>
  <si>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</si>
  <si>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</si>
  <si>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</si>
  <si>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</si>
  <si>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</si>
  <si>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</si>
  <si>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</si>
  <si>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</si>
  <si>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</si>
  <si>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</si>
  <si>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</si>
  <si>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</si>
  <si>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</si>
  <si>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</si>
  <si>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</si>
  <si>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</si>
  <si>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</si>
  <si>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</si>
  <si>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</si>
  <si>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</si>
  <si>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</si>
  <si>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</si>
  <si>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</si>
  <si>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</si>
  <si>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</si>
  <si>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</si>
  <si>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</si>
  <si>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</si>
  <si>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</si>
  <si>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</si>
  <si>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</si>
  <si>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</si>
  <si>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</si>
  <si>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</si>
  <si>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</si>
  <si>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</si>
  <si>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</si>
  <si>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</si>
  <si>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</si>
  <si>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</si>
  <si>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</si>
  <si>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</si>
  <si>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</si>
  <si>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</si>
  <si>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</si>
  <si>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</si>
  <si>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</si>
  <si>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</si>
  <si>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</si>
  <si>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</si>
  <si>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</si>
  <si>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</si>
  <si>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</si>
  <si>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</si>
  <si>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</si>
  <si>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</si>
  <si>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Lab_ID.aggregated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</si>
</sst>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
    <numFmt numFmtId="165" formatCode="0_);[Red]\(0\)"/>
    <numFmt numFmtId="166" formatCode="0_ "/>
    <numFmt numFmtId="167" formatCode="[$-809]dd\ mmmm\ yyyy;@"/>
    <numFmt numFmtId="168" formatCode="yyyy\-mm\-dd;@"/>
    <numFmt numFmtId="169" formatCode="0.0"/>
  </numFmts>
  <fonts count="33">
    <font>
      <sz val="11"/>
      <color theme="1"/>
      <name val="Calibri"/>
      <family val="2"/>
      <charset val="134"/>
      <scheme val="minor"/>
    </font>
    <font>
      <sz val="12"/>
      <color theme="1"/>
      <name val="Calibri"/>
      <family val="2"/>
      <charset val="134"/>
      <scheme val="minor"/>
    </font>
    <font>
      <sz val="9"/>
      <name val="Calibri"/>
      <family val="2"/>
      <charset val="134"/>
      <scheme val="minor"/>
    </font>
    <font>
      <sz val="11"/>
      <color rgb="FFFF0000"/>
      <name val="Calibri"/>
      <family val="3"/>
      <charset val="134"/>
      <scheme val="minor"/>
    </font>
    <font>
      <sz val="11"/>
      <color theme="1"/>
      <name val="Calibri"/>
      <family val="3"/>
      <charset val="134"/>
      <scheme val="minor"/>
    </font>
    <font>
      <b/>
      <sz val="36"/>
      <color theme="1"/>
      <name val="Calibri"/>
      <family val="3"/>
      <charset val="134"/>
      <scheme val="minor"/>
    </font>
    <font>
      <sz val="12"/>
      <color theme="1"/>
      <name val="Calibri"/>
      <family val="3"/>
      <charset val="134"/>
      <scheme val="minor"/>
    </font>
    <font>
      <b/>
      <sz val="28"/>
      <color theme="1"/>
      <name val="Calibri"/>
      <family val="3"/>
      <charset val="134"/>
      <scheme val="minor"/>
    </font>
    <font>
      <b/>
      <sz val="16"/>
      <color theme="1"/>
      <name val="Calibri"/>
      <family val="3"/>
      <charset val="134"/>
      <scheme val="minor"/>
    </font>
    <font>
      <sz val="11"/>
      <name val="Calibri"/>
      <family val="2"/>
      <charset val="134"/>
      <scheme val="minor"/>
    </font>
    <font>
      <sz val="11"/>
      <name val="Calibri"/>
      <family val="3"/>
      <charset val="134"/>
      <scheme val="minor"/>
    </font>
    <font>
      <b/>
      <i/>
      <u/>
      <sz val="11"/>
      <color theme="1"/>
      <name val="Calibri"/>
      <family val="3"/>
      <charset val="134"/>
      <scheme val="minor"/>
    </font>
    <font>
      <sz val="10"/>
      <color theme="1"/>
      <name val="Calibri"/>
      <family val="2"/>
      <scheme val="minor"/>
    </font>
    <font>
      <u/>
      <sz val="11"/>
      <color theme="10"/>
      <name val="Calibri"/>
      <family val="2"/>
      <charset val="134"/>
      <scheme val="minor"/>
    </font>
    <font>
      <u/>
      <sz val="11"/>
      <color theme="11"/>
      <name val="Calibri"/>
      <family val="2"/>
      <charset val="134"/>
      <scheme val="minor"/>
    </font>
    <font>
      <sz val="10"/>
      <name val="Calibri"/>
      <family val="2"/>
      <scheme val="minor"/>
    </font>
    <font>
      <sz val="14"/>
      <color theme="1"/>
      <name val="Calibri"/>
      <family val="2"/>
      <scheme val="minor"/>
    </font>
    <font>
      <sz val="14"/>
      <name val="Calibri"/>
      <family val="2"/>
      <scheme val="minor"/>
    </font>
    <font>
      <sz val="16"/>
      <name val="Calibri"/>
      <family val="2"/>
      <scheme val="minor"/>
    </font>
    <font>
      <sz val="16"/>
      <color theme="1"/>
      <name val="Calibri"/>
      <family val="2"/>
      <scheme val="minor"/>
    </font>
    <font>
      <sz val="14"/>
      <color rgb="FFFF0000"/>
      <name val="Calibri"/>
      <family val="2"/>
      <scheme val="minor"/>
    </font>
    <font>
      <b/>
      <sz val="14"/>
      <color rgb="FFFF0000"/>
      <name val="Calibri"/>
      <family val="2"/>
      <scheme val="minor"/>
    </font>
    <font>
      <b/>
      <sz val="12"/>
      <color rgb="FFFF0000"/>
      <name val="Calibri"/>
      <family val="2"/>
      <scheme val="minor"/>
    </font>
    <font>
      <sz val="11"/>
      <color rgb="FF000000"/>
      <name val="Calibri"/>
      <family val="2"/>
      <charset val="134"/>
      <scheme val="minor"/>
    </font>
    <font>
      <b/>
      <sz val="11"/>
      <color theme="1"/>
      <name val="Calibri"/>
      <family val="2"/>
      <scheme val="minor"/>
    </font>
    <font>
      <b/>
      <sz val="14"/>
      <color theme="1"/>
      <name val="Calibri"/>
      <family val="2"/>
      <scheme val="minor"/>
    </font>
    <font>
      <sz val="9"/>
      <name val="Calibri"/>
      <family val="3"/>
      <charset val="134"/>
      <scheme val="minor"/>
    </font>
    <font>
      <sz val="11"/>
      <color theme="1"/>
      <name val="Calibri"/>
      <family val="2"/>
      <scheme val="minor"/>
    </font>
    <font>
      <sz val="11"/>
      <color indexed="8"/>
      <name val="宋体"/>
      <family val="3"/>
      <charset val="134"/>
    </font>
    <font>
      <sz val="9"/>
      <name val="宋体"/>
      <family val="3"/>
      <charset val="134"/>
    </font>
    <font>
      <sz val="11"/>
      <color indexed="8"/>
      <name val="宋体"/>
      <family val="3"/>
      <charset val="134"/>
    </font>
    <font>
      <sz val="11"/>
      <name val="Calibri"/>
      <family val="2"/>
      <scheme val="minor"/>
    </font>
    <font>
      <b/>
      <sz val="11"/>
      <color theme="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64">
    <xf numFmtId="167" fontId="0" fillId="0" borderId="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167" fontId="13" fillId="0" borderId="0" applyNumberFormat="0" applyFill="0" applyBorder="0" applyAlignment="0" applyProtection="0">
      <alignment vertical="center"/>
    </xf>
    <xf numFmtId="167" fontId="14" fillId="0" borderId="0" applyNumberFormat="0" applyFill="0" applyBorder="0" applyAlignment="0" applyProtection="0">
      <alignment vertical="center"/>
    </xf>
    <xf numFmtId="0" fontId="28" fillId="0" borderId="0">
      <alignment vertical="center"/>
    </xf>
  </cellStyleXfs>
  <cellXfs count="297">
    <xf numFmtId="167" fontId="0" fillId="0" borderId="0" xfId="0">
      <alignment vertical="center"/>
    </xf>
    <xf numFmtId="49" fontId="4" fillId="0" borderId="1" xfId="0" applyNumberFormat="1" applyFont="1" applyFill="1" applyBorder="1" applyAlignment="1">
      <alignment vertical="center"/>
    </xf>
    <xf numFmtId="49" fontId="3" fillId="0" borderId="1" xfId="0" applyNumberFormat="1" applyFont="1" applyFill="1" applyBorder="1" applyAlignment="1">
      <alignment vertical="center"/>
    </xf>
    <xf numFmtId="49" fontId="5" fillId="0" borderId="1" xfId="0" applyNumberFormat="1" applyFont="1" applyFill="1" applyBorder="1" applyAlignment="1">
      <alignment vertical="center"/>
    </xf>
    <xf numFmtId="49" fontId="6" fillId="0" borderId="1"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49" fontId="4" fillId="3" borderId="1" xfId="0" applyNumberFormat="1" applyFont="1" applyFill="1" applyBorder="1" applyAlignment="1">
      <alignment vertical="center"/>
    </xf>
    <xf numFmtId="49" fontId="4" fillId="3" borderId="0" xfId="0" applyNumberFormat="1" applyFont="1" applyFill="1" applyBorder="1" applyAlignment="1">
      <alignment vertical="center"/>
    </xf>
    <xf numFmtId="49" fontId="3" fillId="3" borderId="1" xfId="0" applyNumberFormat="1" applyFont="1" applyFill="1" applyBorder="1" applyAlignment="1">
      <alignment vertical="center"/>
    </xf>
    <xf numFmtId="49" fontId="4" fillId="0" borderId="0" xfId="0" applyNumberFormat="1" applyFont="1" applyFill="1" applyBorder="1" applyAlignment="1">
      <alignment vertical="center"/>
    </xf>
    <xf numFmtId="49" fontId="4" fillId="0" borderId="0" xfId="0" applyNumberFormat="1" applyFont="1" applyFill="1" applyBorder="1">
      <alignment vertical="center"/>
    </xf>
    <xf numFmtId="49" fontId="7" fillId="0" borderId="1" xfId="0" applyNumberFormat="1" applyFont="1" applyFill="1" applyBorder="1" applyAlignment="1">
      <alignment vertical="center"/>
    </xf>
    <xf numFmtId="49" fontId="8" fillId="0" borderId="1" xfId="0" applyNumberFormat="1" applyFont="1" applyFill="1" applyBorder="1" applyAlignment="1">
      <alignment vertical="center" wrapText="1"/>
    </xf>
    <xf numFmtId="165" fontId="4" fillId="0" borderId="1" xfId="0" applyNumberFormat="1" applyFont="1" applyFill="1" applyBorder="1" applyAlignment="1">
      <alignment horizontal="center" vertical="center"/>
    </xf>
    <xf numFmtId="165" fontId="3" fillId="0" borderId="1" xfId="0" applyNumberFormat="1" applyFont="1" applyFill="1" applyBorder="1" applyAlignment="1">
      <alignment horizontal="center" vertical="center"/>
    </xf>
    <xf numFmtId="49" fontId="4" fillId="0" borderId="0" xfId="0" applyNumberFormat="1" applyFont="1" applyFill="1" applyBorder="1" applyAlignment="1">
      <alignment vertical="center" wrapText="1"/>
    </xf>
    <xf numFmtId="49" fontId="10" fillId="0" borderId="1" xfId="0" applyNumberFormat="1" applyFont="1" applyFill="1" applyBorder="1" applyAlignment="1">
      <alignment vertical="center" wrapText="1"/>
    </xf>
    <xf numFmtId="164" fontId="10" fillId="0" borderId="1" xfId="0" applyNumberFormat="1" applyFont="1" applyFill="1" applyBorder="1" applyAlignment="1">
      <alignment vertical="center" wrapText="1"/>
    </xf>
    <xf numFmtId="167" fontId="10" fillId="0" borderId="1" xfId="0" applyNumberFormat="1" applyFont="1" applyFill="1" applyBorder="1" applyAlignment="1">
      <alignment vertical="center" wrapText="1"/>
    </xf>
    <xf numFmtId="49" fontId="10" fillId="0" borderId="0" xfId="0" applyNumberFormat="1" applyFont="1" applyFill="1" applyBorder="1" applyAlignment="1">
      <alignment vertical="center" wrapText="1"/>
    </xf>
    <xf numFmtId="49" fontId="10" fillId="0" borderId="1" xfId="0" applyNumberFormat="1" applyFont="1" applyFill="1" applyBorder="1" applyAlignment="1">
      <alignment vertical="center"/>
    </xf>
    <xf numFmtId="165" fontId="10" fillId="0" borderId="1" xfId="0" applyNumberFormat="1" applyFont="1" applyFill="1" applyBorder="1" applyAlignment="1">
      <alignment horizontal="center" vertical="center"/>
    </xf>
    <xf numFmtId="164" fontId="10" fillId="0" borderId="1" xfId="0" applyNumberFormat="1" applyFont="1" applyFill="1" applyBorder="1" applyAlignment="1">
      <alignment vertical="center"/>
    </xf>
    <xf numFmtId="167" fontId="10" fillId="0" borderId="1" xfId="0" applyNumberFormat="1" applyFont="1" applyFill="1" applyBorder="1" applyAlignment="1">
      <alignment vertical="center"/>
    </xf>
    <xf numFmtId="165" fontId="10" fillId="3" borderId="1" xfId="0" applyNumberFormat="1" applyFont="1" applyFill="1" applyBorder="1" applyAlignment="1">
      <alignment horizontal="center" vertical="center"/>
    </xf>
    <xf numFmtId="49" fontId="10" fillId="2" borderId="1" xfId="0" applyNumberFormat="1" applyFont="1" applyFill="1" applyBorder="1" applyAlignment="1">
      <alignment vertical="center"/>
    </xf>
    <xf numFmtId="49" fontId="10" fillId="2" borderId="1" xfId="0" applyNumberFormat="1" applyFont="1" applyFill="1" applyBorder="1" applyAlignment="1">
      <alignment vertical="center" wrapText="1"/>
    </xf>
    <xf numFmtId="165" fontId="10" fillId="2" borderId="1" xfId="0" applyNumberFormat="1" applyFont="1" applyFill="1" applyBorder="1" applyAlignment="1">
      <alignment horizontal="center" vertical="center"/>
    </xf>
    <xf numFmtId="167" fontId="10"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xf>
    <xf numFmtId="164" fontId="10" fillId="0" borderId="1" xfId="0" applyNumberFormat="1" applyFont="1" applyFill="1" applyBorder="1" applyAlignment="1">
      <alignment horizontal="center" vertical="center" wrapText="1"/>
    </xf>
    <xf numFmtId="167" fontId="4" fillId="3" borderId="1" xfId="0" applyNumberFormat="1" applyFont="1" applyFill="1" applyBorder="1" applyAlignment="1">
      <alignment horizontal="center" vertical="center"/>
    </xf>
    <xf numFmtId="165" fontId="4" fillId="3" borderId="1" xfId="0" applyNumberFormat="1" applyFont="1" applyFill="1" applyBorder="1" applyAlignment="1">
      <alignment horizontal="center" vertical="center"/>
    </xf>
    <xf numFmtId="49" fontId="4" fillId="3" borderId="1" xfId="0" applyNumberFormat="1" applyFont="1" applyFill="1" applyBorder="1" applyAlignment="1">
      <alignment vertical="center" wrapText="1"/>
    </xf>
    <xf numFmtId="167" fontId="4" fillId="0"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167" fontId="10" fillId="3"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167" fontId="3" fillId="0" borderId="1" xfId="0" applyNumberFormat="1" applyFont="1" applyFill="1" applyBorder="1" applyAlignment="1">
      <alignment horizontal="center" vertical="center"/>
    </xf>
    <xf numFmtId="166" fontId="4" fillId="0" borderId="1" xfId="0" applyNumberFormat="1" applyFont="1" applyFill="1" applyBorder="1" applyAlignment="1">
      <alignment horizontal="center" vertical="center"/>
    </xf>
    <xf numFmtId="167" fontId="4" fillId="0" borderId="0" xfId="0" applyFont="1">
      <alignment vertical="center"/>
    </xf>
    <xf numFmtId="49" fontId="4" fillId="0" borderId="1" xfId="0" applyNumberFormat="1" applyFont="1" applyBorder="1">
      <alignment vertical="center"/>
    </xf>
    <xf numFmtId="167" fontId="4" fillId="0" borderId="1" xfId="0" applyFont="1" applyBorder="1">
      <alignment vertical="center"/>
    </xf>
    <xf numFmtId="49" fontId="4" fillId="3" borderId="1" xfId="0" applyNumberFormat="1" applyFont="1" applyFill="1" applyBorder="1">
      <alignment vertical="center"/>
    </xf>
    <xf numFmtId="167" fontId="4" fillId="3" borderId="1" xfId="0" applyFont="1" applyFill="1" applyBorder="1">
      <alignment vertical="center"/>
    </xf>
    <xf numFmtId="167" fontId="4" fillId="3" borderId="0" xfId="0" applyFont="1" applyFill="1">
      <alignment vertical="center"/>
    </xf>
    <xf numFmtId="49" fontId="10" fillId="3" borderId="1" xfId="0" applyNumberFormat="1" applyFont="1" applyFill="1" applyBorder="1" applyAlignment="1">
      <alignment vertical="center"/>
    </xf>
    <xf numFmtId="49" fontId="10" fillId="3" borderId="1" xfId="0" applyNumberFormat="1" applyFont="1" applyFill="1" applyBorder="1" applyAlignment="1">
      <alignment vertical="center" wrapText="1"/>
    </xf>
    <xf numFmtId="166" fontId="4" fillId="3" borderId="1" xfId="0" applyNumberFormat="1" applyFont="1" applyFill="1" applyBorder="1" applyAlignment="1">
      <alignment horizontal="center" vertical="center"/>
    </xf>
    <xf numFmtId="167" fontId="4" fillId="4" borderId="1" xfId="0" applyFont="1" applyFill="1" applyBorder="1">
      <alignment vertical="center"/>
    </xf>
    <xf numFmtId="167" fontId="4" fillId="0" borderId="1" xfId="0" applyFont="1" applyFill="1" applyBorder="1">
      <alignment vertical="center"/>
    </xf>
    <xf numFmtId="167" fontId="4" fillId="0" borderId="1" xfId="0" applyFont="1" applyBorder="1" applyAlignment="1">
      <alignment horizontal="center" vertical="center"/>
    </xf>
    <xf numFmtId="49" fontId="4" fillId="0" borderId="1" xfId="0" applyNumberFormat="1" applyFont="1" applyBorder="1" applyAlignment="1">
      <alignment horizontal="center" vertical="center"/>
    </xf>
    <xf numFmtId="49" fontId="4" fillId="4" borderId="1" xfId="0" applyNumberFormat="1" applyFont="1" applyFill="1" applyBorder="1">
      <alignment vertical="center"/>
    </xf>
    <xf numFmtId="167" fontId="4" fillId="4" borderId="1" xfId="0"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0" borderId="1" xfId="0" applyNumberFormat="1" applyFont="1" applyFill="1" applyBorder="1">
      <alignment vertical="center"/>
    </xf>
    <xf numFmtId="167" fontId="4" fillId="0" borderId="1" xfId="0" applyFont="1" applyFill="1" applyBorder="1" applyAlignment="1">
      <alignment horizontal="center" vertical="center"/>
    </xf>
    <xf numFmtId="167" fontId="4" fillId="0" borderId="1" xfId="0" applyFont="1" applyBorder="1" applyAlignment="1">
      <alignment horizontal="left" vertical="center"/>
    </xf>
    <xf numFmtId="167" fontId="11" fillId="0" borderId="1" xfId="0" applyFont="1" applyBorder="1" applyAlignment="1">
      <alignment horizontal="center" vertical="center"/>
    </xf>
    <xf numFmtId="49" fontId="4" fillId="0" borderId="1" xfId="0" applyNumberFormat="1" applyFont="1" applyBorder="1" applyAlignment="1">
      <alignment vertical="center" wrapText="1"/>
    </xf>
    <xf numFmtId="167" fontId="4" fillId="3" borderId="1" xfId="0" applyFont="1" applyFill="1" applyBorder="1" applyAlignment="1">
      <alignment horizontal="center" vertical="center"/>
    </xf>
    <xf numFmtId="167" fontId="4" fillId="0" borderId="1" xfId="0" applyNumberFormat="1" applyFont="1" applyBorder="1" applyAlignment="1">
      <alignment horizontal="center" vertical="center"/>
    </xf>
    <xf numFmtId="167" fontId="11" fillId="3" borderId="1"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167" fontId="11"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167" fontId="4" fillId="0" borderId="1" xfId="0" applyFont="1" applyBorder="1" applyAlignment="1">
      <alignment vertical="center" wrapText="1"/>
    </xf>
    <xf numFmtId="167" fontId="4" fillId="4" borderId="1" xfId="0" applyFont="1" applyFill="1" applyBorder="1" applyAlignment="1">
      <alignment vertical="center" wrapText="1"/>
    </xf>
    <xf numFmtId="167" fontId="4" fillId="0" borderId="1" xfId="0" applyFont="1" applyFill="1" applyBorder="1" applyAlignment="1">
      <alignment vertical="center" wrapText="1"/>
    </xf>
    <xf numFmtId="165" fontId="15" fillId="0" borderId="1" xfId="0" applyNumberFormat="1" applyFont="1" applyFill="1" applyBorder="1" applyAlignment="1">
      <alignment horizontal="center" vertical="center" wrapText="1"/>
    </xf>
    <xf numFmtId="49" fontId="1" fillId="0" borderId="1"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16" fillId="0" borderId="1" xfId="0" applyNumberFormat="1" applyFont="1" applyFill="1" applyBorder="1" applyAlignment="1">
      <alignment vertical="center" wrapText="1"/>
    </xf>
    <xf numFmtId="49" fontId="16" fillId="3" borderId="1" xfId="0" applyNumberFormat="1" applyFont="1" applyFill="1" applyBorder="1" applyAlignment="1">
      <alignment vertical="center" wrapText="1"/>
    </xf>
    <xf numFmtId="49" fontId="17" fillId="0" borderId="1" xfId="0" applyNumberFormat="1" applyFont="1" applyFill="1" applyBorder="1" applyAlignment="1">
      <alignment vertical="center" wrapText="1"/>
    </xf>
    <xf numFmtId="49" fontId="17" fillId="0" borderId="1" xfId="0" applyNumberFormat="1" applyFont="1" applyFill="1" applyBorder="1" applyAlignment="1">
      <alignment vertical="center"/>
    </xf>
    <xf numFmtId="49" fontId="17" fillId="2" borderId="1" xfId="0" applyNumberFormat="1" applyFont="1" applyFill="1" applyBorder="1" applyAlignment="1">
      <alignment vertical="center"/>
    </xf>
    <xf numFmtId="49" fontId="17" fillId="3" borderId="1" xfId="0" applyNumberFormat="1" applyFont="1" applyFill="1" applyBorder="1" applyAlignment="1">
      <alignment vertical="center"/>
    </xf>
    <xf numFmtId="49" fontId="17" fillId="0" borderId="0" xfId="0" applyNumberFormat="1" applyFont="1" applyFill="1" applyBorder="1" applyAlignment="1">
      <alignment vertical="center" wrapText="1"/>
    </xf>
    <xf numFmtId="49" fontId="18" fillId="0" borderId="1" xfId="0" applyNumberFormat="1" applyFont="1" applyFill="1" applyBorder="1" applyAlignment="1">
      <alignment vertical="center"/>
    </xf>
    <xf numFmtId="49" fontId="16" fillId="3" borderId="1" xfId="0" applyNumberFormat="1" applyFont="1" applyFill="1" applyBorder="1" applyAlignment="1">
      <alignment vertical="center"/>
    </xf>
    <xf numFmtId="49" fontId="16" fillId="0" borderId="1" xfId="0" applyNumberFormat="1" applyFont="1" applyFill="1" applyBorder="1" applyAlignment="1">
      <alignment vertical="center"/>
    </xf>
    <xf numFmtId="164" fontId="15" fillId="0" borderId="1" xfId="0" applyNumberFormat="1" applyFont="1" applyFill="1" applyBorder="1" applyAlignment="1">
      <alignment vertical="center" wrapText="1"/>
    </xf>
    <xf numFmtId="164" fontId="15" fillId="0" borderId="1" xfId="0" applyNumberFormat="1" applyFont="1" applyFill="1" applyBorder="1" applyAlignment="1">
      <alignment horizontal="center" vertical="center" wrapText="1"/>
    </xf>
    <xf numFmtId="49" fontId="12" fillId="0" borderId="1" xfId="0" applyNumberFormat="1" applyFont="1" applyFill="1" applyBorder="1" applyAlignment="1">
      <alignment vertical="center" wrapText="1"/>
    </xf>
    <xf numFmtId="49" fontId="12" fillId="3" borderId="1" xfId="0" applyNumberFormat="1" applyFont="1" applyFill="1" applyBorder="1" applyAlignment="1">
      <alignment vertical="center" wrapText="1"/>
    </xf>
    <xf numFmtId="49" fontId="19" fillId="3" borderId="1" xfId="0" applyNumberFormat="1" applyFont="1" applyFill="1" applyBorder="1" applyAlignment="1">
      <alignment vertical="center"/>
    </xf>
    <xf numFmtId="49" fontId="0" fillId="0" borderId="1" xfId="0" applyNumberFormat="1" applyFont="1" applyBorder="1">
      <alignment vertical="center"/>
    </xf>
    <xf numFmtId="167" fontId="16" fillId="0" borderId="1" xfId="0" applyFont="1" applyBorder="1">
      <alignment vertical="center"/>
    </xf>
    <xf numFmtId="167" fontId="16" fillId="4" borderId="1" xfId="0" applyFont="1" applyFill="1" applyBorder="1">
      <alignment vertical="center"/>
    </xf>
    <xf numFmtId="167" fontId="16" fillId="0" borderId="1" xfId="0" applyFont="1" applyFill="1" applyBorder="1">
      <alignment vertical="center"/>
    </xf>
    <xf numFmtId="167" fontId="19" fillId="4" borderId="1" xfId="0" applyFont="1" applyFill="1" applyBorder="1">
      <alignment vertical="center"/>
    </xf>
    <xf numFmtId="167" fontId="9" fillId="0" borderId="1" xfId="0" applyFont="1" applyBorder="1" applyAlignment="1">
      <alignment horizontal="left" vertical="center"/>
    </xf>
    <xf numFmtId="49" fontId="16" fillId="0" borderId="1" xfId="0" applyNumberFormat="1" applyFont="1" applyBorder="1">
      <alignment vertical="center"/>
    </xf>
    <xf numFmtId="49" fontId="16" fillId="3" borderId="1" xfId="0" applyNumberFormat="1" applyFont="1" applyFill="1" applyBorder="1">
      <alignment vertical="center"/>
    </xf>
    <xf numFmtId="49" fontId="19" fillId="3" borderId="1" xfId="0" applyNumberFormat="1" applyFont="1" applyFill="1" applyBorder="1">
      <alignment vertical="center"/>
    </xf>
    <xf numFmtId="49" fontId="0" fillId="0" borderId="1" xfId="0" applyNumberFormat="1" applyFont="1" applyBorder="1" applyAlignment="1">
      <alignment vertical="center" wrapText="1"/>
    </xf>
    <xf numFmtId="167" fontId="0" fillId="0" borderId="1" xfId="0" applyFont="1" applyBorder="1" applyAlignment="1">
      <alignment horizontal="center" vertical="center"/>
    </xf>
    <xf numFmtId="167" fontId="20" fillId="0" borderId="1" xfId="0" applyFont="1" applyBorder="1" applyAlignment="1">
      <alignment horizontal="center" vertical="center"/>
    </xf>
    <xf numFmtId="165" fontId="20" fillId="0" borderId="1" xfId="0" applyNumberFormat="1" applyFont="1" applyFill="1" applyBorder="1" applyAlignment="1">
      <alignment horizontal="center" vertical="center"/>
    </xf>
    <xf numFmtId="49" fontId="20" fillId="0" borderId="1" xfId="0" applyNumberFormat="1" applyFont="1" applyBorder="1">
      <alignment vertical="center"/>
    </xf>
    <xf numFmtId="165" fontId="20" fillId="4" borderId="1" xfId="0" applyNumberFormat="1" applyFont="1" applyFill="1" applyBorder="1" applyAlignment="1">
      <alignment horizontal="center" vertical="center"/>
    </xf>
    <xf numFmtId="49" fontId="20" fillId="0" borderId="1" xfId="0" applyNumberFormat="1" applyFont="1" applyBorder="1" applyAlignment="1">
      <alignment horizontal="center" vertical="center"/>
    </xf>
    <xf numFmtId="167" fontId="20" fillId="3" borderId="1" xfId="0" applyNumberFormat="1" applyFont="1" applyFill="1" applyBorder="1" applyAlignment="1">
      <alignment horizontal="center" vertical="center"/>
    </xf>
    <xf numFmtId="49" fontId="20" fillId="3" borderId="1" xfId="0" applyNumberFormat="1" applyFont="1" applyFill="1" applyBorder="1" applyAlignment="1">
      <alignment horizontal="center" vertical="center"/>
    </xf>
    <xf numFmtId="167" fontId="20" fillId="0" borderId="1" xfId="0" applyNumberFormat="1" applyFont="1" applyBorder="1" applyAlignment="1">
      <alignment horizontal="center" vertical="center"/>
    </xf>
    <xf numFmtId="164" fontId="21" fillId="0" borderId="1" xfId="0" applyNumberFormat="1" applyFont="1" applyFill="1" applyBorder="1" applyAlignment="1">
      <alignment vertical="center" wrapText="1"/>
    </xf>
    <xf numFmtId="167" fontId="21" fillId="3" borderId="1" xfId="0" applyNumberFormat="1" applyFont="1" applyFill="1" applyBorder="1" applyAlignment="1">
      <alignment horizontal="center" vertical="center"/>
    </xf>
    <xf numFmtId="167" fontId="21" fillId="0" borderId="1" xfId="0" applyNumberFormat="1" applyFont="1" applyFill="1" applyBorder="1" applyAlignment="1">
      <alignment horizontal="center" vertical="center"/>
    </xf>
    <xf numFmtId="166" fontId="21" fillId="3" borderId="1" xfId="0" applyNumberFormat="1" applyFont="1" applyFill="1" applyBorder="1" applyAlignment="1">
      <alignment horizontal="center" vertical="center"/>
    </xf>
    <xf numFmtId="166" fontId="21" fillId="0" borderId="1" xfId="0" applyNumberFormat="1" applyFont="1" applyFill="1" applyBorder="1" applyAlignment="1">
      <alignment horizontal="center" vertical="center"/>
    </xf>
    <xf numFmtId="164" fontId="22" fillId="0" borderId="1" xfId="0" applyNumberFormat="1" applyFont="1" applyFill="1" applyBorder="1" applyAlignment="1">
      <alignment vertical="center" wrapText="1"/>
    </xf>
    <xf numFmtId="165" fontId="22" fillId="0" borderId="1" xfId="0" applyNumberFormat="1" applyFont="1" applyFill="1" applyBorder="1" applyAlignment="1">
      <alignment horizontal="center" vertical="center"/>
    </xf>
    <xf numFmtId="164" fontId="22" fillId="0" borderId="1" xfId="0" applyNumberFormat="1" applyFont="1" applyFill="1" applyBorder="1" applyAlignment="1">
      <alignment vertical="center"/>
    </xf>
    <xf numFmtId="167" fontId="22" fillId="0" borderId="1" xfId="0" applyNumberFormat="1" applyFont="1" applyFill="1" applyBorder="1" applyAlignment="1">
      <alignment horizontal="center" vertical="center" wrapText="1"/>
    </xf>
    <xf numFmtId="165" fontId="22" fillId="3" borderId="1" xfId="0" applyNumberFormat="1" applyFont="1" applyFill="1" applyBorder="1" applyAlignment="1">
      <alignment horizontal="center" vertical="center"/>
    </xf>
    <xf numFmtId="167" fontId="22" fillId="0" borderId="1" xfId="0" applyNumberFormat="1" applyFont="1" applyFill="1" applyBorder="1" applyAlignment="1">
      <alignment horizontal="center" vertical="center"/>
    </xf>
    <xf numFmtId="49" fontId="0" fillId="3" borderId="1" xfId="0" applyNumberFormat="1" applyFont="1" applyFill="1" applyBorder="1" applyAlignment="1">
      <alignment vertical="center" wrapText="1"/>
    </xf>
    <xf numFmtId="167" fontId="10" fillId="2" borderId="1" xfId="0" applyNumberFormat="1" applyFont="1" applyFill="1" applyBorder="1" applyAlignment="1">
      <alignment horizontal="center" vertical="center"/>
    </xf>
    <xf numFmtId="167" fontId="4" fillId="5" borderId="1" xfId="0" applyFont="1" applyFill="1" applyBorder="1" applyAlignment="1">
      <alignment horizontal="center" vertical="center"/>
    </xf>
    <xf numFmtId="167" fontId="4" fillId="6" borderId="1" xfId="0" applyFont="1" applyFill="1" applyBorder="1" applyAlignment="1">
      <alignment horizontal="center" vertical="center"/>
    </xf>
    <xf numFmtId="167" fontId="4" fillId="7" borderId="1" xfId="0" applyFont="1" applyFill="1" applyBorder="1" applyAlignment="1">
      <alignment horizontal="center" vertical="center"/>
    </xf>
    <xf numFmtId="167" fontId="4" fillId="8" borderId="1" xfId="0" applyFont="1" applyFill="1" applyBorder="1" applyAlignment="1">
      <alignment horizontal="center" vertical="center"/>
    </xf>
    <xf numFmtId="167" fontId="4" fillId="9" borderId="1" xfId="0"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7" borderId="1"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9" borderId="1" xfId="0" applyNumberFormat="1" applyFont="1" applyFill="1" applyBorder="1" applyAlignment="1">
      <alignment horizontal="center" vertical="center"/>
    </xf>
    <xf numFmtId="167" fontId="4" fillId="5"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xf numFmtId="167" fontId="10" fillId="7" borderId="1" xfId="0" applyNumberFormat="1" applyFont="1" applyFill="1" applyBorder="1" applyAlignment="1">
      <alignment horizontal="center" vertical="center"/>
    </xf>
    <xf numFmtId="167" fontId="10" fillId="8" borderId="1" xfId="0" applyNumberFormat="1" applyFont="1" applyFill="1" applyBorder="1" applyAlignment="1">
      <alignment horizontal="center" vertical="center"/>
    </xf>
    <xf numFmtId="167" fontId="10" fillId="5" borderId="1" xfId="0" applyNumberFormat="1" applyFont="1" applyFill="1" applyBorder="1" applyAlignment="1">
      <alignment horizontal="center" vertical="center"/>
    </xf>
    <xf numFmtId="167" fontId="10" fillId="9" borderId="1" xfId="0" applyNumberFormat="1"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7" borderId="1" xfId="0" applyNumberFormat="1" applyFont="1" applyFill="1" applyBorder="1" applyAlignment="1">
      <alignment horizontal="center" vertical="center"/>
    </xf>
    <xf numFmtId="165" fontId="4" fillId="8" borderId="1" xfId="0" applyNumberFormat="1" applyFont="1" applyFill="1" applyBorder="1" applyAlignment="1">
      <alignment horizontal="center" vertical="center"/>
    </xf>
    <xf numFmtId="165" fontId="4" fillId="9" borderId="1" xfId="0" applyNumberFormat="1" applyFont="1" applyFill="1" applyBorder="1" applyAlignment="1">
      <alignment horizontal="center" vertical="center"/>
    </xf>
    <xf numFmtId="165" fontId="4" fillId="5" borderId="1" xfId="0" applyNumberFormat="1" applyFont="1" applyFill="1" applyBorder="1" applyAlignment="1">
      <alignment horizontal="center" vertical="center"/>
    </xf>
    <xf numFmtId="165" fontId="10" fillId="6" borderId="1" xfId="0" applyNumberFormat="1" applyFont="1" applyFill="1" applyBorder="1" applyAlignment="1">
      <alignment horizontal="center" vertical="center"/>
    </xf>
    <xf numFmtId="165" fontId="10" fillId="7" borderId="1" xfId="0" applyNumberFormat="1" applyFont="1" applyFill="1" applyBorder="1" applyAlignment="1">
      <alignment horizontal="center" vertical="center"/>
    </xf>
    <xf numFmtId="165" fontId="10" fillId="9" borderId="1" xfId="0" applyNumberFormat="1" applyFont="1" applyFill="1" applyBorder="1" applyAlignment="1">
      <alignment horizontal="center" vertical="center"/>
    </xf>
    <xf numFmtId="165" fontId="10" fillId="8" borderId="1" xfId="0" applyNumberFormat="1" applyFont="1" applyFill="1" applyBorder="1" applyAlignment="1">
      <alignment horizontal="center" vertical="center"/>
    </xf>
    <xf numFmtId="165" fontId="10" fillId="5" borderId="1" xfId="0" applyNumberFormat="1" applyFont="1" applyFill="1" applyBorder="1" applyAlignment="1">
      <alignment horizontal="center" vertical="center"/>
    </xf>
    <xf numFmtId="167" fontId="0" fillId="3" borderId="1" xfId="0" applyNumberFormat="1" applyFont="1" applyFill="1" applyBorder="1" applyAlignment="1">
      <alignment vertical="center" wrapText="1"/>
    </xf>
    <xf numFmtId="167" fontId="0" fillId="0" borderId="1" xfId="0" applyNumberFormat="1" applyFont="1" applyFill="1" applyBorder="1" applyAlignment="1">
      <alignment vertical="center" wrapText="1"/>
    </xf>
    <xf numFmtId="167" fontId="4" fillId="0" borderId="1" xfId="0" applyNumberFormat="1" applyFont="1" applyFill="1" applyBorder="1" applyAlignment="1">
      <alignment vertical="center" wrapText="1"/>
    </xf>
    <xf numFmtId="167" fontId="4" fillId="3" borderId="1" xfId="0" applyNumberFormat="1" applyFont="1" applyFill="1" applyBorder="1" applyAlignment="1">
      <alignment vertical="center" wrapText="1"/>
    </xf>
    <xf numFmtId="49" fontId="0" fillId="0" borderId="0" xfId="0" applyNumberFormat="1" applyFont="1" applyFill="1" applyBorder="1" applyAlignment="1">
      <alignment vertical="center"/>
    </xf>
    <xf numFmtId="167" fontId="0" fillId="0" borderId="1" xfId="0" applyNumberFormat="1" applyFont="1" applyBorder="1" applyAlignment="1">
      <alignment horizontal="center" vertical="center"/>
    </xf>
    <xf numFmtId="167" fontId="9" fillId="0" borderId="1" xfId="0" applyNumberFormat="1" applyFont="1" applyFill="1" applyBorder="1" applyAlignment="1">
      <alignment horizontal="center" vertical="center"/>
    </xf>
    <xf numFmtId="167" fontId="9" fillId="2" borderId="1" xfId="0" applyNumberFormat="1" applyFont="1" applyFill="1" applyBorder="1" applyAlignment="1">
      <alignment horizontal="center" vertical="center"/>
    </xf>
    <xf numFmtId="167" fontId="9" fillId="3" borderId="1" xfId="0" applyNumberFormat="1" applyFont="1" applyFill="1" applyBorder="1" applyAlignment="1">
      <alignment horizontal="center" vertical="center"/>
    </xf>
    <xf numFmtId="167" fontId="12" fillId="0" borderId="1" xfId="0" applyNumberFormat="1" applyFont="1" applyFill="1" applyBorder="1" applyAlignment="1">
      <alignment vertical="center" wrapText="1"/>
    </xf>
    <xf numFmtId="167" fontId="12" fillId="3" borderId="1" xfId="0" applyNumberFormat="1" applyFont="1" applyFill="1" applyBorder="1" applyAlignment="1">
      <alignment vertical="center" wrapText="1"/>
    </xf>
    <xf numFmtId="167" fontId="0" fillId="0" borderId="1" xfId="0" applyNumberFormat="1" applyFont="1" applyBorder="1">
      <alignment vertical="center"/>
    </xf>
    <xf numFmtId="167" fontId="4" fillId="4" borderId="1" xfId="0" applyNumberFormat="1" applyFont="1" applyFill="1" applyBorder="1">
      <alignment vertical="center"/>
    </xf>
    <xf numFmtId="167" fontId="0" fillId="4" borderId="1" xfId="0" applyNumberFormat="1" applyFont="1" applyFill="1" applyBorder="1">
      <alignment vertical="center"/>
    </xf>
    <xf numFmtId="167" fontId="4" fillId="0" borderId="1" xfId="0" applyNumberFormat="1" applyFont="1" applyBorder="1">
      <alignment vertical="center"/>
    </xf>
    <xf numFmtId="167" fontId="4" fillId="0" borderId="1" xfId="0" applyNumberFormat="1" applyFont="1" applyFill="1" applyBorder="1">
      <alignment vertical="center"/>
    </xf>
    <xf numFmtId="167" fontId="0" fillId="0" borderId="1" xfId="0" applyNumberFormat="1" applyFont="1" applyFill="1" applyBorder="1">
      <alignment vertical="center"/>
    </xf>
    <xf numFmtId="165" fontId="0" fillId="3" borderId="1" xfId="0" applyNumberFormat="1" applyFont="1" applyFill="1" applyBorder="1" applyAlignment="1">
      <alignment horizontal="center" vertical="center"/>
    </xf>
    <xf numFmtId="49" fontId="0" fillId="0" borderId="0" xfId="0" applyNumberFormat="1">
      <alignment vertical="center"/>
    </xf>
    <xf numFmtId="167" fontId="0" fillId="10" borderId="0" xfId="0" applyFill="1">
      <alignment vertical="center"/>
    </xf>
    <xf numFmtId="49" fontId="0" fillId="10" borderId="0" xfId="0" applyNumberFormat="1" applyFill="1">
      <alignment vertical="center"/>
    </xf>
    <xf numFmtId="164" fontId="9" fillId="0" borderId="1" xfId="0" applyNumberFormat="1" applyFont="1" applyFill="1" applyBorder="1" applyAlignment="1">
      <alignment vertical="center" wrapText="1"/>
    </xf>
    <xf numFmtId="167" fontId="0" fillId="11" borderId="0" xfId="0" applyFill="1">
      <alignment vertical="center"/>
    </xf>
    <xf numFmtId="167" fontId="9" fillId="0" borderId="1" xfId="0" applyNumberFormat="1" applyFont="1" applyFill="1" applyBorder="1" applyAlignment="1">
      <alignment vertical="center" wrapText="1"/>
    </xf>
    <xf numFmtId="167" fontId="0" fillId="12" borderId="0" xfId="0" applyFill="1">
      <alignment vertical="center"/>
    </xf>
    <xf numFmtId="49" fontId="0" fillId="0" borderId="1" xfId="0" applyNumberFormat="1" applyFont="1" applyFill="1" applyBorder="1" applyAlignment="1">
      <alignment vertical="center" wrapText="1"/>
    </xf>
    <xf numFmtId="14" fontId="0" fillId="0" borderId="0" xfId="0" applyNumberFormat="1">
      <alignment vertical="center"/>
    </xf>
    <xf numFmtId="49" fontId="0" fillId="10" borderId="1" xfId="0" applyNumberFormat="1" applyFont="1" applyFill="1" applyBorder="1" applyAlignment="1">
      <alignment vertical="center" wrapText="1"/>
    </xf>
    <xf numFmtId="49" fontId="0" fillId="10" borderId="1" xfId="0" applyNumberFormat="1" applyFont="1" applyFill="1" applyBorder="1" applyAlignment="1">
      <alignment horizontal="right" vertical="center" wrapText="1"/>
    </xf>
    <xf numFmtId="167" fontId="0" fillId="10" borderId="1" xfId="0" applyNumberFormat="1" applyFont="1" applyFill="1" applyBorder="1" applyAlignment="1">
      <alignment horizontal="center" vertical="center" wrapText="1"/>
    </xf>
    <xf numFmtId="167" fontId="0" fillId="10" borderId="1" xfId="0" applyNumberFormat="1" applyFont="1" applyFill="1" applyBorder="1" applyAlignment="1">
      <alignment vertical="center" wrapText="1"/>
    </xf>
    <xf numFmtId="167" fontId="4" fillId="10" borderId="1" xfId="0" applyNumberFormat="1" applyFont="1" applyFill="1" applyBorder="1" applyAlignment="1">
      <alignment vertical="center" wrapText="1"/>
    </xf>
    <xf numFmtId="49" fontId="4" fillId="10" borderId="1" xfId="0" applyNumberFormat="1" applyFont="1" applyFill="1" applyBorder="1" applyAlignment="1">
      <alignment vertical="center" wrapText="1"/>
    </xf>
    <xf numFmtId="49" fontId="4" fillId="10" borderId="1" xfId="0" applyNumberFormat="1" applyFont="1" applyFill="1" applyBorder="1" applyAlignment="1">
      <alignment horizontal="right" vertical="center" wrapText="1"/>
    </xf>
    <xf numFmtId="49" fontId="9" fillId="3" borderId="1" xfId="0" applyNumberFormat="1" applyFont="1" applyFill="1" applyBorder="1" applyAlignment="1">
      <alignment vertical="center" wrapText="1"/>
    </xf>
    <xf numFmtId="167" fontId="0" fillId="10" borderId="1" xfId="0" applyNumberFormat="1" applyFont="1" applyFill="1" applyBorder="1" applyAlignment="1">
      <alignment vertical="center" wrapText="1"/>
    </xf>
    <xf numFmtId="14" fontId="0" fillId="10" borderId="1" xfId="0" applyNumberFormat="1" applyFont="1" applyFill="1" applyBorder="1" applyAlignment="1">
      <alignment vertical="center" wrapText="1"/>
    </xf>
    <xf numFmtId="168" fontId="0" fillId="10" borderId="1" xfId="0" applyNumberFormat="1" applyFont="1" applyFill="1" applyBorder="1" applyAlignment="1">
      <alignment vertical="center" wrapText="1"/>
    </xf>
    <xf numFmtId="168" fontId="0" fillId="10" borderId="1" xfId="0" applyNumberFormat="1" applyFont="1" applyFill="1" applyBorder="1" applyAlignment="1">
      <alignment horizontal="right" vertical="center" wrapText="1"/>
    </xf>
    <xf numFmtId="168" fontId="4" fillId="10" borderId="1" xfId="0" applyNumberFormat="1" applyFont="1" applyFill="1" applyBorder="1" applyAlignment="1">
      <alignment vertical="center" wrapText="1"/>
    </xf>
    <xf numFmtId="49" fontId="0" fillId="0" borderId="1" xfId="0" applyNumberFormat="1" applyFont="1" applyBorder="1" applyAlignment="1">
      <alignment horizontal="center" vertical="center"/>
    </xf>
    <xf numFmtId="49" fontId="10" fillId="10" borderId="1" xfId="0" applyNumberFormat="1" applyFont="1" applyFill="1" applyBorder="1" applyAlignment="1">
      <alignment vertical="center" wrapText="1"/>
    </xf>
    <xf numFmtId="49" fontId="9" fillId="10" borderId="1" xfId="0" applyNumberFormat="1" applyFont="1" applyFill="1" applyBorder="1" applyAlignment="1">
      <alignment vertical="center" wrapText="1"/>
    </xf>
    <xf numFmtId="49" fontId="4" fillId="10" borderId="1" xfId="0" applyNumberFormat="1" applyFont="1" applyFill="1" applyBorder="1">
      <alignment vertical="center"/>
    </xf>
    <xf numFmtId="14" fontId="0" fillId="10" borderId="1" xfId="0" applyNumberFormat="1" applyFont="1" applyFill="1" applyBorder="1">
      <alignment vertical="center"/>
    </xf>
    <xf numFmtId="14" fontId="4" fillId="10" borderId="1" xfId="0" applyNumberFormat="1" applyFont="1" applyFill="1" applyBorder="1">
      <alignment vertical="center"/>
    </xf>
    <xf numFmtId="2" fontId="4" fillId="10" borderId="1" xfId="0" applyNumberFormat="1" applyFont="1" applyFill="1" applyBorder="1">
      <alignment vertical="center"/>
    </xf>
    <xf numFmtId="167" fontId="4" fillId="10" borderId="1" xfId="0" applyFont="1" applyFill="1" applyBorder="1" applyAlignment="1">
      <alignment horizontal="left" vertical="center"/>
    </xf>
    <xf numFmtId="167" fontId="9" fillId="10" borderId="1" xfId="0" applyFont="1" applyFill="1" applyBorder="1" applyAlignment="1">
      <alignment horizontal="left" vertical="center"/>
    </xf>
    <xf numFmtId="49" fontId="0" fillId="13" borderId="1" xfId="0" applyNumberFormat="1" applyFont="1" applyFill="1" applyBorder="1">
      <alignment vertical="center"/>
    </xf>
    <xf numFmtId="167" fontId="4" fillId="13" borderId="1" xfId="0" applyFont="1" applyFill="1" applyBorder="1" applyAlignment="1">
      <alignment horizontal="center" vertical="center"/>
    </xf>
    <xf numFmtId="167" fontId="0" fillId="13" borderId="1" xfId="0" applyFont="1" applyFill="1" applyBorder="1" applyAlignment="1">
      <alignment horizontal="center" vertical="center"/>
    </xf>
    <xf numFmtId="49" fontId="0" fillId="0" borderId="0" xfId="0" applyNumberFormat="1" applyFill="1">
      <alignment vertical="center"/>
    </xf>
    <xf numFmtId="14" fontId="0" fillId="0" borderId="0" xfId="0" applyNumberFormat="1" applyFill="1">
      <alignment vertical="center"/>
    </xf>
    <xf numFmtId="167" fontId="0" fillId="0" borderId="0" xfId="0" applyFill="1">
      <alignment vertical="center"/>
    </xf>
    <xf numFmtId="0" fontId="0" fillId="0" borderId="0" xfId="0" applyNumberFormat="1">
      <alignment vertical="center"/>
    </xf>
    <xf numFmtId="0" fontId="0" fillId="0" borderId="0" xfId="0" applyNumberFormat="1" applyAlignment="1">
      <alignment horizontal="left" vertical="center"/>
    </xf>
    <xf numFmtId="0" fontId="0" fillId="10" borderId="0" xfId="0" applyNumberFormat="1" applyFill="1">
      <alignment vertical="center"/>
    </xf>
    <xf numFmtId="167" fontId="0" fillId="0" borderId="0" xfId="0" applyAlignment="1">
      <alignment horizontal="left" vertical="center"/>
    </xf>
    <xf numFmtId="0" fontId="23" fillId="0" borderId="0" xfId="0" applyNumberFormat="1" applyFont="1">
      <alignment vertical="center"/>
    </xf>
    <xf numFmtId="0" fontId="0" fillId="0" borderId="0" xfId="0" applyNumberFormat="1" applyAlignment="1">
      <alignment horizontal="right" vertical="center"/>
    </xf>
    <xf numFmtId="167" fontId="0" fillId="0" borderId="0" xfId="0" applyAlignment="1">
      <alignment horizontal="right" vertical="center"/>
    </xf>
    <xf numFmtId="49" fontId="0" fillId="0" borderId="0" xfId="0" applyNumberFormat="1" applyAlignment="1">
      <alignment horizontal="right" vertical="center"/>
    </xf>
    <xf numFmtId="49" fontId="0" fillId="10" borderId="0" xfId="0" applyNumberFormat="1" applyFill="1" applyAlignment="1">
      <alignment horizontal="right" vertical="center"/>
    </xf>
    <xf numFmtId="49" fontId="0" fillId="0" borderId="0" xfId="0" applyNumberFormat="1" applyFill="1" applyAlignment="1">
      <alignment horizontal="right" vertical="center"/>
    </xf>
    <xf numFmtId="49" fontId="24" fillId="0" borderId="0" xfId="0" applyNumberFormat="1" applyFont="1" applyAlignment="1">
      <alignment horizontal="left" vertical="center"/>
    </xf>
    <xf numFmtId="167" fontId="24" fillId="0" borderId="0" xfId="0" applyFont="1" applyAlignment="1">
      <alignment horizontal="left" vertical="center"/>
    </xf>
    <xf numFmtId="49" fontId="24" fillId="10" borderId="0" xfId="0" applyNumberFormat="1" applyFont="1" applyFill="1" applyAlignment="1">
      <alignment horizontal="right" vertical="center"/>
    </xf>
    <xf numFmtId="167" fontId="24" fillId="0" borderId="0" xfId="0" applyFont="1">
      <alignment vertical="center"/>
    </xf>
    <xf numFmtId="167" fontId="24" fillId="0" borderId="0" xfId="0" applyFont="1" applyAlignment="1">
      <alignment horizontal="right" vertical="center"/>
    </xf>
    <xf numFmtId="49" fontId="0" fillId="10" borderId="0" xfId="0" applyNumberFormat="1" applyFont="1" applyFill="1" applyAlignment="1">
      <alignment horizontal="right" vertical="center"/>
    </xf>
    <xf numFmtId="49" fontId="0" fillId="0" borderId="0" xfId="0" applyNumberFormat="1" applyFont="1" applyAlignment="1">
      <alignment horizontal="right" vertical="center"/>
    </xf>
    <xf numFmtId="49" fontId="25" fillId="0" borderId="0" xfId="0" applyNumberFormat="1" applyFont="1" applyAlignment="1">
      <alignment horizontal="right" vertical="center"/>
    </xf>
    <xf numFmtId="49" fontId="25" fillId="0" borderId="0" xfId="0" applyNumberFormat="1" applyFont="1">
      <alignment vertical="center"/>
    </xf>
    <xf numFmtId="0" fontId="0" fillId="0" borderId="0" xfId="0" applyNumberFormat="1" applyFont="1" applyAlignment="1">
      <alignment horizontal="left" vertical="center"/>
    </xf>
    <xf numFmtId="0" fontId="27" fillId="0" borderId="0" xfId="0" applyNumberFormat="1" applyFont="1">
      <alignment vertical="center"/>
    </xf>
    <xf numFmtId="167" fontId="27" fillId="0" borderId="0" xfId="0" applyFont="1">
      <alignment vertical="center"/>
    </xf>
    <xf numFmtId="167" fontId="0" fillId="0" borderId="0" xfId="0" applyFont="1">
      <alignment vertical="center"/>
    </xf>
    <xf numFmtId="0" fontId="25" fillId="0" borderId="0" xfId="0" applyNumberFormat="1" applyFont="1">
      <alignment vertical="center"/>
    </xf>
    <xf numFmtId="0" fontId="0" fillId="0" borderId="0" xfId="0" applyNumberFormat="1" applyFont="1">
      <alignment vertical="center"/>
    </xf>
    <xf numFmtId="0" fontId="9" fillId="0" borderId="0" xfId="0" applyNumberFormat="1" applyFont="1">
      <alignment vertical="center"/>
    </xf>
    <xf numFmtId="167" fontId="32" fillId="0" borderId="2" xfId="0" applyFont="1" applyFill="1" applyBorder="1">
      <alignment vertical="center"/>
    </xf>
    <xf numFmtId="167" fontId="32" fillId="0" borderId="0" xfId="0" applyFont="1" applyFill="1" applyBorder="1">
      <alignment vertical="center"/>
    </xf>
    <xf numFmtId="0" fontId="32" fillId="0" borderId="0" xfId="0" applyNumberFormat="1" applyFont="1">
      <alignment vertical="center"/>
    </xf>
    <xf numFmtId="167" fontId="32" fillId="0" borderId="0" xfId="0" applyFont="1">
      <alignment vertical="center"/>
    </xf>
    <xf numFmtId="167" fontId="4" fillId="0" borderId="0" xfId="0" applyFont="1" applyFill="1" applyBorder="1">
      <alignment vertical="center"/>
    </xf>
    <xf numFmtId="167" fontId="31" fillId="0" borderId="0" xfId="0" applyFont="1" applyFill="1" applyBorder="1">
      <alignment vertical="center"/>
    </xf>
    <xf numFmtId="0" fontId="4" fillId="0" borderId="0" xfId="0" applyNumberFormat="1" applyFont="1" applyFill="1" applyBorder="1">
      <alignment vertical="center"/>
    </xf>
    <xf numFmtId="0" fontId="0" fillId="0" borderId="0" xfId="0" applyNumberFormat="1" applyFont="1" applyBorder="1">
      <alignment vertical="center"/>
    </xf>
    <xf numFmtId="0" fontId="0" fillId="0" borderId="0" xfId="0" applyNumberFormat="1" applyBorder="1">
      <alignment vertical="center"/>
    </xf>
    <xf numFmtId="0" fontId="0" fillId="0" borderId="0" xfId="0" applyNumberFormat="1" applyFill="1">
      <alignment vertical="center"/>
    </xf>
    <xf numFmtId="167" fontId="32" fillId="10" borderId="1" xfId="0" applyFont="1" applyFill="1" applyBorder="1">
      <alignment vertical="center"/>
    </xf>
    <xf numFmtId="167" fontId="4" fillId="10" borderId="1" xfId="0" applyFont="1" applyFill="1" applyBorder="1">
      <alignment vertical="center"/>
    </xf>
    <xf numFmtId="167" fontId="10" fillId="10" borderId="1" xfId="0" applyFont="1" applyFill="1" applyBorder="1">
      <alignment vertical="center"/>
    </xf>
    <xf numFmtId="167" fontId="31" fillId="10" borderId="1" xfId="0" applyFont="1" applyFill="1" applyBorder="1">
      <alignment vertical="center"/>
    </xf>
    <xf numFmtId="167" fontId="4" fillId="10" borderId="1" xfId="0" applyFont="1" applyFill="1" applyBorder="1" applyAlignment="1">
      <alignment vertical="center" wrapText="1"/>
    </xf>
    <xf numFmtId="0" fontId="4" fillId="10" borderId="1" xfId="0" applyNumberFormat="1" applyFont="1" applyFill="1" applyBorder="1">
      <alignment vertical="center"/>
    </xf>
    <xf numFmtId="0" fontId="30" fillId="10" borderId="1" xfId="463" applyFont="1" applyFill="1" applyBorder="1">
      <alignment vertical="center"/>
    </xf>
    <xf numFmtId="0" fontId="0" fillId="10" borderId="1" xfId="0" applyNumberFormat="1" applyFont="1" applyFill="1" applyBorder="1">
      <alignment vertical="center"/>
    </xf>
    <xf numFmtId="0" fontId="0" fillId="10" borderId="1" xfId="0" applyNumberFormat="1" applyFill="1" applyBorder="1">
      <alignment vertical="center"/>
    </xf>
    <xf numFmtId="0" fontId="28" fillId="10" borderId="1" xfId="463" applyFont="1" applyFill="1" applyBorder="1">
      <alignment vertical="center"/>
    </xf>
    <xf numFmtId="0" fontId="32" fillId="10" borderId="2" xfId="0" applyNumberFormat="1" applyFont="1" applyFill="1" applyBorder="1">
      <alignment vertical="center"/>
    </xf>
    <xf numFmtId="0" fontId="4" fillId="10" borderId="0" xfId="0" applyNumberFormat="1" applyFont="1" applyFill="1" applyBorder="1">
      <alignment vertical="center"/>
    </xf>
    <xf numFmtId="0" fontId="31" fillId="10" borderId="0" xfId="0" applyNumberFormat="1" applyFont="1" applyFill="1" applyBorder="1">
      <alignment vertical="center"/>
    </xf>
    <xf numFmtId="167" fontId="0" fillId="0" borderId="0" xfId="0" pivotButton="1">
      <alignment vertical="center"/>
    </xf>
    <xf numFmtId="167" fontId="0" fillId="0" borderId="0" xfId="0" applyBorder="1">
      <alignment vertical="center"/>
    </xf>
    <xf numFmtId="49" fontId="0" fillId="0" borderId="0" xfId="0" applyNumberFormat="1" applyBorder="1">
      <alignment vertical="center"/>
    </xf>
    <xf numFmtId="167" fontId="0" fillId="0" borderId="0" xfId="0" applyFill="1" applyBorder="1">
      <alignment vertical="center"/>
    </xf>
    <xf numFmtId="49" fontId="0" fillId="0" borderId="0" xfId="0" applyNumberFormat="1" applyFill="1" applyBorder="1">
      <alignment vertical="center"/>
    </xf>
    <xf numFmtId="1" fontId="0" fillId="10" borderId="0" xfId="0" applyNumberFormat="1" applyFill="1">
      <alignment vertical="center"/>
    </xf>
    <xf numFmtId="1" fontId="0" fillId="0" borderId="0" xfId="0" applyNumberFormat="1">
      <alignment vertical="center"/>
    </xf>
    <xf numFmtId="1" fontId="0" fillId="0" borderId="0" xfId="0" applyNumberFormat="1" applyBorder="1">
      <alignment vertical="center"/>
    </xf>
    <xf numFmtId="0" fontId="0" fillId="10" borderId="0" xfId="0" applyNumberFormat="1" applyFill="1" applyAlignment="1">
      <alignment horizontal="right" vertical="center"/>
    </xf>
    <xf numFmtId="49" fontId="0" fillId="0" borderId="0" xfId="0" applyNumberFormat="1" applyBorder="1" applyAlignment="1">
      <alignment horizontal="right" vertical="center"/>
    </xf>
    <xf numFmtId="49" fontId="0" fillId="13" borderId="0" xfId="0" applyNumberFormat="1" applyFill="1" applyAlignment="1">
      <alignment horizontal="right" vertical="center"/>
    </xf>
    <xf numFmtId="49" fontId="0" fillId="13" borderId="0" xfId="0" applyNumberFormat="1" applyFill="1" applyBorder="1" applyAlignment="1">
      <alignment horizontal="right" vertical="center"/>
    </xf>
    <xf numFmtId="169" fontId="0" fillId="0" borderId="0" xfId="0" applyNumberFormat="1" applyAlignment="1">
      <alignment horizontal="right" vertical="center" indent="1"/>
    </xf>
    <xf numFmtId="169" fontId="0" fillId="0" borderId="0" xfId="0" applyNumberFormat="1" applyBorder="1" applyAlignment="1">
      <alignment horizontal="right" vertical="center" indent="1"/>
    </xf>
    <xf numFmtId="0" fontId="0" fillId="10" borderId="0" xfId="0" applyNumberFormat="1" applyFill="1" applyAlignment="1">
      <alignment horizontal="left" vertical="center"/>
    </xf>
    <xf numFmtId="2" fontId="4" fillId="0" borderId="1" xfId="0" applyNumberFormat="1" applyFont="1" applyBorder="1">
      <alignment vertical="center"/>
    </xf>
    <xf numFmtId="2" fontId="4" fillId="4" borderId="1" xfId="0" applyNumberFormat="1" applyFont="1" applyFill="1" applyBorder="1">
      <alignment vertical="center"/>
    </xf>
    <xf numFmtId="2" fontId="4" fillId="0" borderId="1" xfId="0" applyNumberFormat="1" applyFont="1" applyFill="1" applyBorder="1">
      <alignment vertical="center"/>
    </xf>
    <xf numFmtId="2" fontId="0" fillId="4" borderId="1" xfId="0" applyNumberFormat="1" applyFont="1" applyFill="1" applyBorder="1">
      <alignment vertical="center"/>
    </xf>
    <xf numFmtId="2" fontId="0" fillId="0" borderId="1" xfId="0" applyNumberFormat="1" applyFont="1" applyBorder="1">
      <alignment vertical="center"/>
    </xf>
    <xf numFmtId="0" fontId="0" fillId="10" borderId="0" xfId="0" applyNumberFormat="1" applyFill="1" applyBorder="1" applyAlignment="1">
      <alignment horizontal="right" vertical="center"/>
    </xf>
    <xf numFmtId="167" fontId="0" fillId="12" borderId="0" xfId="0" applyFill="1" applyBorder="1">
      <alignment vertical="center"/>
    </xf>
    <xf numFmtId="0" fontId="0" fillId="0" borderId="3" xfId="0" applyNumberFormat="1" applyBorder="1">
      <alignment vertical="center"/>
    </xf>
    <xf numFmtId="0" fontId="0" fillId="10" borderId="4" xfId="0" applyNumberFormat="1" applyFill="1" applyBorder="1" applyAlignment="1">
      <alignment horizontal="right" vertical="center"/>
    </xf>
    <xf numFmtId="0" fontId="0" fillId="0" borderId="5" xfId="0" applyNumberFormat="1" applyBorder="1">
      <alignment vertical="center"/>
    </xf>
    <xf numFmtId="0" fontId="0" fillId="10" borderId="6" xfId="0" applyNumberFormat="1" applyFill="1" applyBorder="1" applyAlignment="1">
      <alignment horizontal="right" vertical="center"/>
    </xf>
    <xf numFmtId="0" fontId="0" fillId="0" borderId="7" xfId="0" applyNumberFormat="1" applyBorder="1">
      <alignment vertical="center"/>
    </xf>
    <xf numFmtId="0" fontId="0" fillId="10" borderId="8" xfId="0" applyNumberFormat="1" applyFill="1" applyBorder="1" applyAlignment="1">
      <alignment horizontal="right" vertical="center"/>
    </xf>
    <xf numFmtId="0" fontId="0" fillId="0" borderId="9" xfId="0" applyNumberFormat="1" applyBorder="1">
      <alignment vertical="center"/>
    </xf>
    <xf numFmtId="0" fontId="0" fillId="10" borderId="10" xfId="0" applyNumberFormat="1" applyFill="1" applyBorder="1" applyAlignment="1">
      <alignment horizontal="right" vertical="center"/>
    </xf>
    <xf numFmtId="0" fontId="0" fillId="13" borderId="3" xfId="0" applyNumberFormat="1" applyFill="1" applyBorder="1">
      <alignment vertical="center"/>
    </xf>
    <xf numFmtId="0" fontId="0" fillId="13" borderId="4" xfId="0" applyNumberFormat="1" applyFill="1" applyBorder="1" applyAlignment="1">
      <alignment horizontal="right" vertical="center"/>
    </xf>
    <xf numFmtId="0" fontId="0" fillId="13" borderId="5" xfId="0" applyNumberFormat="1" applyFill="1" applyBorder="1">
      <alignment vertical="center"/>
    </xf>
    <xf numFmtId="0" fontId="0" fillId="13" borderId="6" xfId="0" applyNumberFormat="1" applyFill="1" applyBorder="1" applyAlignment="1">
      <alignment horizontal="right" vertical="center"/>
    </xf>
    <xf numFmtId="0" fontId="0" fillId="13" borderId="7" xfId="0" applyNumberFormat="1" applyFill="1" applyBorder="1">
      <alignment vertical="center"/>
    </xf>
    <xf numFmtId="0" fontId="0" fillId="13" borderId="8" xfId="0" applyNumberFormat="1" applyFill="1" applyBorder="1" applyAlignment="1">
      <alignment horizontal="right" vertical="center"/>
    </xf>
    <xf numFmtId="0" fontId="24" fillId="13" borderId="4" xfId="0" applyNumberFormat="1" applyFont="1" applyFill="1" applyBorder="1" applyAlignment="1">
      <alignment horizontal="right" vertical="center"/>
    </xf>
    <xf numFmtId="0" fontId="24" fillId="13" borderId="6" xfId="0" applyNumberFormat="1" applyFont="1" applyFill="1" applyBorder="1" applyAlignment="1">
      <alignment horizontal="right" vertical="center"/>
    </xf>
    <xf numFmtId="0" fontId="24" fillId="13" borderId="11" xfId="0" applyNumberFormat="1" applyFont="1" applyFill="1" applyBorder="1" applyAlignment="1">
      <alignment horizontal="right" vertical="center"/>
    </xf>
    <xf numFmtId="0" fontId="24" fillId="13" borderId="12" xfId="0" applyNumberFormat="1" applyFont="1" applyFill="1" applyBorder="1" applyAlignment="1">
      <alignment horizontal="right" vertical="center"/>
    </xf>
    <xf numFmtId="0" fontId="24" fillId="13" borderId="8" xfId="0" applyNumberFormat="1" applyFont="1" applyFill="1" applyBorder="1" applyAlignment="1">
      <alignment horizontal="right" vertical="center"/>
    </xf>
    <xf numFmtId="167" fontId="0" fillId="0" borderId="9" xfId="0" applyBorder="1">
      <alignment vertical="center"/>
    </xf>
    <xf numFmtId="0" fontId="0" fillId="0" borderId="13" xfId="0" applyNumberFormat="1" applyBorder="1">
      <alignment vertical="center"/>
    </xf>
    <xf numFmtId="49" fontId="0" fillId="10" borderId="0" xfId="0" applyNumberFormat="1" applyFill="1" applyAlignment="1">
      <alignment horizontal="left" vertical="center"/>
    </xf>
    <xf numFmtId="169" fontId="0" fillId="0" borderId="0" xfId="0" applyNumberFormat="1" applyAlignment="1">
      <alignment horizontal="right" vertical="center"/>
    </xf>
    <xf numFmtId="169" fontId="0" fillId="0" borderId="0" xfId="0" applyNumberFormat="1" applyBorder="1" applyAlignment="1">
      <alignment horizontal="right" vertical="center"/>
    </xf>
  </cellXfs>
  <cellStyles count="4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Normal" xfId="0" builtinId="0"/>
    <cellStyle name="常规_Sheet1" xfId="463" xr:uid="{00000000-0005-0000-0000-000001000000}"/>
  </cellStyles>
  <dxfs count="7">
    <dxf>
      <font>
        <color auto="1"/>
      </font>
      <fill>
        <patternFill>
          <bgColor rgb="FFFFFF00"/>
        </patternFill>
      </fil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36</xdr:col>
      <xdr:colOff>155222</xdr:colOff>
      <xdr:row>2</xdr:row>
      <xdr:rowOff>56444</xdr:rowOff>
    </xdr:from>
    <xdr:to>
      <xdr:col>47</xdr:col>
      <xdr:colOff>465667</xdr:colOff>
      <xdr:row>9</xdr:row>
      <xdr:rowOff>522111</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7892889" y="1171222"/>
          <a:ext cx="11444111" cy="5404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0. copy </a:t>
          </a:r>
          <a:r>
            <a:rPr lang="zh-CN" altLang="en-US" sz="1400"/>
            <a:t>采样日期开始</a:t>
          </a:r>
          <a:r>
            <a:rPr lang="en-US" altLang="zh-CN" sz="1400"/>
            <a:t> </a:t>
          </a:r>
          <a:r>
            <a:rPr lang="en-US" sz="1400"/>
            <a:t>to </a:t>
          </a:r>
          <a:r>
            <a:rPr lang="zh-CN" altLang="en-US" sz="1400"/>
            <a:t>采样日期结束</a:t>
          </a:r>
          <a:r>
            <a:rPr lang="en-US" sz="1400"/>
            <a:t>column </a:t>
          </a:r>
        </a:p>
        <a:p>
          <a:r>
            <a:rPr lang="en-US" sz="1400"/>
            <a:t>1.  </a:t>
          </a:r>
          <a:r>
            <a:rPr lang="zh-CN" altLang="en-US" sz="1400"/>
            <a:t>采样日期开始</a:t>
          </a:r>
          <a:r>
            <a:rPr lang="en-US" altLang="zh-CN" sz="1400"/>
            <a:t>:  collection start date (YYYY/MM/DD). format as Date</a:t>
          </a:r>
        </a:p>
        <a:p>
          <a:r>
            <a:rPr lang="en-US" sz="1400"/>
            <a:t>2. </a:t>
          </a:r>
          <a:r>
            <a:rPr lang="zh-CN" altLang="en-US" sz="1400"/>
            <a:t>采样日期结束</a:t>
          </a:r>
          <a:r>
            <a:rPr lang="en-US" altLang="zh-CN" sz="1400"/>
            <a:t>:  collection end date or NA</a:t>
          </a:r>
        </a:p>
        <a:p>
          <a:r>
            <a:rPr lang="en-US" sz="1400"/>
            <a:t>3. </a:t>
          </a:r>
          <a:r>
            <a:rPr lang="zh-CN" altLang="en-US" sz="1400"/>
            <a:t>海拔</a:t>
          </a:r>
          <a:r>
            <a:rPr lang="en-US" altLang="zh-CN" sz="1400"/>
            <a:t>:  format as number</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571500</xdr:colOff>
      <xdr:row>12</xdr:row>
      <xdr:rowOff>99060</xdr:rowOff>
    </xdr:from>
    <xdr:to>
      <xdr:col>9</xdr:col>
      <xdr:colOff>480060</xdr:colOff>
      <xdr:row>21</xdr:row>
      <xdr:rowOff>83820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6400800" y="2202180"/>
          <a:ext cx="56388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400"/>
            <a:t>Adding a column</a:t>
          </a:r>
          <a:r>
            <a:rPr lang="en-US" altLang="zh-CN" sz="1400" baseline="0"/>
            <a:t>, update_polygonID, for updating the ranger polygon ID with Value of  "NA" in column of B. The reference data was from Yunnan Institute of Forest Inventory and Planning, see also table of Update_from_YIFIP.</a:t>
          </a:r>
          <a:endParaRPr lang="zh-CN"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365760</xdr:colOff>
      <xdr:row>4</xdr:row>
      <xdr:rowOff>53340</xdr:rowOff>
    </xdr:from>
    <xdr:to>
      <xdr:col>7</xdr:col>
      <xdr:colOff>441960</xdr:colOff>
      <xdr:row>20</xdr:row>
      <xdr:rowOff>30480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4305300" y="754380"/>
          <a:ext cx="544068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t>Col</a:t>
          </a:r>
          <a:r>
            <a:rPr lang="en-US" altLang="zh-CN" sz="1400" baseline="0"/>
            <a:t>umns with yellow background were from Yunnan Institute of Forest Inventory and Planning.</a:t>
          </a:r>
        </a:p>
        <a:p>
          <a:endParaRPr lang="en-US" altLang="zh-CN" sz="1400" baseline="0"/>
        </a:p>
        <a:p>
          <a:r>
            <a:rPr lang="en-US" altLang="zh-CN" sz="1400"/>
            <a:t>Columns of P ~ R were used</a:t>
          </a:r>
          <a:r>
            <a:rPr lang="en-US" altLang="zh-CN" sz="1400" baseline="0"/>
            <a:t> for checking the ranger's name and obtaining the PolygonID.</a:t>
          </a:r>
        </a:p>
        <a:p>
          <a:endParaRPr lang="en-US" altLang="zh-CN" sz="1400" baseline="0"/>
        </a:p>
        <a:p>
          <a:r>
            <a:rPr lang="en-US" altLang="zh-CN" sz="1400" baseline="0"/>
            <a:t>Data in columns of U ~ X linked to table of "sample_database" (from row 334 to 506). The</a:t>
          </a:r>
          <a:r>
            <a:rPr lang="en-US" altLang="zh-CN" sz="1400" b="0" i="0">
              <a:solidFill>
                <a:schemeClr val="dk1"/>
              </a:solidFill>
              <a:latin typeface="+mn-lt"/>
              <a:ea typeface="+mn-ea"/>
              <a:cs typeface="+mn-cs"/>
            </a:rPr>
            <a:t> latitude and longitude coordinates of the</a:t>
          </a:r>
          <a:r>
            <a:rPr lang="en-US" altLang="zh-CN" sz="1400" b="0" i="0" baseline="0">
              <a:solidFill>
                <a:schemeClr val="dk1"/>
              </a:solidFill>
              <a:latin typeface="+mn-lt"/>
              <a:ea typeface="+mn-ea"/>
              <a:cs typeface="+mn-cs"/>
            </a:rPr>
            <a:t> GPS points</a:t>
          </a:r>
          <a:r>
            <a:rPr lang="en-US" altLang="zh-CN" sz="1400" b="0" i="0">
              <a:solidFill>
                <a:schemeClr val="dk1"/>
              </a:solidFill>
              <a:latin typeface="+mn-lt"/>
              <a:ea typeface="+mn-ea"/>
              <a:cs typeface="+mn-cs"/>
            </a:rPr>
            <a:t> had</a:t>
          </a:r>
          <a:r>
            <a:rPr lang="en-US" altLang="zh-CN" sz="1400" b="0" i="0" baseline="0">
              <a:solidFill>
                <a:schemeClr val="dk1"/>
              </a:solidFill>
              <a:latin typeface="+mn-lt"/>
              <a:ea typeface="+mn-ea"/>
              <a:cs typeface="+mn-cs"/>
            </a:rPr>
            <a:t> been extracted from column of X, and then overlaid with the ranger polygons layer in ArcGIS. The points fall into any of a polygon would be identified, and the point out of range were also marked.</a:t>
          </a:r>
          <a:endParaRPr lang="en-US" altLang="zh-CN" sz="1400" baseline="0"/>
        </a:p>
        <a:p>
          <a:endParaRPr lang="en-US" altLang="zh-CN" sz="1100" baseline="0"/>
        </a:p>
        <a:p>
          <a:endParaRPr lang="en-US" altLang="zh-CN" sz="1100" baseline="0"/>
        </a:p>
        <a:p>
          <a:endParaRPr lang="zh-CN" alt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182.442237037038" createdVersion="6" refreshedVersion="6" minRefreshableVersion="3" recordCount="505" xr:uid="{99E6CC98-72CF-CD4D-AE18-7CF823399B26}">
  <cacheSource type="worksheet">
    <worksheetSource ref="A1:AT506" sheet="All"/>
  </cacheSource>
  <cacheFields count="44">
    <cacheField name="region" numFmtId="0">
      <sharedItems count="6">
        <s v="楚雄"/>
        <s v="景东"/>
        <s v="南华"/>
        <s v="双柏"/>
        <s v="新平"/>
        <s v="镇沅"/>
      </sharedItems>
    </cacheField>
    <cacheField name="Lab ID" numFmtId="0">
      <sharedItems/>
    </cacheField>
    <cacheField name="姓名" numFmtId="0">
      <sharedItems count="145">
        <s v="茶建成"/>
        <s v="郭洪富"/>
        <s v="龙存发"/>
        <s v="罗荣"/>
        <s v="王平昌"/>
        <s v="王太如"/>
        <s v="张存付"/>
        <s v="张学良"/>
        <s v="陈春礼"/>
        <s v="李发文"/>
        <s v="李富平"/>
        <s v="李开愉"/>
        <s v="李明德"/>
        <s v="李明祥"/>
        <s v="李荣发"/>
        <s v="李廷峰"/>
        <s v="李廷万"/>
        <s v="李新荣"/>
        <s v="李应付"/>
        <s v="李志国"/>
        <s v="李忠燕"/>
        <s v="鲁成荣"/>
        <s v="鲁开福"/>
        <s v="鲁顺福"/>
        <s v="罗德勇"/>
        <s v="吴丙华"/>
        <s v="杨朝华"/>
        <s v="杨华安"/>
        <s v="詹清平"/>
        <s v="张开堂"/>
        <s v="张汝志"/>
        <s v="者付华"/>
        <s v="钟其德"/>
        <s v="周开伸"/>
        <s v="祝发贵"/>
        <s v="自付文"/>
        <s v="阿发科"/>
        <s v="阿发旺"/>
        <s v="何成富"/>
        <s v="蒋文奎"/>
        <s v="李存明"/>
        <s v="李桂芳"/>
        <s v="李恒进"/>
        <s v="李茂天"/>
        <s v="李乾明"/>
        <s v="李先明"/>
        <s v="鲁发清"/>
        <s v="鲁新正"/>
        <s v="罗发强"/>
        <s v="罗文洪"/>
        <s v="罗先华"/>
        <s v="施国强"/>
        <s v="涂思学"/>
        <s v="汪华才"/>
        <s v="杨兆清"/>
        <s v="杨子光"/>
        <s v="张应有"/>
        <s v="周正航"/>
        <s v="自国先"/>
        <s v="陈家发"/>
        <s v="代发菜&amp;李学良"/>
        <s v="郭存寿&amp;王培有"/>
        <s v="郭存祥"/>
        <s v="郭存义"/>
        <s v="郭万明"/>
        <s v="黄丕山"/>
        <s v="黄中学"/>
        <s v="李福安"/>
        <s v="李贵华&amp;李富全"/>
        <s v="李进才"/>
        <s v="李开应&amp;苏连发"/>
        <s v="李荣"/>
        <s v="李先富&amp;何学会"/>
        <s v="李有华&amp;李廷梅"/>
        <s v="刘文祥"/>
        <s v="鲁兴连&amp;祝正贵"/>
        <s v="罗永良"/>
        <s v="王炳富&amp;李开华"/>
        <s v="王炳兴&amp;李廷华"/>
        <s v="王光鹏&amp;王开岳"/>
        <s v="王贵海"/>
        <s v="王贵学"/>
        <s v="王贵永"/>
        <s v="王贵友"/>
        <s v="王贵元"/>
        <s v="王景法&amp;刘文明"/>
        <s v="王开丙&amp;董应付"/>
        <s v="王开宽&amp;王开润"/>
        <s v="王开远&amp;周开军"/>
        <s v="王开佐&amp;周开洪"/>
        <s v="王以华&amp;鲁光荣"/>
        <s v="徐丕芳&amp;王开定"/>
        <s v="杨荣高&amp;李波"/>
        <s v="张玉龙"/>
        <s v="周强&amp;李有国"/>
        <s v="朱荣兴"/>
        <s v="李荣兵"/>
        <s v="白正荣"/>
        <s v="毕勇"/>
        <s v="陈德忠"/>
        <s v="李发新"/>
        <s v="李家平"/>
        <s v="李林东"/>
        <s v="李荣昌"/>
        <s v="李天荣"/>
        <s v="李文顺"/>
        <s v="罗有明"/>
        <s v="罗正贵"/>
        <s v="普国全"/>
        <s v="普学忠"/>
        <s v="四-李荣昌"/>
        <s v="四-李世冲"/>
        <s v="四-李宗平"/>
        <s v="四-余朝明"/>
        <s v="王平"/>
        <s v="谢天华"/>
        <s v="张春应"/>
        <s v="张贵昌"/>
        <s v="张立德"/>
        <s v="张明忠"/>
        <s v="张学林"/>
        <s v="钟应兴"/>
        <s v="？？"/>
        <s v="范学恩"/>
        <s v="何兴能"/>
        <s v="何忠云"/>
        <s v="黄正先"/>
        <s v="李昌恩"/>
        <s v="李红伟"/>
        <s v="李加坤"/>
        <s v="李坤"/>
        <s v="刘永"/>
        <s v="罗权章"/>
        <s v="普恒章"/>
        <s v="普明文"/>
        <s v="普宁"/>
        <s v="田子云"/>
        <s v="王彪"/>
        <s v="王开昌"/>
        <s v="王立东"/>
        <s v="王影"/>
        <s v="王云武"/>
        <s v="肖子云"/>
        <s v="杨春昌"/>
        <s v="周国宇"/>
      </sharedItems>
    </cacheField>
    <cacheField name="Polygon_ID" numFmtId="0">
      <sharedItems containsMixedTypes="1" containsNumber="1" containsInteger="1" minValue="0" maxValue="171" count="108">
        <n v="37"/>
        <n v="77"/>
        <n v="76"/>
        <n v="39"/>
        <n v="40"/>
        <s v="NA"/>
        <n v="38"/>
        <n v="2"/>
        <n v="123"/>
        <n v="111"/>
        <n v="171"/>
        <n v="121"/>
        <n v="106"/>
        <n v="3"/>
        <n v="103"/>
        <n v="97"/>
        <n v="125"/>
        <n v="105"/>
        <n v="109"/>
        <n v="112"/>
        <n v="122"/>
        <n v="170"/>
        <n v="119"/>
        <n v="114"/>
        <n v="124"/>
        <n v="107"/>
        <n v="115"/>
        <n v="102"/>
        <n v="98"/>
        <n v="100"/>
        <n v="169"/>
        <n v="101"/>
        <n v="104"/>
        <n v="110"/>
        <n v="61"/>
        <n v="63"/>
        <n v="56"/>
        <n v="43"/>
        <n v="46"/>
        <n v="58"/>
        <n v="44"/>
        <n v="50"/>
        <n v="53"/>
        <n v="64"/>
        <n v="47"/>
        <n v="71"/>
        <n v="52"/>
        <n v="66"/>
        <n v="48"/>
        <n v="51"/>
        <n v="67"/>
        <n v="55"/>
        <n v="21"/>
        <n v="4"/>
        <n v="17"/>
        <n v="19"/>
        <n v="9"/>
        <n v="14"/>
        <n v="30"/>
        <n v="35"/>
        <n v="141"/>
        <n v="29"/>
        <n v="10"/>
        <s v="28 or 27"/>
        <n v="26"/>
        <n v="6"/>
        <n v="31"/>
        <n v="32"/>
        <n v="22"/>
        <n v="33"/>
        <n v="8"/>
        <n v="7"/>
        <n v="11"/>
        <s v="25 or 24"/>
        <n v="13"/>
        <n v="138"/>
        <n v="157"/>
        <n v="144"/>
        <n v="143"/>
        <n v="142"/>
        <n v="152"/>
        <n v="148"/>
        <n v="0"/>
        <n v="153"/>
        <n v="146"/>
        <n v="130"/>
        <n v="136"/>
        <n v="140"/>
        <n v="156"/>
        <n v="151"/>
        <n v="163"/>
        <n v="93"/>
        <n v="95"/>
        <n v="5"/>
        <n v="94"/>
        <n v="85"/>
        <n v="83"/>
        <n v="89"/>
        <n v="88"/>
        <s v="89 or 90"/>
        <n v="86"/>
        <n v="72"/>
        <n v="87"/>
        <n v="126"/>
        <n v="84"/>
        <n v="73"/>
        <n v="78"/>
        <n v="75"/>
      </sharedItems>
    </cacheField>
    <cacheField name="大管" numFmtId="0">
      <sharedItems containsSemiMixedTypes="0" containsString="0" containsNumber="1" containsInteger="1" minValue="0" maxValue="27"/>
    </cacheField>
    <cacheField name="小管" numFmtId="0">
      <sharedItems containsSemiMixedTypes="0" containsString="0" containsNumber="1" containsInteger="1" minValue="0" maxValue="21"/>
    </cacheField>
    <cacheField name="蚂蝗只数" numFmtId="0">
      <sharedItems containsSemiMixedTypes="0" containsString="0" containsNumber="1" containsInteger="1" minValue="1" maxValue="279"/>
    </cacheField>
    <cacheField name="No.1" numFmtId="0">
      <sharedItems containsSemiMixedTypes="0" containsString="0" containsNumber="1" containsInteger="1" minValue="1" maxValue="39"/>
    </cacheField>
    <cacheField name="No.2" numFmtId="0">
      <sharedItems containsSemiMixedTypes="0" containsString="0" containsNumber="1" containsInteger="1" minValue="0" maxValue="40"/>
    </cacheField>
    <cacheField name="No.3" numFmtId="0">
      <sharedItems containsSemiMixedTypes="0" containsString="0" containsNumber="1" containsInteger="1" minValue="0" maxValue="39"/>
    </cacheField>
    <cacheField name="No.4" numFmtId="0">
      <sharedItems containsSemiMixedTypes="0" containsString="0" containsNumber="1" containsInteger="1" minValue="0" maxValue="46"/>
    </cacheField>
    <cacheField name="No.5" numFmtId="0">
      <sharedItems containsSemiMixedTypes="0" containsString="0" containsNumber="1" containsInteger="1" minValue="0" maxValue="41"/>
    </cacheField>
    <cacheField name="No.6" numFmtId="0">
      <sharedItems containsSemiMixedTypes="0" containsString="0" containsNumber="1" containsInteger="1" minValue="0" maxValue="35"/>
    </cacheField>
    <cacheField name="No.7" numFmtId="0">
      <sharedItems containsSemiMixedTypes="0" containsString="0" containsNumber="1" containsInteger="1" minValue="0" maxValue="45"/>
    </cacheField>
    <cacheField name="No.8" numFmtId="0">
      <sharedItems containsSemiMixedTypes="0" containsString="0" containsNumber="1" containsInteger="1" minValue="0" maxValue="33"/>
    </cacheField>
    <cacheField name="No.9" numFmtId="0">
      <sharedItems containsSemiMixedTypes="0" containsString="0" containsNumber="1" containsInteger="1" minValue="0" maxValue="36"/>
    </cacheField>
    <cacheField name="No.10" numFmtId="0">
      <sharedItems containsSemiMixedTypes="0" containsString="0" containsNumber="1" containsInteger="1" minValue="0" maxValue="49"/>
    </cacheField>
    <cacheField name="No.11" numFmtId="0">
      <sharedItems containsSemiMixedTypes="0" containsString="0" containsNumber="1" containsInteger="1" minValue="0" maxValue="14"/>
    </cacheField>
    <cacheField name="No.12" numFmtId="0">
      <sharedItems containsSemiMixedTypes="0" containsString="0" containsNumber="1" containsInteger="1" minValue="0" maxValue="16"/>
    </cacheField>
    <cacheField name="No.13" numFmtId="0">
      <sharedItems containsSemiMixedTypes="0" containsString="0" containsNumber="1" containsInteger="1" minValue="0" maxValue="17"/>
    </cacheField>
    <cacheField name="No.14" numFmtId="0">
      <sharedItems containsSemiMixedTypes="0" containsString="0" containsNumber="1" containsInteger="1" minValue="0" maxValue="21"/>
    </cacheField>
    <cacheField name="No.15" numFmtId="0">
      <sharedItems containsSemiMixedTypes="0" containsString="0" containsNumber="1" containsInteger="1" minValue="0" maxValue="14"/>
    </cacheField>
    <cacheField name="No.16" numFmtId="0">
      <sharedItems containsSemiMixedTypes="0" containsString="0" containsNumber="1" containsInteger="1" minValue="0" maxValue="11"/>
    </cacheField>
    <cacheField name="No.17" numFmtId="0">
      <sharedItems containsSemiMixedTypes="0" containsString="0" containsNumber="1" containsInteger="1" minValue="0" maxValue="15"/>
    </cacheField>
    <cacheField name="No.18" numFmtId="0">
      <sharedItems containsSemiMixedTypes="0" containsString="0" containsNumber="1" containsInteger="1" minValue="0" maxValue="15"/>
    </cacheField>
    <cacheField name="No.19" numFmtId="0">
      <sharedItems containsSemiMixedTypes="0" containsString="0" containsNumber="1" containsInteger="1" minValue="0" maxValue="16"/>
    </cacheField>
    <cacheField name="No.20" numFmtId="0">
      <sharedItems containsSemiMixedTypes="0" containsString="0" containsNumber="1" containsInteger="1" minValue="0" maxValue="16"/>
    </cacheField>
    <cacheField name="No.21" numFmtId="0">
      <sharedItems containsSemiMixedTypes="0" containsString="0" containsNumber="1" containsInteger="1" minValue="0" maxValue="5"/>
    </cacheField>
    <cacheField name="No.22" numFmtId="0">
      <sharedItems containsSemiMixedTypes="0" containsString="0" containsNumber="1" containsInteger="1" minValue="0" maxValue="5"/>
    </cacheField>
    <cacheField name="No.23" numFmtId="0">
      <sharedItems containsSemiMixedTypes="0" containsString="0" containsNumber="1" containsInteger="1" minValue="0" maxValue="15"/>
    </cacheField>
    <cacheField name="No.24" numFmtId="0">
      <sharedItems containsSemiMixedTypes="0" containsString="0" containsNumber="1" containsInteger="1" minValue="0" maxValue="12"/>
    </cacheField>
    <cacheField name="No.25" numFmtId="0">
      <sharedItems containsMixedTypes="1" containsNumber="1" containsInteger="1" minValue="0" maxValue="18"/>
    </cacheField>
    <cacheField name="No.26" numFmtId="0">
      <sharedItems containsSemiMixedTypes="0" containsString="0" containsNumber="1" containsInteger="1" minValue="0" maxValue="7"/>
    </cacheField>
    <cacheField name="No.27" numFmtId="0">
      <sharedItems containsSemiMixedTypes="0" containsString="0" containsNumber="1" containsInteger="1" minValue="0" maxValue="5"/>
    </cacheField>
    <cacheField name="地址" numFmtId="0">
      <sharedItems containsMixedTypes="1" containsNumber="1" containsInteger="1" minValue="0" maxValue="0"/>
    </cacheField>
    <cacheField name="采样日期开始" numFmtId="0">
      <sharedItems containsDate="1" containsMixedTypes="1" minDate="1899-12-31T00:00:00" maxDate="1900-01-02T11:56:05"/>
    </cacheField>
    <cacheField name="采样日期结束" numFmtId="0">
      <sharedItems containsDate="1" containsMixedTypes="1" minDate="1899-12-31T00:00:00" maxDate="1900-01-08T17:49:04"/>
    </cacheField>
    <cacheField name="海拔" numFmtId="0">
      <sharedItems containsSemiMixedTypes="0" containsDate="1" containsString="0" containsMixedTypes="1" minDate="1899-12-31T00:00:00" maxDate="1900-01-10T02:45:04"/>
    </cacheField>
    <cacheField name="其他位置信息" numFmtId="0">
      <sharedItems containsMixedTypes="1" containsNumber="1" containsInteger="1" minValue="0" maxValue="0"/>
    </cacheField>
    <cacheField name="lysis_buffer" numFmtId="0">
      <sharedItems containsDate="1" containsMixedTypes="1" minDate="1899-12-31T00:00:00" maxDate="1900-01-02T17:20:04"/>
    </cacheField>
    <cacheField name="volume_calc" numFmtId="0">
      <sharedItems containsDate="1" containsMixedTypes="1" minDate="1899-12-31T00:00:00" maxDate="1899-12-31T00:00:00"/>
    </cacheField>
    <cacheField name="leech_volume" numFmtId="0">
      <sharedItems containsDate="1" containsMixedTypes="1" minDate="1899-12-31T00:00:00" maxDate="1900-01-11T12:00:00"/>
    </cacheField>
    <cacheField name="身份证号码" numFmtId="0">
      <sharedItems containsDate="1" containsMixedTypes="1" minDate="1899-12-31T00:00:00" maxDate="1899-12-31T00:00:00"/>
    </cacheField>
    <cacheField name="电话号码" numFmtId="0">
      <sharedItems containsDate="1" containsMixedTypes="1" minDate="1899-12-31T00:00:00" maxDate="1899-12-31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x v="0"/>
    <s v="CX35"/>
    <x v="0"/>
    <x v="0"/>
    <n v="0"/>
    <n v="8"/>
    <n v="22"/>
    <n v="2"/>
    <n v="2"/>
    <n v="3"/>
    <n v="3"/>
    <n v="3"/>
    <n v="3"/>
    <n v="3"/>
    <n v="3"/>
    <n v="0"/>
    <n v="0"/>
    <n v="0"/>
    <n v="0"/>
    <n v="0"/>
    <n v="0"/>
    <n v="0"/>
    <n v="0"/>
    <n v="0"/>
    <n v="0"/>
    <n v="0"/>
    <n v="0"/>
    <n v="0"/>
    <n v="0"/>
    <n v="0"/>
    <n v="0"/>
    <n v="0"/>
    <n v="0"/>
    <n v="0"/>
    <s v="楚雄西舍路闸上村"/>
    <s v="20160705"/>
    <n v="0"/>
    <n v="0"/>
    <s v="海拔2612，N24°38′15.00″ E101°00′06.86″"/>
    <s v="0.5"/>
    <s v="PCR FAILED"/>
    <s v="NA"/>
    <s v="532301198510293110"/>
    <s v="15125865578"/>
  </r>
  <r>
    <x v="0"/>
    <s v="CX36"/>
    <x v="0"/>
    <x v="0"/>
    <n v="5"/>
    <n v="0"/>
    <n v="10"/>
    <n v="1"/>
    <n v="1"/>
    <n v="2"/>
    <n v="2"/>
    <n v="4"/>
    <n v="0"/>
    <n v="0"/>
    <n v="0"/>
    <n v="0"/>
    <n v="0"/>
    <n v="0"/>
    <n v="0"/>
    <n v="0"/>
    <n v="0"/>
    <n v="0"/>
    <n v="0"/>
    <n v="0"/>
    <n v="0"/>
    <n v="0"/>
    <n v="0"/>
    <n v="0"/>
    <n v="0"/>
    <n v="0"/>
    <n v="0"/>
    <n v="0"/>
    <n v="0"/>
    <n v="0"/>
    <s v="楚雄西舍路闸上村"/>
    <s v="20160705"/>
    <n v="0"/>
    <n v="0"/>
    <s v="海拔2360，N24°39′06.07″ E101°02′82.27″"/>
    <s v="0.5"/>
    <s v="PCR FAILED"/>
    <s v="NA"/>
    <s v="532301198510293110"/>
    <s v="15125865578"/>
  </r>
  <r>
    <x v="0"/>
    <s v="CX37"/>
    <x v="0"/>
    <x v="0"/>
    <n v="5"/>
    <n v="0"/>
    <n v="12"/>
    <n v="1"/>
    <n v="2"/>
    <n v="2"/>
    <n v="3"/>
    <n v="4"/>
    <n v="0"/>
    <n v="0"/>
    <n v="0"/>
    <n v="0"/>
    <n v="0"/>
    <n v="0"/>
    <n v="0"/>
    <n v="0"/>
    <n v="0"/>
    <n v="0"/>
    <n v="0"/>
    <n v="0"/>
    <n v="0"/>
    <n v="0"/>
    <n v="0"/>
    <n v="0"/>
    <n v="0"/>
    <n v="0"/>
    <n v="0"/>
    <n v="0"/>
    <n v="0"/>
    <n v="0"/>
    <s v="楚雄西舍路闸上村"/>
    <s v="20160710"/>
    <n v="0"/>
    <n v="0"/>
    <s v="海拔2631，N24°38′15.14″ E101°00′13.71″"/>
    <s v="7.5"/>
    <n v="0"/>
    <s v="NA"/>
    <s v="532301198510293110"/>
    <s v="15125865578"/>
  </r>
  <r>
    <x v="0"/>
    <s v="CX38"/>
    <x v="0"/>
    <x v="0"/>
    <n v="5"/>
    <n v="0"/>
    <n v="9"/>
    <n v="1"/>
    <n v="1"/>
    <n v="2"/>
    <n v="2"/>
    <n v="3"/>
    <n v="0"/>
    <n v="0"/>
    <n v="0"/>
    <n v="0"/>
    <n v="0"/>
    <n v="0"/>
    <n v="0"/>
    <n v="0"/>
    <n v="0"/>
    <n v="0"/>
    <n v="0"/>
    <n v="0"/>
    <n v="0"/>
    <n v="0"/>
    <n v="0"/>
    <n v="0"/>
    <n v="0"/>
    <n v="0"/>
    <n v="0"/>
    <n v="0"/>
    <n v="0"/>
    <n v="0"/>
    <s v="楚雄西舍路闸上村"/>
    <s v="20160714"/>
    <n v="0"/>
    <n v="0"/>
    <s v="海拔2642，N24°38′15.46″ E101°00′13.73″"/>
    <s v="0.5"/>
    <s v="PCR FAILED"/>
    <s v="NA"/>
    <s v="532301198510293110"/>
    <s v="15125865578"/>
  </r>
  <r>
    <x v="0"/>
    <s v="CX39"/>
    <x v="0"/>
    <x v="0"/>
    <n v="5"/>
    <n v="0"/>
    <n v="8"/>
    <n v="1"/>
    <n v="1"/>
    <n v="1"/>
    <n v="2"/>
    <n v="3"/>
    <n v="0"/>
    <n v="0"/>
    <n v="0"/>
    <n v="0"/>
    <n v="0"/>
    <n v="0"/>
    <n v="0"/>
    <n v="0"/>
    <n v="0"/>
    <n v="0"/>
    <n v="0"/>
    <n v="0"/>
    <n v="0"/>
    <n v="0"/>
    <n v="0"/>
    <n v="0"/>
    <n v="0"/>
    <n v="0"/>
    <n v="0"/>
    <n v="0"/>
    <n v="0"/>
    <n v="0"/>
    <s v="楚雄西舍路闸上村"/>
    <s v="20160718"/>
    <n v="0"/>
    <n v="0"/>
    <s v="海拔2680，N24°38′21.54″ E101°00′15.70″"/>
    <s v="0.5"/>
    <s v="PCR FAILED"/>
    <s v="NA"/>
    <s v="532301198510293110"/>
    <s v="15125865578"/>
  </r>
  <r>
    <x v="0"/>
    <s v="CX01"/>
    <x v="1"/>
    <x v="1"/>
    <n v="0"/>
    <n v="4"/>
    <n v="6"/>
    <n v="1"/>
    <n v="1"/>
    <n v="2"/>
    <n v="2"/>
    <n v="0"/>
    <n v="0"/>
    <n v="0"/>
    <n v="0"/>
    <n v="0"/>
    <n v="0"/>
    <n v="0"/>
    <n v="0"/>
    <n v="0"/>
    <n v="0"/>
    <n v="0"/>
    <n v="0"/>
    <n v="0"/>
    <n v="0"/>
    <n v="0"/>
    <n v="0"/>
    <n v="0"/>
    <n v="0"/>
    <n v="0"/>
    <n v="0"/>
    <n v="0"/>
    <n v="0"/>
    <n v="0"/>
    <s v="哀牢山国家级自然保护区楚雄管理局保甸管护点"/>
    <s v="20160712"/>
    <n v="0"/>
    <n v="0"/>
    <s v="N24°40′69.30″ E100°57′16.87″"/>
    <s v="2"/>
    <n v="0"/>
    <s v="NA"/>
    <s v="532301197402203135"/>
    <s v="13638744286"/>
  </r>
  <r>
    <x v="0"/>
    <s v="CX02"/>
    <x v="1"/>
    <x v="1"/>
    <n v="3"/>
    <n v="0"/>
    <n v="7"/>
    <n v="4"/>
    <n v="1"/>
    <n v="2"/>
    <n v="0"/>
    <n v="0"/>
    <n v="0"/>
    <n v="0"/>
    <n v="0"/>
    <n v="0"/>
    <n v="0"/>
    <n v="0"/>
    <n v="0"/>
    <n v="0"/>
    <n v="0"/>
    <n v="0"/>
    <n v="0"/>
    <n v="0"/>
    <n v="0"/>
    <n v="0"/>
    <n v="0"/>
    <n v="0"/>
    <n v="0"/>
    <n v="0"/>
    <n v="0"/>
    <n v="0"/>
    <n v="0"/>
    <n v="0"/>
    <s v="哀牢山国家级自然保护区楚雄管理局保甸管护点"/>
    <s v="20160717"/>
    <n v="0"/>
    <n v="0"/>
    <s v="N24°40′24.84″ E100°57′24.07″"/>
    <s v="2"/>
    <n v="0"/>
    <s v="NA"/>
    <s v="532301197402203135"/>
    <s v="13638744286"/>
  </r>
  <r>
    <x v="0"/>
    <s v="CX03"/>
    <x v="1"/>
    <x v="1"/>
    <n v="2"/>
    <n v="0"/>
    <n v="3"/>
    <n v="1"/>
    <n v="2"/>
    <n v="0"/>
    <n v="0"/>
    <n v="0"/>
    <n v="0"/>
    <n v="0"/>
    <n v="0"/>
    <n v="0"/>
    <n v="0"/>
    <n v="0"/>
    <n v="0"/>
    <n v="0"/>
    <n v="0"/>
    <n v="0"/>
    <n v="0"/>
    <n v="0"/>
    <n v="0"/>
    <n v="0"/>
    <n v="0"/>
    <n v="0"/>
    <n v="0"/>
    <n v="0"/>
    <n v="0"/>
    <n v="0"/>
    <n v="0"/>
    <n v="0"/>
    <s v="哀牢山国家级自然保护区楚雄管理局保甸管护点"/>
    <s v="20160719"/>
    <n v="0"/>
    <n v="0"/>
    <s v="N24°40′09.39″ E100°57′79.54″"/>
    <s v="1"/>
    <n v="0"/>
    <s v="NA"/>
    <s v="532301197402203135"/>
    <s v="13638744286"/>
  </r>
  <r>
    <x v="0"/>
    <s v="CX04"/>
    <x v="1"/>
    <x v="1"/>
    <n v="6"/>
    <n v="0"/>
    <n v="14"/>
    <n v="2"/>
    <n v="2"/>
    <n v="2"/>
    <n v="2"/>
    <n v="2"/>
    <n v="4"/>
    <n v="0"/>
    <n v="0"/>
    <n v="0"/>
    <n v="0"/>
    <n v="0"/>
    <n v="0"/>
    <n v="0"/>
    <n v="0"/>
    <n v="0"/>
    <n v="0"/>
    <n v="0"/>
    <n v="0"/>
    <n v="0"/>
    <n v="0"/>
    <n v="0"/>
    <n v="0"/>
    <n v="0"/>
    <n v="0"/>
    <n v="0"/>
    <n v="0"/>
    <n v="0"/>
    <s v="哀牢山国家级自然保护区楚雄管理局保甸管护点"/>
    <s v="20160720"/>
    <n v="0"/>
    <n v="0"/>
    <s v="N24°38′59.97″ E100°57′81.70″"/>
    <s v="3"/>
    <n v="0"/>
    <s v="NA"/>
    <s v="532301197402203135"/>
    <s v="13638744286"/>
  </r>
  <r>
    <x v="0"/>
    <s v="CX05"/>
    <x v="1"/>
    <x v="1"/>
    <n v="4"/>
    <n v="0"/>
    <n v="10"/>
    <n v="2"/>
    <n v="2"/>
    <n v="3"/>
    <n v="3"/>
    <n v="0"/>
    <n v="0"/>
    <n v="0"/>
    <n v="0"/>
    <n v="0"/>
    <n v="0"/>
    <n v="0"/>
    <n v="0"/>
    <n v="0"/>
    <n v="0"/>
    <n v="0"/>
    <n v="0"/>
    <n v="0"/>
    <n v="0"/>
    <n v="0"/>
    <n v="0"/>
    <n v="0"/>
    <n v="0"/>
    <n v="0"/>
    <n v="0"/>
    <n v="0"/>
    <n v="0"/>
    <n v="0"/>
    <s v="哀牢山国家级自然保护区楚雄管理局保甸管护点"/>
    <s v="20160724"/>
    <n v="0"/>
    <n v="0"/>
    <s v="N24°40′07.56″ E100°57′77.48″"/>
    <s v="3"/>
    <n v="0"/>
    <s v="NA"/>
    <s v="532301197402203135"/>
    <s v="13638744286"/>
  </r>
  <r>
    <x v="0"/>
    <s v="CX11"/>
    <x v="2"/>
    <x v="2"/>
    <n v="0"/>
    <n v="6"/>
    <n v="13"/>
    <n v="1"/>
    <n v="2"/>
    <n v="2"/>
    <n v="2"/>
    <n v="3"/>
    <n v="3"/>
    <n v="0"/>
    <n v="0"/>
    <n v="0"/>
    <n v="0"/>
    <n v="0"/>
    <n v="0"/>
    <n v="0"/>
    <n v="0"/>
    <n v="0"/>
    <n v="0"/>
    <n v="0"/>
    <n v="0"/>
    <n v="0"/>
    <n v="0"/>
    <n v="0"/>
    <n v="0"/>
    <n v="0"/>
    <n v="0"/>
    <n v="0"/>
    <n v="0"/>
    <n v="0"/>
    <s v="楚雄管理局朵苴村委会"/>
    <s v="20160704"/>
    <n v="0"/>
    <n v="0"/>
    <s v="N24°34′0.52″ E101°02′02.66″"/>
    <s v="5"/>
    <n v="0"/>
    <s v="NA"/>
    <s v="532301197512173133"/>
    <s v="13987878719"/>
  </r>
  <r>
    <x v="0"/>
    <s v="CX12"/>
    <x v="2"/>
    <x v="2"/>
    <n v="7"/>
    <n v="0"/>
    <n v="22"/>
    <n v="1"/>
    <n v="2"/>
    <n v="2"/>
    <n v="2"/>
    <n v="4"/>
    <n v="5"/>
    <n v="6"/>
    <n v="0"/>
    <n v="0"/>
    <n v="0"/>
    <n v="0"/>
    <n v="0"/>
    <n v="0"/>
    <n v="0"/>
    <n v="0"/>
    <n v="0"/>
    <n v="0"/>
    <n v="0"/>
    <n v="0"/>
    <n v="0"/>
    <n v="0"/>
    <n v="0"/>
    <n v="0"/>
    <n v="0"/>
    <n v="0"/>
    <n v="0"/>
    <n v="0"/>
    <s v="楚雄管理局朵苴村委会"/>
    <s v="20160706"/>
    <n v="0"/>
    <n v="0"/>
    <s v="海拔2586，N24°34′0.98″ E101°02′01.85″"/>
    <s v="5"/>
    <n v="0"/>
    <s v="NA"/>
    <s v="532301197512173133"/>
    <s v="13987878719"/>
  </r>
  <r>
    <x v="0"/>
    <s v="CX13"/>
    <x v="2"/>
    <x v="2"/>
    <n v="5"/>
    <n v="0"/>
    <n v="16"/>
    <n v="2"/>
    <n v="2"/>
    <n v="4"/>
    <n v="4"/>
    <n v="4"/>
    <n v="0"/>
    <n v="0"/>
    <n v="0"/>
    <n v="0"/>
    <n v="0"/>
    <n v="0"/>
    <n v="0"/>
    <n v="0"/>
    <n v="0"/>
    <n v="0"/>
    <n v="0"/>
    <n v="0"/>
    <n v="0"/>
    <n v="0"/>
    <n v="0"/>
    <n v="0"/>
    <n v="0"/>
    <n v="0"/>
    <n v="0"/>
    <n v="0"/>
    <n v="0"/>
    <n v="0"/>
    <s v="楚雄管理局朵苴村委会"/>
    <s v="20160706"/>
    <n v="0"/>
    <n v="0"/>
    <s v="N24°34′01.08″ E101°02′04.58″"/>
    <s v="4"/>
    <n v="0"/>
    <s v="NA"/>
    <s v="532301197512173133"/>
    <s v="13987878719"/>
  </r>
  <r>
    <x v="0"/>
    <s v="CX14"/>
    <x v="2"/>
    <x v="2"/>
    <n v="7"/>
    <n v="0"/>
    <n v="51"/>
    <n v="4"/>
    <n v="7"/>
    <n v="3"/>
    <n v="5"/>
    <n v="4"/>
    <n v="9"/>
    <n v="19"/>
    <n v="0"/>
    <n v="0"/>
    <n v="0"/>
    <n v="0"/>
    <n v="0"/>
    <n v="0"/>
    <n v="0"/>
    <n v="0"/>
    <n v="0"/>
    <n v="0"/>
    <n v="0"/>
    <n v="0"/>
    <n v="0"/>
    <n v="0"/>
    <n v="0"/>
    <n v="0"/>
    <n v="0"/>
    <n v="0"/>
    <n v="0"/>
    <n v="0"/>
    <s v="楚雄管理局朵苴村委会"/>
    <s v="20160710"/>
    <n v="0"/>
    <n v="0"/>
    <s v="海拔2510，N24°33′02.13″ E101°02′07.42″"/>
    <s v="7.5"/>
    <n v="0"/>
    <s v="NA"/>
    <s v="532301197512173133"/>
    <s v="13987878719"/>
  </r>
  <r>
    <x v="0"/>
    <s v="CX15"/>
    <x v="2"/>
    <x v="2"/>
    <n v="7"/>
    <n v="0"/>
    <n v="31"/>
    <n v="3"/>
    <n v="6"/>
    <n v="5"/>
    <n v="5"/>
    <n v="6"/>
    <n v="2"/>
    <n v="4"/>
    <n v="0"/>
    <n v="0"/>
    <n v="0"/>
    <n v="0"/>
    <n v="0"/>
    <n v="0"/>
    <n v="0"/>
    <n v="0"/>
    <n v="0"/>
    <n v="0"/>
    <n v="0"/>
    <n v="0"/>
    <n v="0"/>
    <n v="0"/>
    <n v="0"/>
    <n v="0"/>
    <n v="0"/>
    <n v="0"/>
    <n v="0"/>
    <n v="0"/>
    <s v="楚雄管理局朵苴村委会"/>
    <s v="20160710"/>
    <n v="0"/>
    <n v="0"/>
    <s v="N24°33′9.70″ E101°02′01.90″"/>
    <s v="5"/>
    <n v="0"/>
    <s v="NA"/>
    <s v="532301197512173133"/>
    <s v="13987878719"/>
  </r>
  <r>
    <x v="0"/>
    <s v="CX16"/>
    <x v="3"/>
    <x v="3"/>
    <n v="0"/>
    <n v="7"/>
    <n v="14"/>
    <n v="1"/>
    <n v="1"/>
    <n v="1"/>
    <n v="1"/>
    <n v="3"/>
    <n v="3"/>
    <n v="4"/>
    <n v="0"/>
    <n v="0"/>
    <n v="0"/>
    <n v="0"/>
    <n v="0"/>
    <n v="0"/>
    <n v="0"/>
    <n v="0"/>
    <n v="0"/>
    <n v="0"/>
    <n v="0"/>
    <n v="0"/>
    <n v="0"/>
    <n v="0"/>
    <n v="0"/>
    <n v="0"/>
    <n v="0"/>
    <n v="0"/>
    <n v="0"/>
    <n v="0"/>
    <s v="楚雄西舍路朵苴村"/>
    <s v="20160703"/>
    <n v="0"/>
    <n v="0"/>
    <s v="N24°35′79.37″ E101°04′65.37″"/>
    <s v="3"/>
    <n v="0"/>
    <s v="NA"/>
    <s v="532301198403063132"/>
    <s v="18287842698"/>
  </r>
  <r>
    <x v="0"/>
    <s v="CX17"/>
    <x v="3"/>
    <x v="3"/>
    <n v="7"/>
    <n v="0"/>
    <n v="32"/>
    <n v="2"/>
    <n v="3"/>
    <n v="2"/>
    <n v="3"/>
    <n v="8"/>
    <n v="4"/>
    <n v="10"/>
    <n v="0"/>
    <n v="0"/>
    <n v="0"/>
    <n v="0"/>
    <n v="0"/>
    <n v="0"/>
    <n v="0"/>
    <n v="0"/>
    <n v="0"/>
    <n v="0"/>
    <n v="0"/>
    <n v="0"/>
    <n v="0"/>
    <n v="0"/>
    <n v="0"/>
    <n v="0"/>
    <n v="0"/>
    <n v="0"/>
    <n v="0"/>
    <n v="0"/>
    <s v="楚雄西舍路朵苴村"/>
    <s v="20160703"/>
    <n v="0"/>
    <n v="0"/>
    <s v="海拔2548，N24°34′75.27″ E101°02′32.26″"/>
    <s v="5"/>
    <n v="0"/>
    <s v="NA"/>
    <s v="532301198403063132"/>
    <s v="18287842698"/>
  </r>
  <r>
    <x v="0"/>
    <s v="CX18"/>
    <x v="3"/>
    <x v="3"/>
    <n v="8"/>
    <n v="0"/>
    <n v="19"/>
    <n v="1"/>
    <n v="1"/>
    <n v="1"/>
    <n v="2"/>
    <n v="2"/>
    <n v="3"/>
    <n v="4"/>
    <n v="5"/>
    <n v="0"/>
    <n v="0"/>
    <n v="0"/>
    <n v="0"/>
    <n v="0"/>
    <n v="0"/>
    <n v="0"/>
    <n v="0"/>
    <n v="0"/>
    <n v="0"/>
    <n v="0"/>
    <n v="0"/>
    <n v="0"/>
    <n v="0"/>
    <n v="0"/>
    <n v="0"/>
    <n v="0"/>
    <n v="0"/>
    <n v="0"/>
    <s v="楚雄西舍路朵苴村"/>
    <s v="20160703"/>
    <n v="0"/>
    <n v="0"/>
    <s v="海拔2534，N24°34′70.14″ E101°02′22.92″"/>
    <s v="4"/>
    <n v="0"/>
    <s v="NA"/>
    <s v="532301198403063132"/>
    <s v="18287842698"/>
  </r>
  <r>
    <x v="0"/>
    <s v="CX19"/>
    <x v="3"/>
    <x v="3"/>
    <n v="6"/>
    <n v="0"/>
    <n v="31"/>
    <n v="6"/>
    <n v="4"/>
    <n v="2"/>
    <n v="3"/>
    <n v="7"/>
    <n v="9"/>
    <n v="0"/>
    <n v="0"/>
    <n v="0"/>
    <n v="0"/>
    <n v="0"/>
    <n v="0"/>
    <n v="0"/>
    <n v="0"/>
    <n v="0"/>
    <n v="0"/>
    <n v="0"/>
    <n v="0"/>
    <n v="0"/>
    <n v="0"/>
    <n v="0"/>
    <n v="0"/>
    <n v="0"/>
    <n v="0"/>
    <n v="0"/>
    <n v="0"/>
    <n v="0"/>
    <s v="楚雄西舍路朵苴村"/>
    <s v="20160703"/>
    <n v="0"/>
    <n v="0"/>
    <s v="海拔2541，N24°34′77.04″ E101°02′38.27″"/>
    <s v="6"/>
    <n v="0"/>
    <s v="NA"/>
    <s v="532301198403063132"/>
    <s v="18287842698"/>
  </r>
  <r>
    <x v="0"/>
    <s v="CX20"/>
    <x v="3"/>
    <x v="3"/>
    <n v="5"/>
    <n v="0"/>
    <n v="13"/>
    <n v="2"/>
    <n v="2"/>
    <n v="3"/>
    <n v="3"/>
    <n v="3"/>
    <n v="0"/>
    <n v="0"/>
    <n v="0"/>
    <n v="0"/>
    <n v="0"/>
    <n v="0"/>
    <n v="0"/>
    <n v="0"/>
    <n v="0"/>
    <n v="0"/>
    <n v="0"/>
    <n v="0"/>
    <n v="0"/>
    <n v="0"/>
    <n v="0"/>
    <n v="0"/>
    <n v="0"/>
    <n v="0"/>
    <n v="0"/>
    <n v="0"/>
    <n v="0"/>
    <n v="0"/>
    <s v="楚雄西舍路朵苴村"/>
    <s v="20160703"/>
    <n v="0"/>
    <n v="0"/>
    <s v="海拔2542，N24°34′73.75″ E101°02′14.18″"/>
    <s v="4"/>
    <n v="0"/>
    <s v="NA"/>
    <s v="532301198403063132"/>
    <s v="18287842698"/>
  </r>
  <r>
    <x v="0"/>
    <s v="CX06"/>
    <x v="4"/>
    <x v="4"/>
    <n v="0"/>
    <n v="15"/>
    <n v="20"/>
    <n v="1"/>
    <n v="1"/>
    <n v="1"/>
    <n v="1"/>
    <n v="1"/>
    <n v="1"/>
    <n v="1"/>
    <n v="1"/>
    <n v="1"/>
    <n v="1"/>
    <n v="2"/>
    <n v="2"/>
    <n v="2"/>
    <n v="2"/>
    <n v="2"/>
    <n v="0"/>
    <n v="0"/>
    <n v="0"/>
    <n v="0"/>
    <n v="0"/>
    <n v="0"/>
    <n v="0"/>
    <n v="0"/>
    <n v="0"/>
    <n v="0"/>
    <n v="0"/>
    <n v="0"/>
    <s v="德波箐大中山村"/>
    <s v="20160701-0704"/>
    <n v="0"/>
    <n v="0"/>
    <s v="海拔2372，N24°33′38.95″ E101°05′16.50″"/>
    <s v="15"/>
    <n v="0"/>
    <s v="NA"/>
    <s v="532301197308203112"/>
    <s v="13987884167"/>
  </r>
  <r>
    <x v="0"/>
    <s v="CX07"/>
    <x v="4"/>
    <x v="4"/>
    <n v="10"/>
    <n v="0"/>
    <n v="41"/>
    <n v="5"/>
    <n v="3"/>
    <n v="3"/>
    <n v="5"/>
    <n v="5"/>
    <n v="3"/>
    <n v="5"/>
    <n v="5"/>
    <n v="2"/>
    <n v="5"/>
    <n v="0"/>
    <n v="0"/>
    <n v="0"/>
    <n v="0"/>
    <n v="0"/>
    <n v="0"/>
    <n v="0"/>
    <n v="0"/>
    <n v="0"/>
    <n v="0"/>
    <n v="0"/>
    <n v="0"/>
    <n v="0"/>
    <n v="0"/>
    <n v="0"/>
    <n v="0"/>
    <n v="0"/>
    <s v="德波箐大中山村"/>
    <s v="20160706-0709"/>
    <n v="0"/>
    <n v="0"/>
    <s v="海拔2486，N24°32′06.91″ E101°03′58.49″"/>
    <s v="25"/>
    <n v="0"/>
    <s v="NA"/>
    <s v="532301197308203112"/>
    <s v="13987884167"/>
  </r>
  <r>
    <x v="0"/>
    <s v="CX08"/>
    <x v="4"/>
    <x v="4"/>
    <n v="9"/>
    <n v="0"/>
    <n v="25"/>
    <n v="3"/>
    <n v="3"/>
    <n v="3"/>
    <n v="3"/>
    <n v="2"/>
    <n v="2"/>
    <n v="3"/>
    <n v="3"/>
    <n v="3"/>
    <n v="0"/>
    <n v="0"/>
    <n v="0"/>
    <n v="0"/>
    <n v="0"/>
    <n v="0"/>
    <n v="0"/>
    <n v="0"/>
    <n v="0"/>
    <n v="0"/>
    <n v="0"/>
    <n v="0"/>
    <n v="0"/>
    <n v="0"/>
    <n v="0"/>
    <n v="0"/>
    <n v="0"/>
    <n v="0"/>
    <s v="德波箐大中山村"/>
    <s v="20160710-0714"/>
    <n v="0"/>
    <n v="0"/>
    <s v="海拔2415，N24°32′07.08″ E101°03′58.43″"/>
    <s v="15"/>
    <n v="0"/>
    <s v="NA"/>
    <s v="532301197308203112"/>
    <s v="13987884167"/>
  </r>
  <r>
    <x v="0"/>
    <s v="CX09"/>
    <x v="4"/>
    <x v="4"/>
    <n v="8"/>
    <n v="0"/>
    <n v="21"/>
    <n v="3"/>
    <n v="2"/>
    <n v="5"/>
    <n v="2"/>
    <n v="2"/>
    <n v="3"/>
    <n v="3"/>
    <n v="1"/>
    <n v="0"/>
    <n v="0"/>
    <n v="0"/>
    <n v="0"/>
    <n v="0"/>
    <n v="0"/>
    <n v="0"/>
    <n v="0"/>
    <n v="0"/>
    <n v="0"/>
    <n v="0"/>
    <n v="0"/>
    <n v="0"/>
    <n v="0"/>
    <n v="0"/>
    <n v="0"/>
    <n v="0"/>
    <n v="0"/>
    <n v="0"/>
    <s v="德波箐大中山村"/>
    <s v="20160717-0721"/>
    <n v="0"/>
    <n v="0"/>
    <s v="海拔2381，N24°31′64.48″ E101°04′07.50″"/>
    <s v="20"/>
    <n v="0"/>
    <s v="NA"/>
    <s v="532301197308203112"/>
    <s v="13987884167"/>
  </r>
  <r>
    <x v="0"/>
    <s v="CX10"/>
    <x v="4"/>
    <x v="4"/>
    <n v="7"/>
    <n v="0"/>
    <n v="18"/>
    <n v="4"/>
    <n v="2"/>
    <n v="3"/>
    <n v="2"/>
    <n v="3"/>
    <n v="2"/>
    <n v="2"/>
    <n v="0"/>
    <n v="0"/>
    <n v="0"/>
    <n v="0"/>
    <n v="0"/>
    <n v="0"/>
    <n v="0"/>
    <n v="0"/>
    <n v="0"/>
    <n v="0"/>
    <n v="0"/>
    <n v="0"/>
    <n v="0"/>
    <n v="0"/>
    <n v="0"/>
    <n v="0"/>
    <n v="0"/>
    <n v="0"/>
    <n v="0"/>
    <n v="0"/>
    <s v="德波箐大中山村"/>
    <s v="20160726-0731"/>
    <n v="0"/>
    <n v="0"/>
    <s v="海拔2400，N24°33′44.62″ E101°03′32.68″"/>
    <s v="15"/>
    <n v="0"/>
    <s v="NA"/>
    <s v="532301197308203112"/>
    <s v="13987884167"/>
  </r>
  <r>
    <x v="0"/>
    <s v="CX30"/>
    <x v="5"/>
    <x v="5"/>
    <n v="0"/>
    <n v="7"/>
    <n v="20"/>
    <n v="2"/>
    <n v="2"/>
    <n v="2"/>
    <n v="2"/>
    <n v="3"/>
    <n v="4"/>
    <n v="5"/>
    <n v="0"/>
    <n v="0"/>
    <n v="0"/>
    <n v="0"/>
    <n v="0"/>
    <n v="0"/>
    <n v="0"/>
    <n v="0"/>
    <n v="0"/>
    <n v="0"/>
    <n v="0"/>
    <n v="0"/>
    <n v="0"/>
    <n v="0"/>
    <n v="0"/>
    <n v="0"/>
    <n v="0"/>
    <n v="0"/>
    <n v="0"/>
    <n v="0"/>
    <s v="楚雄西舍路闸上村委会苍铺塘村"/>
    <s v="20160716"/>
    <n v="0"/>
    <n v="0"/>
    <s v="海拔2319，N24°38′53.58″ E101°00′59.66″"/>
    <s v="0.5"/>
    <s v="PCR FAILED"/>
    <s v="NA"/>
    <s v="532301198610053113"/>
    <s v="15891821981"/>
  </r>
  <r>
    <x v="0"/>
    <s v="CX31"/>
    <x v="5"/>
    <x v="1"/>
    <n v="5"/>
    <n v="0"/>
    <n v="13"/>
    <n v="2"/>
    <n v="2"/>
    <n v="2"/>
    <n v="3"/>
    <n v="4"/>
    <n v="0"/>
    <n v="0"/>
    <n v="0"/>
    <n v="0"/>
    <n v="0"/>
    <n v="0"/>
    <n v="0"/>
    <n v="0"/>
    <n v="0"/>
    <n v="0"/>
    <n v="0"/>
    <n v="0"/>
    <n v="0"/>
    <n v="0"/>
    <n v="0"/>
    <n v="0"/>
    <n v="0"/>
    <n v="0"/>
    <n v="0"/>
    <n v="0"/>
    <n v="0"/>
    <n v="0"/>
    <s v="楚雄西舍路闸上村委会苍铺塘村"/>
    <s v="20160710"/>
    <n v="0"/>
    <n v="0"/>
    <s v="海拔2610，N24°38′24.31″ E100°59′95.96″"/>
    <s v="0.5"/>
    <s v="PCR FAILED"/>
    <s v="NA"/>
    <s v="532301198610053113"/>
    <s v="15891821981"/>
  </r>
  <r>
    <x v="0"/>
    <s v="CX32"/>
    <x v="5"/>
    <x v="1"/>
    <n v="4"/>
    <n v="0"/>
    <n v="11"/>
    <n v="2"/>
    <n v="2"/>
    <n v="2"/>
    <n v="5"/>
    <n v="0"/>
    <n v="0"/>
    <n v="0"/>
    <n v="0"/>
    <n v="0"/>
    <n v="0"/>
    <n v="0"/>
    <n v="0"/>
    <n v="0"/>
    <n v="0"/>
    <n v="0"/>
    <n v="0"/>
    <n v="0"/>
    <n v="0"/>
    <n v="0"/>
    <n v="0"/>
    <n v="0"/>
    <n v="0"/>
    <n v="0"/>
    <n v="0"/>
    <n v="0"/>
    <n v="0"/>
    <n v="0"/>
    <s v="楚雄西舍路闸上村委会苍铺塘村"/>
    <s v="20160713"/>
    <n v="0"/>
    <n v="0"/>
    <s v="海拔2612，N24°38′28.66″ E100°59′95.17″"/>
    <s v="0.5"/>
    <s v="PCR FAILED"/>
    <s v="NA"/>
    <s v="532301198610053113"/>
    <s v="15891821981"/>
  </r>
  <r>
    <x v="0"/>
    <s v="CX33"/>
    <x v="5"/>
    <x v="1"/>
    <n v="5"/>
    <n v="0"/>
    <n v="11"/>
    <n v="2"/>
    <n v="2"/>
    <n v="2"/>
    <n v="3"/>
    <n v="2"/>
    <n v="0"/>
    <n v="0"/>
    <n v="0"/>
    <n v="0"/>
    <n v="0"/>
    <n v="0"/>
    <n v="0"/>
    <n v="0"/>
    <n v="0"/>
    <n v="0"/>
    <n v="0"/>
    <n v="0"/>
    <n v="0"/>
    <n v="0"/>
    <n v="0"/>
    <n v="0"/>
    <n v="0"/>
    <n v="0"/>
    <n v="0"/>
    <n v="0"/>
    <n v="0"/>
    <n v="0"/>
    <s v="楚雄西舍路闸上村委会苍铺塘村"/>
    <s v="20160706"/>
    <n v="0"/>
    <n v="0"/>
    <s v="海拔2617，N24°38′18.68″ E100°59′97.10″"/>
    <s v="0.5"/>
    <s v="PCR FAILED"/>
    <s v="NA"/>
    <s v="532301198610053113"/>
    <s v="15891821981"/>
  </r>
  <r>
    <x v="0"/>
    <s v="CX34"/>
    <x v="5"/>
    <x v="0"/>
    <n v="5"/>
    <n v="0"/>
    <n v="10"/>
    <n v="2"/>
    <n v="2"/>
    <n v="2"/>
    <n v="2"/>
    <n v="2"/>
    <n v="0"/>
    <n v="0"/>
    <n v="0"/>
    <n v="0"/>
    <n v="0"/>
    <n v="0"/>
    <n v="0"/>
    <n v="0"/>
    <n v="0"/>
    <n v="0"/>
    <n v="0"/>
    <n v="0"/>
    <n v="0"/>
    <n v="0"/>
    <n v="0"/>
    <n v="0"/>
    <n v="0"/>
    <n v="0"/>
    <n v="0"/>
    <n v="0"/>
    <n v="0"/>
    <n v="0"/>
    <s v="楚雄西舍路闸上村委会苍铺塘村"/>
    <s v="20160703"/>
    <n v="0"/>
    <n v="0"/>
    <s v="海拔2621，N24°38′16.74″ E101°00′04.53″"/>
    <s v="0.5"/>
    <s v="PCR FAILED"/>
    <s v="NA"/>
    <s v="532301198610053113"/>
    <s v="15891821981"/>
  </r>
  <r>
    <x v="0"/>
    <s v="CX21"/>
    <x v="6"/>
    <x v="6"/>
    <n v="0"/>
    <n v="17"/>
    <n v="21"/>
    <n v="1"/>
    <n v="1"/>
    <n v="1"/>
    <n v="1"/>
    <n v="1"/>
    <n v="1"/>
    <n v="1"/>
    <n v="1"/>
    <n v="1"/>
    <n v="1"/>
    <n v="1"/>
    <n v="1"/>
    <n v="1"/>
    <n v="2"/>
    <n v="2"/>
    <n v="2"/>
    <n v="2"/>
    <n v="0"/>
    <n v="0"/>
    <n v="0"/>
    <n v="0"/>
    <n v="0"/>
    <n v="0"/>
    <n v="0"/>
    <n v="0"/>
    <n v="0"/>
    <n v="0"/>
    <s v="楚雄西舍路下岔河村委会"/>
    <s v="20160705-0710"/>
    <n v="0"/>
    <n v="0"/>
    <s v="N24°36′37.61″ E101°02′10.68″"/>
    <s v="3"/>
    <n v="0"/>
    <s v="NA"/>
    <s v="532301198702263118"/>
    <s v="15912941971"/>
  </r>
  <r>
    <x v="0"/>
    <s v="CX22"/>
    <x v="6"/>
    <x v="6"/>
    <n v="7"/>
    <n v="0"/>
    <n v="14"/>
    <n v="1"/>
    <n v="1"/>
    <n v="1"/>
    <n v="2"/>
    <n v="2"/>
    <n v="3"/>
    <n v="4"/>
    <n v="0"/>
    <n v="0"/>
    <n v="0"/>
    <n v="0"/>
    <n v="0"/>
    <n v="0"/>
    <n v="0"/>
    <n v="0"/>
    <n v="0"/>
    <n v="0"/>
    <n v="0"/>
    <n v="0"/>
    <n v="0"/>
    <n v="0"/>
    <n v="0"/>
    <n v="0"/>
    <n v="0"/>
    <n v="0"/>
    <n v="0"/>
    <n v="0"/>
    <s v="楚雄西舍路下岔河村委会"/>
    <s v="20160705-0710"/>
    <n v="0"/>
    <n v="0"/>
    <s v="N24°35′44.69″ E101°01′42.88″"/>
    <s v="3"/>
    <n v="0"/>
    <s v="NA"/>
    <s v="532301198702263118"/>
    <s v="15912941971"/>
  </r>
  <r>
    <x v="0"/>
    <s v="CX23"/>
    <x v="6"/>
    <x v="6"/>
    <n v="6"/>
    <n v="0"/>
    <n v="6"/>
    <n v="1"/>
    <n v="1"/>
    <n v="1"/>
    <n v="1"/>
    <n v="1"/>
    <n v="1"/>
    <n v="0"/>
    <n v="0"/>
    <n v="0"/>
    <n v="0"/>
    <n v="0"/>
    <n v="0"/>
    <n v="0"/>
    <n v="0"/>
    <n v="0"/>
    <n v="0"/>
    <n v="0"/>
    <n v="0"/>
    <n v="0"/>
    <n v="0"/>
    <n v="0"/>
    <n v="0"/>
    <n v="0"/>
    <n v="0"/>
    <n v="0"/>
    <n v="0"/>
    <n v="0"/>
    <s v="楚雄西舍路下岔河村委会"/>
    <s v="20160705-0710"/>
    <n v="0"/>
    <n v="0"/>
    <s v="N24°35′73.64″ E101°01′45.98″"/>
    <s v="1"/>
    <n v="0"/>
    <s v="NA"/>
    <s v="532301198702263118"/>
    <s v="15912941971"/>
  </r>
  <r>
    <x v="0"/>
    <s v="CX24"/>
    <x v="6"/>
    <x v="6"/>
    <n v="17"/>
    <n v="0"/>
    <n v="21"/>
    <n v="1"/>
    <n v="1"/>
    <n v="1"/>
    <n v="1"/>
    <n v="1"/>
    <n v="1"/>
    <n v="1"/>
    <n v="1"/>
    <n v="1"/>
    <n v="1"/>
    <n v="1"/>
    <n v="1"/>
    <n v="1"/>
    <n v="2"/>
    <n v="2"/>
    <n v="2"/>
    <n v="2"/>
    <n v="0"/>
    <n v="0"/>
    <n v="0"/>
    <n v="0"/>
    <n v="0"/>
    <n v="0"/>
    <n v="0"/>
    <n v="0"/>
    <n v="0"/>
    <n v="0"/>
    <s v="楚雄西舍路下岔河村委会"/>
    <s v="20160705-0710"/>
    <n v="0"/>
    <n v="0"/>
    <s v="N24°35′73.67″ E101°01′46.06″"/>
    <s v="3"/>
    <n v="0"/>
    <s v="NA"/>
    <s v="532301198702263118"/>
    <s v="15912941971"/>
  </r>
  <r>
    <x v="0"/>
    <s v="CX25"/>
    <x v="7"/>
    <x v="7"/>
    <n v="0"/>
    <n v="7"/>
    <n v="26"/>
    <n v="1"/>
    <n v="2"/>
    <n v="3"/>
    <n v="3"/>
    <n v="3"/>
    <n v="5"/>
    <n v="9"/>
    <n v="0"/>
    <n v="0"/>
    <n v="0"/>
    <n v="0"/>
    <n v="0"/>
    <n v="0"/>
    <n v="0"/>
    <n v="0"/>
    <n v="0"/>
    <n v="0"/>
    <n v="0"/>
    <n v="0"/>
    <n v="0"/>
    <n v="0"/>
    <n v="0"/>
    <n v="0"/>
    <n v="0"/>
    <n v="0"/>
    <n v="0"/>
    <n v="0"/>
    <s v="楚雄西舍路新华村委会"/>
    <s v="20160704-0710"/>
    <n v="0"/>
    <n v="0"/>
    <s v="N24°31′83.68″ E101°03′85.85″"/>
    <s v="10"/>
    <n v="0"/>
    <s v="NA"/>
    <s v="532301198011063133"/>
    <s v="13769279751"/>
  </r>
  <r>
    <x v="0"/>
    <s v="CX26"/>
    <x v="7"/>
    <x v="7"/>
    <n v="4"/>
    <n v="0"/>
    <n v="9"/>
    <n v="1"/>
    <n v="2"/>
    <n v="2"/>
    <n v="4"/>
    <n v="0"/>
    <n v="0"/>
    <n v="0"/>
    <n v="0"/>
    <n v="0"/>
    <n v="0"/>
    <n v="0"/>
    <n v="0"/>
    <n v="0"/>
    <n v="0"/>
    <n v="0"/>
    <n v="0"/>
    <n v="0"/>
    <n v="0"/>
    <n v="0"/>
    <n v="0"/>
    <n v="0"/>
    <n v="0"/>
    <n v="0"/>
    <n v="0"/>
    <n v="0"/>
    <n v="0"/>
    <n v="0"/>
    <s v="楚雄西舍路新华村委会"/>
    <s v="20160711-0713"/>
    <n v="0"/>
    <n v="0"/>
    <s v="N24°30′87.82″ E101°04′01.66″"/>
    <s v="4"/>
    <n v="0"/>
    <s v="NA"/>
    <s v="532301198011063133"/>
    <s v="13769279751"/>
  </r>
  <r>
    <x v="0"/>
    <s v="CX27"/>
    <x v="7"/>
    <x v="7"/>
    <n v="2"/>
    <n v="0"/>
    <n v="2"/>
    <n v="1"/>
    <n v="1"/>
    <n v="0"/>
    <n v="0"/>
    <n v="0"/>
    <n v="0"/>
    <n v="0"/>
    <n v="0"/>
    <n v="0"/>
    <n v="0"/>
    <n v="0"/>
    <n v="0"/>
    <n v="0"/>
    <n v="0"/>
    <n v="0"/>
    <n v="0"/>
    <n v="0"/>
    <n v="0"/>
    <n v="0"/>
    <n v="0"/>
    <n v="0"/>
    <n v="0"/>
    <n v="0"/>
    <n v="0"/>
    <n v="0"/>
    <n v="0"/>
    <n v="0"/>
    <s v="楚雄西舍路新华村委会"/>
    <s v="20160712-0716"/>
    <n v="0"/>
    <n v="0"/>
    <s v="N24°30′87.11″ E101°04′02.01″"/>
    <s v="13"/>
    <n v="0"/>
    <s v="NA"/>
    <s v="532301198011063133"/>
    <s v="13769279751"/>
  </r>
  <r>
    <x v="0"/>
    <s v="CX28"/>
    <x v="7"/>
    <x v="7"/>
    <n v="4"/>
    <n v="0"/>
    <n v="10"/>
    <n v="1"/>
    <n v="2"/>
    <n v="2"/>
    <n v="5"/>
    <n v="0"/>
    <n v="0"/>
    <n v="0"/>
    <n v="0"/>
    <n v="0"/>
    <n v="0"/>
    <n v="0"/>
    <n v="0"/>
    <n v="0"/>
    <n v="0"/>
    <n v="0"/>
    <n v="0"/>
    <n v="0"/>
    <n v="0"/>
    <n v="0"/>
    <n v="0"/>
    <n v="0"/>
    <n v="0"/>
    <n v="0"/>
    <n v="0"/>
    <n v="0"/>
    <n v="0"/>
    <n v="0"/>
    <s v="楚雄西舍路新华村委会"/>
    <s v="20160720-0726"/>
    <n v="0"/>
    <n v="0"/>
    <s v="N24°31′68.69″ E101°03′76.48″"/>
    <s v="3"/>
    <n v="0"/>
    <s v="NA"/>
    <s v="532301198011063133"/>
    <s v="13769279751"/>
  </r>
  <r>
    <x v="0"/>
    <s v="CX29"/>
    <x v="7"/>
    <x v="7"/>
    <n v="3"/>
    <n v="0"/>
    <n v="11"/>
    <n v="2"/>
    <n v="3"/>
    <n v="6"/>
    <n v="0"/>
    <n v="0"/>
    <n v="0"/>
    <n v="0"/>
    <n v="0"/>
    <n v="0"/>
    <n v="0"/>
    <n v="0"/>
    <n v="0"/>
    <n v="0"/>
    <n v="0"/>
    <n v="0"/>
    <n v="0"/>
    <n v="0"/>
    <n v="0"/>
    <n v="0"/>
    <n v="0"/>
    <n v="0"/>
    <n v="0"/>
    <n v="0"/>
    <n v="0"/>
    <n v="0"/>
    <n v="0"/>
    <n v="0"/>
    <s v="楚雄西舍路新华村委会"/>
    <s v="20160713-0717"/>
    <n v="0"/>
    <n v="0"/>
    <s v="N24°31′04.97″ E101°04′17.31″"/>
    <s v="0.5"/>
    <s v="PCR FAILED"/>
    <s v="NA"/>
    <s v="532301198011063133"/>
    <s v="13769279751"/>
  </r>
  <r>
    <x v="1"/>
    <s v="JD85"/>
    <x v="8"/>
    <x v="8"/>
    <n v="0"/>
    <n v="7"/>
    <n v="29"/>
    <n v="6"/>
    <n v="7"/>
    <n v="4"/>
    <n v="4"/>
    <n v="1"/>
    <n v="6"/>
    <n v="1"/>
    <n v="0"/>
    <n v="0"/>
    <n v="0"/>
    <n v="0"/>
    <n v="0"/>
    <n v="0"/>
    <n v="0"/>
    <n v="0"/>
    <n v="0"/>
    <n v="0"/>
    <n v="0"/>
    <n v="0"/>
    <n v="0"/>
    <n v="0"/>
    <n v="0"/>
    <n v="0"/>
    <n v="0"/>
    <n v="0"/>
    <n v="0"/>
    <n v="0"/>
    <s v="景东县花山镇撇罗村民委员会龙树小组"/>
    <s v="20160703-0731"/>
    <n v="0"/>
    <n v="0"/>
    <s v="海拔2047，N24°18′59.29″ E101°12′04.33″"/>
    <n v="7.5"/>
    <n v="0"/>
    <n v="1.5"/>
    <s v="532724196608131212"/>
    <s v="15008735389"/>
  </r>
  <r>
    <x v="1"/>
    <s v="JD86"/>
    <x v="8"/>
    <x v="8"/>
    <n v="10"/>
    <n v="0"/>
    <n v="163"/>
    <n v="23"/>
    <n v="19"/>
    <n v="27"/>
    <n v="18"/>
    <n v="16"/>
    <n v="13"/>
    <n v="13"/>
    <n v="19"/>
    <n v="10"/>
    <n v="5"/>
    <n v="0"/>
    <n v="0"/>
    <n v="0"/>
    <n v="0"/>
    <n v="0"/>
    <n v="0"/>
    <n v="0"/>
    <n v="0"/>
    <n v="0"/>
    <n v="0"/>
    <n v="0"/>
    <n v="0"/>
    <n v="0"/>
    <n v="0"/>
    <n v="0"/>
    <n v="0"/>
    <n v="0"/>
    <s v="景东县花山镇撇罗村民委员会龙树小组"/>
    <s v="20160703-0731"/>
    <n v="0"/>
    <n v="0"/>
    <s v="海拔2406，N24°19′15.35″ E101°12′03.85″"/>
    <n v="50"/>
    <s v="2*5"/>
    <n v="10"/>
    <s v="532724196608131212"/>
    <s v="15008735389"/>
  </r>
  <r>
    <x v="1"/>
    <s v="JD95"/>
    <x v="9"/>
    <x v="9"/>
    <n v="10"/>
    <n v="0"/>
    <n v="92"/>
    <n v="7"/>
    <n v="3"/>
    <n v="6"/>
    <n v="6"/>
    <n v="6"/>
    <n v="8"/>
    <n v="14"/>
    <n v="15"/>
    <n v="10"/>
    <n v="17"/>
    <n v="0"/>
    <n v="0"/>
    <n v="0"/>
    <n v="0"/>
    <n v="0"/>
    <n v="0"/>
    <n v="0"/>
    <n v="0"/>
    <n v="0"/>
    <n v="0"/>
    <n v="0"/>
    <n v="0"/>
    <n v="0"/>
    <n v="0"/>
    <n v="0"/>
    <n v="0"/>
    <n v="0"/>
    <s v="景东县太忠镇麦地村委会大村小组"/>
    <s v="20160708"/>
    <n v="0"/>
    <n v="0"/>
    <n v="0"/>
    <n v="20"/>
    <n v="0"/>
    <n v="4"/>
    <s v="532724197201141835"/>
    <s v="15925267413"/>
  </r>
  <r>
    <x v="1"/>
    <s v="JD96"/>
    <x v="9"/>
    <x v="9"/>
    <n v="10"/>
    <n v="0"/>
    <n v="139"/>
    <n v="25"/>
    <n v="17"/>
    <n v="15"/>
    <n v="21"/>
    <n v="8"/>
    <n v="15"/>
    <n v="15"/>
    <n v="11"/>
    <n v="8"/>
    <n v="4"/>
    <n v="0"/>
    <n v="0"/>
    <n v="0"/>
    <n v="0"/>
    <n v="0"/>
    <n v="0"/>
    <n v="0"/>
    <n v="0"/>
    <n v="0"/>
    <n v="0"/>
    <n v="0"/>
    <n v="0"/>
    <n v="0"/>
    <n v="0"/>
    <n v="0"/>
    <n v="0"/>
    <n v="0"/>
    <s v="景东县太忠镇麦地村委会大村小组"/>
    <s v="201607"/>
    <n v="0"/>
    <n v="0"/>
    <n v="0"/>
    <n v="48"/>
    <s v="2+2.5+2+2+1.1"/>
    <n v="9.6"/>
    <s v="532724197201141835"/>
    <s v="15925267413"/>
  </r>
  <r>
    <x v="1"/>
    <s v="JD97"/>
    <x v="9"/>
    <x v="9"/>
    <n v="10"/>
    <n v="0"/>
    <n v="63"/>
    <n v="6"/>
    <n v="4"/>
    <n v="4"/>
    <n v="6"/>
    <n v="5"/>
    <n v="4"/>
    <n v="10"/>
    <n v="12"/>
    <n v="3"/>
    <n v="9"/>
    <n v="0"/>
    <n v="0"/>
    <n v="0"/>
    <n v="0"/>
    <n v="0"/>
    <n v="0"/>
    <n v="0"/>
    <n v="0"/>
    <n v="0"/>
    <n v="0"/>
    <n v="0"/>
    <n v="0"/>
    <n v="0"/>
    <n v="0"/>
    <n v="0"/>
    <n v="0"/>
    <n v="0"/>
    <s v="景东县太忠镇麦地村委会大村小组"/>
    <s v="201607"/>
    <n v="0"/>
    <n v="0"/>
    <n v="0"/>
    <n v="17.5"/>
    <n v="0"/>
    <n v="3.5"/>
    <s v="532724197201141835"/>
    <s v="15925267413"/>
  </r>
  <r>
    <x v="1"/>
    <s v="JD98"/>
    <x v="9"/>
    <x v="9"/>
    <n v="7"/>
    <n v="0"/>
    <n v="105"/>
    <n v="18"/>
    <n v="18"/>
    <n v="16"/>
    <n v="8"/>
    <n v="23"/>
    <n v="12"/>
    <n v="10"/>
    <n v="0"/>
    <n v="0"/>
    <n v="0"/>
    <n v="0"/>
    <n v="0"/>
    <n v="0"/>
    <n v="0"/>
    <n v="0"/>
    <n v="0"/>
    <n v="0"/>
    <n v="0"/>
    <n v="0"/>
    <n v="0"/>
    <n v="0"/>
    <n v="0"/>
    <n v="0"/>
    <n v="0"/>
    <n v="0"/>
    <n v="0"/>
    <n v="0"/>
    <s v="景东县太忠镇麦地村委会大村小组"/>
    <s v="201608"/>
    <n v="0"/>
    <n v="0"/>
    <n v="0"/>
    <n v="24.5"/>
    <s v="1.1+0.7+1.1+1.1+0.9"/>
    <n v="4.9000000000000004"/>
    <s v="532724197201141835"/>
    <s v="15925267413"/>
  </r>
  <r>
    <x v="1"/>
    <s v="JD09"/>
    <x v="10"/>
    <x v="10"/>
    <n v="10"/>
    <n v="0"/>
    <n v="111"/>
    <n v="11"/>
    <n v="8"/>
    <n v="8"/>
    <n v="8"/>
    <n v="8"/>
    <n v="13"/>
    <n v="10"/>
    <n v="12"/>
    <n v="18"/>
    <n v="15"/>
    <n v="0"/>
    <n v="0"/>
    <n v="0"/>
    <n v="0"/>
    <n v="0"/>
    <n v="0"/>
    <n v="0"/>
    <n v="0"/>
    <n v="0"/>
    <n v="0"/>
    <n v="0"/>
    <n v="0"/>
    <n v="0"/>
    <n v="0"/>
    <n v="0"/>
    <n v="0"/>
    <n v="0"/>
    <s v="景东县太忠镇嘎仰村民委员会明子山村民小组"/>
    <s v="20160909"/>
    <n v="0"/>
    <n v="0"/>
    <s v="海拔2381，N24°33′20.37″ E101°0′21.01″"/>
    <n v="21.5"/>
    <s v="0.9+0.9+0.7+0.9+0.9"/>
    <n v="4.3"/>
    <s v="532724197001221830"/>
    <s v="13577946258"/>
  </r>
  <r>
    <x v="1"/>
    <s v="JD10"/>
    <x v="10"/>
    <x v="10"/>
    <n v="10"/>
    <n v="0"/>
    <n v="90"/>
    <n v="7"/>
    <n v="5"/>
    <n v="3"/>
    <n v="11"/>
    <n v="9"/>
    <n v="9"/>
    <n v="9"/>
    <n v="8"/>
    <n v="18"/>
    <n v="11"/>
    <n v="0"/>
    <n v="0"/>
    <n v="0"/>
    <n v="0"/>
    <n v="0"/>
    <n v="0"/>
    <n v="0"/>
    <n v="0"/>
    <n v="0"/>
    <n v="0"/>
    <n v="0"/>
    <n v="0"/>
    <n v="0"/>
    <n v="0"/>
    <n v="0"/>
    <n v="0"/>
    <n v="0"/>
    <s v="景东县太忠镇嘎仰村民委员会明子山村民小组"/>
    <s v="20160913"/>
    <n v="0"/>
    <n v="0"/>
    <s v="海拔2366，N24°33′15.91″ E101°0′22.02″"/>
    <n v="17.5"/>
    <n v="0"/>
    <n v="3.5"/>
    <s v="532724197001221830"/>
    <s v="13577946258"/>
  </r>
  <r>
    <x v="1"/>
    <s v="JD11"/>
    <x v="10"/>
    <x v="10"/>
    <n v="5"/>
    <n v="0"/>
    <n v="66"/>
    <n v="15"/>
    <n v="13"/>
    <n v="17"/>
    <n v="12"/>
    <n v="9"/>
    <n v="0"/>
    <n v="0"/>
    <n v="0"/>
    <n v="0"/>
    <n v="0"/>
    <n v="0"/>
    <n v="0"/>
    <n v="0"/>
    <n v="0"/>
    <n v="0"/>
    <n v="0"/>
    <n v="0"/>
    <n v="0"/>
    <n v="0"/>
    <n v="0"/>
    <n v="0"/>
    <n v="0"/>
    <n v="0"/>
    <n v="0"/>
    <n v="0"/>
    <n v="0"/>
    <n v="0"/>
    <s v="景东县太忠镇嘎仰村民委员会明子山村民小组"/>
    <s v="20160923"/>
    <n v="0"/>
    <n v="0"/>
    <s v="N24°33′23.75″ E101°59′13.35″"/>
    <n v="10"/>
    <n v="0"/>
    <n v="2"/>
    <s v="532724197001221830"/>
    <s v="13577946258"/>
  </r>
  <r>
    <x v="1"/>
    <s v="JD12"/>
    <x v="10"/>
    <x v="10"/>
    <n v="10"/>
    <n v="0"/>
    <n v="122"/>
    <n v="12"/>
    <n v="22"/>
    <n v="15"/>
    <n v="17"/>
    <n v="9"/>
    <n v="10"/>
    <n v="16"/>
    <n v="7"/>
    <n v="7"/>
    <n v="7"/>
    <n v="0"/>
    <n v="0"/>
    <n v="0"/>
    <n v="0"/>
    <n v="0"/>
    <n v="0"/>
    <n v="0"/>
    <n v="0"/>
    <n v="0"/>
    <n v="0"/>
    <n v="0"/>
    <n v="0"/>
    <n v="0"/>
    <n v="0"/>
    <n v="0"/>
    <n v="0"/>
    <n v="0"/>
    <s v="景东县太忠镇嘎仰村民委员会明子山村民小组"/>
    <s v="20161013"/>
    <n v="0"/>
    <n v="0"/>
    <s v="N24°33′25.82″ E101°59′14.34″"/>
    <n v="23.5"/>
    <s v="1.1+0.7+0.7+1.1+1.1"/>
    <n v="4.7"/>
    <s v="532724197001221830"/>
    <s v="13577946258"/>
  </r>
  <r>
    <x v="1"/>
    <s v="JD13"/>
    <x v="10"/>
    <x v="10"/>
    <n v="5"/>
    <n v="0"/>
    <n v="20"/>
    <n v="5"/>
    <n v="8"/>
    <n v="2"/>
    <n v="5"/>
    <n v="0"/>
    <n v="0"/>
    <n v="0"/>
    <n v="0"/>
    <n v="0"/>
    <n v="0"/>
    <n v="0"/>
    <n v="0"/>
    <n v="0"/>
    <n v="0"/>
    <n v="0"/>
    <n v="0"/>
    <n v="0"/>
    <n v="0"/>
    <n v="0"/>
    <n v="0"/>
    <n v="0"/>
    <n v="0"/>
    <n v="0"/>
    <n v="0"/>
    <n v="0"/>
    <n v="0"/>
    <n v="0"/>
    <s v="景东县太忠镇嘎仰村民委员会明子山村民小组"/>
    <s v="20161013"/>
    <n v="0"/>
    <n v="0"/>
    <s v="海拔2423，N24°32′51.66″ E100°59′46.58″"/>
    <n v="5"/>
    <n v="0"/>
    <n v="1"/>
    <s v="532724197001221830"/>
    <s v="13577946258"/>
  </r>
  <r>
    <x v="1"/>
    <s v="JD14"/>
    <x v="10"/>
    <x v="10"/>
    <n v="0"/>
    <n v="8"/>
    <n v="50"/>
    <n v="6"/>
    <n v="2"/>
    <n v="5"/>
    <n v="7"/>
    <n v="7"/>
    <n v="7"/>
    <n v="7"/>
    <n v="9"/>
    <n v="0"/>
    <n v="0"/>
    <n v="0"/>
    <n v="0"/>
    <n v="0"/>
    <n v="0"/>
    <n v="0"/>
    <n v="0"/>
    <n v="0"/>
    <n v="0"/>
    <n v="0"/>
    <n v="0"/>
    <n v="0"/>
    <n v="0"/>
    <n v="0"/>
    <n v="0"/>
    <n v="0"/>
    <n v="0"/>
    <n v="0"/>
    <s v="景东县太忠镇嘎仰村民委员会明子山村民小组"/>
    <s v="20160908"/>
    <n v="0"/>
    <n v="0"/>
    <s v="海拔2362，06:38:00,91.56km"/>
    <n v="12.5"/>
    <n v="0"/>
    <n v="2.5"/>
    <s v="532724197001221830"/>
    <s v="13577946258"/>
  </r>
  <r>
    <x v="1"/>
    <s v="JD15"/>
    <x v="10"/>
    <x v="10"/>
    <n v="0"/>
    <n v="4"/>
    <n v="14"/>
    <n v="2"/>
    <n v="4"/>
    <n v="4"/>
    <n v="4"/>
    <n v="0"/>
    <n v="0"/>
    <n v="0"/>
    <n v="0"/>
    <n v="0"/>
    <n v="0"/>
    <n v="0"/>
    <n v="0"/>
    <n v="0"/>
    <n v="0"/>
    <n v="0"/>
    <n v="0"/>
    <n v="0"/>
    <n v="0"/>
    <n v="0"/>
    <n v="0"/>
    <n v="0"/>
    <n v="0"/>
    <n v="0"/>
    <n v="0"/>
    <n v="0"/>
    <n v="0"/>
    <n v="0"/>
    <s v="景东县太忠镇嘎仰村民委员会明子山村民小组"/>
    <s v="20160919"/>
    <n v="0"/>
    <n v="0"/>
    <s v="N24°33′11.81″ E101°59′30.02″"/>
    <n v="5"/>
    <n v="0"/>
    <n v="1"/>
    <s v="532724197001221830"/>
    <s v="13577946258"/>
  </r>
  <r>
    <x v="1"/>
    <s v="JD16"/>
    <x v="10"/>
    <x v="10"/>
    <n v="0"/>
    <n v="6"/>
    <n v="32"/>
    <n v="2"/>
    <n v="6"/>
    <n v="4"/>
    <n v="5"/>
    <n v="6"/>
    <n v="9"/>
    <n v="0"/>
    <n v="0"/>
    <n v="0"/>
    <n v="0"/>
    <n v="0"/>
    <n v="0"/>
    <n v="0"/>
    <n v="0"/>
    <n v="0"/>
    <n v="0"/>
    <n v="0"/>
    <n v="0"/>
    <n v="0"/>
    <n v="0"/>
    <n v="0"/>
    <n v="0"/>
    <n v="0"/>
    <n v="0"/>
    <n v="0"/>
    <n v="0"/>
    <n v="0"/>
    <s v="景东县太忠镇嘎仰村民委员会明子山村民小组"/>
    <s v="？"/>
    <n v="0"/>
    <n v="0"/>
    <s v="海拔2316，N24°33′23.34″ E101°59′59.82″"/>
    <n v="7.5"/>
    <n v="0"/>
    <n v="1.5"/>
    <s v="532724197001221830"/>
    <s v="13577946258"/>
  </r>
  <r>
    <x v="1"/>
    <s v="JD89"/>
    <x v="11"/>
    <x v="11"/>
    <n v="8"/>
    <n v="0"/>
    <n v="134"/>
    <n v="22"/>
    <n v="14"/>
    <n v="20"/>
    <n v="15"/>
    <n v="10"/>
    <n v="25"/>
    <n v="17"/>
    <n v="11"/>
    <n v="0"/>
    <n v="0"/>
    <n v="0"/>
    <n v="0"/>
    <n v="0"/>
    <n v="0"/>
    <n v="0"/>
    <n v="0"/>
    <n v="0"/>
    <n v="0"/>
    <n v="0"/>
    <n v="0"/>
    <n v="0"/>
    <n v="0"/>
    <n v="0"/>
    <n v="0"/>
    <n v="0"/>
    <n v="0"/>
    <n v="0"/>
    <s v="景东县花山镇文岗村箐边组"/>
    <s v="？"/>
    <n v="0"/>
    <n v="0"/>
    <n v="0"/>
    <n v="32"/>
    <s v="0.9+2+1.1+0.9+1.5"/>
    <n v="6.4"/>
    <s v="532427195609021213"/>
    <s v="15912997087"/>
  </r>
  <r>
    <x v="1"/>
    <s v="JD90"/>
    <x v="11"/>
    <x v="11"/>
    <n v="0"/>
    <n v="2"/>
    <n v="7"/>
    <n v="3"/>
    <n v="4"/>
    <n v="0"/>
    <n v="0"/>
    <n v="0"/>
    <n v="0"/>
    <n v="0"/>
    <n v="0"/>
    <n v="0"/>
    <n v="0"/>
    <n v="0"/>
    <n v="0"/>
    <n v="0"/>
    <n v="0"/>
    <n v="0"/>
    <n v="0"/>
    <n v="0"/>
    <n v="0"/>
    <n v="0"/>
    <n v="0"/>
    <n v="0"/>
    <n v="0"/>
    <n v="0"/>
    <n v="0"/>
    <n v="0"/>
    <n v="0"/>
    <n v="0"/>
    <s v="景东县花山镇文岗村箐边组"/>
    <s v="2016"/>
    <n v="0"/>
    <n v="0"/>
    <n v="0"/>
    <n v="3"/>
    <n v="0"/>
    <n v="0.6"/>
    <s v="532427195609021213"/>
    <s v="15912997087"/>
  </r>
  <r>
    <x v="1"/>
    <s v="JD05"/>
    <x v="12"/>
    <x v="12"/>
    <n v="6"/>
    <n v="0"/>
    <n v="14"/>
    <n v="1"/>
    <n v="1"/>
    <n v="2"/>
    <n v="3"/>
    <n v="3"/>
    <n v="4"/>
    <n v="0"/>
    <n v="0"/>
    <n v="0"/>
    <n v="0"/>
    <n v="0"/>
    <n v="0"/>
    <n v="0"/>
    <n v="0"/>
    <n v="0"/>
    <n v="0"/>
    <n v="0"/>
    <n v="0"/>
    <n v="0"/>
    <n v="0"/>
    <n v="0"/>
    <n v="0"/>
    <n v="0"/>
    <n v="0"/>
    <n v="0"/>
    <n v="0"/>
    <n v="0"/>
    <s v="景东县太忠镇平掌村柏树组"/>
    <s v="20160716"/>
    <n v="0"/>
    <n v="0"/>
    <n v="0"/>
    <n v="7.5"/>
    <n v="0"/>
    <n v="1.5"/>
    <s v="53272419660720183X"/>
    <s v="13769992749"/>
  </r>
  <r>
    <x v="1"/>
    <s v="JD06"/>
    <x v="12"/>
    <x v="12"/>
    <n v="6"/>
    <n v="0"/>
    <n v="7"/>
    <n v="1"/>
    <n v="1"/>
    <n v="1"/>
    <n v="1"/>
    <n v="1"/>
    <n v="2"/>
    <n v="0"/>
    <n v="0"/>
    <n v="0"/>
    <n v="0"/>
    <n v="0"/>
    <n v="0"/>
    <n v="0"/>
    <n v="0"/>
    <n v="0"/>
    <n v="0"/>
    <n v="0"/>
    <n v="0"/>
    <n v="0"/>
    <n v="0"/>
    <n v="0"/>
    <n v="0"/>
    <n v="0"/>
    <n v="0"/>
    <n v="0"/>
    <n v="0"/>
    <n v="0"/>
    <s v="景东县太忠镇平掌村"/>
    <s v="20160809"/>
    <n v="0"/>
    <n v="0"/>
    <s v="海拔2331，N24°31′4.49″ E101°127.58？"/>
    <n v="7.5"/>
    <n v="0"/>
    <n v="1.5"/>
    <s v="53272419660720183X"/>
    <s v="13769992749"/>
  </r>
  <r>
    <x v="1"/>
    <s v="JD07"/>
    <x v="12"/>
    <x v="12"/>
    <n v="7"/>
    <n v="0"/>
    <n v="8"/>
    <n v="1"/>
    <n v="1"/>
    <n v="1"/>
    <n v="1"/>
    <n v="1"/>
    <n v="1"/>
    <n v="2"/>
    <n v="0"/>
    <n v="0"/>
    <n v="0"/>
    <n v="0"/>
    <n v="0"/>
    <n v="0"/>
    <n v="0"/>
    <n v="0"/>
    <n v="0"/>
    <n v="0"/>
    <n v="0"/>
    <n v="0"/>
    <n v="0"/>
    <n v="0"/>
    <n v="0"/>
    <n v="0"/>
    <n v="0"/>
    <n v="0"/>
    <n v="0"/>
    <n v="0"/>
    <s v="景东县太忠镇平掌村柏树组"/>
    <s v="20160821"/>
    <n v="0"/>
    <n v="0"/>
    <s v="海拔2345，N24°31′4″ E101°127.42？"/>
    <n v="5"/>
    <n v="0"/>
    <n v="1"/>
    <s v="53272419660720183X"/>
    <s v="13769992749"/>
  </r>
  <r>
    <x v="1"/>
    <s v="JD08"/>
    <x v="12"/>
    <x v="12"/>
    <n v="5"/>
    <n v="0"/>
    <n v="6"/>
    <n v="1"/>
    <n v="1"/>
    <n v="1"/>
    <n v="1"/>
    <n v="2"/>
    <n v="0"/>
    <n v="0"/>
    <n v="0"/>
    <n v="0"/>
    <n v="0"/>
    <n v="0"/>
    <n v="0"/>
    <n v="0"/>
    <n v="0"/>
    <n v="0"/>
    <n v="0"/>
    <n v="0"/>
    <n v="0"/>
    <n v="0"/>
    <n v="0"/>
    <n v="0"/>
    <n v="0"/>
    <n v="0"/>
    <n v="0"/>
    <n v="0"/>
    <n v="0"/>
    <n v="0"/>
    <s v="景东县太忠镇平掌村柏树组"/>
    <s v="20160831"/>
    <n v="0"/>
    <n v="0"/>
    <s v="海拔2331，N24°31′4.49″ E101°127.58？"/>
    <n v="7.5"/>
    <n v="0"/>
    <n v="1.5"/>
    <s v="53272419660720183X"/>
    <s v="13769992749"/>
  </r>
  <r>
    <x v="1"/>
    <s v="JD26"/>
    <x v="13"/>
    <x v="13"/>
    <n v="10"/>
    <n v="0"/>
    <n v="130"/>
    <n v="8"/>
    <n v="12"/>
    <n v="19"/>
    <n v="16"/>
    <n v="21"/>
    <n v="9"/>
    <n v="8"/>
    <n v="10"/>
    <n v="16"/>
    <n v="11"/>
    <n v="0"/>
    <n v="0"/>
    <n v="0"/>
    <n v="0"/>
    <n v="0"/>
    <n v="0"/>
    <n v="0"/>
    <n v="0"/>
    <n v="0"/>
    <n v="0"/>
    <n v="0"/>
    <n v="0"/>
    <n v="0"/>
    <n v="0"/>
    <n v="0"/>
    <n v="0"/>
    <n v="0"/>
    <s v="景东县花山镇苫山村大楚雄村民小组"/>
    <s v="20160708-0717"/>
    <n v="0"/>
    <n v="0"/>
    <s v="海拔2264，N24°18′13.42″ E101°14′00.66″"/>
    <n v="40"/>
    <s v="1.5+1.5+2+1.5+1.5"/>
    <n v="8"/>
    <s v="532724196410061212"/>
    <s v="15912973126"/>
  </r>
  <r>
    <x v="1"/>
    <s v="JD27"/>
    <x v="13"/>
    <x v="13"/>
    <n v="0"/>
    <n v="5"/>
    <n v="81"/>
    <n v="19"/>
    <n v="10"/>
    <n v="16"/>
    <n v="17"/>
    <n v="19"/>
    <n v="0"/>
    <n v="0"/>
    <n v="0"/>
    <n v="0"/>
    <n v="0"/>
    <n v="0"/>
    <n v="0"/>
    <n v="0"/>
    <n v="0"/>
    <n v="0"/>
    <n v="0"/>
    <n v="0"/>
    <n v="0"/>
    <n v="0"/>
    <n v="0"/>
    <n v="0"/>
    <n v="0"/>
    <n v="0"/>
    <n v="0"/>
    <n v="0"/>
    <n v="0"/>
    <n v="0"/>
    <s v="景东县花山镇苫山村大楚雄村民小组"/>
    <s v="20160714-0812"/>
    <n v="0"/>
    <n v="0"/>
    <s v="海拔2452，N24°18′27.39″ E101°13′03.09″"/>
    <n v="12.5"/>
    <n v="0"/>
    <n v="2.5"/>
    <s v="532724196410061212"/>
    <s v="15912973126"/>
  </r>
  <r>
    <x v="1"/>
    <s v="JD28"/>
    <x v="13"/>
    <x v="13"/>
    <n v="10"/>
    <n v="0"/>
    <n v="203"/>
    <n v="18"/>
    <n v="24"/>
    <n v="15"/>
    <n v="16"/>
    <n v="13"/>
    <n v="28"/>
    <n v="21"/>
    <n v="21"/>
    <n v="17"/>
    <n v="30"/>
    <n v="0"/>
    <n v="0"/>
    <n v="0"/>
    <n v="0"/>
    <n v="0"/>
    <n v="0"/>
    <n v="0"/>
    <n v="0"/>
    <n v="0"/>
    <n v="0"/>
    <n v="0"/>
    <n v="0"/>
    <n v="0"/>
    <n v="0"/>
    <n v="0"/>
    <n v="0"/>
    <n v="0"/>
    <s v="景东县花山镇苫山村大楚雄村民小组"/>
    <s v="20160718-0727"/>
    <n v="0"/>
    <n v="0"/>
    <s v="海拔2452，N24°18′27.39″ E101°13′03.09″"/>
    <n v="62.5"/>
    <s v="2.5*5"/>
    <n v="12.5"/>
    <s v="532724196410061212"/>
    <s v="15912973126"/>
  </r>
  <r>
    <x v="1"/>
    <s v="JD29"/>
    <x v="13"/>
    <x v="13"/>
    <n v="10"/>
    <n v="0"/>
    <n v="181"/>
    <n v="23"/>
    <n v="16"/>
    <n v="16"/>
    <n v="11"/>
    <n v="41"/>
    <n v="10"/>
    <n v="16"/>
    <n v="8"/>
    <n v="26"/>
    <n v="14"/>
    <n v="0"/>
    <n v="0"/>
    <n v="0"/>
    <n v="0"/>
    <n v="0"/>
    <n v="0"/>
    <n v="0"/>
    <n v="0"/>
    <n v="0"/>
    <n v="0"/>
    <n v="0"/>
    <n v="0"/>
    <n v="0"/>
    <n v="0"/>
    <n v="0"/>
    <n v="0"/>
    <n v="0"/>
    <s v="景东县花山镇苫山村大楚雄村民小组"/>
    <s v="20160809-0817"/>
    <n v="0"/>
    <n v="0"/>
    <s v="海拔2123，N24°18′33.12″ E101°13′52.47″"/>
    <n v="50.5"/>
    <s v="2+2.5+1.1+2+2.5"/>
    <n v="10.1"/>
    <s v="532724196410061212"/>
    <s v="15912973126"/>
  </r>
  <r>
    <x v="1"/>
    <s v="JD41"/>
    <x v="14"/>
    <x v="14"/>
    <n v="6"/>
    <n v="0"/>
    <n v="21"/>
    <n v="1"/>
    <n v="13"/>
    <n v="3"/>
    <n v="2"/>
    <n v="2"/>
    <n v="0"/>
    <n v="0"/>
    <n v="0"/>
    <n v="0"/>
    <n v="0"/>
    <n v="0"/>
    <n v="0"/>
    <n v="0"/>
    <n v="0"/>
    <n v="0"/>
    <n v="0"/>
    <n v="0"/>
    <n v="0"/>
    <n v="0"/>
    <n v="0"/>
    <n v="0"/>
    <n v="0"/>
    <n v="0"/>
    <n v="0"/>
    <n v="0"/>
    <n v="0"/>
    <n v="0"/>
    <s v="龙街垭口"/>
    <s v="20160618-0720"/>
    <n v="0"/>
    <n v="0"/>
    <n v="0"/>
    <n v="4"/>
    <n v="0"/>
    <n v="0.8"/>
    <s v="53272419640814211X"/>
    <s v="13759007385"/>
  </r>
  <r>
    <x v="1"/>
    <s v="JD42"/>
    <x v="14"/>
    <x v="14"/>
    <n v="0"/>
    <n v="3"/>
    <n v="21"/>
    <n v="2"/>
    <n v="8"/>
    <n v="11"/>
    <n v="0"/>
    <n v="0"/>
    <n v="0"/>
    <n v="0"/>
    <n v="0"/>
    <n v="0"/>
    <n v="0"/>
    <n v="0"/>
    <n v="0"/>
    <n v="0"/>
    <n v="0"/>
    <n v="0"/>
    <n v="0"/>
    <n v="0"/>
    <n v="0"/>
    <n v="0"/>
    <n v="0"/>
    <n v="0"/>
    <n v="0"/>
    <n v="0"/>
    <n v="0"/>
    <n v="0"/>
    <n v="0"/>
    <n v="0"/>
    <s v="龙街垭口"/>
    <s v="20160702-0709"/>
    <n v="0"/>
    <n v="0"/>
    <n v="0"/>
    <n v="0.5"/>
    <n v="0"/>
    <n v="0.1"/>
    <s v="53272419640814211X"/>
    <s v="13759007385"/>
  </r>
  <r>
    <x v="1"/>
    <s v="JD47"/>
    <x v="15"/>
    <x v="15"/>
    <n v="0"/>
    <n v="3"/>
    <n v="6"/>
    <n v="2"/>
    <n v="2"/>
    <n v="2"/>
    <n v="0"/>
    <n v="0"/>
    <n v="0"/>
    <n v="0"/>
    <n v="0"/>
    <n v="0"/>
    <n v="0"/>
    <n v="0"/>
    <n v="0"/>
    <n v="0"/>
    <n v="0"/>
    <n v="0"/>
    <n v="0"/>
    <n v="0"/>
    <n v="0"/>
    <n v="0"/>
    <n v="0"/>
    <n v="0"/>
    <n v="0"/>
    <n v="0"/>
    <n v="0"/>
    <n v="0"/>
    <n v="0"/>
    <n v="0"/>
    <s v="景东县龙街乡东山村民委员会"/>
    <s v="20160803"/>
    <n v="0"/>
    <n v="0"/>
    <n v="0"/>
    <n v="1"/>
    <n v="0"/>
    <n v="0.2"/>
    <s v="532724197806192117"/>
    <s v="13608799334"/>
  </r>
  <r>
    <x v="1"/>
    <s v="JD48"/>
    <x v="15"/>
    <x v="15"/>
    <n v="4"/>
    <n v="0"/>
    <n v="9"/>
    <n v="2"/>
    <n v="2"/>
    <n v="2"/>
    <n v="3"/>
    <n v="0"/>
    <n v="0"/>
    <n v="0"/>
    <n v="0"/>
    <n v="0"/>
    <n v="0"/>
    <n v="0"/>
    <n v="0"/>
    <n v="0"/>
    <n v="0"/>
    <n v="0"/>
    <n v="0"/>
    <n v="0"/>
    <n v="0"/>
    <n v="0"/>
    <n v="0"/>
    <n v="0"/>
    <n v="0"/>
    <n v="0"/>
    <n v="0"/>
    <n v="0"/>
    <n v="0"/>
    <n v="0"/>
    <s v="景东县龙街乡东山村民委员会"/>
    <s v="20160806"/>
    <n v="0"/>
    <n v="0"/>
    <n v="0"/>
    <n v="1.5"/>
    <n v="0"/>
    <n v="0.3"/>
    <s v="532724197806192117"/>
    <s v="13608799334"/>
  </r>
  <r>
    <x v="1"/>
    <s v="JD49"/>
    <x v="15"/>
    <x v="15"/>
    <n v="4"/>
    <n v="0"/>
    <n v="8"/>
    <n v="2"/>
    <n v="2"/>
    <n v="2"/>
    <n v="2"/>
    <n v="0"/>
    <n v="0"/>
    <n v="0"/>
    <n v="0"/>
    <n v="0"/>
    <n v="0"/>
    <n v="0"/>
    <n v="0"/>
    <n v="0"/>
    <n v="0"/>
    <n v="0"/>
    <n v="0"/>
    <n v="0"/>
    <n v="0"/>
    <n v="0"/>
    <n v="0"/>
    <n v="0"/>
    <n v="0"/>
    <n v="0"/>
    <n v="0"/>
    <n v="0"/>
    <n v="0"/>
    <n v="0"/>
    <s v="景东县龙街乡东山村民委员会"/>
    <s v="20160811"/>
    <n v="0"/>
    <n v="0"/>
    <n v="0"/>
    <n v="1.5"/>
    <n v="0"/>
    <n v="0.3"/>
    <s v="532724197806192117"/>
    <s v="13608799334"/>
  </r>
  <r>
    <x v="1"/>
    <s v="JD50"/>
    <x v="15"/>
    <x v="15"/>
    <n v="3"/>
    <n v="0"/>
    <n v="13"/>
    <n v="3"/>
    <n v="5"/>
    <n v="5"/>
    <n v="0"/>
    <n v="0"/>
    <n v="0"/>
    <n v="0"/>
    <n v="0"/>
    <n v="0"/>
    <n v="0"/>
    <n v="0"/>
    <n v="0"/>
    <n v="0"/>
    <n v="0"/>
    <n v="0"/>
    <n v="0"/>
    <n v="0"/>
    <n v="0"/>
    <n v="0"/>
    <n v="0"/>
    <n v="0"/>
    <n v="0"/>
    <n v="0"/>
    <n v="0"/>
    <n v="0"/>
    <n v="0"/>
    <n v="0"/>
    <s v="景东县龙街乡东山村民委员会"/>
    <s v="20160821"/>
    <n v="0"/>
    <n v="0"/>
    <n v="0"/>
    <n v="2"/>
    <n v="0"/>
    <n v="0.4"/>
    <s v="532724197806192117"/>
    <s v="13608799334"/>
  </r>
  <r>
    <x v="1"/>
    <s v="JD51"/>
    <x v="15"/>
    <x v="15"/>
    <n v="5"/>
    <n v="0"/>
    <n v="17"/>
    <n v="1"/>
    <n v="3"/>
    <n v="4"/>
    <n v="4"/>
    <n v="5"/>
    <n v="0"/>
    <n v="0"/>
    <n v="0"/>
    <n v="0"/>
    <n v="0"/>
    <n v="0"/>
    <n v="0"/>
    <n v="0"/>
    <n v="0"/>
    <n v="0"/>
    <n v="0"/>
    <n v="0"/>
    <n v="0"/>
    <n v="0"/>
    <n v="0"/>
    <n v="0"/>
    <n v="0"/>
    <n v="0"/>
    <n v="0"/>
    <n v="0"/>
    <n v="0"/>
    <n v="0"/>
    <s v="景东县龙街乡东山村民委员会"/>
    <s v="20160827"/>
    <n v="0"/>
    <n v="0"/>
    <n v="0"/>
    <n v="4"/>
    <n v="0"/>
    <n v="0.8"/>
    <s v="532724197806192117"/>
    <s v="13608799334"/>
  </r>
  <r>
    <x v="1"/>
    <s v="JD87"/>
    <x v="16"/>
    <x v="16"/>
    <n v="0"/>
    <n v="10"/>
    <n v="36"/>
    <n v="6"/>
    <n v="4"/>
    <n v="4"/>
    <n v="4"/>
    <n v="5"/>
    <n v="4"/>
    <n v="1"/>
    <n v="2"/>
    <n v="4"/>
    <n v="2"/>
    <n v="0"/>
    <n v="0"/>
    <n v="0"/>
    <n v="0"/>
    <n v="0"/>
    <n v="0"/>
    <n v="0"/>
    <n v="0"/>
    <n v="0"/>
    <n v="0"/>
    <n v="0"/>
    <n v="0"/>
    <n v="0"/>
    <n v="0"/>
    <n v="0"/>
    <n v="0"/>
    <n v="0"/>
    <s v="景东县花山乡芦山村碱水组"/>
    <s v="20160725-0825"/>
    <n v="0"/>
    <n v="0"/>
    <s v="N24°17′31.01″ E101°13′40.67″"/>
    <n v="12.5"/>
    <n v="0"/>
    <n v="2.5"/>
    <s v="532724196401021219"/>
    <s v="15287665605"/>
  </r>
  <r>
    <x v="1"/>
    <s v="JD88"/>
    <x v="16"/>
    <x v="16"/>
    <n v="9"/>
    <n v="0"/>
    <n v="68"/>
    <n v="9"/>
    <n v="10"/>
    <n v="9"/>
    <n v="9"/>
    <n v="7"/>
    <n v="8"/>
    <n v="7"/>
    <n v="4"/>
    <n v="5"/>
    <n v="0"/>
    <n v="0"/>
    <n v="0"/>
    <n v="0"/>
    <n v="0"/>
    <n v="0"/>
    <n v="0"/>
    <n v="0"/>
    <n v="0"/>
    <n v="0"/>
    <n v="0"/>
    <n v="0"/>
    <n v="0"/>
    <n v="0"/>
    <n v="0"/>
    <n v="0"/>
    <n v="0"/>
    <n v="0"/>
    <s v="景东县花山乡芦山村碱水组"/>
    <s v="201607-08"/>
    <n v="0"/>
    <n v="0"/>
    <s v="N24°17′306144″？ E101°13′39.63″"/>
    <n v="25"/>
    <n v="0"/>
    <n v="5"/>
    <s v="532724196401021219"/>
    <s v="15287665605"/>
  </r>
  <r>
    <x v="1"/>
    <s v="JD30"/>
    <x v="17"/>
    <x v="17"/>
    <n v="3"/>
    <n v="0"/>
    <n v="30"/>
    <n v="17"/>
    <n v="5"/>
    <n v="8"/>
    <n v="0"/>
    <n v="0"/>
    <n v="0"/>
    <n v="0"/>
    <n v="0"/>
    <n v="0"/>
    <n v="0"/>
    <n v="0"/>
    <n v="0"/>
    <n v="0"/>
    <n v="0"/>
    <n v="0"/>
    <n v="0"/>
    <n v="0"/>
    <n v="0"/>
    <n v="0"/>
    <n v="0"/>
    <n v="0"/>
    <n v="0"/>
    <n v="0"/>
    <n v="0"/>
    <n v="0"/>
    <n v="0"/>
    <n v="0"/>
    <s v="景东太忠镇嘎仰村委会二道河小组"/>
    <s v="20160708"/>
    <n v="0"/>
    <n v="0"/>
    <s v="N24°34′21.43″ E101°02′？.39″"/>
    <n v="7.5"/>
    <n v="0"/>
    <n v="1.5"/>
    <s v="532724198411121810"/>
    <s v="15125673626"/>
  </r>
  <r>
    <x v="1"/>
    <s v="JD31"/>
    <x v="17"/>
    <x v="17"/>
    <n v="4"/>
    <n v="0"/>
    <n v="26"/>
    <n v="11"/>
    <n v="7"/>
    <n v="4"/>
    <n v="4"/>
    <n v="0"/>
    <n v="0"/>
    <n v="0"/>
    <n v="0"/>
    <n v="0"/>
    <n v="0"/>
    <n v="0"/>
    <n v="0"/>
    <n v="0"/>
    <n v="0"/>
    <n v="0"/>
    <n v="0"/>
    <n v="0"/>
    <n v="0"/>
    <n v="0"/>
    <n v="0"/>
    <n v="0"/>
    <n v="0"/>
    <n v="0"/>
    <n v="0"/>
    <n v="0"/>
    <n v="0"/>
    <n v="0"/>
    <s v="景东太忠镇嘎仰村委会二道河小组"/>
    <s v="20160710"/>
    <n v="0"/>
    <n v="0"/>
    <n v="0"/>
    <n v="7.5"/>
    <n v="0"/>
    <n v="1.5"/>
    <s v="532724198411121810"/>
    <s v="15125673626"/>
  </r>
  <r>
    <x v="1"/>
    <s v="JD32"/>
    <x v="17"/>
    <x v="17"/>
    <n v="7"/>
    <n v="0"/>
    <n v="68"/>
    <n v="14"/>
    <n v="5"/>
    <n v="5"/>
    <n v="10"/>
    <n v="9"/>
    <n v="15"/>
    <n v="10"/>
    <n v="0"/>
    <n v="0"/>
    <n v="0"/>
    <n v="0"/>
    <n v="0"/>
    <n v="0"/>
    <n v="0"/>
    <n v="0"/>
    <n v="0"/>
    <n v="0"/>
    <n v="0"/>
    <n v="0"/>
    <n v="0"/>
    <n v="0"/>
    <n v="0"/>
    <n v="0"/>
    <n v="0"/>
    <n v="0"/>
    <n v="0"/>
    <n v="0"/>
    <s v="景东太忠镇嘎仰村委会二道河小组"/>
    <s v="20160718"/>
    <n v="0"/>
    <n v="0"/>
    <n v="0"/>
    <n v="15"/>
    <n v="0"/>
    <n v="3"/>
    <s v="532724198411121810"/>
    <s v="15125673626"/>
  </r>
  <r>
    <x v="1"/>
    <s v="JD33"/>
    <x v="17"/>
    <x v="17"/>
    <n v="0"/>
    <n v="4"/>
    <n v="14"/>
    <n v="4"/>
    <n v="3"/>
    <n v="1"/>
    <n v="6"/>
    <n v="0"/>
    <n v="0"/>
    <n v="0"/>
    <n v="0"/>
    <n v="0"/>
    <n v="0"/>
    <n v="0"/>
    <n v="0"/>
    <n v="0"/>
    <n v="0"/>
    <n v="0"/>
    <n v="0"/>
    <n v="0"/>
    <n v="0"/>
    <n v="0"/>
    <n v="0"/>
    <n v="0"/>
    <n v="0"/>
    <n v="0"/>
    <n v="0"/>
    <n v="0"/>
    <n v="0"/>
    <n v="0"/>
    <s v="景东太忠镇嘎仰村委会二道河小组"/>
    <s v="20161001"/>
    <n v="0"/>
    <n v="0"/>
    <n v="0"/>
    <n v="7.5"/>
    <n v="0"/>
    <n v="1.5"/>
    <s v="532724198411121810"/>
    <s v="15125673626"/>
  </r>
  <r>
    <x v="1"/>
    <s v="JD63"/>
    <x v="18"/>
    <x v="18"/>
    <n v="0"/>
    <n v="16"/>
    <n v="53"/>
    <n v="3"/>
    <n v="3"/>
    <n v="3"/>
    <n v="3"/>
    <n v="3"/>
    <n v="3"/>
    <n v="3"/>
    <n v="3"/>
    <n v="3"/>
    <n v="3"/>
    <n v="3"/>
    <n v="3"/>
    <n v="4"/>
    <n v="4"/>
    <n v="4"/>
    <n v="5"/>
    <n v="0"/>
    <n v="0"/>
    <n v="0"/>
    <n v="0"/>
    <n v="0"/>
    <n v="0"/>
    <n v="0"/>
    <n v="0"/>
    <n v="0"/>
    <n v="0"/>
    <n v="0"/>
    <s v="景东县太忠镇麦地村"/>
    <s v="20160713"/>
    <n v="0"/>
    <n v="0"/>
    <s v="N24°30′19.3″ E101°02′13.03″"/>
    <n v="7.5"/>
    <n v="0"/>
    <n v="1.5"/>
    <s v="532724198309201814"/>
    <s v="15891987207"/>
  </r>
  <r>
    <x v="1"/>
    <s v="JD64"/>
    <x v="18"/>
    <x v="18"/>
    <n v="9"/>
    <n v="0"/>
    <n v="26"/>
    <n v="1"/>
    <n v="2"/>
    <n v="3"/>
    <n v="3"/>
    <n v="3"/>
    <n v="3"/>
    <n v="3"/>
    <n v="3"/>
    <n v="5"/>
    <n v="0"/>
    <n v="0"/>
    <n v="0"/>
    <n v="0"/>
    <n v="0"/>
    <n v="0"/>
    <n v="0"/>
    <n v="0"/>
    <n v="0"/>
    <n v="0"/>
    <n v="0"/>
    <n v="0"/>
    <n v="0"/>
    <n v="0"/>
    <n v="0"/>
    <n v="0"/>
    <n v="0"/>
    <n v="0"/>
    <s v="景东县太忠镇麦地村外中山组"/>
    <s v="2016718"/>
    <n v="0"/>
    <n v="0"/>
    <s v="N24°30′29.79″ E101°01′53.14″"/>
    <n v="7.5"/>
    <n v="0"/>
    <n v="1.5"/>
    <s v="532724198309201814"/>
    <s v="15891987207"/>
  </r>
  <r>
    <x v="1"/>
    <s v="JD65"/>
    <x v="18"/>
    <x v="18"/>
    <n v="10"/>
    <n v="0"/>
    <n v="44"/>
    <n v="3"/>
    <n v="3"/>
    <n v="3"/>
    <n v="3"/>
    <n v="4"/>
    <n v="4"/>
    <n v="5"/>
    <n v="5"/>
    <n v="7"/>
    <n v="7"/>
    <n v="0"/>
    <n v="0"/>
    <n v="0"/>
    <n v="0"/>
    <n v="0"/>
    <n v="0"/>
    <n v="0"/>
    <n v="0"/>
    <n v="0"/>
    <n v="0"/>
    <n v="0"/>
    <n v="0"/>
    <n v="0"/>
    <n v="0"/>
    <n v="0"/>
    <n v="0"/>
    <n v="0"/>
    <s v="景东县太忠镇麦地村外中山组"/>
    <s v="20160725"/>
    <n v="0"/>
    <n v="0"/>
    <s v="N24°30′25.77″ E101°02′10.83″"/>
    <n v="10"/>
    <n v="0"/>
    <n v="2"/>
    <s v="532724198309201814"/>
    <s v="15891987207"/>
  </r>
  <r>
    <x v="1"/>
    <s v="JD66"/>
    <x v="18"/>
    <x v="18"/>
    <n v="10"/>
    <n v="0"/>
    <n v="38"/>
    <n v="2"/>
    <n v="2"/>
    <n v="3"/>
    <n v="3"/>
    <n v="4"/>
    <n v="4"/>
    <n v="4"/>
    <n v="4"/>
    <n v="5"/>
    <n v="7"/>
    <n v="0"/>
    <n v="0"/>
    <n v="0"/>
    <n v="0"/>
    <n v="0"/>
    <n v="0"/>
    <n v="0"/>
    <n v="0"/>
    <n v="0"/>
    <n v="0"/>
    <n v="0"/>
    <n v="0"/>
    <n v="0"/>
    <n v="0"/>
    <n v="0"/>
    <n v="0"/>
    <n v="0"/>
    <s v="景东县太忠镇麦地村外中山组"/>
    <s v="20160801"/>
    <n v="0"/>
    <n v="0"/>
    <s v="N24°30′35.53″ E101°01′14.44″"/>
    <n v="7.5"/>
    <n v="0"/>
    <n v="1.5"/>
    <s v="532724198309201814"/>
    <s v="15891987207"/>
  </r>
  <r>
    <x v="1"/>
    <s v="JD67"/>
    <x v="18"/>
    <x v="18"/>
    <n v="10"/>
    <n v="0"/>
    <n v="33"/>
    <n v="2"/>
    <n v="3"/>
    <n v="3"/>
    <n v="3"/>
    <n v="3"/>
    <n v="3"/>
    <n v="3"/>
    <n v="4"/>
    <n v="4"/>
    <n v="5"/>
    <n v="0"/>
    <n v="0"/>
    <n v="0"/>
    <n v="0"/>
    <n v="0"/>
    <n v="0"/>
    <n v="0"/>
    <n v="0"/>
    <n v="0"/>
    <n v="0"/>
    <n v="0"/>
    <n v="0"/>
    <n v="0"/>
    <n v="0"/>
    <n v="0"/>
    <n v="0"/>
    <n v="0"/>
    <s v="景东县太忠镇麦地村外中山组"/>
    <s v="20160828"/>
    <n v="0"/>
    <n v="0"/>
    <s v="N24°30′32.65″ E101°01′20.14″"/>
    <n v="10"/>
    <n v="0"/>
    <n v="2"/>
    <s v="532724198309201814"/>
    <s v="15891987207"/>
  </r>
  <r>
    <x v="1"/>
    <s v="JD52"/>
    <x v="19"/>
    <x v="19"/>
    <n v="10"/>
    <n v="0"/>
    <n v="60"/>
    <n v="6"/>
    <n v="4"/>
    <n v="7"/>
    <n v="6"/>
    <n v="7"/>
    <n v="5"/>
    <n v="6"/>
    <n v="6"/>
    <n v="7"/>
    <n v="6"/>
    <n v="0"/>
    <n v="0"/>
    <n v="0"/>
    <n v="0"/>
    <n v="0"/>
    <n v="0"/>
    <n v="0"/>
    <n v="0"/>
    <n v="0"/>
    <n v="0"/>
    <n v="0"/>
    <n v="0"/>
    <n v="0"/>
    <n v="0"/>
    <n v="0"/>
    <n v="0"/>
    <n v="0"/>
    <s v="景东县大街镇平地上村"/>
    <s v="20160726"/>
    <n v="0"/>
    <n v="0"/>
    <s v="海拔2742，N24°26′14.40″ E101°05′59.09″"/>
    <n v="12.5"/>
    <n v="0"/>
    <n v="2.5"/>
    <s v="532724198511271517"/>
    <s v="15008811738"/>
  </r>
  <r>
    <x v="1"/>
    <s v="JD53"/>
    <x v="19"/>
    <x v="19"/>
    <n v="10"/>
    <n v="0"/>
    <n v="54"/>
    <n v="8"/>
    <n v="4"/>
    <n v="5"/>
    <n v="7"/>
    <n v="5"/>
    <n v="4"/>
    <n v="8"/>
    <n v="4"/>
    <n v="4"/>
    <n v="5"/>
    <n v="0"/>
    <n v="0"/>
    <n v="0"/>
    <n v="0"/>
    <n v="0"/>
    <n v="0"/>
    <n v="0"/>
    <n v="0"/>
    <n v="0"/>
    <n v="0"/>
    <n v="0"/>
    <n v="0"/>
    <n v="0"/>
    <n v="0"/>
    <n v="0"/>
    <n v="0"/>
    <n v="0"/>
    <s v="景东县大街镇平地上村"/>
    <s v="20160912"/>
    <n v="0"/>
    <n v="0"/>
    <s v="海拔2397，N24°26′35.99″ E101°05′09.65″"/>
    <n v="10"/>
    <n v="0"/>
    <n v="2"/>
    <s v="532724198511271517"/>
    <s v="15008811738"/>
  </r>
  <r>
    <x v="1"/>
    <s v="JD54"/>
    <x v="19"/>
    <x v="19"/>
    <n v="10"/>
    <n v="0"/>
    <n v="59"/>
    <n v="6"/>
    <n v="5"/>
    <n v="4"/>
    <n v="6"/>
    <n v="5"/>
    <n v="9"/>
    <n v="7"/>
    <n v="5"/>
    <n v="6"/>
    <n v="6"/>
    <n v="0"/>
    <n v="0"/>
    <n v="0"/>
    <n v="0"/>
    <n v="0"/>
    <n v="0"/>
    <n v="0"/>
    <n v="0"/>
    <n v="0"/>
    <n v="0"/>
    <n v="0"/>
    <n v="0"/>
    <n v="0"/>
    <n v="0"/>
    <n v="0"/>
    <n v="0"/>
    <n v="0"/>
    <s v="景东县大街镇平地上村"/>
    <s v="2016916"/>
    <n v="0"/>
    <n v="0"/>
    <s v="海拔2390，N24°26′10.73″ E101°05′52.16″"/>
    <n v="10"/>
    <n v="0"/>
    <n v="2"/>
    <s v="532724198511271517"/>
    <s v="15008811738"/>
  </r>
  <r>
    <x v="1"/>
    <s v="JD55"/>
    <x v="19"/>
    <x v="19"/>
    <n v="10"/>
    <n v="0"/>
    <n v="60"/>
    <n v="4"/>
    <n v="6"/>
    <n v="5"/>
    <n v="5"/>
    <n v="9"/>
    <n v="6"/>
    <n v="7"/>
    <n v="5"/>
    <n v="8"/>
    <n v="5"/>
    <n v="0"/>
    <n v="0"/>
    <n v="0"/>
    <n v="0"/>
    <n v="0"/>
    <n v="0"/>
    <n v="0"/>
    <n v="0"/>
    <n v="0"/>
    <n v="0"/>
    <n v="0"/>
    <n v="0"/>
    <n v="0"/>
    <n v="0"/>
    <n v="0"/>
    <n v="0"/>
    <n v="0"/>
    <s v="景东县大街镇平地上村"/>
    <s v="20160928"/>
    <n v="0"/>
    <n v="0"/>
    <s v="海拔2490，N24°26′49.32″ E101°05′01.61″"/>
    <n v="10"/>
    <n v="0"/>
    <n v="2"/>
    <s v="532724198511271517"/>
    <s v="15008811738"/>
  </r>
  <r>
    <x v="1"/>
    <s v="JD56"/>
    <x v="19"/>
    <x v="19"/>
    <n v="0"/>
    <n v="20"/>
    <n v="98"/>
    <n v="2"/>
    <n v="3"/>
    <n v="3"/>
    <n v="4"/>
    <n v="5"/>
    <n v="5"/>
    <n v="5"/>
    <n v="5"/>
    <n v="5"/>
    <n v="5"/>
    <n v="5"/>
    <n v="5"/>
    <n v="5"/>
    <n v="5"/>
    <n v="5"/>
    <n v="5"/>
    <n v="6"/>
    <n v="6"/>
    <n v="7"/>
    <n v="7"/>
    <n v="0"/>
    <n v="0"/>
    <n v="0"/>
    <n v="0"/>
    <n v="0"/>
    <n v="0"/>
    <n v="0"/>
    <s v="景东县大街镇平地上村"/>
    <s v="20160805&amp;0910"/>
    <n v="0"/>
    <n v="0"/>
    <s v="海拔2211，N24°26′06.74″ E101°05′12.71″"/>
    <n v="17.5"/>
    <n v="0"/>
    <n v="3.5"/>
    <s v="532724198511271517"/>
    <s v="15008811738"/>
  </r>
  <r>
    <x v="1"/>
    <s v="JD81"/>
    <x v="20"/>
    <x v="20"/>
    <n v="7"/>
    <n v="0"/>
    <n v="29"/>
    <n v="7"/>
    <n v="6"/>
    <n v="3"/>
    <n v="4"/>
    <n v="1"/>
    <n v="6"/>
    <n v="2"/>
    <n v="0"/>
    <n v="0"/>
    <n v="0"/>
    <n v="0"/>
    <n v="0"/>
    <n v="0"/>
    <n v="0"/>
    <n v="0"/>
    <n v="0"/>
    <n v="0"/>
    <n v="0"/>
    <n v="0"/>
    <n v="0"/>
    <n v="0"/>
    <n v="0"/>
    <n v="0"/>
    <n v="0"/>
    <n v="0"/>
    <n v="0"/>
    <n v="0"/>
    <s v="景东县花山镇小勺村"/>
    <s v="20160707"/>
    <n v="0"/>
    <n v="0"/>
    <n v="0"/>
    <n v="7.5"/>
    <n v="0"/>
    <n v="1.5"/>
    <s v="532724196804151237"/>
    <s v="14769359259"/>
  </r>
  <r>
    <x v="1"/>
    <s v="JD82"/>
    <x v="20"/>
    <x v="20"/>
    <n v="6"/>
    <n v="0"/>
    <n v="61"/>
    <n v="4"/>
    <n v="4"/>
    <n v="8"/>
    <n v="8"/>
    <n v="25"/>
    <n v="12"/>
    <n v="0"/>
    <n v="0"/>
    <n v="0"/>
    <n v="0"/>
    <n v="0"/>
    <n v="0"/>
    <n v="0"/>
    <n v="0"/>
    <n v="0"/>
    <n v="0"/>
    <n v="0"/>
    <n v="0"/>
    <n v="0"/>
    <n v="0"/>
    <n v="0"/>
    <n v="0"/>
    <n v="0"/>
    <n v="0"/>
    <n v="0"/>
    <n v="0"/>
    <n v="0"/>
    <s v="景东县花山镇小勺村"/>
    <s v="20160709"/>
    <n v="0"/>
    <n v="0"/>
    <n v="0"/>
    <n v="15"/>
    <n v="0"/>
    <n v="3"/>
    <s v="532724196804151237"/>
    <s v="14769359259"/>
  </r>
  <r>
    <x v="1"/>
    <s v="JD83"/>
    <x v="20"/>
    <x v="20"/>
    <n v="1"/>
    <n v="0"/>
    <n v="5"/>
    <n v="5"/>
    <n v="0"/>
    <n v="0"/>
    <n v="0"/>
    <n v="0"/>
    <n v="0"/>
    <n v="0"/>
    <n v="0"/>
    <n v="0"/>
    <n v="0"/>
    <n v="0"/>
    <n v="0"/>
    <n v="0"/>
    <n v="0"/>
    <n v="0"/>
    <n v="0"/>
    <n v="0"/>
    <n v="0"/>
    <n v="0"/>
    <n v="0"/>
    <n v="0"/>
    <n v="0"/>
    <n v="0"/>
    <n v="0"/>
    <n v="0"/>
    <n v="0"/>
    <n v="0"/>
    <s v="景东县花山镇小勺村"/>
    <s v="20160723"/>
    <n v="0"/>
    <n v="0"/>
    <n v="0"/>
    <n v="2"/>
    <n v="0"/>
    <n v="0.4"/>
    <s v="532724196804151237"/>
    <s v="14769359259"/>
  </r>
  <r>
    <x v="1"/>
    <s v="JD84"/>
    <x v="20"/>
    <x v="20"/>
    <n v="3"/>
    <n v="0"/>
    <n v="7"/>
    <n v="1"/>
    <n v="2"/>
    <n v="4"/>
    <n v="0"/>
    <n v="0"/>
    <n v="0"/>
    <n v="0"/>
    <n v="0"/>
    <n v="0"/>
    <n v="0"/>
    <n v="0"/>
    <n v="0"/>
    <n v="0"/>
    <n v="0"/>
    <n v="0"/>
    <n v="0"/>
    <n v="0"/>
    <n v="0"/>
    <n v="0"/>
    <n v="0"/>
    <n v="0"/>
    <n v="0"/>
    <n v="0"/>
    <n v="0"/>
    <n v="0"/>
    <n v="0"/>
    <n v="0"/>
    <s v="景东县花山镇小勺村"/>
    <s v="20160725"/>
    <n v="0"/>
    <n v="0"/>
    <n v="0"/>
    <n v="4"/>
    <n v="0"/>
    <n v="0.8"/>
    <s v="532724196804151237"/>
    <s v="14769359259"/>
  </r>
  <r>
    <x v="1"/>
    <s v="JD45"/>
    <x v="21"/>
    <x v="21"/>
    <n v="7"/>
    <n v="0"/>
    <n v="30"/>
    <n v="4"/>
    <n v="6"/>
    <n v="4"/>
    <n v="4"/>
    <n v="3"/>
    <n v="3"/>
    <n v="6"/>
    <n v="0"/>
    <n v="0"/>
    <n v="0"/>
    <n v="0"/>
    <n v="0"/>
    <n v="0"/>
    <n v="0"/>
    <n v="0"/>
    <n v="0"/>
    <n v="0"/>
    <n v="0"/>
    <n v="0"/>
    <n v="0"/>
    <n v="0"/>
    <n v="0"/>
    <n v="0"/>
    <n v="0"/>
    <n v="0"/>
    <n v="0"/>
    <n v="0"/>
    <s v="景东县龙街乡新平村"/>
    <s v="20160815"/>
    <n v="0"/>
    <n v="0"/>
    <n v="0"/>
    <n v="40"/>
    <n v="0"/>
    <n v="8"/>
    <s v="？？"/>
    <s v="14769387747"/>
  </r>
  <r>
    <x v="1"/>
    <s v="JD46"/>
    <x v="21"/>
    <x v="21"/>
    <n v="0"/>
    <n v="6"/>
    <n v="8"/>
    <n v="1"/>
    <n v="1"/>
    <n v="1"/>
    <n v="1"/>
    <n v="2"/>
    <n v="2"/>
    <n v="0"/>
    <n v="0"/>
    <n v="0"/>
    <n v="0"/>
    <n v="0"/>
    <n v="0"/>
    <n v="0"/>
    <n v="0"/>
    <n v="0"/>
    <n v="0"/>
    <n v="0"/>
    <n v="0"/>
    <n v="0"/>
    <n v="0"/>
    <n v="0"/>
    <n v="0"/>
    <n v="0"/>
    <n v="0"/>
    <n v="0"/>
    <n v="0"/>
    <n v="0"/>
    <s v="景东县龙街乡新平村"/>
    <s v="20160815"/>
    <n v="0"/>
    <n v="0"/>
    <n v="0"/>
    <n v="1.5"/>
    <n v="0"/>
    <n v="0.3"/>
    <s v="？？"/>
    <s v="14769387747"/>
  </r>
  <r>
    <x v="1"/>
    <s v="JD18"/>
    <x v="22"/>
    <x v="22"/>
    <n v="0"/>
    <n v="15"/>
    <n v="19"/>
    <n v="1"/>
    <n v="1"/>
    <n v="1"/>
    <n v="1"/>
    <n v="1"/>
    <n v="1"/>
    <n v="1"/>
    <n v="1"/>
    <n v="1"/>
    <n v="1"/>
    <n v="1"/>
    <n v="1"/>
    <n v="2"/>
    <n v="2"/>
    <n v="3"/>
    <n v="0"/>
    <n v="0"/>
    <n v="0"/>
    <n v="0"/>
    <n v="0"/>
    <n v="0"/>
    <n v="0"/>
    <n v="0"/>
    <n v="0"/>
    <n v="0"/>
    <n v="0"/>
    <n v="0"/>
    <s v="景东花山镇文明村岩头组"/>
    <s v="20160625"/>
    <n v="0"/>
    <n v="0"/>
    <n v="0"/>
    <n v="7.5"/>
    <n v="0"/>
    <n v="1.5"/>
    <s v="532724198412051236"/>
    <s v="13154887030"/>
  </r>
  <r>
    <x v="1"/>
    <s v="JD19"/>
    <x v="22"/>
    <x v="22"/>
    <n v="9"/>
    <n v="0"/>
    <n v="10"/>
    <n v="1"/>
    <n v="1"/>
    <n v="1"/>
    <n v="1"/>
    <n v="1"/>
    <n v="1"/>
    <n v="1"/>
    <n v="1"/>
    <n v="2"/>
    <n v="0"/>
    <n v="0"/>
    <n v="0"/>
    <n v="0"/>
    <n v="0"/>
    <n v="0"/>
    <n v="0"/>
    <n v="0"/>
    <n v="0"/>
    <n v="0"/>
    <n v="0"/>
    <n v="0"/>
    <n v="0"/>
    <n v="0"/>
    <n v="0"/>
    <n v="0"/>
    <n v="0"/>
    <n v="0"/>
    <s v="景东花山镇文明村岩头组"/>
    <s v="20160705"/>
    <n v="0"/>
    <n v="0"/>
    <n v="0"/>
    <n v="3"/>
    <n v="0"/>
    <n v="0.6"/>
    <s v="532724198412051236"/>
    <s v="13154887030"/>
  </r>
  <r>
    <x v="1"/>
    <s v="JD20"/>
    <x v="22"/>
    <x v="22"/>
    <n v="8"/>
    <n v="0"/>
    <n v="13"/>
    <n v="1"/>
    <n v="1"/>
    <n v="1"/>
    <n v="1"/>
    <n v="1"/>
    <n v="2"/>
    <n v="2"/>
    <n v="4"/>
    <n v="0"/>
    <n v="0"/>
    <n v="0"/>
    <n v="0"/>
    <n v="0"/>
    <n v="0"/>
    <n v="0"/>
    <n v="0"/>
    <n v="0"/>
    <n v="0"/>
    <n v="0"/>
    <n v="0"/>
    <n v="0"/>
    <n v="0"/>
    <n v="0"/>
    <n v="0"/>
    <n v="0"/>
    <n v="0"/>
    <n v="0"/>
    <s v="景东花山镇文明村岩头组"/>
    <s v="20160715"/>
    <n v="0"/>
    <n v="0"/>
    <n v="0"/>
    <n v="4"/>
    <n v="0"/>
    <n v="0.8"/>
    <s v="532724198412051236"/>
    <s v="13154887030"/>
  </r>
  <r>
    <x v="1"/>
    <s v="JD21"/>
    <x v="22"/>
    <x v="22"/>
    <n v="8"/>
    <n v="0"/>
    <n v="26"/>
    <n v="2"/>
    <n v="2"/>
    <n v="2"/>
    <n v="3"/>
    <n v="3"/>
    <n v="4"/>
    <n v="7"/>
    <n v="3"/>
    <n v="0"/>
    <n v="0"/>
    <n v="0"/>
    <n v="0"/>
    <n v="0"/>
    <n v="0"/>
    <n v="0"/>
    <n v="0"/>
    <n v="0"/>
    <n v="0"/>
    <n v="0"/>
    <n v="0"/>
    <n v="0"/>
    <n v="0"/>
    <n v="0"/>
    <n v="0"/>
    <n v="0"/>
    <n v="0"/>
    <n v="0"/>
    <s v="景东花山镇文明村岩头组"/>
    <s v="20160801"/>
    <n v="0"/>
    <n v="0"/>
    <n v="0"/>
    <n v="10"/>
    <n v="0"/>
    <n v="2"/>
    <s v="532724198412051236"/>
    <s v="13154887030"/>
  </r>
  <r>
    <x v="1"/>
    <s v="JD22"/>
    <x v="22"/>
    <x v="22"/>
    <n v="11"/>
    <n v="0"/>
    <n v="42"/>
    <n v="2"/>
    <n v="2"/>
    <n v="3"/>
    <n v="3"/>
    <n v="3"/>
    <n v="3"/>
    <n v="3"/>
    <n v="4"/>
    <n v="6"/>
    <n v="6"/>
    <n v="7"/>
    <n v="0"/>
    <n v="0"/>
    <n v="0"/>
    <n v="0"/>
    <n v="0"/>
    <n v="0"/>
    <n v="0"/>
    <n v="0"/>
    <n v="0"/>
    <n v="0"/>
    <n v="0"/>
    <n v="0"/>
    <n v="0"/>
    <n v="0"/>
    <n v="0"/>
    <n v="0"/>
    <s v="？？？"/>
    <s v="？"/>
    <n v="0"/>
    <n v="0"/>
    <n v="0"/>
    <n v="15"/>
    <n v="0"/>
    <n v="3"/>
    <s v="532724198412051236"/>
    <s v="13154887030"/>
  </r>
  <r>
    <x v="1"/>
    <s v="JD37"/>
    <x v="23"/>
    <x v="23"/>
    <n v="10"/>
    <n v="0"/>
    <n v="80"/>
    <n v="7"/>
    <n v="15"/>
    <n v="8"/>
    <n v="3"/>
    <n v="8"/>
    <n v="7"/>
    <n v="9"/>
    <n v="7"/>
    <n v="8"/>
    <n v="8"/>
    <n v="0"/>
    <n v="0"/>
    <n v="0"/>
    <n v="0"/>
    <n v="0"/>
    <n v="0"/>
    <n v="0"/>
    <n v="0"/>
    <n v="0"/>
    <n v="0"/>
    <n v="0"/>
    <n v="0"/>
    <n v="0"/>
    <n v="0"/>
    <n v="0"/>
    <n v="0"/>
    <n v="0"/>
    <s v="景东县大街镇昆岗村山头组，大草坝"/>
    <s v="20160705-0718"/>
    <n v="0"/>
    <n v="0"/>
    <s v="海拔2552，N24°25′34.26″ E101°07′07.02″"/>
    <n v="20"/>
    <n v="0"/>
    <n v="4"/>
    <s v="532724197001091511"/>
    <s v="13577954774"/>
  </r>
  <r>
    <x v="1"/>
    <s v="JD38"/>
    <x v="23"/>
    <x v="23"/>
    <n v="10"/>
    <n v="0"/>
    <n v="54"/>
    <n v="7"/>
    <n v="1"/>
    <n v="4"/>
    <n v="3"/>
    <n v="7"/>
    <n v="6"/>
    <n v="4"/>
    <n v="4"/>
    <n v="5"/>
    <n v="13"/>
    <n v="0"/>
    <n v="0"/>
    <n v="0"/>
    <n v="0"/>
    <n v="0"/>
    <n v="0"/>
    <n v="0"/>
    <n v="0"/>
    <n v="0"/>
    <n v="0"/>
    <n v="0"/>
    <n v="0"/>
    <n v="0"/>
    <n v="0"/>
    <n v="0"/>
    <n v="0"/>
    <n v="0"/>
    <s v="景东县大街镇昆岗村，三颗桩"/>
    <s v="20160808"/>
    <n v="0"/>
    <n v="0"/>
    <s v="海拔2492，N24°25′19.78″ E101°06′40.20″"/>
    <n v="15"/>
    <n v="0"/>
    <n v="3"/>
    <s v="532724197001091511"/>
    <s v="13577954774"/>
  </r>
  <r>
    <x v="1"/>
    <s v="JD39"/>
    <x v="23"/>
    <x v="23"/>
    <n v="0"/>
    <n v="12"/>
    <n v="26"/>
    <n v="1"/>
    <n v="2"/>
    <n v="2"/>
    <n v="2"/>
    <n v="2"/>
    <n v="2"/>
    <n v="2"/>
    <n v="2"/>
    <n v="2"/>
    <n v="3"/>
    <n v="3"/>
    <n v="3"/>
    <n v="0"/>
    <n v="0"/>
    <n v="0"/>
    <n v="0"/>
    <n v="0"/>
    <n v="0"/>
    <n v="0"/>
    <n v="0"/>
    <n v="0"/>
    <n v="0"/>
    <n v="0"/>
    <n v="0"/>
    <n v="0"/>
    <n v="0"/>
    <n v="0"/>
    <s v="景东县大街镇昆岗村，中山"/>
    <s v="201608-09"/>
    <n v="0"/>
    <n v="0"/>
    <s v="海拔2280，N24°24′55.53″ E101°06′58.66″"/>
    <n v="10"/>
    <n v="0"/>
    <n v="2"/>
    <s v="532724197001091511"/>
    <s v="13577954774"/>
  </r>
  <r>
    <x v="1"/>
    <s v="JD40"/>
    <x v="23"/>
    <x v="23"/>
    <n v="5"/>
    <n v="0"/>
    <n v="34"/>
    <n v="9"/>
    <n v="3"/>
    <n v="7"/>
    <n v="7"/>
    <n v="8"/>
    <n v="0"/>
    <n v="0"/>
    <n v="0"/>
    <n v="0"/>
    <n v="0"/>
    <n v="0"/>
    <n v="0"/>
    <n v="0"/>
    <n v="0"/>
    <n v="0"/>
    <n v="0"/>
    <n v="0"/>
    <n v="0"/>
    <n v="0"/>
    <n v="0"/>
    <n v="0"/>
    <n v="0"/>
    <n v="0"/>
    <n v="0"/>
    <n v="0"/>
    <n v="0"/>
    <n v="0"/>
    <s v="景东县大街镇昆岗村，大关山槽子"/>
    <s v="2016009"/>
    <n v="0"/>
    <n v="0"/>
    <s v="海拔2691，N24°25′45.04″ E101°06′34.10″"/>
    <n v="10"/>
    <n v="0"/>
    <n v="2"/>
    <s v="532724197001091511"/>
    <s v="13577954774"/>
  </r>
  <r>
    <x v="1"/>
    <s v="JD78"/>
    <x v="24"/>
    <x v="24"/>
    <n v="5"/>
    <n v="0"/>
    <n v="63"/>
    <n v="12"/>
    <n v="10"/>
    <n v="19"/>
    <n v="12"/>
    <n v="10"/>
    <n v="0"/>
    <n v="0"/>
    <n v="0"/>
    <n v="0"/>
    <n v="0"/>
    <n v="0"/>
    <n v="0"/>
    <n v="0"/>
    <n v="0"/>
    <n v="0"/>
    <n v="0"/>
    <n v="0"/>
    <n v="0"/>
    <n v="0"/>
    <n v="0"/>
    <n v="0"/>
    <n v="0"/>
    <n v="0"/>
    <n v="0"/>
    <n v="0"/>
    <n v="0"/>
    <n v="0"/>
    <s v="景东县花山镇淇海村大山组"/>
    <s v="2016"/>
    <n v="0"/>
    <n v="0"/>
    <n v="0"/>
    <n v="25"/>
    <n v="0"/>
    <n v="5"/>
    <s v="532724196409241232"/>
    <s v="15154839262"/>
  </r>
  <r>
    <x v="1"/>
    <s v="JD79"/>
    <x v="24"/>
    <x v="24"/>
    <n v="9"/>
    <n v="0"/>
    <n v="150"/>
    <n v="35"/>
    <n v="17"/>
    <n v="21"/>
    <n v="14"/>
    <n v="23"/>
    <n v="13"/>
    <n v="14"/>
    <n v="5"/>
    <n v="8"/>
    <n v="0"/>
    <n v="0"/>
    <n v="0"/>
    <n v="0"/>
    <n v="0"/>
    <n v="0"/>
    <n v="0"/>
    <n v="0"/>
    <n v="0"/>
    <n v="0"/>
    <n v="0"/>
    <n v="0"/>
    <n v="0"/>
    <n v="0"/>
    <n v="0"/>
    <n v="0"/>
    <n v="0"/>
    <n v="0"/>
    <s v="景东县花山镇淇海村大山组"/>
    <s v="2016"/>
    <n v="0"/>
    <n v="0"/>
    <n v="0"/>
    <n v="42.5"/>
    <s v="1.5+2+1.5+1.5+2"/>
    <n v="8.5"/>
    <s v="532724196409241232"/>
    <s v="15154839262"/>
  </r>
  <r>
    <x v="1"/>
    <s v="JD80"/>
    <x v="24"/>
    <x v="24"/>
    <n v="0"/>
    <n v="4"/>
    <n v="24"/>
    <n v="5"/>
    <n v="9"/>
    <n v="8"/>
    <n v="2"/>
    <n v="0"/>
    <n v="0"/>
    <n v="0"/>
    <n v="0"/>
    <n v="0"/>
    <n v="0"/>
    <n v="0"/>
    <n v="0"/>
    <n v="0"/>
    <n v="0"/>
    <n v="0"/>
    <n v="0"/>
    <n v="0"/>
    <n v="0"/>
    <n v="0"/>
    <n v="0"/>
    <n v="0"/>
    <n v="0"/>
    <n v="0"/>
    <n v="0"/>
    <n v="0"/>
    <n v="0"/>
    <n v="0"/>
    <s v="景东县花山镇淇海村大山组"/>
    <s v="2016"/>
    <n v="0"/>
    <n v="0"/>
    <n v="0"/>
    <n v="7.5"/>
    <n v="0"/>
    <n v="1.5"/>
    <s v="532724196409241232"/>
    <s v="15154839262"/>
  </r>
  <r>
    <x v="1"/>
    <s v="JD34"/>
    <x v="25"/>
    <x v="5"/>
    <n v="1"/>
    <n v="0"/>
    <n v="22"/>
    <n v="22"/>
    <n v="0"/>
    <n v="0"/>
    <n v="0"/>
    <n v="0"/>
    <n v="0"/>
    <n v="0"/>
    <n v="0"/>
    <n v="0"/>
    <n v="0"/>
    <n v="0"/>
    <n v="0"/>
    <n v="0"/>
    <n v="0"/>
    <n v="0"/>
    <n v="0"/>
    <n v="0"/>
    <n v="0"/>
    <n v="0"/>
    <n v="0"/>
    <n v="0"/>
    <n v="0"/>
    <n v="0"/>
    <n v="0"/>
    <n v="0"/>
    <n v="0"/>
    <n v="0"/>
    <s v="景东花山秀龙大山组苦桥地洞"/>
    <s v="20160803"/>
    <n v="0"/>
    <n v="0"/>
    <n v="0"/>
    <n v="7.5"/>
    <n v="0"/>
    <n v="1.5"/>
    <s v="532724197507121212"/>
    <s v="15925295292"/>
  </r>
  <r>
    <x v="1"/>
    <s v="JD35"/>
    <x v="25"/>
    <x v="5"/>
    <n v="1"/>
    <n v="0"/>
    <n v="6"/>
    <n v="6"/>
    <n v="0"/>
    <n v="0"/>
    <n v="0"/>
    <n v="0"/>
    <n v="0"/>
    <n v="0"/>
    <n v="0"/>
    <n v="0"/>
    <n v="0"/>
    <n v="0"/>
    <n v="0"/>
    <n v="0"/>
    <n v="0"/>
    <n v="0"/>
    <n v="0"/>
    <n v="0"/>
    <n v="0"/>
    <n v="0"/>
    <n v="0"/>
    <n v="0"/>
    <n v="0"/>
    <n v="0"/>
    <n v="0"/>
    <n v="0"/>
    <n v="0"/>
    <n v="0"/>
    <s v="景东花山秀龙大山组猴子蜗尿箐"/>
    <s v="20160710"/>
    <n v="0"/>
    <n v="0"/>
    <n v="0"/>
    <n v="2"/>
    <n v="0"/>
    <n v="0.4"/>
    <s v="532724197507121212"/>
    <s v="15925295292"/>
  </r>
  <r>
    <x v="1"/>
    <s v="JD36"/>
    <x v="25"/>
    <x v="5"/>
    <n v="0"/>
    <n v="4"/>
    <n v="44"/>
    <n v="25"/>
    <n v="15"/>
    <n v="3"/>
    <n v="1"/>
    <n v="0"/>
    <n v="0"/>
    <n v="0"/>
    <n v="0"/>
    <n v="0"/>
    <n v="0"/>
    <n v="0"/>
    <n v="0"/>
    <n v="0"/>
    <n v="0"/>
    <n v="0"/>
    <n v="0"/>
    <n v="0"/>
    <n v="0"/>
    <n v="0"/>
    <n v="0"/>
    <n v="0"/>
    <n v="0"/>
    <n v="0"/>
    <n v="0"/>
    <n v="0"/>
    <n v="0"/>
    <n v="0"/>
    <s v="景东花山秀龙大山组新草子打洞处"/>
    <s v="20160709&amp;0804"/>
    <n v="0"/>
    <n v="0"/>
    <n v="0"/>
    <n v="10"/>
    <n v="0"/>
    <n v="2"/>
    <s v="532724197507121212"/>
    <s v="15925295292"/>
  </r>
  <r>
    <x v="1"/>
    <s v="JD68"/>
    <x v="26"/>
    <x v="25"/>
    <n v="7"/>
    <n v="0"/>
    <n v="48"/>
    <n v="15"/>
    <n v="15"/>
    <n v="4"/>
    <n v="5"/>
    <n v="4"/>
    <n v="1"/>
    <n v="4"/>
    <n v="0"/>
    <n v="0"/>
    <n v="0"/>
    <n v="0"/>
    <n v="0"/>
    <n v="0"/>
    <n v="0"/>
    <n v="0"/>
    <n v="0"/>
    <n v="0"/>
    <n v="0"/>
    <n v="0"/>
    <n v="0"/>
    <n v="0"/>
    <n v="0"/>
    <n v="0"/>
    <n v="0"/>
    <n v="0"/>
    <n v="0"/>
    <n v="0"/>
    <s v="景东县太忠镇方家箐村上村组"/>
    <s v="20160709"/>
    <n v="0"/>
    <n v="0"/>
    <s v="海拔2450，N24°31′56.74″ E101°0′26.5″"/>
    <n v="7.5"/>
    <n v="0"/>
    <n v="1.5"/>
    <s v="532724198511291833"/>
    <s v="15125342326"/>
  </r>
  <r>
    <x v="1"/>
    <s v="JD69"/>
    <x v="26"/>
    <x v="25"/>
    <n v="0"/>
    <n v="4"/>
    <n v="13"/>
    <n v="3"/>
    <n v="4"/>
    <n v="3"/>
    <n v="3"/>
    <n v="0"/>
    <n v="0"/>
    <n v="0"/>
    <n v="0"/>
    <n v="0"/>
    <n v="0"/>
    <n v="0"/>
    <n v="0"/>
    <n v="0"/>
    <n v="0"/>
    <n v="0"/>
    <n v="0"/>
    <n v="0"/>
    <n v="0"/>
    <n v="0"/>
    <n v="0"/>
    <n v="0"/>
    <n v="0"/>
    <n v="0"/>
    <n v="0"/>
    <n v="0"/>
    <n v="0"/>
    <n v="0"/>
    <s v="景东县太忠镇方家箐村上村组"/>
    <s v="20160711"/>
    <n v="0"/>
    <n v="0"/>
    <s v="海拔2483，N24°33′45.65″ E101°0′54.4″"/>
    <n v="5"/>
    <n v="0"/>
    <n v="1"/>
    <s v="532724198511291833"/>
    <s v="15125342326"/>
  </r>
  <r>
    <x v="1"/>
    <s v="JD70"/>
    <x v="26"/>
    <x v="25"/>
    <n v="6"/>
    <n v="0"/>
    <n v="22"/>
    <n v="6"/>
    <n v="6"/>
    <n v="1"/>
    <n v="1"/>
    <n v="5"/>
    <n v="3"/>
    <n v="0"/>
    <n v="0"/>
    <n v="0"/>
    <n v="0"/>
    <n v="0"/>
    <n v="0"/>
    <n v="0"/>
    <n v="0"/>
    <n v="0"/>
    <n v="0"/>
    <n v="0"/>
    <n v="0"/>
    <n v="0"/>
    <n v="0"/>
    <n v="0"/>
    <n v="0"/>
    <n v="0"/>
    <n v="0"/>
    <n v="0"/>
    <n v="0"/>
    <n v="0"/>
    <s v="景东县太忠镇方家箐村上村组"/>
    <s v="20160821"/>
    <n v="0"/>
    <n v="0"/>
    <s v="海拔2456，N24°32′22.6″ E101°0′25.23″"/>
    <n v="7.5"/>
    <n v="0"/>
    <n v="1.5"/>
    <s v="532724198511291833"/>
    <s v="15125342326"/>
  </r>
  <r>
    <x v="1"/>
    <s v="JD71"/>
    <x v="26"/>
    <x v="25"/>
    <n v="7"/>
    <n v="0"/>
    <n v="31"/>
    <n v="5"/>
    <n v="5"/>
    <n v="6"/>
    <n v="2"/>
    <n v="3"/>
    <n v="6"/>
    <n v="4"/>
    <n v="0"/>
    <n v="0"/>
    <n v="0"/>
    <n v="0"/>
    <n v="0"/>
    <n v="0"/>
    <n v="0"/>
    <n v="0"/>
    <n v="0"/>
    <n v="0"/>
    <n v="0"/>
    <n v="0"/>
    <n v="0"/>
    <n v="0"/>
    <n v="0"/>
    <n v="0"/>
    <n v="0"/>
    <n v="0"/>
    <n v="0"/>
    <n v="0"/>
    <s v="景东县太忠镇方家箐村上村组"/>
    <s v="20160902"/>
    <n v="0"/>
    <n v="0"/>
    <s v="海拔2456，N24°32′11.15″ E101°0′26.86″"/>
    <n v="5"/>
    <n v="0"/>
    <n v="1"/>
    <s v="532724198511291833"/>
    <s v="15125342326"/>
  </r>
  <r>
    <x v="1"/>
    <s v="JD43"/>
    <x v="27"/>
    <x v="5"/>
    <n v="15"/>
    <n v="0"/>
    <n v="41"/>
    <n v="1"/>
    <n v="1"/>
    <n v="1"/>
    <n v="1"/>
    <n v="1"/>
    <n v="1"/>
    <n v="1"/>
    <n v="1"/>
    <n v="1"/>
    <n v="1"/>
    <n v="2"/>
    <n v="4"/>
    <n v="5"/>
    <n v="8"/>
    <n v="12"/>
    <n v="0"/>
    <n v="0"/>
    <n v="0"/>
    <n v="0"/>
    <n v="0"/>
    <n v="0"/>
    <n v="0"/>
    <n v="0"/>
    <n v="0"/>
    <n v="0"/>
    <n v="0"/>
    <n v="0"/>
    <s v="龙街乡垭口村小看马组"/>
    <s v="20160615-0716"/>
    <n v="0"/>
    <n v="0"/>
    <n v="0"/>
    <n v="7.5"/>
    <n v="0"/>
    <n v="1.5"/>
    <s v="532724197908142110"/>
    <s v="13577971579"/>
  </r>
  <r>
    <x v="1"/>
    <s v="JD44"/>
    <x v="27"/>
    <x v="5"/>
    <n v="0"/>
    <n v="2"/>
    <n v="11"/>
    <n v="5"/>
    <n v="6"/>
    <n v="0"/>
    <n v="0"/>
    <n v="0"/>
    <n v="0"/>
    <n v="0"/>
    <n v="0"/>
    <n v="0"/>
    <n v="0"/>
    <n v="0"/>
    <n v="0"/>
    <n v="0"/>
    <n v="0"/>
    <n v="0"/>
    <n v="0"/>
    <n v="0"/>
    <n v="0"/>
    <n v="0"/>
    <n v="0"/>
    <n v="0"/>
    <n v="0"/>
    <n v="0"/>
    <n v="0"/>
    <n v="0"/>
    <n v="0"/>
    <n v="0"/>
    <s v="龙街乡垭口村小看马组"/>
    <s v="20160702-0706"/>
    <n v="0"/>
    <n v="0"/>
    <n v="0"/>
    <n v="0.5"/>
    <n v="0"/>
    <n v="0.1"/>
    <s v="532724197908142110"/>
    <s v="13577971579"/>
  </r>
  <r>
    <x v="1"/>
    <s v="JD57"/>
    <x v="28"/>
    <x v="26"/>
    <n v="0"/>
    <n v="19"/>
    <n v="182"/>
    <n v="3"/>
    <n v="5"/>
    <n v="6"/>
    <n v="6"/>
    <n v="6"/>
    <n v="13"/>
    <n v="13"/>
    <n v="8"/>
    <n v="8"/>
    <n v="8"/>
    <n v="8"/>
    <n v="11"/>
    <n v="11"/>
    <n v="10"/>
    <n v="10"/>
    <n v="10"/>
    <n v="15"/>
    <n v="15"/>
    <n v="16"/>
    <n v="0"/>
    <n v="0"/>
    <n v="0"/>
    <n v="0"/>
    <n v="0"/>
    <n v="0"/>
    <n v="0"/>
    <n v="0"/>
    <s v="景东县大街镇气力村箐门口小组，白沙井"/>
    <s v="20160822"/>
    <n v="0"/>
    <n v="0"/>
    <s v="海拔2373，N24°24′24.10″ E101°07′12.01″"/>
    <n v="50"/>
    <s v="2.5+1.5+2+2+2"/>
    <n v="10"/>
    <s v="532724197401281517"/>
    <s v="15987976882"/>
  </r>
  <r>
    <x v="1"/>
    <s v="JD58"/>
    <x v="28"/>
    <x v="26"/>
    <n v="10"/>
    <n v="0"/>
    <n v="199"/>
    <n v="19"/>
    <n v="10"/>
    <n v="26"/>
    <n v="8"/>
    <n v="16"/>
    <n v="16"/>
    <n v="16"/>
    <n v="27"/>
    <n v="22"/>
    <n v="39"/>
    <n v="0"/>
    <n v="0"/>
    <n v="0"/>
    <n v="0"/>
    <n v="0"/>
    <n v="0"/>
    <n v="0"/>
    <n v="0"/>
    <n v="0"/>
    <n v="0"/>
    <n v="0"/>
    <n v="0"/>
    <n v="0"/>
    <n v="0"/>
    <n v="0"/>
    <n v="0"/>
    <n v="0"/>
    <s v="景东县大街镇气力村箐门口小组，水箐口"/>
    <s v="20160916"/>
    <n v="0"/>
    <n v="0"/>
    <s v="海拔2480，N24°24′39.12″ E101°07′32.94″"/>
    <n v="44.5"/>
    <s v="2+1.5+2+2.5+0.9"/>
    <n v="8.9"/>
    <s v="532724197401281517"/>
    <s v="15987976882"/>
  </r>
  <r>
    <x v="1"/>
    <s v="JD59"/>
    <x v="28"/>
    <x v="26"/>
    <n v="11"/>
    <n v="0"/>
    <n v="149"/>
    <n v="13"/>
    <n v="10"/>
    <n v="21"/>
    <n v="19"/>
    <n v="19"/>
    <n v="17"/>
    <n v="12"/>
    <n v="16"/>
    <n v="3"/>
    <n v="5"/>
    <n v="14"/>
    <n v="0"/>
    <n v="0"/>
    <n v="0"/>
    <n v="0"/>
    <n v="0"/>
    <n v="0"/>
    <n v="0"/>
    <n v="0"/>
    <n v="0"/>
    <n v="0"/>
    <n v="0"/>
    <n v="0"/>
    <n v="0"/>
    <n v="0"/>
    <n v="0"/>
    <n v="0"/>
    <s v="景东县大街镇气力村箐门口小组，水箐口"/>
    <s v="20160916"/>
    <n v="0"/>
    <n v="0"/>
    <s v="海拔2506，N24°24′46.06″ E101°07′32.02″"/>
    <n v="40"/>
    <s v="1.5+1.5+2+1.5+1.5"/>
    <n v="8"/>
    <s v="532724197401281517"/>
    <s v="15987976882"/>
  </r>
  <r>
    <x v="1"/>
    <s v="JD60"/>
    <x v="28"/>
    <x v="26"/>
    <n v="10"/>
    <n v="0"/>
    <n v="182"/>
    <n v="18"/>
    <n v="18"/>
    <n v="18"/>
    <n v="15"/>
    <n v="15"/>
    <n v="21"/>
    <n v="17"/>
    <n v="10"/>
    <n v="20"/>
    <n v="30"/>
    <n v="0"/>
    <n v="0"/>
    <n v="0"/>
    <n v="0"/>
    <n v="0"/>
    <n v="0"/>
    <n v="0"/>
    <n v="0"/>
    <n v="0"/>
    <n v="0"/>
    <n v="0"/>
    <n v="0"/>
    <n v="0"/>
    <n v="0"/>
    <n v="0"/>
    <n v="0"/>
    <n v="0"/>
    <s v="景东县大街镇气力村箐门口小组，小过脉"/>
    <s v="20160922"/>
    <n v="0"/>
    <n v="0"/>
    <s v="海拔2517，N24°24′47.52″ E101°07′21.18″"/>
    <n v="33.5"/>
    <s v="1.5+1.1+1.5+1.1+1.5"/>
    <n v="6.6999999999999993"/>
    <s v="532724197401281517"/>
    <s v="15987976882"/>
  </r>
  <r>
    <x v="1"/>
    <s v="JD61"/>
    <x v="28"/>
    <x v="26"/>
    <n v="10"/>
    <n v="0"/>
    <n v="102"/>
    <n v="15"/>
    <n v="11"/>
    <n v="11"/>
    <n v="13"/>
    <n v="4"/>
    <n v="9"/>
    <n v="17"/>
    <n v="8"/>
    <n v="8"/>
    <n v="6"/>
    <n v="0"/>
    <n v="0"/>
    <n v="0"/>
    <n v="0"/>
    <n v="0"/>
    <n v="0"/>
    <n v="0"/>
    <n v="0"/>
    <n v="0"/>
    <n v="0"/>
    <n v="0"/>
    <n v="0"/>
    <n v="0"/>
    <n v="0"/>
    <n v="0"/>
    <n v="0"/>
    <n v="0"/>
    <s v="景东县大街镇气力村箐门口小组，小过脉"/>
    <s v="20160922"/>
    <n v="0"/>
    <n v="0"/>
    <s v="海拔2514，N24°24′46.08″ E101°07′20.94″"/>
    <n v="24.5"/>
    <s v="1.1+1.1+1.1+0.9+0.7"/>
    <n v="4.9000000000000004"/>
    <s v="532724197401281517"/>
    <s v="15987976882"/>
  </r>
  <r>
    <x v="1"/>
    <s v="JD17"/>
    <x v="29"/>
    <x v="27"/>
    <n v="10"/>
    <n v="0"/>
    <n v="29"/>
    <n v="1"/>
    <n v="2"/>
    <n v="2"/>
    <n v="2"/>
    <n v="2"/>
    <n v="2"/>
    <n v="3"/>
    <n v="4"/>
    <n v="5"/>
    <n v="6"/>
    <n v="0"/>
    <n v="0"/>
    <n v="0"/>
    <n v="0"/>
    <n v="0"/>
    <n v="0"/>
    <n v="0"/>
    <n v="0"/>
    <n v="0"/>
    <n v="0"/>
    <n v="0"/>
    <n v="0"/>
    <n v="0"/>
    <n v="0"/>
    <n v="0"/>
    <n v="0"/>
    <n v="0"/>
    <s v="景东县小龙乡锅瓦张家组"/>
    <s v="20160711"/>
    <n v="0"/>
    <n v="0"/>
    <n v="0"/>
    <n v="4"/>
    <n v="0"/>
    <n v="0.8"/>
    <s v="532724196901172136"/>
    <s v="138887949236"/>
  </r>
  <r>
    <x v="1"/>
    <s v="JD72"/>
    <x v="30"/>
    <x v="28"/>
    <n v="2"/>
    <n v="0"/>
    <n v="14"/>
    <n v="6"/>
    <n v="8"/>
    <n v="0"/>
    <n v="0"/>
    <n v="0"/>
    <n v="0"/>
    <n v="0"/>
    <n v="0"/>
    <n v="0"/>
    <n v="0"/>
    <n v="0"/>
    <n v="0"/>
    <n v="0"/>
    <n v="0"/>
    <n v="0"/>
    <n v="0"/>
    <n v="0"/>
    <n v="0"/>
    <n v="0"/>
    <n v="0"/>
    <n v="0"/>
    <n v="0"/>
    <n v="0"/>
    <n v="0"/>
    <n v="0"/>
    <n v="0"/>
    <n v="0"/>
    <s v="景东县龙街乡竹者村"/>
    <s v="20160818"/>
    <n v="0"/>
    <n v="0"/>
    <n v="0"/>
    <n v="3"/>
    <n v="0"/>
    <n v="0.6"/>
    <s v="532724196583872113？"/>
    <s v="13577959513"/>
  </r>
  <r>
    <x v="1"/>
    <s v="JD62"/>
    <x v="31"/>
    <x v="29"/>
    <n v="6"/>
    <n v="0"/>
    <n v="31"/>
    <n v="6"/>
    <n v="6"/>
    <n v="5"/>
    <n v="2"/>
    <n v="6"/>
    <n v="6"/>
    <n v="0"/>
    <n v="0"/>
    <n v="0"/>
    <n v="0"/>
    <n v="0"/>
    <n v="0"/>
    <n v="0"/>
    <n v="0"/>
    <n v="0"/>
    <n v="0"/>
    <n v="0"/>
    <n v="0"/>
    <n v="0"/>
    <n v="0"/>
    <n v="0"/>
    <n v="0"/>
    <n v="0"/>
    <n v="0"/>
    <n v="0"/>
    <n v="0"/>
    <n v="0"/>
    <s v="景东县龙街乡寿府水？一组，小沙水大白水"/>
    <s v="201608"/>
    <n v="0"/>
    <n v="0"/>
    <n v="0"/>
    <n v="4"/>
    <n v="0"/>
    <n v="0.8"/>
    <s v="532724197007132139"/>
    <s v="15912958748"/>
  </r>
  <r>
    <x v="1"/>
    <s v="JD91"/>
    <x v="32"/>
    <x v="30"/>
    <n v="10"/>
    <n v="0"/>
    <n v="124"/>
    <n v="17"/>
    <n v="11"/>
    <n v="12"/>
    <n v="18"/>
    <n v="10"/>
    <n v="12"/>
    <n v="10"/>
    <n v="15"/>
    <n v="10"/>
    <n v="9"/>
    <n v="0"/>
    <n v="0"/>
    <n v="0"/>
    <n v="0"/>
    <n v="0"/>
    <n v="0"/>
    <n v="0"/>
    <n v="0"/>
    <n v="0"/>
    <n v="0"/>
    <n v="0"/>
    <n v="0"/>
    <n v="0"/>
    <n v="0"/>
    <n v="0"/>
    <n v="0"/>
    <n v="0"/>
    <s v="景东县芦山村"/>
    <s v="20160710-0719"/>
    <n v="0"/>
    <n v="0"/>
    <s v="海拔2375，N24°18′21.91″ E101°13′48.64″"/>
    <n v="45"/>
    <s v="2+2+1.5+1.5+2"/>
    <n v="9"/>
    <s v="532724195509151213"/>
    <s v="18214041646"/>
  </r>
  <r>
    <x v="1"/>
    <s v="JD92"/>
    <x v="32"/>
    <x v="30"/>
    <n v="10"/>
    <n v="0"/>
    <n v="105"/>
    <n v="15"/>
    <n v="10"/>
    <n v="14"/>
    <n v="13"/>
    <n v="12"/>
    <n v="10"/>
    <n v="10"/>
    <n v="9"/>
    <n v="7"/>
    <n v="5"/>
    <n v="0"/>
    <n v="0"/>
    <n v="0"/>
    <n v="0"/>
    <n v="0"/>
    <n v="0"/>
    <n v="0"/>
    <n v="0"/>
    <n v="0"/>
    <n v="0"/>
    <n v="0"/>
    <n v="0"/>
    <n v="0"/>
    <n v="0"/>
    <n v="0"/>
    <n v="0"/>
    <n v="0"/>
    <s v="景东县芦山村"/>
    <s v="20160720-30"/>
    <n v="0"/>
    <n v="0"/>
    <s v="海拔2057，N24°17′55.30″ E101°13′22.04″"/>
    <n v="33.999999999999993"/>
    <s v="1.1+2+1.5+1.1+1.1"/>
    <n v="6.7999999999999989"/>
    <s v="532724195509151213"/>
    <s v="18214041646"/>
  </r>
  <r>
    <x v="1"/>
    <s v="JD93"/>
    <x v="32"/>
    <x v="30"/>
    <n v="0"/>
    <n v="8"/>
    <n v="42"/>
    <n v="9"/>
    <n v="5"/>
    <n v="7"/>
    <n v="4"/>
    <n v="7"/>
    <n v="2"/>
    <n v="6"/>
    <n v="2"/>
    <n v="0"/>
    <n v="0"/>
    <n v="0"/>
    <n v="0"/>
    <n v="0"/>
    <n v="0"/>
    <n v="0"/>
    <n v="0"/>
    <n v="0"/>
    <n v="0"/>
    <n v="0"/>
    <n v="0"/>
    <n v="0"/>
    <n v="0"/>
    <n v="0"/>
    <n v="0"/>
    <n v="0"/>
    <n v="0"/>
    <n v="0"/>
    <s v="景东县芦山村"/>
    <s v="20160720-30"/>
    <n v="0"/>
    <n v="0"/>
    <s v="海拔2423，N24°18′63.20″ E101°13′46。08″"/>
    <n v="15"/>
    <n v="0"/>
    <n v="3"/>
    <s v="532724195509151213"/>
    <s v="18214041646"/>
  </r>
  <r>
    <x v="1"/>
    <s v="JD94"/>
    <x v="32"/>
    <x v="30"/>
    <n v="1"/>
    <n v="0"/>
    <n v="9"/>
    <n v="9"/>
    <n v="0"/>
    <n v="0"/>
    <n v="0"/>
    <n v="0"/>
    <n v="0"/>
    <n v="0"/>
    <n v="0"/>
    <n v="0"/>
    <n v="0"/>
    <n v="0"/>
    <n v="0"/>
    <n v="0"/>
    <n v="0"/>
    <n v="0"/>
    <n v="0"/>
    <n v="0"/>
    <n v="0"/>
    <n v="0"/>
    <n v="0"/>
    <n v="0"/>
    <n v="0"/>
    <n v="0"/>
    <n v="0"/>
    <n v="0"/>
    <n v="0"/>
    <n v="0"/>
    <s v="景东县芦山村"/>
    <s v="20160801-0810"/>
    <n v="0"/>
    <n v="0"/>
    <s v="海拔2160，N24°18′10.80″ E101°13′49.50″"/>
    <n v="4"/>
    <n v="0"/>
    <n v="0.8"/>
    <s v="532724195509151213"/>
    <s v="18214041646"/>
  </r>
  <r>
    <x v="1"/>
    <s v="JD01"/>
    <x v="33"/>
    <x v="31"/>
    <n v="8"/>
    <n v="0"/>
    <n v="36"/>
    <n v="3"/>
    <n v="6"/>
    <n v="5"/>
    <n v="3"/>
    <n v="7"/>
    <n v="4"/>
    <n v="6"/>
    <n v="2"/>
    <n v="0"/>
    <n v="0"/>
    <n v="0"/>
    <n v="0"/>
    <n v="0"/>
    <n v="0"/>
    <n v="0"/>
    <n v="0"/>
    <n v="0"/>
    <n v="0"/>
    <n v="0"/>
    <n v="0"/>
    <n v="0"/>
    <n v="0"/>
    <n v="0"/>
    <n v="0"/>
    <n v="0"/>
    <n v="0"/>
    <n v="0"/>
    <s v="景东县小龙街多依树村二组"/>
    <s v="20160710"/>
    <n v="0"/>
    <n v="0"/>
    <n v="0"/>
    <n v="7.5"/>
    <n v="0"/>
    <n v="1.5"/>
    <s v="532724196406222116"/>
    <s v="13987924932"/>
  </r>
  <r>
    <x v="1"/>
    <s v="JD02"/>
    <x v="33"/>
    <x v="31"/>
    <n v="8"/>
    <n v="0"/>
    <n v="47"/>
    <n v="5"/>
    <n v="6"/>
    <n v="5"/>
    <n v="5"/>
    <n v="5"/>
    <n v="8"/>
    <n v="4"/>
    <n v="9"/>
    <n v="0"/>
    <n v="0"/>
    <n v="0"/>
    <n v="0"/>
    <n v="0"/>
    <n v="0"/>
    <n v="0"/>
    <n v="0"/>
    <n v="0"/>
    <n v="0"/>
    <n v="0"/>
    <n v="0"/>
    <n v="0"/>
    <n v="0"/>
    <n v="0"/>
    <n v="0"/>
    <n v="0"/>
    <n v="0"/>
    <n v="0"/>
    <s v="景东县小龙街多依树村二组"/>
    <s v="20160720"/>
    <n v="0"/>
    <n v="0"/>
    <n v="0"/>
    <n v="7.5"/>
    <n v="0"/>
    <n v="1.5"/>
    <s v="532724196406222116"/>
    <s v="13987924932"/>
  </r>
  <r>
    <x v="1"/>
    <s v="JD03"/>
    <x v="33"/>
    <x v="31"/>
    <n v="4"/>
    <n v="0"/>
    <n v="54"/>
    <n v="10"/>
    <n v="19"/>
    <n v="5"/>
    <n v="20"/>
    <n v="0"/>
    <n v="0"/>
    <n v="0"/>
    <n v="0"/>
    <n v="0"/>
    <n v="0"/>
    <n v="0"/>
    <n v="0"/>
    <n v="0"/>
    <n v="0"/>
    <n v="0"/>
    <n v="0"/>
    <n v="0"/>
    <n v="0"/>
    <n v="0"/>
    <n v="0"/>
    <n v="0"/>
    <n v="0"/>
    <n v="0"/>
    <n v="0"/>
    <n v="0"/>
    <n v="0"/>
    <n v="0"/>
    <s v="景东县小龙街多依树村百竹林二组"/>
    <s v="20160821"/>
    <n v="0"/>
    <n v="0"/>
    <n v="0"/>
    <n v="7.5"/>
    <n v="0"/>
    <n v="1.5"/>
    <s v="532724196406222116"/>
    <s v="13987924932"/>
  </r>
  <r>
    <x v="1"/>
    <s v="JD04"/>
    <x v="33"/>
    <x v="31"/>
    <n v="2"/>
    <n v="0"/>
    <n v="19"/>
    <n v="10"/>
    <n v="9"/>
    <n v="0"/>
    <n v="0"/>
    <n v="0"/>
    <n v="0"/>
    <n v="0"/>
    <n v="0"/>
    <n v="0"/>
    <n v="0"/>
    <n v="0"/>
    <n v="0"/>
    <n v="0"/>
    <n v="0"/>
    <n v="0"/>
    <n v="0"/>
    <n v="0"/>
    <n v="0"/>
    <n v="0"/>
    <n v="0"/>
    <n v="0"/>
    <n v="0"/>
    <n v="0"/>
    <n v="0"/>
    <n v="0"/>
    <n v="0"/>
    <n v="0"/>
    <s v="景东县小龙街多依树村百竹林二组"/>
    <s v="20161015"/>
    <n v="0"/>
    <n v="0"/>
    <n v="0"/>
    <n v="3"/>
    <n v="0"/>
    <n v="0.6"/>
    <s v="532724196406222116"/>
    <s v="13987924932"/>
  </r>
  <r>
    <x v="1"/>
    <s v="JD23"/>
    <x v="34"/>
    <x v="32"/>
    <n v="0"/>
    <n v="6"/>
    <n v="44"/>
    <n v="5"/>
    <n v="10"/>
    <n v="7"/>
    <n v="10"/>
    <n v="8"/>
    <n v="4"/>
    <n v="0"/>
    <n v="0"/>
    <n v="0"/>
    <n v="0"/>
    <n v="0"/>
    <n v="0"/>
    <n v="0"/>
    <n v="0"/>
    <n v="0"/>
    <n v="0"/>
    <n v="0"/>
    <n v="0"/>
    <n v="0"/>
    <n v="0"/>
    <n v="0"/>
    <n v="0"/>
    <n v="0"/>
    <n v="0"/>
    <n v="0"/>
    <n v="0"/>
    <n v="0"/>
    <s v="景东县小龙街乡小村村民委员会肖井组"/>
    <s v="20160713-0728"/>
    <n v="0"/>
    <n v="0"/>
    <n v="0"/>
    <n v="3"/>
    <n v="0"/>
    <n v="0.6"/>
    <s v="532724195903162113"/>
    <s v="18287956453"/>
  </r>
  <r>
    <x v="1"/>
    <s v="JD24"/>
    <x v="34"/>
    <x v="32"/>
    <n v="6"/>
    <n v="0"/>
    <n v="28"/>
    <n v="6"/>
    <n v="7"/>
    <n v="5"/>
    <n v="5"/>
    <n v="3"/>
    <n v="2"/>
    <n v="0"/>
    <n v="0"/>
    <n v="0"/>
    <n v="0"/>
    <n v="0"/>
    <n v="0"/>
    <n v="0"/>
    <n v="0"/>
    <n v="0"/>
    <n v="0"/>
    <n v="0"/>
    <n v="0"/>
    <n v="0"/>
    <n v="0"/>
    <n v="0"/>
    <n v="0"/>
    <n v="0"/>
    <n v="0"/>
    <n v="0"/>
    <n v="0"/>
    <n v="0"/>
    <s v="景东县小龙街乡小村村民委员会肖井组"/>
    <s v="20160729-0814"/>
    <n v="0"/>
    <n v="0"/>
    <n v="0"/>
    <n v="3"/>
    <n v="0"/>
    <n v="0.6"/>
    <s v="532724195903162113"/>
    <s v="18287956453"/>
  </r>
  <r>
    <x v="1"/>
    <s v="JD25"/>
    <x v="34"/>
    <x v="32"/>
    <n v="2"/>
    <n v="0"/>
    <n v="5"/>
    <n v="2"/>
    <n v="3"/>
    <n v="0"/>
    <n v="0"/>
    <n v="0"/>
    <n v="0"/>
    <n v="0"/>
    <n v="0"/>
    <n v="0"/>
    <n v="0"/>
    <n v="0"/>
    <n v="0"/>
    <n v="0"/>
    <n v="0"/>
    <n v="0"/>
    <n v="0"/>
    <n v="0"/>
    <n v="0"/>
    <n v="0"/>
    <n v="0"/>
    <n v="0"/>
    <n v="0"/>
    <n v="0"/>
    <n v="0"/>
    <n v="0"/>
    <n v="0"/>
    <n v="0"/>
    <s v="景东县小龙街乡小村村民委员会肖井组"/>
    <s v="20160815-0830"/>
    <n v="0"/>
    <n v="0"/>
    <n v="0"/>
    <n v="0.5"/>
    <n v="0"/>
    <n v="0.1"/>
    <s v="532724195903162113"/>
    <s v="18287956453"/>
  </r>
  <r>
    <x v="1"/>
    <s v="JD73"/>
    <x v="35"/>
    <x v="33"/>
    <n v="0"/>
    <n v="20"/>
    <n v="100"/>
    <n v="2"/>
    <n v="3"/>
    <n v="3"/>
    <n v="4"/>
    <n v="4"/>
    <n v="4"/>
    <n v="4"/>
    <n v="5"/>
    <n v="5"/>
    <n v="5"/>
    <n v="5"/>
    <n v="6"/>
    <n v="6"/>
    <n v="6"/>
    <n v="6"/>
    <n v="6"/>
    <n v="6"/>
    <n v="6"/>
    <n v="7"/>
    <n v="7"/>
    <n v="0"/>
    <n v="0"/>
    <n v="0"/>
    <n v="0"/>
    <n v="0"/>
    <n v="0"/>
    <n v="0"/>
    <s v="景东县麦地村黄风箐小组"/>
    <s v="20160711"/>
    <n v="0"/>
    <n v="0"/>
    <s v="海拔2491，N24°29′4.88″ E101°03′44.34″"/>
    <n v="19.5"/>
    <s v="0.5+0.7+0.9*3"/>
    <n v="3.9000000000000004"/>
    <s v="532724198410121819"/>
    <s v="15125657367"/>
  </r>
  <r>
    <x v="1"/>
    <s v="JD74"/>
    <x v="35"/>
    <x v="33"/>
    <n v="9"/>
    <n v="0"/>
    <n v="41"/>
    <n v="3"/>
    <n v="3"/>
    <n v="4"/>
    <n v="4"/>
    <n v="4"/>
    <n v="5"/>
    <n v="5"/>
    <n v="6"/>
    <n v="7"/>
    <n v="0"/>
    <n v="0"/>
    <n v="0"/>
    <n v="0"/>
    <n v="0"/>
    <n v="0"/>
    <n v="0"/>
    <n v="0"/>
    <n v="0"/>
    <n v="0"/>
    <n v="0"/>
    <n v="0"/>
    <n v="0"/>
    <n v="0"/>
    <n v="0"/>
    <n v="0"/>
    <n v="0"/>
    <n v="0"/>
    <s v="景东县麦地村黄风箐小组"/>
    <s v="20160717"/>
    <n v="0"/>
    <n v="0"/>
    <s v="海拔2419，N24°29′4.88″ E101°03′44.43″"/>
    <n v="7.5"/>
    <n v="0"/>
    <n v="1.5"/>
    <s v="532724198410121819"/>
    <s v="15125657367"/>
  </r>
  <r>
    <x v="1"/>
    <s v="JD75"/>
    <x v="35"/>
    <x v="33"/>
    <n v="9"/>
    <n v="0"/>
    <n v="38"/>
    <n v="2"/>
    <n v="3"/>
    <n v="3"/>
    <n v="3"/>
    <n v="4"/>
    <n v="4"/>
    <n v="5"/>
    <n v="6"/>
    <n v="8"/>
    <n v="0"/>
    <n v="0"/>
    <n v="0"/>
    <n v="0"/>
    <n v="0"/>
    <n v="0"/>
    <n v="0"/>
    <n v="0"/>
    <n v="0"/>
    <n v="0"/>
    <n v="0"/>
    <n v="0"/>
    <n v="0"/>
    <n v="0"/>
    <n v="0"/>
    <n v="0"/>
    <n v="0"/>
    <n v="0"/>
    <s v="景东县麦地村黄风箐小组"/>
    <s v="20160721"/>
    <n v="0"/>
    <n v="0"/>
    <s v="海拔2408，N24°29′4.88″ E101°03′44.43″"/>
    <n v="10"/>
    <n v="0"/>
    <n v="2"/>
    <s v="532724198410121819"/>
    <s v="15125657367"/>
  </r>
  <r>
    <x v="1"/>
    <s v="JD76"/>
    <x v="35"/>
    <x v="33"/>
    <n v="10"/>
    <n v="0"/>
    <n v="41"/>
    <n v="3"/>
    <n v="3"/>
    <n v="3"/>
    <n v="3"/>
    <n v="4"/>
    <n v="4"/>
    <n v="4"/>
    <n v="5"/>
    <n v="5"/>
    <n v="7"/>
    <n v="0"/>
    <n v="0"/>
    <n v="0"/>
    <n v="0"/>
    <n v="0"/>
    <n v="0"/>
    <n v="0"/>
    <n v="0"/>
    <n v="0"/>
    <n v="0"/>
    <n v="0"/>
    <n v="0"/>
    <n v="0"/>
    <n v="0"/>
    <n v="0"/>
    <n v="0"/>
    <n v="0"/>
    <s v="景东县麦地村黄风箐小组"/>
    <s v="20160803"/>
    <n v="0"/>
    <n v="0"/>
    <s v="海拔2330，N24°28′36.79″ E101°04′19.98″"/>
    <n v="12.5"/>
    <n v="0"/>
    <n v="2.5"/>
    <s v="532724198410121819"/>
    <s v="15125657367"/>
  </r>
  <r>
    <x v="1"/>
    <s v="JD77"/>
    <x v="35"/>
    <x v="33"/>
    <n v="10"/>
    <n v="0"/>
    <n v="51"/>
    <n v="2"/>
    <n v="4"/>
    <n v="4"/>
    <n v="4"/>
    <n v="4"/>
    <n v="5"/>
    <n v="5"/>
    <n v="6"/>
    <n v="8"/>
    <n v="9"/>
    <n v="0"/>
    <n v="0"/>
    <n v="0"/>
    <n v="0"/>
    <n v="0"/>
    <n v="0"/>
    <n v="0"/>
    <n v="0"/>
    <n v="0"/>
    <n v="0"/>
    <n v="0"/>
    <n v="0"/>
    <n v="0"/>
    <n v="0"/>
    <n v="0"/>
    <n v="0"/>
    <n v="0"/>
    <s v="景东县麦地村黄风箐小组"/>
    <s v="20160808"/>
    <n v="0"/>
    <n v="0"/>
    <s v="海拔2317，N24°28′41.53″ E101°04′21.64″"/>
    <n v="7.5"/>
    <n v="0"/>
    <n v="1.5"/>
    <s v="532724198410121819"/>
    <s v="15125657367"/>
  </r>
  <r>
    <x v="2"/>
    <s v="NH10"/>
    <x v="36"/>
    <x v="34"/>
    <n v="0"/>
    <n v="11"/>
    <n v="13"/>
    <n v="1"/>
    <n v="1"/>
    <n v="1"/>
    <n v="1"/>
    <n v="1"/>
    <n v="1"/>
    <n v="1"/>
    <n v="1"/>
    <n v="1"/>
    <n v="1"/>
    <n v="3"/>
    <n v="0"/>
    <n v="0"/>
    <n v="0"/>
    <n v="0"/>
    <n v="0"/>
    <n v="0"/>
    <n v="0"/>
    <n v="0"/>
    <n v="0"/>
    <n v="0"/>
    <n v="0"/>
    <n v="0"/>
    <n v="0"/>
    <n v="0"/>
    <n v="0"/>
    <n v="0"/>
    <s v="南华县兔街镇半坡村委会桃树村"/>
    <n v="20160815"/>
    <n v="0"/>
    <n v="0"/>
    <n v="0"/>
    <n v="10"/>
    <d v="1899-12-30T00:00:00"/>
    <d v="1900-01-01T00:00:00"/>
    <s v="？？？"/>
    <s v="15125969798"/>
  </r>
  <r>
    <x v="2"/>
    <s v="NH22"/>
    <x v="37"/>
    <x v="35"/>
    <n v="1"/>
    <n v="0"/>
    <n v="3"/>
    <n v="3"/>
    <n v="0"/>
    <n v="0"/>
    <n v="0"/>
    <n v="0"/>
    <n v="0"/>
    <n v="0"/>
    <n v="0"/>
    <n v="0"/>
    <n v="0"/>
    <n v="0"/>
    <n v="0"/>
    <n v="0"/>
    <n v="0"/>
    <n v="0"/>
    <n v="0"/>
    <n v="0"/>
    <n v="0"/>
    <n v="0"/>
    <n v="0"/>
    <n v="0"/>
    <n v="0"/>
    <n v="0"/>
    <n v="0"/>
    <n v="0"/>
    <n v="0"/>
    <n v="0"/>
    <s v="南华县兔街镇半坡村委会望天坡小组"/>
    <s v="？？"/>
    <n v="0"/>
    <n v="0"/>
    <n v="0"/>
    <n v="0.5"/>
    <s v="PCR FAILED"/>
    <d v="1900-01-02T00:00:00"/>
    <s v="？？？"/>
    <s v="15924785716"/>
  </r>
  <r>
    <x v="2"/>
    <s v="NH23"/>
    <x v="37"/>
    <x v="35"/>
    <n v="5"/>
    <n v="0"/>
    <n v="15"/>
    <n v="1"/>
    <n v="3"/>
    <n v="3"/>
    <n v="3"/>
    <n v="5"/>
    <n v="0"/>
    <n v="0"/>
    <n v="0"/>
    <n v="0"/>
    <n v="0"/>
    <n v="0"/>
    <n v="0"/>
    <n v="0"/>
    <n v="0"/>
    <n v="0"/>
    <n v="0"/>
    <n v="0"/>
    <n v="0"/>
    <n v="0"/>
    <n v="0"/>
    <n v="0"/>
    <n v="0"/>
    <n v="0"/>
    <n v="0"/>
    <n v="0"/>
    <n v="0"/>
    <n v="0"/>
    <s v="南华县兔街镇半坡村委会望天坡小组"/>
    <s v="？？"/>
    <n v="0"/>
    <n v="0"/>
    <n v="0"/>
    <n v="1"/>
    <d v="1899-12-30T00:00:00"/>
    <d v="1900-01-04T00:00:00"/>
    <s v="？？？"/>
    <s v="15924785716"/>
  </r>
  <r>
    <x v="2"/>
    <s v="NH14"/>
    <x v="38"/>
    <x v="36"/>
    <n v="1"/>
    <n v="0"/>
    <n v="1"/>
    <n v="1"/>
    <n v="0"/>
    <n v="0"/>
    <n v="0"/>
    <n v="0"/>
    <n v="0"/>
    <n v="0"/>
    <n v="0"/>
    <n v="0"/>
    <n v="0"/>
    <n v="0"/>
    <n v="0"/>
    <n v="0"/>
    <n v="0"/>
    <n v="0"/>
    <n v="0"/>
    <n v="0"/>
    <n v="0"/>
    <n v="0"/>
    <n v="0"/>
    <n v="0"/>
    <n v="0"/>
    <n v="0"/>
    <n v="0"/>
    <n v="0"/>
    <n v="0"/>
    <n v="0"/>
    <s v="南华县大中山保护区管理局"/>
    <s v="？？"/>
    <n v="0"/>
    <n v="0"/>
    <n v="0"/>
    <n v="0.5"/>
    <s v="PCR FAILED"/>
    <d v="1899-12-31T00:00:00"/>
    <s v="？？？"/>
    <s v="13987812514"/>
  </r>
  <r>
    <x v="2"/>
    <s v="NH07"/>
    <x v="39"/>
    <x v="37"/>
    <n v="0"/>
    <n v="1"/>
    <n v="1"/>
    <n v="1"/>
    <n v="0"/>
    <n v="0"/>
    <n v="0"/>
    <n v="0"/>
    <n v="0"/>
    <n v="0"/>
    <n v="0"/>
    <n v="0"/>
    <n v="0"/>
    <n v="0"/>
    <n v="0"/>
    <n v="0"/>
    <n v="0"/>
    <n v="0"/>
    <n v="0"/>
    <n v="0"/>
    <n v="0"/>
    <n v="0"/>
    <n v="0"/>
    <n v="0"/>
    <n v="0"/>
    <n v="0"/>
    <n v="0"/>
    <n v="0"/>
    <n v="0"/>
    <n v="0"/>
    <s v="南华县兔街"/>
    <n v="20160729"/>
    <n v="0"/>
    <n v="0"/>
    <n v="0"/>
    <n v="0.5"/>
    <s v="PCR FAILED"/>
    <d v="1899-12-31T00:00:00"/>
    <s v="？？？"/>
    <s v="？？"/>
  </r>
  <r>
    <x v="2"/>
    <s v="NH19"/>
    <x v="40"/>
    <x v="38"/>
    <n v="2"/>
    <n v="0"/>
    <n v="2"/>
    <n v="1"/>
    <n v="1"/>
    <n v="0"/>
    <n v="0"/>
    <n v="0"/>
    <n v="0"/>
    <n v="0"/>
    <n v="0"/>
    <n v="0"/>
    <n v="0"/>
    <n v="0"/>
    <n v="0"/>
    <n v="0"/>
    <n v="0"/>
    <n v="0"/>
    <n v="0"/>
    <n v="0"/>
    <n v="0"/>
    <n v="0"/>
    <n v="0"/>
    <n v="0"/>
    <n v="0"/>
    <n v="0"/>
    <n v="0"/>
    <n v="0"/>
    <n v="0"/>
    <n v="0"/>
    <s v="南华管理局马街管理站"/>
    <s v="？？"/>
    <n v="0"/>
    <n v="0"/>
    <n v="0"/>
    <n v="1.5"/>
    <d v="1899-12-30T00:00:00"/>
    <d v="1899-12-31T00:00:00"/>
    <s v="？？？"/>
    <s v="13638773306"/>
  </r>
  <r>
    <x v="2"/>
    <s v="NH20"/>
    <x v="40"/>
    <x v="38"/>
    <n v="0"/>
    <n v="7"/>
    <n v="9"/>
    <n v="1"/>
    <n v="1"/>
    <n v="1"/>
    <n v="1"/>
    <n v="1"/>
    <n v="2"/>
    <n v="2"/>
    <n v="0"/>
    <n v="0"/>
    <n v="0"/>
    <n v="0"/>
    <n v="0"/>
    <n v="0"/>
    <n v="0"/>
    <n v="0"/>
    <n v="0"/>
    <n v="0"/>
    <n v="0"/>
    <n v="0"/>
    <n v="0"/>
    <n v="0"/>
    <n v="0"/>
    <n v="0"/>
    <n v="0"/>
    <n v="0"/>
    <n v="0"/>
    <n v="0"/>
    <s v="南华管理局马街管理站"/>
    <s v="？？"/>
    <n v="0"/>
    <n v="0"/>
    <n v="0"/>
    <n v="2.5"/>
    <d v="1899-12-30T00:00:00"/>
    <d v="1899-12-31T00:00:00"/>
    <s v="？？？"/>
    <s v="13638773306"/>
  </r>
  <r>
    <x v="2"/>
    <s v="NH09"/>
    <x v="41"/>
    <x v="39"/>
    <n v="0"/>
    <n v="10"/>
    <n v="11"/>
    <n v="1"/>
    <n v="1"/>
    <n v="1"/>
    <n v="1"/>
    <n v="1"/>
    <n v="1"/>
    <n v="1"/>
    <n v="1"/>
    <n v="1"/>
    <n v="2"/>
    <n v="0"/>
    <n v="0"/>
    <n v="0"/>
    <n v="0"/>
    <n v="0"/>
    <n v="0"/>
    <n v="0"/>
    <n v="0"/>
    <n v="0"/>
    <n v="0"/>
    <n v="0"/>
    <n v="0"/>
    <n v="0"/>
    <n v="0"/>
    <n v="0"/>
    <n v="0"/>
    <n v="0"/>
    <s v="南华县兔街镇半坡村委会大荒田村"/>
    <n v="20160812"/>
    <n v="0"/>
    <n v="0"/>
    <n v="0"/>
    <n v="10"/>
    <d v="1899-12-30T00:00:00"/>
    <d v="1899-12-31T00:00:00"/>
    <s v="？？？"/>
    <s v="14769336960"/>
  </r>
  <r>
    <x v="2"/>
    <s v="NH01"/>
    <x v="42"/>
    <x v="40"/>
    <n v="6"/>
    <n v="0"/>
    <n v="20"/>
    <n v="1"/>
    <n v="1"/>
    <n v="5"/>
    <n v="5"/>
    <n v="5"/>
    <n v="3"/>
    <n v="0"/>
    <n v="0"/>
    <n v="0"/>
    <n v="0"/>
    <n v="0"/>
    <n v="0"/>
    <n v="0"/>
    <n v="0"/>
    <n v="0"/>
    <n v="0"/>
    <n v="0"/>
    <n v="0"/>
    <n v="0"/>
    <n v="0"/>
    <n v="0"/>
    <n v="0"/>
    <n v="0"/>
    <n v="0"/>
    <n v="0"/>
    <n v="0"/>
    <n v="0"/>
    <n v="0"/>
    <s v="1包"/>
    <n v="0"/>
    <n v="0"/>
    <n v="0"/>
    <n v="4"/>
    <d v="1899-12-30T00:00:00"/>
    <d v="1900-01-04T00:00:00"/>
    <d v="1899-12-30T00:00:00"/>
    <d v="1899-12-30T00:00:00"/>
  </r>
  <r>
    <x v="2"/>
    <s v="NH06"/>
    <x v="43"/>
    <x v="5"/>
    <n v="0"/>
    <n v="2"/>
    <n v="2"/>
    <n v="1"/>
    <n v="1"/>
    <n v="0"/>
    <n v="0"/>
    <n v="0"/>
    <n v="0"/>
    <n v="0"/>
    <n v="0"/>
    <n v="0"/>
    <n v="0"/>
    <n v="0"/>
    <n v="0"/>
    <n v="0"/>
    <n v="0"/>
    <n v="0"/>
    <n v="0"/>
    <n v="0"/>
    <n v="0"/>
    <n v="0"/>
    <n v="0"/>
    <n v="0"/>
    <n v="0"/>
    <n v="0"/>
    <n v="0"/>
    <n v="0"/>
    <n v="0"/>
    <n v="0"/>
    <s v="南华县五顶山乡王家村委会山花地小组"/>
    <n v="20160706"/>
    <n v="0"/>
    <n v="0"/>
    <n v="0"/>
    <n v="1"/>
    <d v="1899-12-30T00:00:00"/>
    <d v="1899-12-31T00:00:00"/>
    <s v="532324197705112112"/>
    <s v="13769251821"/>
  </r>
  <r>
    <x v="2"/>
    <s v="NH28"/>
    <x v="44"/>
    <x v="41"/>
    <n v="5"/>
    <n v="0"/>
    <n v="14"/>
    <n v="2"/>
    <n v="2"/>
    <n v="2"/>
    <n v="3"/>
    <n v="5"/>
    <n v="0"/>
    <n v="0"/>
    <n v="0"/>
    <n v="0"/>
    <n v="0"/>
    <n v="0"/>
    <n v="0"/>
    <n v="0"/>
    <n v="0"/>
    <n v="0"/>
    <n v="0"/>
    <n v="0"/>
    <n v="0"/>
    <n v="0"/>
    <n v="0"/>
    <n v="0"/>
    <n v="0"/>
    <n v="0"/>
    <n v="0"/>
    <n v="0"/>
    <n v="0"/>
    <n v="0"/>
    <s v="南华县兔街镇半坡村委会郭份田村"/>
    <s v="20160716&amp;0721"/>
    <n v="0"/>
    <n v="0"/>
    <n v="0"/>
    <n v="1"/>
    <d v="1899-12-30T00:00:00"/>
    <d v="1900-01-04T00:00:00"/>
    <s v="532324198101062534"/>
    <s v="18787824181"/>
  </r>
  <r>
    <x v="2"/>
    <s v="NH29"/>
    <x v="44"/>
    <x v="41"/>
    <n v="0"/>
    <n v="5"/>
    <n v="6"/>
    <n v="1"/>
    <n v="1"/>
    <n v="1"/>
    <n v="1"/>
    <n v="2"/>
    <n v="0"/>
    <n v="0"/>
    <n v="0"/>
    <n v="0"/>
    <n v="0"/>
    <n v="0"/>
    <n v="0"/>
    <n v="0"/>
    <n v="0"/>
    <n v="0"/>
    <n v="0"/>
    <n v="0"/>
    <n v="0"/>
    <n v="0"/>
    <n v="0"/>
    <n v="0"/>
    <n v="0"/>
    <n v="0"/>
    <n v="0"/>
    <n v="0"/>
    <n v="0"/>
    <n v="0"/>
    <s v="南华县兔街镇半坡村委会郭份田村"/>
    <s v="20160718&amp;0721"/>
    <n v="0"/>
    <n v="0"/>
    <n v="0"/>
    <n v="1.5"/>
    <d v="1899-12-30T00:00:00"/>
    <d v="1900-01-02T00:00:00"/>
    <s v="532324198101062534"/>
    <s v="18787824181"/>
  </r>
  <r>
    <x v="2"/>
    <s v="NH08"/>
    <x v="45"/>
    <x v="42"/>
    <n v="0"/>
    <n v="1"/>
    <n v="1"/>
    <n v="1"/>
    <n v="0"/>
    <n v="0"/>
    <n v="0"/>
    <n v="0"/>
    <n v="0"/>
    <n v="0"/>
    <n v="0"/>
    <n v="0"/>
    <n v="0"/>
    <n v="0"/>
    <n v="0"/>
    <n v="0"/>
    <n v="0"/>
    <n v="0"/>
    <n v="0"/>
    <n v="0"/>
    <n v="0"/>
    <n v="0"/>
    <n v="0"/>
    <n v="0"/>
    <n v="0"/>
    <n v="0"/>
    <n v="0"/>
    <n v="0"/>
    <n v="0"/>
    <n v="0"/>
    <s v="南华管理局马街管理站"/>
    <s v="？？"/>
    <n v="0"/>
    <n v="0"/>
    <n v="0"/>
    <n v="0.5"/>
    <s v="PCR FAILED"/>
    <d v="1899-12-31T00:00:00"/>
    <s v="532324197306082358"/>
    <s v="15887520320"/>
  </r>
  <r>
    <x v="2"/>
    <s v="NH24"/>
    <x v="46"/>
    <x v="43"/>
    <n v="1"/>
    <n v="0"/>
    <n v="2"/>
    <n v="2"/>
    <n v="0"/>
    <n v="0"/>
    <n v="0"/>
    <n v="0"/>
    <n v="0"/>
    <n v="0"/>
    <n v="0"/>
    <n v="0"/>
    <n v="0"/>
    <n v="0"/>
    <n v="0"/>
    <n v="0"/>
    <n v="0"/>
    <n v="0"/>
    <n v="0"/>
    <n v="0"/>
    <n v="0"/>
    <n v="0"/>
    <n v="0"/>
    <n v="0"/>
    <n v="0"/>
    <n v="0"/>
    <n v="0"/>
    <n v="0"/>
    <n v="0"/>
    <n v="0"/>
    <s v="南华县兔街镇小戈瓦村委会大村"/>
    <n v="20160730"/>
    <n v="0"/>
    <n v="0"/>
    <n v="0"/>
    <n v="10"/>
    <d v="1899-12-30T00:00:00"/>
    <d v="1899-12-31T00:00:00"/>
    <s v="532324196304142519"/>
    <s v="15125835818"/>
  </r>
  <r>
    <x v="2"/>
    <s v="NH25"/>
    <x v="47"/>
    <x v="5"/>
    <n v="10"/>
    <n v="0"/>
    <n v="10"/>
    <n v="1"/>
    <n v="1"/>
    <n v="1"/>
    <n v="1"/>
    <n v="1"/>
    <n v="1"/>
    <n v="1"/>
    <n v="1"/>
    <n v="1"/>
    <n v="1"/>
    <n v="0"/>
    <n v="0"/>
    <n v="0"/>
    <n v="0"/>
    <n v="0"/>
    <n v="0"/>
    <n v="0"/>
    <n v="0"/>
    <n v="0"/>
    <n v="0"/>
    <n v="0"/>
    <n v="0"/>
    <n v="0"/>
    <n v="0"/>
    <n v="0"/>
    <n v="0"/>
    <n v="0"/>
    <s v="南华县兔街镇干龙潭村委会上村"/>
    <n v="20160730"/>
    <n v="0"/>
    <n v="0"/>
    <n v="0"/>
    <n v="7.5"/>
    <d v="1899-12-30T00:00:00"/>
    <d v="1899-12-31T00:00:00"/>
    <s v="532324197611072519"/>
    <s v="15974785742"/>
  </r>
  <r>
    <x v="2"/>
    <s v="NH26"/>
    <x v="47"/>
    <x v="5"/>
    <n v="4"/>
    <n v="0"/>
    <n v="4"/>
    <n v="1"/>
    <n v="1"/>
    <n v="1"/>
    <n v="1"/>
    <n v="0"/>
    <n v="0"/>
    <n v="0"/>
    <n v="0"/>
    <n v="0"/>
    <n v="0"/>
    <n v="0"/>
    <n v="0"/>
    <n v="0"/>
    <n v="0"/>
    <n v="0"/>
    <n v="0"/>
    <n v="0"/>
    <n v="0"/>
    <n v="0"/>
    <n v="0"/>
    <n v="0"/>
    <n v="0"/>
    <n v="0"/>
    <n v="0"/>
    <n v="0"/>
    <n v="0"/>
    <n v="0"/>
    <s v="南华县兔街镇干龙潭村委会上村"/>
    <n v="20160801"/>
    <n v="0"/>
    <n v="0"/>
    <n v="0"/>
    <n v="4"/>
    <d v="1899-12-30T00:00:00"/>
    <d v="1900-01-09T00:00:00"/>
    <s v="532324197611072519"/>
    <s v="15974785742"/>
  </r>
  <r>
    <x v="2"/>
    <s v="NH04"/>
    <x v="48"/>
    <x v="44"/>
    <n v="0"/>
    <n v="14"/>
    <n v="15"/>
    <n v="1"/>
    <n v="1"/>
    <n v="1"/>
    <n v="1"/>
    <n v="1"/>
    <n v="1"/>
    <n v="1"/>
    <n v="1"/>
    <n v="1"/>
    <n v="1"/>
    <n v="1"/>
    <n v="1"/>
    <n v="1"/>
    <n v="2"/>
    <n v="0"/>
    <n v="0"/>
    <n v="0"/>
    <n v="0"/>
    <n v="0"/>
    <n v="0"/>
    <n v="0"/>
    <n v="0"/>
    <n v="0"/>
    <n v="0"/>
    <n v="0"/>
    <n v="0"/>
    <n v="0"/>
    <s v="南华县兔街镇半坡村委会大荒田村"/>
    <n v="20160810"/>
    <n v="0"/>
    <n v="0"/>
    <n v="0"/>
    <n v="15"/>
    <d v="1899-12-30T00:00:00"/>
    <d v="1900-01-02T00:00:00"/>
    <s v="？？？"/>
    <s v="15987847998"/>
  </r>
  <r>
    <x v="2"/>
    <s v="NH05"/>
    <x v="49"/>
    <x v="5"/>
    <n v="2"/>
    <n v="0"/>
    <n v="5"/>
    <n v="3"/>
    <n v="2"/>
    <n v="0"/>
    <n v="0"/>
    <n v="0"/>
    <n v="0"/>
    <n v="0"/>
    <n v="0"/>
    <n v="0"/>
    <n v="0"/>
    <n v="0"/>
    <n v="0"/>
    <n v="0"/>
    <n v="0"/>
    <n v="0"/>
    <n v="0"/>
    <n v="0"/>
    <n v="0"/>
    <n v="0"/>
    <n v="0"/>
    <n v="0"/>
    <n v="0"/>
    <n v="0"/>
    <n v="0"/>
    <n v="0"/>
    <n v="0"/>
    <n v="0"/>
    <s v="大中山"/>
    <s v="？？"/>
    <n v="0"/>
    <n v="0"/>
    <n v="0"/>
    <n v="1.5"/>
    <d v="1899-12-30T00:00:00"/>
    <d v="1900-01-02T00:00:00"/>
    <s v="？？？"/>
    <s v="？？"/>
  </r>
  <r>
    <x v="2"/>
    <s v="NH13"/>
    <x v="50"/>
    <x v="45"/>
    <n v="0"/>
    <n v="5"/>
    <n v="9"/>
    <n v="1"/>
    <n v="1"/>
    <n v="2"/>
    <n v="2"/>
    <n v="3"/>
    <n v="0"/>
    <n v="0"/>
    <n v="0"/>
    <n v="0"/>
    <n v="0"/>
    <n v="0"/>
    <n v="0"/>
    <n v="0"/>
    <n v="0"/>
    <n v="0"/>
    <n v="0"/>
    <n v="0"/>
    <n v="0"/>
    <n v="0"/>
    <n v="0"/>
    <n v="0"/>
    <n v="0"/>
    <n v="0"/>
    <n v="0"/>
    <n v="0"/>
    <n v="0"/>
    <n v="0"/>
    <s v="南华管理局马街管理站"/>
    <s v="？？"/>
    <n v="0"/>
    <n v="0"/>
    <n v="0"/>
    <n v="2.5"/>
    <d v="1899-12-30T00:00:00"/>
    <d v="1900-01-02T00:00:00"/>
    <s v="532324197601103331"/>
    <s v="15057230320"/>
  </r>
  <r>
    <x v="2"/>
    <s v="NH03"/>
    <x v="51"/>
    <x v="5"/>
    <n v="1"/>
    <n v="0"/>
    <n v="1"/>
    <n v="1"/>
    <n v="0"/>
    <n v="0"/>
    <n v="0"/>
    <n v="0"/>
    <n v="0"/>
    <n v="0"/>
    <n v="0"/>
    <n v="0"/>
    <n v="0"/>
    <n v="0"/>
    <n v="0"/>
    <n v="0"/>
    <n v="0"/>
    <n v="0"/>
    <n v="0"/>
    <n v="0"/>
    <n v="0"/>
    <n v="0"/>
    <n v="0"/>
    <n v="0"/>
    <n v="0"/>
    <n v="0"/>
    <n v="0"/>
    <n v="0"/>
    <n v="0"/>
    <n v="0"/>
    <s v="大中山"/>
    <s v="？？"/>
    <n v="0"/>
    <n v="0"/>
    <n v="0"/>
    <n v="0.5"/>
    <s v="PCR FAILED"/>
    <d v="1899-12-31T00:00:00"/>
    <s v="？？？"/>
    <s v="？？"/>
  </r>
  <r>
    <x v="2"/>
    <s v="NH11"/>
    <x v="52"/>
    <x v="46"/>
    <n v="0"/>
    <n v="5"/>
    <n v="15"/>
    <n v="4"/>
    <n v="2"/>
    <n v="2"/>
    <n v="1"/>
    <n v="6"/>
    <n v="0"/>
    <n v="0"/>
    <n v="0"/>
    <n v="0"/>
    <n v="0"/>
    <n v="0"/>
    <n v="0"/>
    <n v="0"/>
    <n v="0"/>
    <n v="0"/>
    <n v="0"/>
    <n v="0"/>
    <n v="0"/>
    <n v="0"/>
    <n v="0"/>
    <n v="0"/>
    <n v="0"/>
    <n v="0"/>
    <n v="0"/>
    <n v="0"/>
    <n v="0"/>
    <n v="0"/>
    <s v="南华县马街镇沙坦郎村"/>
    <n v="20160717"/>
    <n v="0"/>
    <n v="0"/>
    <n v="0"/>
    <n v="3"/>
    <d v="1899-12-30T00:00:00"/>
    <d v="1900-01-04T00:00:00"/>
    <s v="53232419820629231X"/>
    <s v="15969321758"/>
  </r>
  <r>
    <x v="2"/>
    <s v="NH02"/>
    <x v="53"/>
    <x v="47"/>
    <n v="0"/>
    <n v="2"/>
    <n v="9"/>
    <n v="4"/>
    <n v="5"/>
    <n v="0"/>
    <n v="0"/>
    <n v="0"/>
    <n v="0"/>
    <n v="0"/>
    <n v="0"/>
    <n v="0"/>
    <n v="0"/>
    <n v="0"/>
    <n v="0"/>
    <n v="0"/>
    <n v="0"/>
    <n v="0"/>
    <n v="0"/>
    <n v="0"/>
    <n v="0"/>
    <n v="0"/>
    <n v="0"/>
    <n v="0"/>
    <n v="0"/>
    <n v="0"/>
    <n v="0"/>
    <n v="0"/>
    <n v="0"/>
    <n v="0"/>
    <s v="南华县马街镇后山村委会芹菜塘村，南华管理局"/>
    <n v="20160726"/>
    <n v="0"/>
    <n v="0"/>
    <n v="0"/>
    <n v="2"/>
    <d v="1899-12-30T00:00:00"/>
    <d v="1900-01-04T00:00:00"/>
    <s v="53230119770317311X"/>
    <s v="18787814424"/>
  </r>
  <r>
    <x v="2"/>
    <s v="NH12"/>
    <x v="54"/>
    <x v="48"/>
    <n v="0"/>
    <n v="2"/>
    <n v="8"/>
    <n v="3"/>
    <n v="5"/>
    <n v="0"/>
    <n v="0"/>
    <n v="0"/>
    <n v="0"/>
    <n v="0"/>
    <n v="0"/>
    <n v="0"/>
    <n v="0"/>
    <n v="0"/>
    <n v="0"/>
    <n v="0"/>
    <n v="0"/>
    <n v="0"/>
    <n v="0"/>
    <n v="0"/>
    <n v="0"/>
    <n v="0"/>
    <n v="0"/>
    <n v="0"/>
    <n v="0"/>
    <n v="0"/>
    <n v="0"/>
    <n v="0"/>
    <n v="0"/>
    <n v="0"/>
    <s v="南华县马街镇上村马街管理站"/>
    <n v="20160720"/>
    <n v="0"/>
    <n v="0"/>
    <n v="0"/>
    <n v="2"/>
    <d v="1899-12-30T00:00:00"/>
    <d v="1900-01-04T00:00:00"/>
    <s v="532324196407272316"/>
    <s v="15125782152"/>
  </r>
  <r>
    <x v="2"/>
    <s v="NH21"/>
    <x v="55"/>
    <x v="49"/>
    <n v="1"/>
    <n v="0"/>
    <n v="2"/>
    <n v="2"/>
    <n v="0"/>
    <n v="0"/>
    <n v="0"/>
    <n v="0"/>
    <n v="0"/>
    <n v="0"/>
    <n v="0"/>
    <n v="0"/>
    <n v="0"/>
    <n v="0"/>
    <n v="0"/>
    <n v="0"/>
    <n v="0"/>
    <n v="0"/>
    <n v="0"/>
    <n v="0"/>
    <n v="0"/>
    <n v="0"/>
    <n v="0"/>
    <n v="0"/>
    <n v="0"/>
    <n v="0"/>
    <n v="0"/>
    <n v="0"/>
    <n v="0"/>
    <n v="0"/>
    <s v="南华县兔街镇长梁孜村委会长梁孜村19号"/>
    <s v="20160807-0815"/>
    <n v="0"/>
    <n v="0"/>
    <n v="0"/>
    <n v="2.5"/>
    <d v="1899-12-30T00:00:00"/>
    <s v="？？？"/>
    <s v="532324197405042511"/>
    <s v="15096465131"/>
  </r>
  <r>
    <x v="2"/>
    <s v="NH27"/>
    <x v="56"/>
    <x v="50"/>
    <n v="1"/>
    <n v="0"/>
    <n v="3"/>
    <n v="3"/>
    <n v="0"/>
    <n v="0"/>
    <n v="0"/>
    <n v="0"/>
    <n v="0"/>
    <n v="0"/>
    <n v="0"/>
    <n v="0"/>
    <n v="0"/>
    <n v="0"/>
    <n v="0"/>
    <n v="0"/>
    <n v="0"/>
    <n v="0"/>
    <n v="0"/>
    <n v="0"/>
    <n v="0"/>
    <n v="0"/>
    <n v="0"/>
    <n v="0"/>
    <n v="0"/>
    <n v="0"/>
    <n v="0"/>
    <n v="0"/>
    <n v="0"/>
    <n v="0"/>
    <s v="南华县兔街镇嘴孜村兔街站"/>
    <n v="20160810"/>
    <n v="0"/>
    <n v="0"/>
    <n v="0"/>
    <n v="1"/>
    <d v="1899-12-30T00:00:00"/>
    <d v="1900-01-02T00:00:00"/>
    <s v="532324197002172514"/>
    <s v="15096454725"/>
  </r>
  <r>
    <x v="2"/>
    <s v="NH15"/>
    <x v="57"/>
    <x v="51"/>
    <n v="1"/>
    <n v="0"/>
    <n v="6"/>
    <n v="6"/>
    <n v="0"/>
    <n v="0"/>
    <n v="0"/>
    <n v="0"/>
    <n v="0"/>
    <n v="0"/>
    <n v="0"/>
    <n v="0"/>
    <n v="0"/>
    <n v="0"/>
    <n v="0"/>
    <n v="0"/>
    <n v="0"/>
    <n v="0"/>
    <n v="0"/>
    <n v="0"/>
    <n v="0"/>
    <n v="0"/>
    <n v="0"/>
    <n v="0"/>
    <n v="0"/>
    <n v="0"/>
    <n v="0"/>
    <n v="0"/>
    <n v="0"/>
    <n v="0"/>
    <s v="南华管理局大中山站"/>
    <s v="20160710-0720"/>
    <n v="0"/>
    <n v="0"/>
    <n v="0"/>
    <n v="1.5"/>
    <d v="1899-12-30T00:00:00"/>
    <d v="1900-01-09T00:00:00"/>
    <s v="？？？"/>
    <s v="？？"/>
  </r>
  <r>
    <x v="2"/>
    <s v="NH16"/>
    <x v="57"/>
    <x v="51"/>
    <n v="1"/>
    <n v="0"/>
    <n v="10"/>
    <n v="10"/>
    <n v="0"/>
    <n v="0"/>
    <n v="0"/>
    <n v="0"/>
    <n v="0"/>
    <n v="0"/>
    <n v="0"/>
    <n v="0"/>
    <n v="0"/>
    <n v="0"/>
    <n v="0"/>
    <n v="0"/>
    <n v="0"/>
    <n v="0"/>
    <n v="0"/>
    <n v="0"/>
    <n v="0"/>
    <n v="0"/>
    <n v="0"/>
    <n v="0"/>
    <n v="0"/>
    <n v="0"/>
    <n v="0"/>
    <n v="0"/>
    <n v="0"/>
    <n v="0"/>
    <s v="南华管理局大中山站第二责任区"/>
    <s v="20160720-0730"/>
    <n v="0"/>
    <n v="0"/>
    <n v="0"/>
    <n v="2"/>
    <d v="1899-12-30T00:00:00"/>
    <d v="1900-01-09T00:00:00"/>
    <s v="？？？"/>
    <s v="？？"/>
  </r>
  <r>
    <x v="2"/>
    <s v="NH17"/>
    <x v="58"/>
    <x v="5"/>
    <n v="5"/>
    <n v="0"/>
    <n v="5"/>
    <n v="1"/>
    <n v="1"/>
    <n v="1"/>
    <n v="1"/>
    <n v="1"/>
    <n v="0"/>
    <n v="0"/>
    <n v="0"/>
    <n v="0"/>
    <n v="0"/>
    <n v="0"/>
    <n v="0"/>
    <n v="0"/>
    <n v="0"/>
    <n v="0"/>
    <n v="0"/>
    <n v="0"/>
    <n v="0"/>
    <n v="0"/>
    <n v="0"/>
    <n v="0"/>
    <n v="0"/>
    <n v="0"/>
    <n v="0"/>
    <n v="0"/>
    <n v="0"/>
    <n v="0"/>
    <s v="南华县兔街镇长梁孜中山村"/>
    <s v="20160729-0804"/>
    <n v="0"/>
    <n v="0"/>
    <n v="0"/>
    <n v="1.5"/>
    <d v="1899-12-30T00:00:00"/>
    <d v="1899-12-31T00:00:00"/>
    <s v="532324196808102553"/>
    <s v="13987848860"/>
  </r>
  <r>
    <x v="2"/>
    <s v="NH18"/>
    <x v="58"/>
    <x v="5"/>
    <n v="5"/>
    <n v="0"/>
    <n v="5"/>
    <n v="1"/>
    <n v="1"/>
    <n v="1"/>
    <n v="1"/>
    <n v="1"/>
    <n v="0"/>
    <n v="0"/>
    <n v="0"/>
    <n v="0"/>
    <n v="0"/>
    <n v="0"/>
    <n v="0"/>
    <n v="0"/>
    <n v="0"/>
    <n v="0"/>
    <n v="0"/>
    <n v="0"/>
    <n v="0"/>
    <n v="0"/>
    <n v="0"/>
    <n v="0"/>
    <n v="0"/>
    <n v="0"/>
    <n v="0"/>
    <n v="0"/>
    <n v="0"/>
    <n v="0"/>
    <s v="南华县兔街镇长梁孜中山村"/>
    <s v="20160805-0815"/>
    <n v="0"/>
    <n v="0"/>
    <n v="0"/>
    <n v="1.5"/>
    <d v="1899-12-30T00:00:00"/>
    <d v="1899-12-31T00:00:00"/>
    <s v="532324196808102553"/>
    <s v="13987848860"/>
  </r>
  <r>
    <x v="3"/>
    <s v="SB118"/>
    <x v="59"/>
    <x v="52"/>
    <n v="12"/>
    <n v="0"/>
    <n v="13"/>
    <n v="1"/>
    <n v="1"/>
    <n v="1"/>
    <n v="1"/>
    <n v="1"/>
    <n v="1"/>
    <n v="1"/>
    <n v="1"/>
    <n v="1"/>
    <n v="1"/>
    <n v="1"/>
    <n v="2"/>
    <n v="0"/>
    <n v="0"/>
    <n v="0"/>
    <n v="0"/>
    <n v="0"/>
    <n v="0"/>
    <n v="0"/>
    <n v="0"/>
    <n v="0"/>
    <n v="0"/>
    <n v="0"/>
    <n v="0"/>
    <n v="0"/>
    <n v="0"/>
    <n v="0"/>
    <s v="双柏县鄂嘉镇密架村委会岔河森林管护点"/>
    <s v="2016/0620"/>
    <s v="2016/0620"/>
    <n v="0"/>
    <s v="101°16′1.48″"/>
    <n v="2.5"/>
    <n v="0"/>
    <n v="0.5"/>
    <s v="532322198006250518"/>
    <s v="13987891571"/>
  </r>
  <r>
    <x v="3"/>
    <s v="SB119"/>
    <x v="59"/>
    <x v="52"/>
    <n v="10"/>
    <n v="0"/>
    <n v="10"/>
    <n v="1"/>
    <n v="1"/>
    <n v="1"/>
    <n v="1"/>
    <n v="1"/>
    <n v="1"/>
    <n v="1"/>
    <n v="1"/>
    <n v="1"/>
    <n v="1"/>
    <n v="0"/>
    <n v="0"/>
    <n v="0"/>
    <n v="0"/>
    <n v="0"/>
    <n v="0"/>
    <n v="0"/>
    <n v="0"/>
    <n v="0"/>
    <n v="0"/>
    <n v="0"/>
    <n v="0"/>
    <n v="0"/>
    <n v="0"/>
    <n v="0"/>
    <n v="0"/>
    <n v="0"/>
    <s v="双柏县鄂嘉镇密架村委会岔河森林管护点"/>
    <s v="2016/0710"/>
    <s v="2016/0710"/>
    <n v="0"/>
    <s v="24°24′56.92″"/>
    <n v="3"/>
    <n v="0"/>
    <n v="0.6"/>
    <s v="532322198006250518"/>
    <s v="13987891571"/>
  </r>
  <r>
    <x v="3"/>
    <s v="SB120"/>
    <x v="59"/>
    <x v="52"/>
    <n v="10"/>
    <n v="0"/>
    <n v="10"/>
    <n v="1"/>
    <n v="1"/>
    <n v="1"/>
    <n v="1"/>
    <n v="1"/>
    <n v="1"/>
    <n v="1"/>
    <n v="1"/>
    <n v="1"/>
    <n v="1"/>
    <n v="0"/>
    <n v="0"/>
    <n v="0"/>
    <n v="0"/>
    <n v="0"/>
    <n v="0"/>
    <n v="0"/>
    <n v="0"/>
    <n v="0"/>
    <n v="0"/>
    <n v="0"/>
    <n v="0"/>
    <n v="0"/>
    <n v="0"/>
    <n v="0"/>
    <n v="0"/>
    <n v="0"/>
    <s v="双柏县鄂嘉镇密架村委会岔河森林管护点"/>
    <s v="2016/0720"/>
    <s v="2016/0720"/>
    <n v="0"/>
    <s v="24°24′38.93″"/>
    <n v="1.5"/>
    <n v="0"/>
    <n v="0.3"/>
    <s v="532322198006250518"/>
    <s v="13987891571"/>
  </r>
  <r>
    <x v="3"/>
    <s v="SB121"/>
    <x v="59"/>
    <x v="52"/>
    <n v="0"/>
    <n v="19"/>
    <n v="42"/>
    <n v="2"/>
    <n v="2"/>
    <n v="2"/>
    <n v="2"/>
    <n v="2"/>
    <n v="2"/>
    <n v="2"/>
    <n v="2"/>
    <n v="2"/>
    <n v="2"/>
    <n v="2"/>
    <n v="2"/>
    <n v="2"/>
    <n v="2"/>
    <n v="2"/>
    <n v="2"/>
    <n v="3"/>
    <n v="3"/>
    <n v="4"/>
    <n v="0"/>
    <n v="0"/>
    <n v="0"/>
    <n v="0"/>
    <n v="0"/>
    <n v="0"/>
    <n v="0"/>
    <n v="0"/>
    <s v="双柏县鄂嘉镇密架村委会际天树岔河森林管护点"/>
    <s v="2016/0810"/>
    <s v="2016/0810"/>
    <n v="0"/>
    <s v="N24°24′38.36″ E101°19′1.49″"/>
    <n v="2"/>
    <n v="0"/>
    <n v="0.4"/>
    <s v="532322198006250518"/>
    <s v="13987891571"/>
  </r>
  <r>
    <x v="3"/>
    <s v="SB101"/>
    <x v="60"/>
    <x v="5"/>
    <n v="9"/>
    <n v="0"/>
    <n v="17"/>
    <n v="1"/>
    <n v="1"/>
    <n v="1"/>
    <n v="3"/>
    <n v="2"/>
    <n v="1"/>
    <n v="2"/>
    <n v="3"/>
    <n v="3"/>
    <n v="0"/>
    <n v="0"/>
    <n v="0"/>
    <n v="0"/>
    <n v="0"/>
    <n v="0"/>
    <n v="0"/>
    <n v="0"/>
    <n v="0"/>
    <n v="0"/>
    <n v="0"/>
    <n v="0"/>
    <n v="0"/>
    <n v="0"/>
    <n v="0"/>
    <n v="0"/>
    <n v="0"/>
    <n v="0"/>
    <s v="双柏县鄂嘉镇义隆村委会上村村民小组"/>
    <s v="2016/0718-0727"/>
    <s v="2016/0718-0727"/>
    <n v="0"/>
    <s v="海拔2551，N24°22′20.4″ E101°15′26.4″"/>
    <n v="2.5"/>
    <n v="0"/>
    <n v="0.5"/>
    <s v="532322196406160512"/>
    <s v="18182984872"/>
  </r>
  <r>
    <x v="3"/>
    <s v="SB102"/>
    <x v="60"/>
    <x v="5"/>
    <n v="8"/>
    <n v="0"/>
    <n v="14"/>
    <n v="2"/>
    <n v="3"/>
    <n v="1"/>
    <n v="1"/>
    <n v="2"/>
    <n v="1"/>
    <n v="2"/>
    <n v="2"/>
    <n v="0"/>
    <n v="0"/>
    <n v="0"/>
    <n v="0"/>
    <n v="0"/>
    <n v="0"/>
    <n v="0"/>
    <n v="0"/>
    <n v="0"/>
    <n v="0"/>
    <n v="0"/>
    <n v="0"/>
    <n v="0"/>
    <n v="0"/>
    <n v="0"/>
    <n v="0"/>
    <n v="0"/>
    <n v="0"/>
    <n v="0"/>
    <s v="双柏县鄂嘉镇义隆村委会上村村民小组"/>
    <s v="2016/0728-0806"/>
    <s v="2016/0728-0806"/>
    <n v="0"/>
    <s v="海拔2329，N24°22′52.5″ E101°15′40.2″"/>
    <n v="2.5"/>
    <n v="0"/>
    <n v="0.5"/>
    <s v="532322196406160512"/>
    <s v="18182984872"/>
  </r>
  <r>
    <x v="3"/>
    <s v="SB103"/>
    <x v="60"/>
    <x v="53"/>
    <n v="5"/>
    <n v="0"/>
    <n v="11"/>
    <n v="2"/>
    <n v="3"/>
    <n v="2"/>
    <n v="2"/>
    <n v="2"/>
    <n v="0"/>
    <n v="0"/>
    <n v="0"/>
    <n v="0"/>
    <n v="0"/>
    <n v="0"/>
    <n v="0"/>
    <n v="0"/>
    <n v="0"/>
    <n v="0"/>
    <n v="0"/>
    <n v="0"/>
    <n v="0"/>
    <n v="0"/>
    <n v="0"/>
    <n v="0"/>
    <n v="0"/>
    <n v="0"/>
    <n v="0"/>
    <n v="0"/>
    <n v="0"/>
    <n v="0"/>
    <s v="双柏县鄂嘉镇义隆村委会上村村民小组"/>
    <s v="2016/0819-0828"/>
    <s v="2016/0819-0828"/>
    <n v="0"/>
    <s v="海拔2771，N24°21′26.2″ E101°16′13.4″"/>
    <n v="2.5"/>
    <n v="0"/>
    <n v="0.5"/>
    <s v="532322196406160512"/>
    <s v="18182984872"/>
  </r>
  <r>
    <x v="3"/>
    <s v="SB104"/>
    <x v="60"/>
    <x v="5"/>
    <n v="6"/>
    <n v="0"/>
    <n v="17"/>
    <n v="2"/>
    <n v="3"/>
    <n v="3"/>
    <n v="3"/>
    <n v="3"/>
    <n v="3"/>
    <n v="0"/>
    <n v="0"/>
    <n v="0"/>
    <n v="0"/>
    <n v="0"/>
    <n v="0"/>
    <n v="0"/>
    <n v="0"/>
    <n v="0"/>
    <n v="0"/>
    <n v="0"/>
    <n v="0"/>
    <n v="0"/>
    <n v="0"/>
    <n v="0"/>
    <n v="0"/>
    <n v="0"/>
    <n v="0"/>
    <n v="0"/>
    <n v="0"/>
    <n v="0"/>
    <s v="双柏县鄂嘉镇义隆村委会上村村民小组"/>
    <s v="2016/0829-0830"/>
    <s v="2016/0829-0830"/>
    <n v="0"/>
    <s v="海拔2453，N24°22′46.9″ E101°15′20.3″"/>
    <n v="3"/>
    <n v="0"/>
    <n v="0.6"/>
    <s v="532322196406160512"/>
    <s v="18182984872"/>
  </r>
  <r>
    <x v="3"/>
    <s v="SB105"/>
    <x v="60"/>
    <x v="5"/>
    <n v="0"/>
    <n v="4"/>
    <n v="4"/>
    <n v="1"/>
    <n v="1"/>
    <n v="1"/>
    <n v="1"/>
    <n v="0"/>
    <n v="0"/>
    <n v="0"/>
    <n v="0"/>
    <n v="0"/>
    <n v="0"/>
    <n v="0"/>
    <n v="0"/>
    <n v="0"/>
    <n v="0"/>
    <n v="0"/>
    <n v="0"/>
    <n v="0"/>
    <n v="0"/>
    <n v="0"/>
    <n v="0"/>
    <n v="0"/>
    <n v="0"/>
    <n v="0"/>
    <n v="0"/>
    <n v="0"/>
    <n v="0"/>
    <n v="0"/>
    <s v="双柏县鄂嘉镇义隆村委会上村村民小组"/>
    <s v="2016/08"/>
    <s v="2016/08"/>
    <n v="0"/>
    <s v="海拔2225，N24°22′48.9″ E101°16′02.8″"/>
    <n v="1.5"/>
    <n v="0"/>
    <n v="0.3"/>
    <s v="532322196406160512"/>
    <s v="18182984872"/>
  </r>
  <r>
    <x v="3"/>
    <s v="SB087"/>
    <x v="61"/>
    <x v="54"/>
    <n v="4"/>
    <n v="0"/>
    <n v="20"/>
    <n v="4"/>
    <n v="6"/>
    <n v="5"/>
    <n v="5"/>
    <n v="0"/>
    <n v="0"/>
    <n v="0"/>
    <n v="0"/>
    <n v="0"/>
    <n v="0"/>
    <n v="0"/>
    <n v="0"/>
    <n v="0"/>
    <n v="0"/>
    <n v="0"/>
    <n v="0"/>
    <n v="0"/>
    <n v="0"/>
    <n v="0"/>
    <n v="0"/>
    <n v="0"/>
    <n v="0"/>
    <n v="0"/>
    <n v="0"/>
    <n v="0"/>
    <n v="0"/>
    <n v="0"/>
    <s v="双柏县鄂嘉镇老厂村委会杏子树"/>
    <s v="2016/0718"/>
    <s v="2016/0718"/>
    <n v="0"/>
    <s v="海拔2487 N24°23′40.46″，E101°9′46.24″"/>
    <n v="2"/>
    <n v="0"/>
    <n v="0.4"/>
    <s v="53232219770802051x"/>
    <s v="13987885572"/>
  </r>
  <r>
    <x v="3"/>
    <s v="SB088"/>
    <x v="61"/>
    <x v="54"/>
    <n v="4"/>
    <n v="0"/>
    <n v="21"/>
    <n v="6"/>
    <n v="5"/>
    <n v="9"/>
    <n v="1"/>
    <n v="0"/>
    <n v="0"/>
    <n v="0"/>
    <n v="0"/>
    <n v="0"/>
    <n v="0"/>
    <n v="0"/>
    <n v="0"/>
    <n v="0"/>
    <n v="0"/>
    <n v="0"/>
    <n v="0"/>
    <n v="0"/>
    <n v="0"/>
    <n v="0"/>
    <n v="0"/>
    <n v="0"/>
    <n v="0"/>
    <n v="0"/>
    <n v="0"/>
    <n v="0"/>
    <n v="0"/>
    <n v="0"/>
    <s v="双柏县鄂嘉镇老厂村委会杏子树"/>
    <s v="2016/0725"/>
    <s v="2016/0725"/>
    <n v="0"/>
    <s v="海拔2351 N24°23′41.39″，E101°?′42.71″"/>
    <n v="4"/>
    <n v="0"/>
    <n v="0.8"/>
    <s v="53232219770802051x"/>
    <s v="13987885572"/>
  </r>
  <r>
    <x v="3"/>
    <s v="SB089"/>
    <x v="61"/>
    <x v="54"/>
    <n v="4"/>
    <n v="0"/>
    <n v="20"/>
    <n v="3"/>
    <n v="4"/>
    <n v="7"/>
    <n v="6"/>
    <n v="0"/>
    <n v="0"/>
    <n v="0"/>
    <n v="0"/>
    <n v="0"/>
    <n v="0"/>
    <n v="0"/>
    <n v="0"/>
    <n v="0"/>
    <n v="0"/>
    <n v="0"/>
    <n v="0"/>
    <n v="0"/>
    <n v="0"/>
    <n v="0"/>
    <n v="0"/>
    <n v="0"/>
    <n v="0"/>
    <n v="0"/>
    <n v="0"/>
    <n v="0"/>
    <n v="0"/>
    <n v="0"/>
    <s v="双柏县鄂嘉镇老厂村岔河三家村"/>
    <s v="2016/0808"/>
    <s v="2016/0808"/>
    <n v="0"/>
    <s v="海拔2405 N24°23′40.35″，E101°9′46.17″"/>
    <n v="5"/>
    <n v="0"/>
    <n v="1"/>
    <s v="53232219770802051x"/>
    <s v="13987885572"/>
  </r>
  <r>
    <x v="3"/>
    <s v="SB090"/>
    <x v="61"/>
    <x v="26"/>
    <n v="2"/>
    <n v="0"/>
    <n v="14"/>
    <n v="10"/>
    <n v="4"/>
    <n v="0"/>
    <n v="0"/>
    <n v="0"/>
    <n v="0"/>
    <n v="0"/>
    <n v="0"/>
    <n v="0"/>
    <n v="0"/>
    <n v="0"/>
    <n v="0"/>
    <n v="0"/>
    <n v="0"/>
    <n v="0"/>
    <n v="0"/>
    <n v="0"/>
    <n v="0"/>
    <n v="0"/>
    <n v="0"/>
    <n v="0"/>
    <n v="0"/>
    <n v="0"/>
    <n v="0"/>
    <n v="0"/>
    <n v="0"/>
    <n v="0"/>
    <s v="双柏县鄂嘉镇老厂村委会杏子树"/>
    <s v="2016/0825"/>
    <s v="2016/0825"/>
    <n v="0"/>
    <s v="海拔2496 N24°24′51.57″，E101°6′45.23″"/>
    <n v="3"/>
    <n v="0"/>
    <n v="0.6"/>
    <s v="53232219770802051x"/>
    <s v="13987885572"/>
  </r>
  <r>
    <x v="3"/>
    <s v="SB091"/>
    <x v="61"/>
    <x v="54"/>
    <n v="0"/>
    <n v="1"/>
    <n v="2"/>
    <n v="2"/>
    <n v="0"/>
    <n v="0"/>
    <n v="0"/>
    <n v="0"/>
    <n v="0"/>
    <n v="0"/>
    <n v="0"/>
    <n v="0"/>
    <n v="0"/>
    <n v="0"/>
    <n v="0"/>
    <n v="0"/>
    <n v="0"/>
    <n v="0"/>
    <n v="0"/>
    <n v="0"/>
    <n v="0"/>
    <n v="0"/>
    <n v="0"/>
    <n v="0"/>
    <n v="0"/>
    <n v="0"/>
    <n v="0"/>
    <n v="0"/>
    <n v="0"/>
    <n v="0"/>
    <s v="双柏县鄂嘉镇老厂村委会杏子树"/>
    <s v="2016/0820"/>
    <s v="2016/0820"/>
    <n v="0"/>
    <s v="海拔2351 N24°23′41.38″，E101°9′42.71″"/>
    <n v="0.75"/>
    <n v="0"/>
    <n v="0.15"/>
    <s v="53232219770802051x"/>
    <s v="13987885572"/>
  </r>
  <r>
    <x v="3"/>
    <s v="SB041"/>
    <x v="62"/>
    <x v="5"/>
    <n v="7"/>
    <n v="0"/>
    <n v="37"/>
    <n v="1"/>
    <n v="2"/>
    <n v="3"/>
    <n v="4"/>
    <n v="7"/>
    <n v="8"/>
    <n v="12"/>
    <n v="0"/>
    <n v="0"/>
    <n v="0"/>
    <n v="0"/>
    <n v="0"/>
    <n v="0"/>
    <n v="0"/>
    <n v="0"/>
    <n v="0"/>
    <n v="0"/>
    <n v="0"/>
    <n v="0"/>
    <n v="0"/>
    <n v="0"/>
    <n v="0"/>
    <n v="0"/>
    <n v="0"/>
    <n v="0"/>
    <n v="0"/>
    <n v="0"/>
    <s v="双柏县老厂岔河站"/>
    <s v="2016/0709-0828"/>
    <s v="2016/0709-0828"/>
    <n v="0"/>
    <n v="0"/>
    <n v="7.5"/>
    <n v="0"/>
    <n v="1.5"/>
    <s v="53232219690801059X"/>
    <s v="15987213626"/>
  </r>
  <r>
    <x v="3"/>
    <s v="SB042"/>
    <x v="62"/>
    <x v="5"/>
    <n v="0"/>
    <n v="15"/>
    <n v="84"/>
    <n v="1"/>
    <n v="1"/>
    <n v="1"/>
    <n v="2"/>
    <n v="2"/>
    <n v="4"/>
    <n v="4"/>
    <n v="4"/>
    <n v="5"/>
    <n v="6"/>
    <n v="8"/>
    <n v="16"/>
    <n v="10"/>
    <n v="6"/>
    <n v="14"/>
    <n v="0"/>
    <n v="0"/>
    <n v="0"/>
    <n v="0"/>
    <n v="0"/>
    <n v="0"/>
    <n v="0"/>
    <n v="0"/>
    <n v="0"/>
    <n v="0"/>
    <n v="0"/>
    <n v="0"/>
    <s v="双柏县老厂岔河站"/>
    <s v="2016/0709-0828"/>
    <s v="2016/0709-0828"/>
    <n v="0"/>
    <n v="0"/>
    <n v="12.5"/>
    <n v="0"/>
    <n v="2.5"/>
    <s v="53232219690801059X"/>
    <s v="15987213626"/>
  </r>
  <r>
    <x v="3"/>
    <s v="SB043"/>
    <x v="63"/>
    <x v="55"/>
    <n v="10"/>
    <n v="0"/>
    <n v="16"/>
    <n v="1"/>
    <n v="1"/>
    <n v="2"/>
    <n v="1"/>
    <n v="1"/>
    <n v="3"/>
    <n v="3"/>
    <n v="1"/>
    <n v="1"/>
    <n v="2"/>
    <n v="0"/>
    <n v="0"/>
    <n v="0"/>
    <n v="0"/>
    <n v="0"/>
    <n v="0"/>
    <n v="0"/>
    <n v="0"/>
    <n v="0"/>
    <n v="0"/>
    <n v="0"/>
    <n v="0"/>
    <n v="0"/>
    <n v="0"/>
    <n v="0"/>
    <n v="0"/>
    <n v="0"/>
    <s v="双柏县老厂三岔河村"/>
    <s v="2016/0809"/>
    <s v="2016/0809"/>
    <n v="0"/>
    <n v="0"/>
    <n v="4"/>
    <n v="0"/>
    <n v="0.8"/>
    <s v="53232219721207053X"/>
    <s v="15987861510"/>
  </r>
  <r>
    <x v="3"/>
    <s v="SB044"/>
    <x v="63"/>
    <x v="55"/>
    <n v="10"/>
    <n v="0"/>
    <n v="23"/>
    <n v="3"/>
    <n v="2"/>
    <n v="2"/>
    <n v="3"/>
    <n v="2"/>
    <n v="2"/>
    <n v="2"/>
    <n v="2"/>
    <n v="3"/>
    <n v="2"/>
    <n v="0"/>
    <n v="0"/>
    <n v="0"/>
    <n v="0"/>
    <n v="0"/>
    <n v="0"/>
    <n v="0"/>
    <n v="0"/>
    <n v="0"/>
    <n v="0"/>
    <n v="0"/>
    <n v="0"/>
    <n v="0"/>
    <n v="0"/>
    <n v="0"/>
    <n v="0"/>
    <n v="0"/>
    <s v="双柏县老厂三岔河村"/>
    <s v="2016/0812"/>
    <s v="2016/0812"/>
    <n v="0"/>
    <n v="0"/>
    <n v="5"/>
    <n v="0"/>
    <n v="1"/>
    <s v="53232219721207053X"/>
    <s v="15987861510"/>
  </r>
  <r>
    <x v="3"/>
    <s v="SB045"/>
    <x v="63"/>
    <x v="55"/>
    <n v="9"/>
    <n v="0"/>
    <n v="23"/>
    <n v="2"/>
    <n v="3"/>
    <n v="3"/>
    <n v="3"/>
    <n v="3"/>
    <n v="1"/>
    <n v="2"/>
    <n v="3"/>
    <n v="3"/>
    <n v="0"/>
    <n v="0"/>
    <n v="0"/>
    <n v="0"/>
    <n v="0"/>
    <n v="0"/>
    <n v="0"/>
    <n v="0"/>
    <n v="0"/>
    <n v="0"/>
    <n v="0"/>
    <n v="0"/>
    <n v="0"/>
    <n v="0"/>
    <n v="0"/>
    <n v="0"/>
    <n v="0"/>
    <n v="0"/>
    <s v="双柏县老厂三岔河村"/>
    <s v="2016/0814"/>
    <s v="2016/0814"/>
    <n v="0"/>
    <n v="0"/>
    <n v="2.5"/>
    <n v="0"/>
    <n v="0.5"/>
    <s v="53232219721207053X"/>
    <s v="15987861510"/>
  </r>
  <r>
    <x v="3"/>
    <s v="SB046"/>
    <x v="63"/>
    <x v="55"/>
    <n v="10"/>
    <n v="0"/>
    <n v="24"/>
    <n v="3"/>
    <n v="2"/>
    <n v="3"/>
    <n v="1"/>
    <n v="2"/>
    <n v="3"/>
    <n v="2"/>
    <n v="3"/>
    <n v="3"/>
    <n v="2"/>
    <n v="0"/>
    <n v="0"/>
    <n v="0"/>
    <n v="0"/>
    <n v="0"/>
    <n v="0"/>
    <n v="0"/>
    <n v="0"/>
    <n v="0"/>
    <n v="0"/>
    <n v="0"/>
    <n v="0"/>
    <n v="0"/>
    <n v="0"/>
    <n v="0"/>
    <n v="0"/>
    <n v="0"/>
    <s v="双柏县老厂三岔河村"/>
    <s v="2016/0820"/>
    <s v="2016/0820"/>
    <n v="0"/>
    <n v="0"/>
    <n v="4"/>
    <n v="0"/>
    <n v="0.8"/>
    <s v="53232219721207053X"/>
    <s v="15987861510"/>
  </r>
  <r>
    <x v="3"/>
    <s v="SB047"/>
    <x v="63"/>
    <x v="55"/>
    <n v="0"/>
    <n v="15"/>
    <n v="39"/>
    <n v="3"/>
    <n v="2"/>
    <n v="1"/>
    <n v="3"/>
    <n v="2"/>
    <n v="2"/>
    <n v="4"/>
    <n v="2"/>
    <n v="4"/>
    <n v="5"/>
    <n v="3"/>
    <n v="2"/>
    <n v="1"/>
    <n v="2"/>
    <n v="3"/>
    <n v="0"/>
    <n v="0"/>
    <n v="0"/>
    <n v="0"/>
    <n v="0"/>
    <n v="0"/>
    <n v="0"/>
    <n v="0"/>
    <n v="0"/>
    <n v="0"/>
    <n v="0"/>
    <n v="0"/>
    <s v="双柏县老厂三岔河村"/>
    <s v="2016/0816"/>
    <s v="2016/0816"/>
    <n v="0"/>
    <n v="0"/>
    <n v="5"/>
    <n v="0"/>
    <n v="1"/>
    <s v="53232219721207053X"/>
    <s v="15987861510"/>
  </r>
  <r>
    <x v="3"/>
    <s v="SB014"/>
    <x v="64"/>
    <x v="56"/>
    <n v="10"/>
    <n v="0"/>
    <n v="172"/>
    <n v="18"/>
    <n v="17"/>
    <n v="17"/>
    <n v="19"/>
    <n v="23"/>
    <n v="14"/>
    <n v="17"/>
    <n v="19"/>
    <n v="14"/>
    <n v="14"/>
    <n v="0"/>
    <n v="0"/>
    <n v="0"/>
    <n v="0"/>
    <n v="0"/>
    <n v="0"/>
    <n v="0"/>
    <n v="0"/>
    <n v="0"/>
    <n v="0"/>
    <n v="0"/>
    <n v="0"/>
    <n v="0"/>
    <n v="0"/>
    <n v="0"/>
    <n v="0"/>
    <n v="0"/>
    <s v="双柏县鄂嘉镇麻旺村委会三岔河"/>
    <s v="2016/0709-0718"/>
    <s v="2016/0709-0718"/>
    <n v="0"/>
    <s v="海拔2476 N24°28′29°04″，E101°5′18.53″"/>
    <n v="52.5"/>
    <s v="2+2.5+2+2+2"/>
    <n v="10.5"/>
    <s v="532322197306090515"/>
    <s v="13368782547"/>
  </r>
  <r>
    <x v="3"/>
    <s v="SB015"/>
    <x v="64"/>
    <x v="56"/>
    <n v="10"/>
    <n v="0"/>
    <n v="237"/>
    <n v="27"/>
    <n v="26"/>
    <n v="24"/>
    <n v="34"/>
    <n v="23"/>
    <n v="20"/>
    <n v="18"/>
    <n v="15"/>
    <n v="25"/>
    <n v="25"/>
    <n v="0"/>
    <n v="0"/>
    <n v="0"/>
    <n v="0"/>
    <n v="0"/>
    <n v="0"/>
    <n v="0"/>
    <n v="0"/>
    <n v="0"/>
    <n v="0"/>
    <n v="0"/>
    <n v="0"/>
    <n v="0"/>
    <n v="0"/>
    <n v="0"/>
    <n v="0"/>
    <n v="0"/>
    <s v="双柏县鄂嘉镇麻旺村委会三岔河"/>
    <s v="2016/0719"/>
    <s v="2016/0719"/>
    <n v="0"/>
    <s v="海拔2811 N24°27′23.70″，E101°5′17.51″"/>
    <n v="55"/>
    <s v="2.5+2.5+2+2+2"/>
    <n v="11"/>
    <s v="532322197306090515"/>
    <s v="13368782547"/>
  </r>
  <r>
    <x v="3"/>
    <s v="SB016"/>
    <x v="64"/>
    <x v="56"/>
    <n v="10"/>
    <n v="0"/>
    <n v="253"/>
    <n v="30"/>
    <n v="15"/>
    <n v="20"/>
    <n v="27"/>
    <n v="38"/>
    <n v="31"/>
    <n v="29"/>
    <n v="14"/>
    <n v="25"/>
    <n v="24"/>
    <n v="0"/>
    <n v="0"/>
    <n v="0"/>
    <n v="0"/>
    <n v="0"/>
    <n v="0"/>
    <n v="0"/>
    <n v="0"/>
    <n v="0"/>
    <n v="0"/>
    <n v="0"/>
    <n v="0"/>
    <n v="0"/>
    <n v="0"/>
    <n v="0"/>
    <n v="0"/>
    <n v="0"/>
    <s v="双柏县鄂嘉镇麻旺村委会"/>
    <s v="2016/0723"/>
    <s v="2016/0723"/>
    <n v="0"/>
    <s v="海拔2517 N23°25′27.65″，E102°54′10.78″"/>
    <n v="45.5"/>
    <s v="1.1+2+1.5+2+2.5"/>
    <n v="9.1"/>
    <s v="532322197306090515"/>
    <s v="13368782547"/>
  </r>
  <r>
    <x v="3"/>
    <s v="SB017"/>
    <x v="64"/>
    <x v="56"/>
    <n v="10"/>
    <n v="0"/>
    <n v="210"/>
    <n v="20"/>
    <n v="26"/>
    <n v="15"/>
    <n v="34"/>
    <n v="13"/>
    <n v="22"/>
    <n v="27"/>
    <n v="14"/>
    <n v="19"/>
    <n v="20"/>
    <n v="0"/>
    <n v="0"/>
    <n v="0"/>
    <n v="0"/>
    <n v="0"/>
    <n v="0"/>
    <n v="0"/>
    <n v="0"/>
    <n v="0"/>
    <n v="0"/>
    <n v="0"/>
    <n v="0"/>
    <n v="0"/>
    <n v="0"/>
    <n v="0"/>
    <n v="0"/>
    <n v="0"/>
    <s v="双柏县鄂嘉镇麻旺村委会"/>
    <s v="2016/0726"/>
    <s v="2016/0726"/>
    <n v="0"/>
    <s v="海拔2412 N24°27′38.47″，E101°54′65″"/>
    <n v="60"/>
    <s v="2.5+2.5+2.5+2.5+2"/>
    <n v="12"/>
    <s v="532322197306090515"/>
    <s v="13368782547"/>
  </r>
  <r>
    <x v="3"/>
    <s v="SB005"/>
    <x v="65"/>
    <x v="57"/>
    <n v="5"/>
    <n v="0"/>
    <n v="37"/>
    <n v="2"/>
    <n v="6"/>
    <n v="9"/>
    <n v="8"/>
    <n v="12"/>
    <n v="0"/>
    <n v="0"/>
    <n v="0"/>
    <n v="0"/>
    <n v="0"/>
    <n v="0"/>
    <n v="0"/>
    <n v="0"/>
    <n v="0"/>
    <n v="0"/>
    <n v="0"/>
    <n v="0"/>
    <n v="0"/>
    <n v="0"/>
    <n v="0"/>
    <n v="0"/>
    <n v="0"/>
    <n v="0"/>
    <n v="0"/>
    <n v="0"/>
    <n v="0"/>
    <n v="0"/>
    <s v="双柏县鄂嘉镇麻旺村委会大麻旧村"/>
    <n v="42564"/>
    <n v="42565"/>
    <n v="2541"/>
    <s v="24°26′39.61″"/>
    <n v="5"/>
    <n v="0"/>
    <n v="1"/>
    <s v="532322196404060534"/>
    <s v="18183781341"/>
  </r>
  <r>
    <x v="3"/>
    <s v="SB006"/>
    <x v="65"/>
    <x v="57"/>
    <n v="5"/>
    <n v="0"/>
    <n v="21"/>
    <n v="5"/>
    <n v="7"/>
    <n v="1"/>
    <n v="4"/>
    <n v="4"/>
    <n v="0"/>
    <n v="0"/>
    <n v="0"/>
    <n v="0"/>
    <n v="0"/>
    <n v="0"/>
    <n v="0"/>
    <n v="0"/>
    <n v="0"/>
    <n v="0"/>
    <n v="0"/>
    <n v="0"/>
    <n v="0"/>
    <n v="0"/>
    <n v="0"/>
    <n v="0"/>
    <n v="0"/>
    <n v="0"/>
    <n v="0"/>
    <n v="0"/>
    <n v="0"/>
    <n v="0"/>
    <s v="双柏县鄂嘉镇麻旺村委会大麻旧村"/>
    <n v="42572"/>
    <n v="42575"/>
    <n v="0"/>
    <s v="海拔2496-2578 101°07′65.98″"/>
    <n v="4"/>
    <n v="0"/>
    <n v="0.8"/>
    <s v="532322196404060534"/>
    <s v="18183781341"/>
  </r>
  <r>
    <x v="3"/>
    <s v="SB007"/>
    <x v="65"/>
    <x v="57"/>
    <n v="2"/>
    <n v="0"/>
    <n v="5"/>
    <n v="1"/>
    <n v="4"/>
    <n v="0"/>
    <n v="0"/>
    <n v="0"/>
    <n v="0"/>
    <n v="0"/>
    <n v="0"/>
    <n v="0"/>
    <n v="0"/>
    <n v="0"/>
    <n v="0"/>
    <n v="0"/>
    <n v="0"/>
    <n v="0"/>
    <n v="0"/>
    <n v="0"/>
    <n v="0"/>
    <n v="0"/>
    <n v="0"/>
    <n v="0"/>
    <n v="0"/>
    <n v="0"/>
    <n v="0"/>
    <n v="0"/>
    <n v="0"/>
    <n v="0"/>
    <s v="双柏县鄂嘉镇麻旺村委会大麻旧村"/>
    <n v="42588"/>
    <n v="42590"/>
    <n v="0"/>
    <s v="海拔2543-2548 24°26′46.11″"/>
    <n v="1.5"/>
    <n v="0"/>
    <n v="0.3"/>
    <s v="532322196404060534"/>
    <s v="18183781341"/>
  </r>
  <r>
    <x v="3"/>
    <s v="SB008"/>
    <x v="65"/>
    <x v="57"/>
    <n v="3"/>
    <n v="0"/>
    <n v="14"/>
    <n v="3"/>
    <n v="6"/>
    <n v="5"/>
    <n v="0"/>
    <n v="0"/>
    <n v="0"/>
    <n v="0"/>
    <n v="0"/>
    <n v="0"/>
    <n v="0"/>
    <n v="0"/>
    <n v="0"/>
    <n v="0"/>
    <n v="0"/>
    <n v="0"/>
    <n v="0"/>
    <n v="0"/>
    <n v="0"/>
    <n v="0"/>
    <n v="0"/>
    <n v="0"/>
    <n v="0"/>
    <n v="0"/>
    <n v="0"/>
    <n v="0"/>
    <n v="0"/>
    <n v="0"/>
    <s v="双柏县鄂嘉镇麻旺村委会大麻旧村"/>
    <n v="42591"/>
    <n v="42597"/>
    <n v="0"/>
    <s v="海拔2572-2486 101°06′59.81″"/>
    <n v="4"/>
    <n v="0"/>
    <n v="0.8"/>
    <s v="532322196404060534"/>
    <s v="18183781341"/>
  </r>
  <r>
    <x v="3"/>
    <s v="SB009"/>
    <x v="66"/>
    <x v="58"/>
    <n v="10"/>
    <n v="0"/>
    <n v="20"/>
    <n v="2"/>
    <n v="3"/>
    <n v="2"/>
    <n v="2"/>
    <n v="2"/>
    <n v="2"/>
    <n v="2"/>
    <n v="1"/>
    <n v="2"/>
    <n v="2"/>
    <n v="0"/>
    <n v="0"/>
    <n v="0"/>
    <n v="0"/>
    <n v="0"/>
    <n v="0"/>
    <n v="0"/>
    <n v="0"/>
    <n v="0"/>
    <n v="0"/>
    <n v="0"/>
    <n v="0"/>
    <n v="0"/>
    <n v="0"/>
    <n v="0"/>
    <n v="0"/>
    <n v="0"/>
    <s v="双柏县鄂嘉镇新树村委会旧垄山"/>
    <s v="2016/0718-0727"/>
    <s v="2016/0718-0727"/>
    <n v="0"/>
    <s v="海拔2334，N24°22′52.5″ E101°15′33.9″"/>
    <n v="5"/>
    <n v="0"/>
    <n v="1"/>
    <s v="532322197507090511"/>
    <s v="18387810209"/>
  </r>
  <r>
    <x v="3"/>
    <s v="SB010"/>
    <x v="66"/>
    <x v="58"/>
    <n v="10"/>
    <n v="0"/>
    <n v="21"/>
    <n v="6"/>
    <n v="1"/>
    <n v="1"/>
    <n v="2"/>
    <n v="2"/>
    <n v="1"/>
    <n v="3"/>
    <n v="1"/>
    <n v="2"/>
    <n v="2"/>
    <n v="0"/>
    <n v="0"/>
    <n v="0"/>
    <n v="0"/>
    <n v="0"/>
    <n v="0"/>
    <n v="0"/>
    <n v="0"/>
    <n v="0"/>
    <n v="0"/>
    <n v="0"/>
    <n v="0"/>
    <n v="0"/>
    <n v="0"/>
    <n v="0"/>
    <n v="0"/>
    <n v="0"/>
    <s v="双柏县鄂嘉镇新树村委会旧垄山"/>
    <s v="2016/0725-08/05"/>
    <s v="2016/0725-08/05"/>
    <n v="0"/>
    <s v="海拔2614，N24°22′16.9″ E101°15′39.8″"/>
    <n v="4"/>
    <n v="0"/>
    <n v="0.8"/>
    <s v="532322197507090511"/>
    <s v="18387810209"/>
  </r>
  <r>
    <x v="3"/>
    <s v="SB011"/>
    <x v="66"/>
    <x v="58"/>
    <n v="10"/>
    <n v="0"/>
    <n v="37"/>
    <n v="4"/>
    <n v="2"/>
    <n v="4"/>
    <n v="4"/>
    <n v="3"/>
    <n v="2"/>
    <n v="5"/>
    <n v="4"/>
    <n v="6"/>
    <n v="3"/>
    <n v="0"/>
    <n v="0"/>
    <n v="0"/>
    <n v="0"/>
    <n v="0"/>
    <n v="0"/>
    <n v="0"/>
    <n v="0"/>
    <n v="0"/>
    <n v="0"/>
    <n v="0"/>
    <n v="0"/>
    <n v="0"/>
    <n v="0"/>
    <n v="0"/>
    <n v="0"/>
    <n v="0"/>
    <s v="双柏县鄂嘉镇新树村委会旧垄山"/>
    <s v="2016/08/09-08/18"/>
    <s v="2016/08/09-08/18"/>
    <n v="0"/>
    <s v="海拔2488，N24°21′25.6″ E101°16′21.3″"/>
    <n v="10"/>
    <n v="0"/>
    <n v="2"/>
    <s v="532322197507090511"/>
    <s v="18387810209"/>
  </r>
  <r>
    <x v="3"/>
    <s v="SB012"/>
    <x v="66"/>
    <x v="58"/>
    <n v="10"/>
    <n v="0"/>
    <n v="13"/>
    <n v="1"/>
    <n v="1"/>
    <n v="1"/>
    <n v="1"/>
    <n v="1"/>
    <n v="1"/>
    <n v="1"/>
    <n v="2"/>
    <n v="2"/>
    <n v="2"/>
    <n v="0"/>
    <n v="0"/>
    <n v="0"/>
    <n v="0"/>
    <n v="0"/>
    <n v="0"/>
    <n v="0"/>
    <n v="0"/>
    <n v="0"/>
    <n v="0"/>
    <n v="0"/>
    <n v="0"/>
    <n v="0"/>
    <n v="0"/>
    <n v="0"/>
    <n v="0"/>
    <n v="0"/>
    <s v="双柏县鄂嘉镇新树村委会旧垄山"/>
    <s v="2016/0819-0828"/>
    <s v="2016/0819-0828"/>
    <n v="0"/>
    <s v="海拔2818，N24°21′59.9″ E101°96′02″"/>
    <n v="2"/>
    <n v="0"/>
    <n v="0.4"/>
    <s v="532322197507090511"/>
    <s v="18387810209"/>
  </r>
  <r>
    <x v="3"/>
    <s v="SB013"/>
    <x v="66"/>
    <x v="58"/>
    <n v="0"/>
    <n v="3"/>
    <n v="3"/>
    <n v="1"/>
    <n v="1"/>
    <n v="1"/>
    <n v="0"/>
    <n v="0"/>
    <n v="0"/>
    <n v="0"/>
    <n v="0"/>
    <n v="0"/>
    <n v="0"/>
    <n v="0"/>
    <n v="0"/>
    <n v="0"/>
    <n v="0"/>
    <n v="0"/>
    <n v="0"/>
    <n v="0"/>
    <n v="0"/>
    <n v="0"/>
    <n v="0"/>
    <n v="0"/>
    <n v="0"/>
    <n v="0"/>
    <n v="0"/>
    <n v="0"/>
    <n v="0"/>
    <n v="0"/>
    <s v="双柏县鄂嘉镇新树村委会旧垄山"/>
    <s v="2016/0829-0830"/>
    <s v="2016/0829-0830"/>
    <n v="0"/>
    <s v="海拔2276，N24°22′50.5″ E101°16′58.4″"/>
    <n v="1"/>
    <n v="0"/>
    <n v="0.2"/>
    <s v="532322197507090511"/>
    <s v="18387810209"/>
  </r>
  <r>
    <x v="3"/>
    <s v="SB092"/>
    <x v="67"/>
    <x v="5"/>
    <n v="2"/>
    <n v="0"/>
    <n v="9"/>
    <n v="5"/>
    <n v="4"/>
    <n v="0"/>
    <n v="0"/>
    <n v="0"/>
    <n v="0"/>
    <n v="0"/>
    <n v="0"/>
    <n v="0"/>
    <n v="0"/>
    <n v="0"/>
    <n v="0"/>
    <n v="0"/>
    <n v="0"/>
    <n v="0"/>
    <n v="0"/>
    <n v="0"/>
    <n v="0"/>
    <n v="0"/>
    <n v="0"/>
    <n v="0"/>
    <n v="0"/>
    <n v="0"/>
    <n v="0"/>
    <n v="0"/>
    <n v="0"/>
    <n v="0"/>
    <s v="双柏县鄂嘉镇老厂村委会龙打坝小组"/>
    <s v="2016/0711-0720"/>
    <s v="2016/0711-0720"/>
    <n v="0"/>
    <s v="2476"/>
    <n v="2"/>
    <n v="0"/>
    <n v="0.4"/>
    <s v="532322196403090339"/>
    <s v="15891827894"/>
  </r>
  <r>
    <x v="3"/>
    <s v="SB093"/>
    <x v="67"/>
    <x v="5"/>
    <n v="2"/>
    <n v="0"/>
    <n v="9"/>
    <n v="6"/>
    <n v="3"/>
    <n v="0"/>
    <n v="0"/>
    <n v="0"/>
    <n v="0"/>
    <n v="0"/>
    <n v="0"/>
    <n v="0"/>
    <n v="0"/>
    <n v="0"/>
    <n v="0"/>
    <n v="0"/>
    <n v="0"/>
    <n v="0"/>
    <n v="0"/>
    <n v="0"/>
    <n v="0"/>
    <n v="0"/>
    <n v="0"/>
    <n v="0"/>
    <n v="0"/>
    <n v="0"/>
    <n v="0"/>
    <n v="0"/>
    <n v="0"/>
    <n v="0"/>
    <s v="双柏县鄂嘉镇老厂村委会龙打坝小组"/>
    <s v="2016/0721-0730"/>
    <s v="2016/0721-0730"/>
    <n v="0"/>
    <s v="2524"/>
    <n v="2.5"/>
    <n v="0"/>
    <n v="0.5"/>
    <s v="532322196403090339"/>
    <s v="15891827894"/>
  </r>
  <r>
    <x v="3"/>
    <s v="SB094"/>
    <x v="67"/>
    <x v="5"/>
    <n v="3"/>
    <n v="0"/>
    <n v="9"/>
    <n v="4"/>
    <n v="3"/>
    <n v="2"/>
    <n v="0"/>
    <n v="0"/>
    <n v="0"/>
    <n v="0"/>
    <n v="0"/>
    <n v="0"/>
    <n v="0"/>
    <n v="0"/>
    <n v="0"/>
    <n v="0"/>
    <n v="0"/>
    <n v="0"/>
    <n v="0"/>
    <n v="0"/>
    <n v="0"/>
    <n v="0"/>
    <n v="0"/>
    <n v="0"/>
    <n v="0"/>
    <n v="0"/>
    <n v="0"/>
    <n v="0"/>
    <n v="0"/>
    <n v="0"/>
    <s v="双柏县鄂嘉镇老厂村委会龙打坝小组"/>
    <s v="2016/0731-0809"/>
    <s v="2016/0731-0809"/>
    <n v="0"/>
    <s v="2423"/>
    <n v="3"/>
    <n v="0"/>
    <n v="0.6"/>
    <s v="532322196403090339"/>
    <s v="15891827894"/>
  </r>
  <r>
    <x v="3"/>
    <s v="SB095"/>
    <x v="67"/>
    <x v="5"/>
    <n v="2"/>
    <n v="0"/>
    <n v="11"/>
    <n v="4"/>
    <n v="7"/>
    <n v="0"/>
    <n v="0"/>
    <n v="0"/>
    <n v="0"/>
    <n v="0"/>
    <n v="0"/>
    <n v="0"/>
    <n v="0"/>
    <n v="0"/>
    <n v="0"/>
    <n v="0"/>
    <n v="0"/>
    <n v="0"/>
    <n v="0"/>
    <n v="0"/>
    <n v="0"/>
    <n v="0"/>
    <n v="0"/>
    <n v="0"/>
    <n v="0"/>
    <n v="0"/>
    <n v="0"/>
    <n v="0"/>
    <n v="0"/>
    <n v="0"/>
    <s v="双柏县鄂嘉镇老厂村委会龙打坝小组"/>
    <s v="2016/0810-0819"/>
    <s v="2016/0810-0819"/>
    <n v="0"/>
    <s v="2386"/>
    <n v="3"/>
    <n v="0"/>
    <n v="0.6"/>
    <s v="532322196403090339"/>
    <s v="15891827894"/>
  </r>
  <r>
    <x v="3"/>
    <s v="SB141"/>
    <x v="68"/>
    <x v="59"/>
    <n v="10"/>
    <n v="0"/>
    <n v="43"/>
    <n v="3"/>
    <n v="3"/>
    <n v="3"/>
    <n v="3"/>
    <n v="4"/>
    <n v="4"/>
    <n v="4"/>
    <n v="6"/>
    <n v="6"/>
    <n v="7"/>
    <n v="0"/>
    <n v="0"/>
    <n v="0"/>
    <n v="0"/>
    <n v="0"/>
    <n v="0"/>
    <n v="0"/>
    <n v="0"/>
    <n v="0"/>
    <n v="0"/>
    <n v="0"/>
    <n v="0"/>
    <n v="0"/>
    <n v="0"/>
    <n v="0"/>
    <n v="0"/>
    <n v="0"/>
    <s v="双柏县鄂嘉镇义隆村"/>
    <s v="2016/0723-0801"/>
    <s v="2016/0723-0801"/>
    <n v="0"/>
    <s v="海拔2506，N24°22′33.32″ E101°15′21.18″"/>
    <n v="10"/>
    <n v="0"/>
    <n v="2"/>
    <s v="53232219801007536"/>
    <s v="15987245764"/>
  </r>
  <r>
    <x v="3"/>
    <s v="SB142"/>
    <x v="68"/>
    <x v="59"/>
    <n v="10"/>
    <n v="0"/>
    <n v="38"/>
    <n v="3"/>
    <n v="3"/>
    <n v="3"/>
    <n v="4"/>
    <n v="4"/>
    <n v="4"/>
    <n v="4"/>
    <n v="4"/>
    <n v="4"/>
    <n v="5"/>
    <n v="0"/>
    <n v="0"/>
    <n v="0"/>
    <n v="0"/>
    <n v="0"/>
    <n v="0"/>
    <n v="0"/>
    <n v="0"/>
    <n v="0"/>
    <n v="0"/>
    <n v="0"/>
    <n v="0"/>
    <n v="0"/>
    <n v="0"/>
    <n v="0"/>
    <n v="0"/>
    <n v="0"/>
    <s v="双柏县鄂嘉镇义隆村"/>
    <s v="2016/0802-0811"/>
    <s v="2016/0802-0811"/>
    <n v="0"/>
    <s v="海拔2801，N24°21′59.88″ E101°16′00.95″"/>
    <n v="7.5"/>
    <n v="0"/>
    <n v="1.5"/>
    <s v="53232219801007536"/>
    <s v="15987245764"/>
  </r>
  <r>
    <x v="3"/>
    <s v="SB143"/>
    <x v="68"/>
    <x v="59"/>
    <n v="10"/>
    <n v="0"/>
    <n v="47"/>
    <n v="3"/>
    <n v="4"/>
    <n v="4"/>
    <n v="4"/>
    <n v="4"/>
    <n v="4"/>
    <n v="5"/>
    <n v="6"/>
    <n v="6"/>
    <n v="7"/>
    <n v="0"/>
    <n v="0"/>
    <n v="0"/>
    <n v="0"/>
    <n v="0"/>
    <n v="0"/>
    <n v="0"/>
    <n v="0"/>
    <n v="0"/>
    <n v="0"/>
    <n v="0"/>
    <n v="0"/>
    <n v="0"/>
    <n v="0"/>
    <n v="0"/>
    <n v="0"/>
    <n v="0"/>
    <s v="双柏县鄂嘉镇义隆村"/>
    <s v="2016/0812-0821"/>
    <s v="2016/0812-0821"/>
    <n v="0"/>
    <s v="海拔2517，N24°22′45.21″ E101°15′05.22″"/>
    <n v="7.5"/>
    <n v="0"/>
    <n v="1.5"/>
    <s v="53232219801007536"/>
    <s v="15987245764"/>
  </r>
  <r>
    <x v="3"/>
    <s v="SB144"/>
    <x v="68"/>
    <x v="59"/>
    <n v="7"/>
    <n v="0"/>
    <n v="27"/>
    <n v="3"/>
    <n v="3"/>
    <n v="3"/>
    <n v="4"/>
    <n v="4"/>
    <n v="4"/>
    <n v="6"/>
    <n v="0"/>
    <n v="0"/>
    <n v="0"/>
    <n v="0"/>
    <n v="0"/>
    <n v="0"/>
    <n v="0"/>
    <n v="0"/>
    <n v="0"/>
    <n v="0"/>
    <n v="0"/>
    <n v="0"/>
    <n v="0"/>
    <n v="0"/>
    <n v="0"/>
    <n v="0"/>
    <n v="0"/>
    <n v="0"/>
    <n v="0"/>
    <n v="0"/>
    <s v="双柏县鄂嘉镇义隆村"/>
    <s v="2016/0822-0830"/>
    <s v="2016/0822-0830"/>
    <n v="0"/>
    <s v="海拔2811，N24°21′44.90″ E101°15′27.96″"/>
    <n v="6"/>
    <n v="0"/>
    <n v="1.2"/>
    <s v="53232219801007536"/>
    <s v="15987245764"/>
  </r>
  <r>
    <x v="3"/>
    <s v="SB145"/>
    <x v="68"/>
    <x v="59"/>
    <n v="0"/>
    <n v="16"/>
    <n v="43"/>
    <n v="1"/>
    <n v="1"/>
    <n v="1"/>
    <n v="1"/>
    <n v="2"/>
    <n v="2"/>
    <n v="2"/>
    <n v="2"/>
    <n v="3"/>
    <n v="3"/>
    <n v="4"/>
    <n v="4"/>
    <n v="4"/>
    <n v="4"/>
    <n v="4"/>
    <n v="5"/>
    <n v="0"/>
    <n v="0"/>
    <n v="0"/>
    <n v="0"/>
    <n v="0"/>
    <n v="0"/>
    <n v="0"/>
    <n v="0"/>
    <n v="0"/>
    <n v="0"/>
    <n v="0"/>
    <s v="双柏县鄂嘉镇义隆村"/>
    <s v="2016/08"/>
    <s v="2016/08"/>
    <n v="0"/>
    <s v="海拔2361，N24°22′37.53″ E101°5′21.48″"/>
    <n v="10"/>
    <n v="0"/>
    <n v="2"/>
    <s v="53232219801007536"/>
    <s v="15987245764"/>
  </r>
  <r>
    <x v="3"/>
    <s v="SB066"/>
    <x v="69"/>
    <x v="5"/>
    <n v="10"/>
    <n v="0"/>
    <n v="11"/>
    <n v="1"/>
    <n v="1"/>
    <n v="1"/>
    <n v="1"/>
    <n v="1"/>
    <n v="1"/>
    <n v="1"/>
    <n v="1"/>
    <n v="1"/>
    <n v="2"/>
    <n v="0"/>
    <n v="0"/>
    <n v="0"/>
    <n v="0"/>
    <n v="0"/>
    <n v="0"/>
    <n v="0"/>
    <n v="0"/>
    <n v="0"/>
    <n v="0"/>
    <n v="0"/>
    <n v="0"/>
    <n v="0"/>
    <n v="0"/>
    <n v="0"/>
    <n v="0"/>
    <n v="0"/>
    <s v="双柏县鄂嘉镇义隆村"/>
    <s v="2016/0718-0727"/>
    <s v="2016/0718-0727"/>
    <n v="0"/>
    <s v="海拔2329，N24°22′52.5″ E101°95′40.2″"/>
    <n v="3"/>
    <n v="0"/>
    <n v="0.6"/>
    <s v="53232219671115053X"/>
    <s v="15987207162"/>
  </r>
  <r>
    <x v="3"/>
    <s v="SB067"/>
    <x v="69"/>
    <x v="58"/>
    <n v="10"/>
    <n v="0"/>
    <n v="15"/>
    <n v="1"/>
    <n v="1"/>
    <n v="1"/>
    <n v="1"/>
    <n v="1"/>
    <n v="1"/>
    <n v="1"/>
    <n v="2"/>
    <n v="3"/>
    <n v="3"/>
    <n v="0"/>
    <n v="0"/>
    <n v="0"/>
    <n v="0"/>
    <n v="0"/>
    <n v="0"/>
    <n v="0"/>
    <n v="0"/>
    <n v="0"/>
    <n v="0"/>
    <n v="0"/>
    <n v="0"/>
    <n v="0"/>
    <n v="0"/>
    <n v="0"/>
    <n v="0"/>
    <n v="0"/>
    <s v="双柏县鄂嘉镇义隆村"/>
    <s v="2016/0728-0806"/>
    <s v="2016/0728-0806"/>
    <n v="0"/>
    <s v="海拔2751，N24°21′44.4″ E101°15′56.41″"/>
    <n v="3"/>
    <n v="0"/>
    <n v="0.6"/>
    <s v="53232219671115053X"/>
    <s v="15987207162"/>
  </r>
  <r>
    <x v="3"/>
    <s v="SB068"/>
    <x v="69"/>
    <x v="5"/>
    <n v="10"/>
    <n v="0"/>
    <n v="11"/>
    <n v="1"/>
    <n v="1"/>
    <n v="1"/>
    <n v="1"/>
    <n v="1"/>
    <n v="1"/>
    <n v="1"/>
    <n v="1"/>
    <n v="1"/>
    <n v="2"/>
    <n v="0"/>
    <n v="0"/>
    <n v="0"/>
    <n v="0"/>
    <n v="0"/>
    <n v="0"/>
    <n v="0"/>
    <n v="0"/>
    <n v="0"/>
    <n v="0"/>
    <n v="0"/>
    <n v="0"/>
    <n v="0"/>
    <n v="0"/>
    <n v="0"/>
    <n v="0"/>
    <n v="0"/>
    <s v="双柏县鄂嘉镇义隆村"/>
    <s v="2016/0819-0828"/>
    <s v="2016/0819-0828"/>
    <n v="0"/>
    <s v="海拔2369，N24°22′54.0″ E101°15′27.5″"/>
    <n v="3"/>
    <n v="0"/>
    <n v="0.6"/>
    <s v="53232219671115053X"/>
    <s v="15987207162"/>
  </r>
  <r>
    <x v="3"/>
    <s v="SB069"/>
    <x v="69"/>
    <x v="5"/>
    <n v="6"/>
    <n v="0"/>
    <n v="6"/>
    <n v="1"/>
    <n v="1"/>
    <n v="1"/>
    <n v="1"/>
    <n v="1"/>
    <n v="1"/>
    <n v="0"/>
    <n v="0"/>
    <n v="0"/>
    <n v="0"/>
    <n v="0"/>
    <n v="0"/>
    <n v="0"/>
    <n v="0"/>
    <n v="0"/>
    <n v="0"/>
    <n v="0"/>
    <n v="0"/>
    <n v="0"/>
    <n v="0"/>
    <n v="0"/>
    <n v="0"/>
    <n v="0"/>
    <n v="0"/>
    <n v="0"/>
    <n v="0"/>
    <n v="0"/>
    <s v="双柏县鄂嘉镇义隆村"/>
    <s v="2016/0829-0830"/>
    <s v="2016/0829-0830"/>
    <n v="0"/>
    <s v="海拔2481，N24°22′46.9″ E101°15′19.8″"/>
    <n v="2"/>
    <n v="0"/>
    <n v="0.4"/>
    <s v="53232219671115053X"/>
    <s v="15987207162"/>
  </r>
  <r>
    <x v="3"/>
    <s v="SB070"/>
    <x v="69"/>
    <x v="55"/>
    <n v="0"/>
    <n v="7"/>
    <n v="7"/>
    <n v="1"/>
    <n v="1"/>
    <n v="1"/>
    <n v="1"/>
    <n v="1"/>
    <n v="1"/>
    <n v="1"/>
    <n v="0"/>
    <n v="0"/>
    <n v="0"/>
    <n v="0"/>
    <n v="0"/>
    <n v="0"/>
    <n v="0"/>
    <n v="0"/>
    <n v="0"/>
    <n v="0"/>
    <n v="0"/>
    <n v="0"/>
    <n v="0"/>
    <n v="0"/>
    <n v="0"/>
    <n v="0"/>
    <n v="0"/>
    <n v="0"/>
    <n v="0"/>
    <n v="0"/>
    <s v="双柏县鄂嘉镇义隆村"/>
    <s v="2016/0818-0827"/>
    <s v="2016/0818-0827"/>
    <n v="0"/>
    <s v="海拔2188，N24°22′49.1″ E101°10′08.9″"/>
    <n v="1.5"/>
    <n v="0"/>
    <n v="0.3"/>
    <s v="53232219671115053X"/>
    <s v="15987207162"/>
  </r>
  <r>
    <x v="3"/>
    <s v="SB146"/>
    <x v="70"/>
    <x v="53"/>
    <n v="10"/>
    <n v="0"/>
    <n v="75"/>
    <n v="4"/>
    <n v="7"/>
    <n v="2"/>
    <n v="7"/>
    <n v="6"/>
    <n v="5"/>
    <n v="6"/>
    <n v="4"/>
    <n v="14"/>
    <n v="20"/>
    <n v="0"/>
    <n v="0"/>
    <n v="0"/>
    <n v="0"/>
    <n v="0"/>
    <n v="0"/>
    <n v="0"/>
    <n v="0"/>
    <n v="0"/>
    <n v="0"/>
    <n v="0"/>
    <n v="0"/>
    <n v="0"/>
    <n v="0"/>
    <n v="0"/>
    <n v="0"/>
    <n v="0"/>
    <s v="双柏县鄂嘉镇新树村"/>
    <s v="2016/0720-0729"/>
    <s v="2016/0720-0729"/>
    <n v="0"/>
    <s v="2606"/>
    <n v="10"/>
    <n v="0"/>
    <n v="2"/>
    <s v="13769254755&amp;15288511032"/>
    <s v="53232219640207051X"/>
  </r>
  <r>
    <x v="3"/>
    <s v="SB147"/>
    <x v="70"/>
    <x v="53"/>
    <n v="10"/>
    <n v="0"/>
    <n v="59"/>
    <n v="3"/>
    <n v="4"/>
    <n v="4"/>
    <n v="5"/>
    <n v="8"/>
    <n v="7"/>
    <n v="7"/>
    <n v="7"/>
    <n v="7"/>
    <n v="7"/>
    <n v="0"/>
    <n v="0"/>
    <n v="0"/>
    <n v="0"/>
    <n v="0"/>
    <n v="0"/>
    <n v="0"/>
    <n v="0"/>
    <n v="0"/>
    <n v="0"/>
    <n v="0"/>
    <n v="0"/>
    <n v="0"/>
    <n v="0"/>
    <n v="0"/>
    <n v="0"/>
    <n v="0"/>
    <s v="双柏县鄂嘉镇新树村"/>
    <s v="2016/0730-0808"/>
    <s v="2016/0730-0808"/>
    <n v="0"/>
    <s v="2625"/>
    <n v="12.5"/>
    <n v="0"/>
    <n v="2.5"/>
    <s v="13769254755&amp;15288511032"/>
    <s v="53232219640207051X"/>
  </r>
  <r>
    <x v="3"/>
    <s v="SB148"/>
    <x v="70"/>
    <x v="53"/>
    <n v="10"/>
    <n v="0"/>
    <n v="71"/>
    <n v="4"/>
    <n v="4"/>
    <n v="2"/>
    <n v="3"/>
    <n v="6"/>
    <n v="4"/>
    <n v="4"/>
    <n v="8"/>
    <n v="6"/>
    <n v="30"/>
    <n v="0"/>
    <n v="0"/>
    <n v="0"/>
    <n v="0"/>
    <n v="0"/>
    <n v="0"/>
    <n v="0"/>
    <n v="0"/>
    <n v="0"/>
    <n v="0"/>
    <n v="0"/>
    <n v="0"/>
    <n v="0"/>
    <n v="0"/>
    <n v="0"/>
    <n v="0"/>
    <n v="0"/>
    <s v="双柏县鄂嘉镇新树村"/>
    <s v="2016/0809-0818"/>
    <s v="2016/0809-0818"/>
    <n v="0"/>
    <s v="2615"/>
    <n v="10"/>
    <n v="0"/>
    <n v="2"/>
    <s v="13769254755&amp;15288511032"/>
    <s v="53232219640207051X"/>
  </r>
  <r>
    <x v="3"/>
    <s v="SB149"/>
    <x v="70"/>
    <x v="53"/>
    <n v="10"/>
    <n v="0"/>
    <n v="77"/>
    <n v="4"/>
    <n v="4"/>
    <n v="5"/>
    <n v="5"/>
    <n v="5"/>
    <n v="6"/>
    <n v="6"/>
    <n v="6"/>
    <n v="8"/>
    <n v="28"/>
    <n v="0"/>
    <n v="0"/>
    <n v="0"/>
    <n v="0"/>
    <n v="0"/>
    <n v="0"/>
    <n v="0"/>
    <n v="0"/>
    <n v="0"/>
    <n v="0"/>
    <n v="0"/>
    <n v="0"/>
    <n v="0"/>
    <n v="0"/>
    <n v="0"/>
    <n v="0"/>
    <n v="0"/>
    <s v="双柏县鄂嘉镇新树村"/>
    <s v="2016/0819-0828"/>
    <s v="2016/0819-0828"/>
    <n v="0"/>
    <s v="2631"/>
    <n v="12.5"/>
    <n v="0"/>
    <n v="2.5"/>
    <s v="13769254755&amp;15288511032"/>
    <s v="53232219640207051X"/>
  </r>
  <r>
    <x v="3"/>
    <s v="SB071"/>
    <x v="71"/>
    <x v="5"/>
    <n v="4"/>
    <n v="0"/>
    <n v="20"/>
    <n v="7"/>
    <n v="6"/>
    <n v="2"/>
    <n v="5"/>
    <n v="0"/>
    <n v="0"/>
    <n v="0"/>
    <n v="0"/>
    <n v="0"/>
    <n v="0"/>
    <n v="0"/>
    <n v="0"/>
    <n v="0"/>
    <n v="0"/>
    <n v="0"/>
    <n v="0"/>
    <n v="0"/>
    <n v="0"/>
    <n v="0"/>
    <n v="0"/>
    <n v="0"/>
    <n v="0"/>
    <n v="0"/>
    <n v="0"/>
    <n v="0"/>
    <n v="0"/>
    <n v="0"/>
    <s v="双柏县鄂嘉镇鄂嘉村成外小组"/>
    <s v="2016/0711-0720"/>
    <s v="2016/0711-0720"/>
    <n v="0"/>
    <s v="2456-2376"/>
    <n v="4"/>
    <n v="0"/>
    <n v="0.8"/>
    <s v="532322196110080556"/>
    <s v="15987222209"/>
  </r>
  <r>
    <x v="3"/>
    <s v="SB072"/>
    <x v="71"/>
    <x v="5"/>
    <n v="4"/>
    <n v="0"/>
    <n v="19"/>
    <n v="7"/>
    <n v="2"/>
    <n v="5"/>
    <n v="5"/>
    <n v="0"/>
    <n v="0"/>
    <n v="0"/>
    <n v="0"/>
    <n v="0"/>
    <n v="0"/>
    <n v="0"/>
    <n v="0"/>
    <n v="0"/>
    <n v="0"/>
    <n v="0"/>
    <n v="0"/>
    <n v="0"/>
    <n v="0"/>
    <n v="0"/>
    <n v="0"/>
    <n v="0"/>
    <n v="0"/>
    <n v="0"/>
    <n v="0"/>
    <n v="0"/>
    <n v="0"/>
    <n v="0"/>
    <s v="双柏县鄂嘉镇鄂嘉村成外小组"/>
    <s v="2016/0721-0730"/>
    <s v="2016/0721-0730"/>
    <n v="0"/>
    <s v="2640-2348"/>
    <n v="3"/>
    <n v="0"/>
    <n v="0.6"/>
    <s v="532322196110080556"/>
    <s v="15987222209"/>
  </r>
  <r>
    <x v="3"/>
    <s v="SB073"/>
    <x v="71"/>
    <x v="5"/>
    <n v="2"/>
    <n v="0"/>
    <n v="15"/>
    <n v="5"/>
    <n v="10"/>
    <n v="0"/>
    <n v="0"/>
    <n v="0"/>
    <n v="0"/>
    <n v="0"/>
    <n v="0"/>
    <n v="0"/>
    <n v="0"/>
    <n v="0"/>
    <n v="0"/>
    <n v="0"/>
    <n v="0"/>
    <n v="0"/>
    <n v="0"/>
    <n v="0"/>
    <n v="0"/>
    <n v="0"/>
    <n v="0"/>
    <n v="0"/>
    <n v="0"/>
    <n v="0"/>
    <n v="0"/>
    <n v="0"/>
    <n v="0"/>
    <n v="0"/>
    <s v="双柏县鄂嘉镇鄂嘉村成外小组"/>
    <s v="2016/0801-0810"/>
    <s v="2016/0801-0810"/>
    <n v="0"/>
    <s v="2544-2328"/>
    <n v="4"/>
    <n v="0"/>
    <n v="0.8"/>
    <s v="532322196110080556"/>
    <s v="15987222209"/>
  </r>
  <r>
    <x v="3"/>
    <s v="SB074"/>
    <x v="71"/>
    <x v="5"/>
    <n v="4"/>
    <n v="0"/>
    <n v="15"/>
    <n v="2"/>
    <n v="1"/>
    <n v="6"/>
    <n v="6"/>
    <n v="0"/>
    <n v="0"/>
    <n v="0"/>
    <n v="0"/>
    <n v="0"/>
    <n v="0"/>
    <n v="0"/>
    <n v="0"/>
    <n v="0"/>
    <n v="0"/>
    <n v="0"/>
    <n v="0"/>
    <n v="0"/>
    <n v="0"/>
    <n v="0"/>
    <n v="0"/>
    <n v="0"/>
    <n v="0"/>
    <n v="0"/>
    <n v="0"/>
    <n v="0"/>
    <n v="0"/>
    <n v="0"/>
    <s v="双柏县鄂嘉镇鄂嘉村成外小组"/>
    <s v="2016/0811-0821"/>
    <s v="2016/0811-0821"/>
    <n v="0"/>
    <s v="2485-2356"/>
    <n v="4"/>
    <n v="0"/>
    <n v="0.8"/>
    <s v="532322196110080556"/>
    <s v="15987222209"/>
  </r>
  <r>
    <x v="3"/>
    <s v="SB053"/>
    <x v="72"/>
    <x v="58"/>
    <n v="8"/>
    <n v="0"/>
    <n v="17"/>
    <n v="1"/>
    <n v="1"/>
    <n v="2"/>
    <n v="2"/>
    <n v="2"/>
    <n v="3"/>
    <n v="3"/>
    <n v="3"/>
    <n v="0"/>
    <n v="0"/>
    <n v="0"/>
    <n v="0"/>
    <n v="0"/>
    <n v="0"/>
    <n v="0"/>
    <n v="0"/>
    <n v="0"/>
    <n v="0"/>
    <n v="0"/>
    <n v="0"/>
    <n v="0"/>
    <n v="0"/>
    <n v="0"/>
    <n v="0"/>
    <n v="0"/>
    <n v="0"/>
    <n v="0"/>
    <s v="双柏县鄂嘉镇义隆村钠嫩村民小组"/>
    <s v="2016/0723-0801"/>
    <s v="2016/0723-0801"/>
    <n v="0"/>
    <s v="海拔2706 N24°21′54.43″，E101°15′46.94″"/>
    <n v="4"/>
    <n v="0"/>
    <n v="0.8"/>
    <s v="532322195909080514"/>
    <s v="13987886798"/>
  </r>
  <r>
    <x v="3"/>
    <s v="SB054"/>
    <x v="72"/>
    <x v="5"/>
    <n v="10"/>
    <n v="0"/>
    <n v="63"/>
    <n v="2"/>
    <n v="5"/>
    <n v="3"/>
    <n v="4"/>
    <n v="5"/>
    <n v="7"/>
    <n v="5"/>
    <n v="8"/>
    <n v="15"/>
    <n v="9"/>
    <n v="0"/>
    <n v="0"/>
    <n v="0"/>
    <n v="0"/>
    <n v="0"/>
    <n v="0"/>
    <n v="0"/>
    <n v="0"/>
    <n v="0"/>
    <n v="0"/>
    <n v="0"/>
    <n v="0"/>
    <n v="0"/>
    <n v="0"/>
    <n v="0"/>
    <n v="0"/>
    <n v="0"/>
    <s v="双柏县鄂嘉镇义隆村钠嫩村民小组"/>
    <s v="2016/0802-0811"/>
    <s v="2016/0802-0811"/>
    <n v="0"/>
    <s v="海拔2416 N24°22′53.70″，E101°15′02.61″"/>
    <n v="12.5"/>
    <n v="0"/>
    <n v="2.5"/>
    <s v="532322195909080514"/>
    <s v="13987886798"/>
  </r>
  <r>
    <x v="3"/>
    <s v="SB055"/>
    <x v="72"/>
    <x v="5"/>
    <n v="10"/>
    <n v="0"/>
    <n v="53"/>
    <n v="3"/>
    <n v="4"/>
    <n v="5"/>
    <n v="3"/>
    <n v="4"/>
    <n v="8"/>
    <n v="6"/>
    <n v="5"/>
    <n v="4"/>
    <n v="11"/>
    <n v="0"/>
    <n v="0"/>
    <n v="0"/>
    <n v="0"/>
    <n v="0"/>
    <n v="0"/>
    <n v="0"/>
    <n v="0"/>
    <n v="0"/>
    <n v="0"/>
    <n v="0"/>
    <n v="0"/>
    <n v="0"/>
    <n v="0"/>
    <n v="0"/>
    <n v="0"/>
    <n v="0"/>
    <s v="双柏县鄂嘉镇义隆村钠嫩村民小组"/>
    <s v="2016/0812-0821"/>
    <s v="2016/0812-0821"/>
    <n v="0"/>
    <s v="海拔2502 N24°22′50.59″，E101°15′03.05″"/>
    <n v="12.5"/>
    <n v="0"/>
    <n v="2.5"/>
    <s v="532322195909080514"/>
    <s v="13987886798"/>
  </r>
  <r>
    <x v="3"/>
    <s v="SB056"/>
    <x v="72"/>
    <x v="5"/>
    <n v="9"/>
    <n v="0"/>
    <n v="29"/>
    <n v="5"/>
    <n v="2"/>
    <n v="3"/>
    <n v="4"/>
    <n v="2"/>
    <n v="2"/>
    <n v="3"/>
    <n v="4"/>
    <n v="4"/>
    <n v="0"/>
    <n v="0"/>
    <n v="0"/>
    <n v="0"/>
    <n v="0"/>
    <n v="0"/>
    <n v="0"/>
    <n v="0"/>
    <n v="0"/>
    <n v="0"/>
    <n v="0"/>
    <n v="0"/>
    <n v="0"/>
    <n v="0"/>
    <n v="0"/>
    <n v="0"/>
    <n v="0"/>
    <n v="0"/>
    <s v="双柏县鄂嘉镇义隆村钠嫩村民小组"/>
    <s v="2016/0822-0830"/>
    <s v="2016/0822-0830"/>
    <n v="0"/>
    <s v="海拔2475 N24°22′26.27″，E101°15′20.41″"/>
    <n v="10"/>
    <n v="0"/>
    <n v="2"/>
    <s v="532322195909080514"/>
    <s v="13987886798"/>
  </r>
  <r>
    <x v="3"/>
    <s v="SB057"/>
    <x v="72"/>
    <x v="5"/>
    <n v="0"/>
    <n v="16"/>
    <n v="52"/>
    <n v="1"/>
    <n v="1"/>
    <n v="1"/>
    <n v="2"/>
    <n v="2"/>
    <n v="2"/>
    <n v="3"/>
    <n v="3"/>
    <n v="4"/>
    <n v="4"/>
    <n v="4"/>
    <n v="4"/>
    <n v="4"/>
    <n v="4"/>
    <n v="5"/>
    <n v="8"/>
    <n v="0"/>
    <n v="0"/>
    <n v="0"/>
    <n v="0"/>
    <n v="0"/>
    <n v="0"/>
    <n v="0"/>
    <n v="0"/>
    <n v="0"/>
    <n v="0"/>
    <n v="0"/>
    <s v="双柏县鄂嘉镇义隆村钠嫩村民小组"/>
    <s v="2016/08"/>
    <s v="2016/08"/>
    <n v="0"/>
    <s v="海拔2213 N24°22′46.92″，E101°16′22.23″"/>
    <n v="10"/>
    <n v="0"/>
    <n v="2"/>
    <s v="532322195909080514"/>
    <s v="13987886798"/>
  </r>
  <r>
    <x v="3"/>
    <s v="SB030"/>
    <x v="73"/>
    <x v="60"/>
    <n v="10"/>
    <n v="0"/>
    <n v="83"/>
    <n v="10"/>
    <n v="9"/>
    <n v="7"/>
    <n v="9"/>
    <n v="9"/>
    <n v="9"/>
    <n v="8"/>
    <n v="7"/>
    <n v="5"/>
    <n v="10"/>
    <n v="0"/>
    <n v="0"/>
    <n v="0"/>
    <n v="0"/>
    <n v="0"/>
    <n v="0"/>
    <n v="0"/>
    <n v="0"/>
    <n v="0"/>
    <n v="0"/>
    <n v="0"/>
    <n v="0"/>
    <n v="0"/>
    <n v="0"/>
    <n v="0"/>
    <n v="0"/>
    <n v="0"/>
    <s v="双柏县鄂嘉镇新树村委会"/>
    <s v="2016/0720-0728"/>
    <s v="2016/0720-0728"/>
    <n v="0"/>
    <s v="海拔2691 N24°17′22.03″，E101°17′10.24″"/>
    <n v="10"/>
    <n v="0"/>
    <n v="2"/>
    <s v="532322196812100515"/>
    <s v="15288564767"/>
  </r>
  <r>
    <x v="3"/>
    <s v="SB031"/>
    <x v="73"/>
    <x v="60"/>
    <n v="9"/>
    <n v="0"/>
    <n v="95"/>
    <n v="13"/>
    <n v="10"/>
    <n v="13"/>
    <n v="8"/>
    <n v="6"/>
    <n v="8"/>
    <n v="12"/>
    <n v="12"/>
    <n v="13"/>
    <n v="0"/>
    <n v="0"/>
    <n v="0"/>
    <n v="0"/>
    <n v="0"/>
    <n v="0"/>
    <n v="0"/>
    <n v="0"/>
    <n v="0"/>
    <n v="0"/>
    <n v="0"/>
    <n v="0"/>
    <n v="0"/>
    <n v="0"/>
    <n v="0"/>
    <n v="0"/>
    <n v="0"/>
    <n v="0"/>
    <s v="双柏县鄂嘉镇新树村委会"/>
    <s v="2016/0729-0807"/>
    <s v="2016/0729-0807"/>
    <n v="0"/>
    <s v="海拔2691 N24°17′22.03″，E101°17′10.24″"/>
    <n v="10"/>
    <n v="0"/>
    <n v="2"/>
    <s v="532322196812100515"/>
    <s v="15288564767"/>
  </r>
  <r>
    <x v="3"/>
    <s v="SB032"/>
    <x v="73"/>
    <x v="60"/>
    <n v="10"/>
    <n v="0"/>
    <n v="89"/>
    <n v="6"/>
    <n v="9"/>
    <n v="10"/>
    <n v="9"/>
    <n v="10"/>
    <n v="9"/>
    <n v="6"/>
    <n v="11"/>
    <n v="10"/>
    <n v="9"/>
    <n v="0"/>
    <n v="0"/>
    <n v="0"/>
    <n v="0"/>
    <n v="0"/>
    <n v="0"/>
    <n v="0"/>
    <n v="0"/>
    <n v="0"/>
    <n v="0"/>
    <n v="0"/>
    <n v="0"/>
    <n v="0"/>
    <n v="0"/>
    <n v="0"/>
    <n v="0"/>
    <n v="0"/>
    <s v="双柏县鄂嘉镇新树村委会"/>
    <s v="2016/0808-0817"/>
    <s v="2016/0808-0817"/>
    <n v="0"/>
    <s v="海拔2691 N24°17′22.03″，E101°17′10.24″"/>
    <n v="15"/>
    <n v="0"/>
    <n v="3"/>
    <s v="532322196812100515"/>
    <s v="15288564767"/>
  </r>
  <r>
    <x v="3"/>
    <s v="SB033"/>
    <x v="73"/>
    <x v="60"/>
    <n v="10"/>
    <n v="0"/>
    <n v="65"/>
    <n v="13"/>
    <n v="4"/>
    <n v="5"/>
    <n v="6"/>
    <n v="7"/>
    <n v="5"/>
    <n v="5"/>
    <n v="5"/>
    <n v="9"/>
    <n v="6"/>
    <n v="0"/>
    <n v="0"/>
    <n v="0"/>
    <n v="0"/>
    <n v="0"/>
    <n v="0"/>
    <n v="0"/>
    <n v="0"/>
    <n v="0"/>
    <n v="0"/>
    <n v="0"/>
    <n v="0"/>
    <n v="0"/>
    <n v="0"/>
    <n v="0"/>
    <n v="0"/>
    <n v="0"/>
    <s v="双柏县鄂嘉镇新树村委会"/>
    <s v="2016/0818-27"/>
    <s v="2016/0818-27"/>
    <n v="0"/>
    <s v="海拔2691 N24°17′22.03″，E101°17′10.24″"/>
    <n v="12.5"/>
    <n v="0"/>
    <n v="2.5"/>
    <s v="532322196812100515"/>
    <s v="15288564767"/>
  </r>
  <r>
    <x v="3"/>
    <s v="SB106"/>
    <x v="74"/>
    <x v="5"/>
    <n v="3"/>
    <n v="0"/>
    <n v="15"/>
    <n v="5"/>
    <n v="9"/>
    <n v="1"/>
    <n v="0"/>
    <n v="0"/>
    <n v="0"/>
    <n v="0"/>
    <n v="0"/>
    <n v="0"/>
    <n v="0"/>
    <n v="0"/>
    <n v="0"/>
    <n v="0"/>
    <n v="0"/>
    <n v="0"/>
    <n v="0"/>
    <n v="0"/>
    <n v="0"/>
    <n v="0"/>
    <n v="0"/>
    <n v="0"/>
    <n v="0"/>
    <n v="0"/>
    <n v="0"/>
    <n v="0"/>
    <n v="0"/>
    <n v="0"/>
    <s v="双柏县鄂嘉镇新厂村大龙汤1号"/>
    <s v="2016/0715"/>
    <s v="2016/0715"/>
    <n v="0"/>
    <s v="海拔2382 N24°26′48.89″，E101°7′41.65″"/>
    <n v="4"/>
    <n v="0"/>
    <n v="0.8"/>
    <s v="53232219810509053X"/>
    <s v="18308789745"/>
  </r>
  <r>
    <x v="3"/>
    <s v="SB107"/>
    <x v="74"/>
    <x v="5"/>
    <n v="4"/>
    <n v="0"/>
    <n v="27"/>
    <n v="6"/>
    <n v="6"/>
    <n v="8"/>
    <n v="7"/>
    <n v="0"/>
    <n v="0"/>
    <n v="0"/>
    <n v="0"/>
    <n v="0"/>
    <n v="0"/>
    <n v="0"/>
    <n v="0"/>
    <n v="0"/>
    <n v="0"/>
    <n v="0"/>
    <n v="0"/>
    <n v="0"/>
    <n v="0"/>
    <n v="0"/>
    <n v="0"/>
    <n v="0"/>
    <n v="0"/>
    <n v="0"/>
    <n v="0"/>
    <n v="0"/>
    <n v="0"/>
    <n v="0"/>
    <s v="双柏县鄂嘉镇新厂村大龙汤1号"/>
    <s v="2016/0720"/>
    <s v="2016/0720"/>
    <n v="0"/>
    <s v="海拔2388 N24°26′32.63″，E101°7′35.87″"/>
    <n v="5"/>
    <n v="0"/>
    <n v="1"/>
    <s v="53232219810509053X"/>
    <s v="18308789745"/>
  </r>
  <r>
    <x v="3"/>
    <s v="SB108"/>
    <x v="74"/>
    <x v="5"/>
    <n v="6"/>
    <n v="0"/>
    <n v="49"/>
    <n v="8"/>
    <n v="10"/>
    <n v="5"/>
    <n v="7"/>
    <n v="11"/>
    <n v="8"/>
    <n v="0"/>
    <n v="0"/>
    <n v="0"/>
    <n v="0"/>
    <n v="0"/>
    <n v="0"/>
    <n v="0"/>
    <n v="0"/>
    <n v="0"/>
    <n v="0"/>
    <n v="0"/>
    <n v="0"/>
    <n v="0"/>
    <n v="0"/>
    <n v="0"/>
    <n v="0"/>
    <n v="0"/>
    <n v="0"/>
    <n v="0"/>
    <n v="0"/>
    <n v="0"/>
    <s v="双柏县鄂嘉镇新厂村大龙汤"/>
    <s v="2016/0805"/>
    <s v="2016/0805"/>
    <n v="0"/>
    <s v="海拔2500-2529 E101°7′72.76″"/>
    <n v="6"/>
    <n v="0"/>
    <n v="1.2"/>
    <s v="53232219810509053X"/>
    <s v="18308789745"/>
  </r>
  <r>
    <x v="3"/>
    <s v="SB109"/>
    <x v="74"/>
    <x v="5"/>
    <n v="3"/>
    <n v="0"/>
    <n v="36"/>
    <n v="13"/>
    <n v="11"/>
    <n v="12"/>
    <n v="0"/>
    <n v="0"/>
    <n v="0"/>
    <n v="0"/>
    <n v="0"/>
    <n v="0"/>
    <n v="0"/>
    <n v="0"/>
    <n v="0"/>
    <n v="0"/>
    <n v="0"/>
    <n v="0"/>
    <n v="0"/>
    <n v="0"/>
    <n v="0"/>
    <n v="0"/>
    <n v="0"/>
    <n v="0"/>
    <n v="0"/>
    <n v="0"/>
    <n v="0"/>
    <n v="0"/>
    <n v="0"/>
    <n v="0"/>
    <s v="双柏县鄂嘉镇新厂村大龙汤"/>
    <s v="2016/0817"/>
    <s v="2016/0817"/>
    <n v="0"/>
    <s v="海拔2387-2492 E101°7′35.87″"/>
    <n v="4"/>
    <n v="0"/>
    <n v="0.8"/>
    <s v="53232219810509053X"/>
    <s v="18308789745"/>
  </r>
  <r>
    <x v="3"/>
    <s v="SB001"/>
    <x v="75"/>
    <x v="61"/>
    <n v="10"/>
    <n v="0"/>
    <n v="87"/>
    <n v="10"/>
    <n v="5"/>
    <n v="9"/>
    <n v="10"/>
    <n v="10"/>
    <n v="6"/>
    <n v="11"/>
    <n v="8"/>
    <n v="8"/>
    <n v="10"/>
    <n v="0"/>
    <n v="0"/>
    <n v="0"/>
    <n v="0"/>
    <n v="0"/>
    <n v="0"/>
    <n v="0"/>
    <n v="0"/>
    <n v="0"/>
    <n v="0"/>
    <n v="0"/>
    <n v="0"/>
    <n v="0"/>
    <n v="0"/>
    <n v="0"/>
    <n v="0"/>
    <n v="0"/>
    <s v="双柏县鄂嘉镇新树村委会"/>
    <d v="2016-07-20T00:00:00"/>
    <d v="2016-07-24T00:00:00"/>
    <d v="1906-12-08T00:00:00"/>
    <s v="NA"/>
    <d v="1900-01-14T00:00:00"/>
    <d v="1899-12-30T00:00:00"/>
    <d v="1900-01-02T00:00:00"/>
    <s v="532322196511060548"/>
    <s v="14769315809"/>
  </r>
  <r>
    <x v="3"/>
    <s v="SB002"/>
    <x v="75"/>
    <x v="61"/>
    <n v="10"/>
    <n v="0"/>
    <n v="57"/>
    <n v="5"/>
    <n v="7"/>
    <n v="9"/>
    <n v="5"/>
    <n v="5"/>
    <n v="5"/>
    <n v="7"/>
    <n v="4"/>
    <n v="7"/>
    <n v="3"/>
    <n v="0"/>
    <n v="0"/>
    <n v="0"/>
    <n v="0"/>
    <n v="0"/>
    <n v="0"/>
    <n v="0"/>
    <n v="0"/>
    <n v="0"/>
    <n v="0"/>
    <n v="0"/>
    <n v="0"/>
    <n v="0"/>
    <n v="0"/>
    <n v="0"/>
    <n v="0"/>
    <n v="0"/>
    <s v="双柏县鄂嘉镇新树村委会"/>
    <n v="42586"/>
    <n v="42586"/>
    <n v="2599"/>
    <s v="NA"/>
    <n v="6"/>
    <n v="0"/>
    <n v="1.2"/>
    <s v="532322196511060548"/>
    <s v="14769315809"/>
  </r>
  <r>
    <x v="3"/>
    <s v="SB003"/>
    <x v="75"/>
    <x v="61"/>
    <n v="10"/>
    <n v="0"/>
    <n v="92"/>
    <n v="7"/>
    <n v="10"/>
    <n v="10"/>
    <n v="11"/>
    <n v="8"/>
    <n v="10"/>
    <n v="11"/>
    <n v="9"/>
    <n v="10"/>
    <n v="6"/>
    <n v="0"/>
    <n v="0"/>
    <n v="0"/>
    <n v="0"/>
    <n v="0"/>
    <n v="0"/>
    <n v="0"/>
    <n v="0"/>
    <n v="0"/>
    <n v="0"/>
    <n v="0"/>
    <n v="0"/>
    <n v="0"/>
    <n v="0"/>
    <s v="`"/>
    <n v="0"/>
    <n v="0"/>
    <s v="双柏县鄂嘉镇新树村委会"/>
    <n v="42592"/>
    <n v="42592"/>
    <n v="2660"/>
    <s v="NA"/>
    <n v="12.5"/>
    <n v="0"/>
    <n v="2.5"/>
    <s v="532322196511060548"/>
    <s v="14769315809"/>
  </r>
  <r>
    <x v="3"/>
    <s v="SB004"/>
    <x v="75"/>
    <x v="61"/>
    <n v="10"/>
    <n v="0"/>
    <n v="70"/>
    <n v="5"/>
    <n v="5"/>
    <n v="8"/>
    <n v="5"/>
    <n v="5"/>
    <n v="5"/>
    <n v="13"/>
    <n v="5"/>
    <n v="6"/>
    <n v="13"/>
    <n v="0"/>
    <n v="0"/>
    <n v="0"/>
    <n v="0"/>
    <n v="0"/>
    <n v="0"/>
    <n v="0"/>
    <n v="0"/>
    <n v="0"/>
    <n v="0"/>
    <n v="0"/>
    <n v="0"/>
    <n v="0"/>
    <n v="0"/>
    <n v="0"/>
    <n v="0"/>
    <n v="0"/>
    <s v="双柏县鄂嘉镇新树村委会"/>
    <n v="42610"/>
    <n v="42610"/>
    <n v="2680"/>
    <s v="NA"/>
    <n v="7.5"/>
    <n v="0"/>
    <n v="1.5"/>
    <s v="532322196511060548"/>
    <s v="14769315809"/>
  </r>
  <r>
    <x v="3"/>
    <s v="SB058"/>
    <x v="76"/>
    <x v="62"/>
    <n v="8"/>
    <n v="0"/>
    <n v="169"/>
    <n v="20"/>
    <n v="22"/>
    <n v="21"/>
    <n v="16"/>
    <n v="26"/>
    <n v="24"/>
    <n v="26"/>
    <n v="14"/>
    <n v="0"/>
    <n v="0"/>
    <n v="0"/>
    <n v="0"/>
    <n v="0"/>
    <n v="0"/>
    <n v="0"/>
    <n v="0"/>
    <n v="0"/>
    <n v="0"/>
    <n v="0"/>
    <n v="0"/>
    <n v="0"/>
    <n v="0"/>
    <n v="0"/>
    <n v="0"/>
    <n v="0"/>
    <n v="0"/>
    <n v="0"/>
    <s v="双柏县鄂嘉镇麻旺村委会上丕坡"/>
    <s v="2016/0708-0717"/>
    <s v="2016/0708-0717"/>
    <n v="0"/>
    <s v="2433.2430.2389.2294.2335.2427.2271.2375"/>
    <n v="31"/>
    <s v="1.5+1.5+0.7+2+0.5"/>
    <n v="6.2"/>
    <s v="532322197610050550"/>
    <s v="13529710376"/>
  </r>
  <r>
    <x v="3"/>
    <s v="SB059"/>
    <x v="76"/>
    <x v="62"/>
    <n v="3"/>
    <n v="0"/>
    <n v="17"/>
    <n v="3"/>
    <n v="6"/>
    <n v="8"/>
    <n v="0"/>
    <n v="0"/>
    <n v="0"/>
    <n v="0"/>
    <n v="0"/>
    <n v="0"/>
    <n v="0"/>
    <n v="0"/>
    <n v="0"/>
    <n v="0"/>
    <n v="0"/>
    <n v="0"/>
    <n v="0"/>
    <n v="0"/>
    <n v="0"/>
    <n v="0"/>
    <n v="0"/>
    <n v="0"/>
    <n v="0"/>
    <n v="0"/>
    <n v="0"/>
    <n v="0"/>
    <n v="0"/>
    <n v="0"/>
    <s v="双柏县鄂嘉镇麻旺村委会上丕坡"/>
    <s v="2016/0718-0727"/>
    <s v="2016/0718-0727"/>
    <n v="0"/>
    <s v="2427.2353.2347"/>
    <n v="3"/>
    <n v="0"/>
    <n v="0.6"/>
    <s v="532322197610050550"/>
    <s v="13529710376"/>
  </r>
  <r>
    <x v="3"/>
    <s v="SB060"/>
    <x v="76"/>
    <x v="62"/>
    <n v="5"/>
    <n v="0"/>
    <n v="100"/>
    <n v="22"/>
    <n v="21"/>
    <n v="18"/>
    <n v="16"/>
    <n v="23"/>
    <n v="0"/>
    <n v="0"/>
    <n v="0"/>
    <n v="0"/>
    <n v="0"/>
    <n v="0"/>
    <n v="0"/>
    <n v="0"/>
    <n v="0"/>
    <n v="0"/>
    <n v="0"/>
    <n v="0"/>
    <n v="0"/>
    <n v="0"/>
    <n v="0"/>
    <n v="0"/>
    <n v="0"/>
    <n v="0"/>
    <n v="0"/>
    <n v="0"/>
    <n v="0"/>
    <n v="0"/>
    <s v="双柏县鄂嘉镇麻旺村委会上丕坡"/>
    <s v="2016/0728-0806"/>
    <s v="2016/0728-0806"/>
    <n v="0"/>
    <s v="2565.5-2545.7-2488-2466.9-2428"/>
    <n v="12"/>
    <s v="0.9+0.5+0.5+0.5"/>
    <n v="2.4"/>
    <s v="532322197610050550"/>
    <s v="13529710376"/>
  </r>
  <r>
    <x v="3"/>
    <s v="SB061"/>
    <x v="76"/>
    <x v="62"/>
    <n v="8"/>
    <n v="0"/>
    <n v="176"/>
    <n v="27"/>
    <n v="21"/>
    <n v="21"/>
    <n v="17"/>
    <n v="25"/>
    <n v="35"/>
    <n v="15"/>
    <n v="15"/>
    <n v="0"/>
    <n v="0"/>
    <n v="0"/>
    <n v="0"/>
    <n v="0"/>
    <n v="0"/>
    <n v="0"/>
    <n v="0"/>
    <n v="0"/>
    <n v="0"/>
    <n v="0"/>
    <n v="0"/>
    <n v="0"/>
    <n v="0"/>
    <n v="0"/>
    <n v="0"/>
    <n v="0"/>
    <n v="0"/>
    <n v="0"/>
    <s v="双柏县鄂嘉镇麻旺村委会上丕坡"/>
    <s v="2016/0807-0816"/>
    <s v="2016/0807-0816"/>
    <n v="0"/>
    <s v="2585-2363.9-2376-2457.7-2539.4-2427.4-2450-2463"/>
    <n v="37.5"/>
    <s v="1.1+2.5+1.5+1.5+0.9"/>
    <n v="7.5"/>
    <s v="532322197610050550"/>
    <s v="13529710376"/>
  </r>
  <r>
    <x v="3"/>
    <s v="SB126"/>
    <x v="77"/>
    <x v="63"/>
    <n v="10"/>
    <n v="0"/>
    <n v="66"/>
    <n v="8"/>
    <n v="8"/>
    <n v="5"/>
    <n v="6"/>
    <n v="6"/>
    <n v="4"/>
    <n v="7"/>
    <n v="8"/>
    <n v="8"/>
    <n v="6"/>
    <n v="0"/>
    <n v="0"/>
    <n v="0"/>
    <n v="0"/>
    <n v="0"/>
    <n v="0"/>
    <n v="0"/>
    <n v="0"/>
    <n v="0"/>
    <n v="0"/>
    <n v="0"/>
    <n v="0"/>
    <n v="0"/>
    <n v="0"/>
    <n v="0"/>
    <n v="0"/>
    <n v="0"/>
    <s v="双柏县鄂嘉镇新树村委会尖石头村民小组"/>
    <s v="2016/0720-0729"/>
    <s v="2016/0720-0729"/>
    <n v="0"/>
    <s v="2630"/>
    <n v="7.5"/>
    <n v="0"/>
    <n v="1.5"/>
    <s v="532322197804160555"/>
    <s v="15125740848&amp;15288509201"/>
  </r>
  <r>
    <x v="3"/>
    <s v="SB127"/>
    <x v="77"/>
    <x v="63"/>
    <n v="10"/>
    <n v="0"/>
    <n v="79"/>
    <n v="8"/>
    <n v="2"/>
    <n v="10"/>
    <n v="4"/>
    <n v="8"/>
    <n v="9"/>
    <n v="8"/>
    <n v="12"/>
    <n v="3"/>
    <n v="15"/>
    <n v="0"/>
    <n v="0"/>
    <n v="0"/>
    <n v="0"/>
    <n v="0"/>
    <n v="0"/>
    <n v="0"/>
    <n v="0"/>
    <n v="0"/>
    <n v="0"/>
    <n v="0"/>
    <n v="0"/>
    <n v="0"/>
    <n v="0"/>
    <n v="0"/>
    <n v="0"/>
    <n v="0"/>
    <s v="双柏县鄂嘉镇新树村委会"/>
    <s v="2016/0730-0808"/>
    <s v="2016/0730-0808"/>
    <n v="0"/>
    <s v="2667"/>
    <n v="10"/>
    <n v="0"/>
    <n v="2"/>
    <s v="532322197804160555"/>
    <s v="15125740848&amp;15288509201"/>
  </r>
  <r>
    <x v="3"/>
    <s v="SB128"/>
    <x v="77"/>
    <x v="63"/>
    <n v="10"/>
    <n v="0"/>
    <n v="77"/>
    <n v="5"/>
    <n v="7"/>
    <n v="8"/>
    <n v="8"/>
    <n v="9"/>
    <n v="9"/>
    <n v="7"/>
    <n v="8"/>
    <n v="8"/>
    <n v="8"/>
    <n v="0"/>
    <n v="0"/>
    <n v="0"/>
    <n v="0"/>
    <n v="0"/>
    <n v="0"/>
    <n v="0"/>
    <n v="0"/>
    <n v="0"/>
    <n v="0"/>
    <n v="0"/>
    <n v="0"/>
    <n v="0"/>
    <n v="0"/>
    <n v="0"/>
    <n v="0"/>
    <n v="0"/>
    <s v="双柏县鄂嘉镇新树村委会"/>
    <s v="2016/0809-0818"/>
    <s v="2016/0809-0818"/>
    <n v="0"/>
    <s v="2670"/>
    <n v="10"/>
    <n v="0"/>
    <n v="2"/>
    <s v="532322197804160555"/>
    <s v="15125740848&amp;15288509201"/>
  </r>
  <r>
    <x v="3"/>
    <s v="SB129"/>
    <x v="77"/>
    <x v="63"/>
    <n v="10"/>
    <n v="0"/>
    <n v="84"/>
    <n v="6"/>
    <n v="5"/>
    <n v="5"/>
    <n v="10"/>
    <n v="9"/>
    <n v="7"/>
    <n v="8"/>
    <n v="12"/>
    <n v="10"/>
    <n v="12"/>
    <n v="0"/>
    <n v="0"/>
    <n v="0"/>
    <n v="0"/>
    <n v="0"/>
    <n v="0"/>
    <n v="0"/>
    <n v="0"/>
    <n v="0"/>
    <n v="0"/>
    <n v="0"/>
    <n v="0"/>
    <n v="0"/>
    <n v="0"/>
    <n v="0"/>
    <n v="0"/>
    <n v="0"/>
    <s v="双柏县鄂嘉镇新树村委会"/>
    <s v="2016/0819-0828"/>
    <s v="2016/0819-0828"/>
    <n v="0"/>
    <s v="2640"/>
    <n v="15"/>
    <n v="0"/>
    <n v="3"/>
    <s v="532322197804160555"/>
    <s v="15125740848&amp;15288509201"/>
  </r>
  <r>
    <x v="3"/>
    <s v="SB130"/>
    <x v="77"/>
    <x v="63"/>
    <n v="0"/>
    <n v="4"/>
    <n v="20"/>
    <n v="6"/>
    <n v="7"/>
    <n v="4"/>
    <n v="3"/>
    <n v="0"/>
    <n v="0"/>
    <n v="0"/>
    <n v="0"/>
    <n v="0"/>
    <n v="0"/>
    <n v="0"/>
    <n v="0"/>
    <n v="0"/>
    <n v="0"/>
    <n v="0"/>
    <n v="0"/>
    <n v="0"/>
    <n v="0"/>
    <n v="0"/>
    <n v="0"/>
    <n v="0"/>
    <n v="0"/>
    <n v="0"/>
    <n v="0"/>
    <n v="0"/>
    <n v="0"/>
    <n v="0"/>
    <n v="0"/>
    <n v="0"/>
    <n v="0"/>
    <n v="0"/>
    <n v="0"/>
    <n v="2.5"/>
    <n v="0"/>
    <n v="0.5"/>
    <s v="532322197804160555"/>
    <s v="15125740848&amp;15288509201"/>
  </r>
  <r>
    <x v="3"/>
    <s v="SB062"/>
    <x v="78"/>
    <x v="64"/>
    <n v="10"/>
    <n v="0"/>
    <n v="64"/>
    <n v="15"/>
    <n v="3"/>
    <n v="2"/>
    <n v="6"/>
    <n v="4"/>
    <n v="6"/>
    <n v="13"/>
    <n v="3"/>
    <n v="2"/>
    <n v="10"/>
    <n v="0"/>
    <n v="0"/>
    <n v="0"/>
    <n v="0"/>
    <n v="0"/>
    <n v="0"/>
    <n v="0"/>
    <n v="0"/>
    <n v="0"/>
    <n v="0"/>
    <n v="0"/>
    <n v="0"/>
    <n v="0"/>
    <n v="0"/>
    <n v="0"/>
    <n v="0"/>
    <n v="0"/>
    <s v="双柏县鄂嘉镇新树村"/>
    <s v="2016/0720-0729"/>
    <s v="2016/0720-0729"/>
    <n v="0"/>
    <s v="2602"/>
    <n v="6"/>
    <n v="0"/>
    <n v="1.2"/>
    <s v="532322197607070518"/>
    <s v="15288574990&amp;15758311346"/>
  </r>
  <r>
    <x v="3"/>
    <s v="SB063"/>
    <x v="78"/>
    <x v="64"/>
    <n v="10"/>
    <n v="0"/>
    <n v="96"/>
    <n v="5"/>
    <n v="9"/>
    <n v="7"/>
    <n v="7"/>
    <n v="17"/>
    <n v="7"/>
    <n v="11"/>
    <n v="17"/>
    <n v="6"/>
    <n v="10"/>
    <n v="0"/>
    <n v="0"/>
    <n v="0"/>
    <n v="0"/>
    <n v="0"/>
    <n v="0"/>
    <n v="0"/>
    <n v="0"/>
    <n v="0"/>
    <n v="0"/>
    <n v="0"/>
    <n v="0"/>
    <n v="0"/>
    <n v="0"/>
    <n v="0"/>
    <n v="0"/>
    <n v="0"/>
    <s v="双柏县鄂嘉镇新树村"/>
    <s v="2016/0730-0808"/>
    <s v="2016/0730-0808"/>
    <n v="0"/>
    <s v="2603"/>
    <n v="10"/>
    <n v="0"/>
    <n v="2"/>
    <s v="532322197607070518"/>
    <s v="15288574990&amp;15758311346"/>
  </r>
  <r>
    <x v="3"/>
    <s v="SB064"/>
    <x v="78"/>
    <x v="64"/>
    <n v="9"/>
    <n v="0"/>
    <n v="52"/>
    <n v="3"/>
    <n v="8"/>
    <n v="5"/>
    <n v="3"/>
    <n v="6"/>
    <n v="8"/>
    <n v="8"/>
    <n v="5"/>
    <n v="6"/>
    <n v="0"/>
    <n v="0"/>
    <n v="0"/>
    <n v="0"/>
    <n v="0"/>
    <n v="0"/>
    <n v="0"/>
    <n v="0"/>
    <n v="0"/>
    <n v="0"/>
    <n v="0"/>
    <n v="0"/>
    <n v="0"/>
    <n v="0"/>
    <n v="0"/>
    <n v="0"/>
    <n v="0"/>
    <n v="0"/>
    <s v="双柏县鄂嘉镇新树村"/>
    <s v="2016/0809-0818"/>
    <s v="2016/0809-0818"/>
    <n v="0"/>
    <s v="2608"/>
    <n v="7.5"/>
    <n v="0"/>
    <n v="1.5"/>
    <s v="532322197607070518"/>
    <s v="15288574990&amp;15758311346"/>
  </r>
  <r>
    <x v="3"/>
    <s v="SB065"/>
    <x v="78"/>
    <x v="64"/>
    <n v="10"/>
    <n v="0"/>
    <n v="52"/>
    <n v="5"/>
    <n v="4"/>
    <n v="5"/>
    <n v="5"/>
    <n v="5"/>
    <n v="6"/>
    <n v="7"/>
    <n v="6"/>
    <n v="5"/>
    <n v="4"/>
    <n v="0"/>
    <n v="0"/>
    <n v="0"/>
    <n v="0"/>
    <n v="0"/>
    <n v="0"/>
    <n v="0"/>
    <n v="0"/>
    <n v="0"/>
    <n v="0"/>
    <n v="0"/>
    <n v="0"/>
    <n v="0"/>
    <n v="0"/>
    <n v="0"/>
    <n v="0"/>
    <n v="0"/>
    <s v="双柏县鄂嘉镇新树村"/>
    <s v="2016/0819-0828"/>
    <s v="2016/0819-0828"/>
    <n v="0"/>
    <s v="2605"/>
    <n v="6"/>
    <n v="0"/>
    <n v="1.2"/>
    <s v="532322197607070518"/>
    <s v="15288574990&amp;15758311346"/>
  </r>
  <r>
    <x v="3"/>
    <s v="SB079"/>
    <x v="79"/>
    <x v="65"/>
    <n v="10"/>
    <n v="0"/>
    <n v="177"/>
    <n v="26"/>
    <n v="23"/>
    <n v="18"/>
    <n v="15"/>
    <n v="25"/>
    <n v="26"/>
    <n v="17"/>
    <n v="12"/>
    <n v="9"/>
    <n v="6"/>
    <n v="0"/>
    <n v="0"/>
    <n v="0"/>
    <n v="0"/>
    <n v="0"/>
    <n v="0"/>
    <n v="0"/>
    <n v="0"/>
    <n v="0"/>
    <n v="0"/>
    <n v="0"/>
    <n v="0"/>
    <n v="0"/>
    <n v="0"/>
    <n v="0"/>
    <n v="0"/>
    <n v="0"/>
    <s v="双柏县鄂嘉镇茶叶村委会茶叶山下村三岔河管护点"/>
    <s v="2016/0709"/>
    <s v="2016/0709"/>
    <n v="0"/>
    <s v="海拔2411 N24°28′43.49″，E101°5′45.98″"/>
    <n v="52.5"/>
    <s v="2+2+2.5+2.5+1.5"/>
    <n v="10.5"/>
    <s v="532322198911130516"/>
    <s v="15368550436"/>
  </r>
  <r>
    <x v="3"/>
    <s v="SB080"/>
    <x v="79"/>
    <x v="65"/>
    <n v="10"/>
    <n v="0"/>
    <n v="186"/>
    <n v="17"/>
    <n v="19"/>
    <n v="27"/>
    <n v="20"/>
    <n v="22"/>
    <n v="13"/>
    <n v="20"/>
    <n v="14"/>
    <n v="14"/>
    <n v="20"/>
    <n v="0"/>
    <n v="0"/>
    <n v="0"/>
    <n v="0"/>
    <n v="0"/>
    <n v="0"/>
    <n v="0"/>
    <n v="0"/>
    <n v="0"/>
    <n v="0"/>
    <n v="0"/>
    <n v="0"/>
    <n v="0"/>
    <n v="0"/>
    <n v="0"/>
    <n v="0"/>
    <n v="0"/>
    <s v="双柏县鄂嘉镇茶叶村委会"/>
    <s v="2016/0719-0725"/>
    <s v="2016/0719-0725"/>
    <n v="0"/>
    <s v="海拔2426 N24°28′24.25″，E101°5′38.03″"/>
    <n v="60"/>
    <s v="2.5+2.5+2.5+2+2.5"/>
    <n v="12"/>
    <s v="532322198911130516"/>
    <s v="15368550436"/>
  </r>
  <r>
    <x v="3"/>
    <s v="SB081"/>
    <x v="79"/>
    <x v="65"/>
    <n v="9"/>
    <n v="0"/>
    <n v="189"/>
    <n v="21"/>
    <n v="16"/>
    <n v="25"/>
    <n v="14"/>
    <n v="14"/>
    <n v="25"/>
    <n v="29"/>
    <n v="25"/>
    <n v="20"/>
    <n v="0"/>
    <n v="0"/>
    <n v="0"/>
    <n v="0"/>
    <n v="0"/>
    <n v="0"/>
    <n v="0"/>
    <n v="0"/>
    <n v="0"/>
    <n v="0"/>
    <n v="0"/>
    <n v="0"/>
    <n v="0"/>
    <n v="0"/>
    <n v="0"/>
    <n v="0"/>
    <n v="0"/>
    <n v="0"/>
    <s v="双柏县鄂嘉镇茶叶村委会茶叶山"/>
    <s v="2016/0725-0727"/>
    <s v="2016/0725-0727"/>
    <n v="0"/>
    <s v="海拔2398 N24°27′39.70″，E101°5′37.97″"/>
    <n v="38.5"/>
    <s v="1.5+2+2+1.5+0.7"/>
    <n v="7.7"/>
    <s v="532322198911130516"/>
    <s v="15368550436"/>
  </r>
  <r>
    <x v="3"/>
    <s v="SB082"/>
    <x v="79"/>
    <x v="65"/>
    <n v="9"/>
    <n v="0"/>
    <n v="202"/>
    <n v="17"/>
    <n v="15"/>
    <n v="25"/>
    <n v="32"/>
    <n v="33"/>
    <n v="22"/>
    <n v="20"/>
    <n v="23"/>
    <n v="15"/>
    <n v="0"/>
    <n v="0"/>
    <n v="0"/>
    <n v="0"/>
    <n v="0"/>
    <n v="0"/>
    <n v="0"/>
    <n v="0"/>
    <n v="0"/>
    <n v="0"/>
    <n v="0"/>
    <n v="0"/>
    <n v="0"/>
    <n v="0"/>
    <n v="0"/>
    <n v="0"/>
    <n v="0"/>
    <n v="0"/>
    <s v="双柏县鄂嘉镇茶叶村委会茶叶山"/>
    <s v="2016/0727-0729"/>
    <s v="2016/0727-0729"/>
    <n v="0"/>
    <s v="海拔2454 N24°27′38.53″，E101°5′34.79″"/>
    <n v="45.5"/>
    <s v="2+2+2+1.1+2"/>
    <n v="9.1"/>
    <s v="532322198911130516"/>
    <s v="15368550436"/>
  </r>
  <r>
    <x v="3"/>
    <s v="SB083"/>
    <x v="79"/>
    <x v="65"/>
    <n v="0"/>
    <n v="1"/>
    <n v="1"/>
    <n v="1"/>
    <n v="0"/>
    <n v="0"/>
    <n v="0"/>
    <n v="0"/>
    <n v="0"/>
    <n v="0"/>
    <n v="0"/>
    <n v="0"/>
    <n v="0"/>
    <n v="0"/>
    <n v="0"/>
    <n v="0"/>
    <n v="0"/>
    <n v="0"/>
    <n v="0"/>
    <n v="0"/>
    <n v="0"/>
    <n v="0"/>
    <n v="0"/>
    <n v="0"/>
    <n v="0"/>
    <n v="0"/>
    <n v="0"/>
    <n v="0"/>
    <n v="0"/>
    <n v="0"/>
    <s v="双柏县鄂嘉镇茶叶村委会茶叶山"/>
    <n v="0"/>
    <n v="0"/>
    <n v="0"/>
    <s v="海拔2540 N24°29′7.69″，E101°8′24.79″"/>
    <n v="0"/>
    <s v="PCR FAILED"/>
    <n v="0"/>
    <s v="532322198911130516"/>
    <s v="15368550436"/>
  </r>
  <r>
    <x v="3"/>
    <s v="SB039"/>
    <x v="80"/>
    <x v="66"/>
    <n v="26"/>
    <n v="0"/>
    <n v="109"/>
    <n v="1"/>
    <n v="1"/>
    <n v="1"/>
    <n v="1"/>
    <n v="1"/>
    <n v="1"/>
    <n v="1"/>
    <n v="2"/>
    <n v="2"/>
    <n v="2"/>
    <n v="2"/>
    <n v="2"/>
    <n v="2"/>
    <n v="3"/>
    <n v="4"/>
    <n v="4"/>
    <n v="4"/>
    <n v="4"/>
    <n v="4"/>
    <n v="5"/>
    <n v="5"/>
    <n v="5"/>
    <n v="15"/>
    <n v="12"/>
    <n v="18"/>
    <n v="7"/>
    <n v="0"/>
    <s v="双柏县老厂岔河站"/>
    <s v="2016/0720-0825"/>
    <s v="2016/0720-0825"/>
    <n v="0"/>
    <n v="0"/>
    <n v="19.5"/>
    <s v="1.1+0.5+0.5+0.7+1.1"/>
    <n v="3.9"/>
    <s v="532322198610100516"/>
    <s v="13368786046"/>
  </r>
  <r>
    <x v="3"/>
    <s v="SB040"/>
    <x v="80"/>
    <x v="66"/>
    <n v="0"/>
    <n v="16"/>
    <n v="59"/>
    <n v="1"/>
    <n v="1"/>
    <n v="1"/>
    <n v="1"/>
    <n v="2"/>
    <n v="2"/>
    <n v="2"/>
    <n v="3"/>
    <n v="3"/>
    <n v="3"/>
    <n v="8"/>
    <n v="7"/>
    <n v="6"/>
    <n v="8"/>
    <n v="10"/>
    <n v="1"/>
    <n v="0"/>
    <n v="0"/>
    <n v="0"/>
    <n v="0"/>
    <n v="0"/>
    <n v="0"/>
    <n v="0"/>
    <n v="0"/>
    <n v="0"/>
    <n v="0"/>
    <n v="0"/>
    <s v="双柏县老厂岔河站"/>
    <s v="2016/0720-0825"/>
    <s v="2016/0720-0825"/>
    <n v="0"/>
    <n v="0"/>
    <n v="10"/>
    <n v="0"/>
    <n v="2"/>
    <s v="532322198610100516"/>
    <s v="13368786046"/>
  </r>
  <r>
    <x v="3"/>
    <s v="SB048"/>
    <x v="81"/>
    <x v="5"/>
    <n v="10"/>
    <n v="0"/>
    <n v="48"/>
    <n v="4"/>
    <n v="3"/>
    <n v="2"/>
    <n v="4"/>
    <n v="8"/>
    <n v="13"/>
    <n v="3"/>
    <n v="6"/>
    <n v="4"/>
    <n v="1"/>
    <n v="0"/>
    <n v="0"/>
    <n v="0"/>
    <n v="0"/>
    <n v="0"/>
    <n v="0"/>
    <n v="0"/>
    <n v="0"/>
    <n v="0"/>
    <n v="0"/>
    <n v="0"/>
    <n v="0"/>
    <n v="0"/>
    <n v="0"/>
    <n v="0"/>
    <n v="0"/>
    <n v="0"/>
    <s v="双柏县鄂嘉镇老厂村委会茶树村10号"/>
    <s v="2016/0802-0813"/>
    <s v="2016/0802-0813"/>
    <n v="0"/>
    <s v="海拔2454，N24°21′40.46″ E101°7′45.24″"/>
    <n v="5"/>
    <n v="0"/>
    <n v="1"/>
    <s v="532322196009120510"/>
    <s v="18164783532"/>
  </r>
  <r>
    <x v="3"/>
    <s v="SB049"/>
    <x v="81"/>
    <x v="5"/>
    <n v="10"/>
    <n v="0"/>
    <n v="71"/>
    <n v="7"/>
    <n v="10"/>
    <n v="2"/>
    <n v="5"/>
    <n v="5"/>
    <n v="5"/>
    <n v="5"/>
    <n v="7"/>
    <n v="8"/>
    <n v="17"/>
    <n v="0"/>
    <n v="0"/>
    <n v="0"/>
    <n v="0"/>
    <n v="0"/>
    <n v="0"/>
    <n v="0"/>
    <n v="0"/>
    <n v="0"/>
    <n v="0"/>
    <n v="0"/>
    <n v="0"/>
    <n v="0"/>
    <n v="0"/>
    <n v="0"/>
    <n v="0"/>
    <n v="0"/>
    <s v="双柏县鄂嘉镇老厂村委会茶树村10号"/>
    <s v="2016/0813-0824"/>
    <s v="2016/0813-0824"/>
    <n v="0"/>
    <s v="海拔2495，N24°23′51.67″ E101°6′45.23″"/>
    <n v="12.5"/>
    <n v="0"/>
    <n v="2.5"/>
    <s v="532322196009120510"/>
    <s v="18164783532"/>
  </r>
  <r>
    <x v="3"/>
    <s v="SB050"/>
    <x v="81"/>
    <x v="54"/>
    <n v="10"/>
    <n v="0"/>
    <n v="45"/>
    <n v="2"/>
    <n v="7"/>
    <n v="7"/>
    <n v="8"/>
    <n v="2"/>
    <n v="3"/>
    <n v="5"/>
    <n v="4"/>
    <n v="1"/>
    <n v="6"/>
    <n v="0"/>
    <n v="0"/>
    <n v="0"/>
    <n v="0"/>
    <n v="0"/>
    <n v="0"/>
    <n v="0"/>
    <n v="0"/>
    <n v="0"/>
    <n v="0"/>
    <n v="0"/>
    <n v="0"/>
    <n v="0"/>
    <n v="0"/>
    <n v="0"/>
    <n v="0"/>
    <n v="0"/>
    <s v="双柏县鄂嘉镇老厂村委会茶树村10号"/>
    <s v="2016/0825"/>
    <s v="2016/0825"/>
    <n v="0"/>
    <s v="海拔2475，N24°23′41.35″ E101°8′45.14″"/>
    <n v="7.5"/>
    <n v="0"/>
    <n v="1.5"/>
    <s v="532322196009120510"/>
    <s v="18164783532"/>
  </r>
  <r>
    <x v="3"/>
    <s v="SB051"/>
    <x v="81"/>
    <x v="54"/>
    <n v="10"/>
    <n v="0"/>
    <n v="58"/>
    <n v="5"/>
    <n v="4"/>
    <n v="3"/>
    <n v="10"/>
    <n v="13"/>
    <n v="6"/>
    <n v="2"/>
    <n v="3"/>
    <n v="6"/>
    <n v="6"/>
    <n v="0"/>
    <n v="0"/>
    <n v="0"/>
    <n v="0"/>
    <n v="0"/>
    <n v="0"/>
    <n v="0"/>
    <n v="0"/>
    <n v="0"/>
    <n v="0"/>
    <n v="0"/>
    <n v="0"/>
    <n v="0"/>
    <n v="0"/>
    <n v="0"/>
    <n v="0"/>
    <n v="0"/>
    <s v="双柏县鄂嘉镇老厂村委会茶树村10号"/>
    <s v="2016/0828"/>
    <s v="2016/0828"/>
    <n v="0"/>
    <s v="海拔2478，N24°23′38.45″ E101°8′45.24″"/>
    <n v="7.5"/>
    <n v="0"/>
    <n v="1.5"/>
    <s v="532322196009120510"/>
    <s v="18164783532"/>
  </r>
  <r>
    <x v="3"/>
    <s v="SB052"/>
    <x v="81"/>
    <x v="5"/>
    <n v="0"/>
    <n v="21"/>
    <n v="70"/>
    <n v="2"/>
    <n v="2"/>
    <n v="8"/>
    <n v="3"/>
    <n v="1"/>
    <n v="2"/>
    <n v="8"/>
    <n v="6"/>
    <n v="4"/>
    <n v="4"/>
    <n v="1"/>
    <n v="7"/>
    <n v="7"/>
    <n v="2"/>
    <n v="1"/>
    <n v="2"/>
    <n v="1"/>
    <n v="1"/>
    <n v="2"/>
    <n v="2"/>
    <n v="4"/>
    <n v="0"/>
    <n v="0"/>
    <n v="0"/>
    <n v="0"/>
    <n v="0"/>
    <n v="0"/>
    <s v="双柏县鄂嘉镇老厂村委会茶树村10号"/>
    <n v="0"/>
    <n v="0"/>
    <n v="0"/>
    <n v="0"/>
    <n v="10"/>
    <n v="0"/>
    <n v="2"/>
    <s v="532322196009120510"/>
    <s v="18164783532"/>
  </r>
  <r>
    <x v="3"/>
    <s v="SB131"/>
    <x v="82"/>
    <x v="67"/>
    <n v="27"/>
    <n v="0"/>
    <n v="82"/>
    <n v="3"/>
    <n v="4"/>
    <n v="3"/>
    <n v="2"/>
    <n v="2"/>
    <n v="5"/>
    <n v="6"/>
    <n v="3"/>
    <n v="2"/>
    <n v="3"/>
    <n v="3"/>
    <n v="5"/>
    <n v="2"/>
    <n v="2"/>
    <n v="2"/>
    <n v="4"/>
    <n v="3"/>
    <n v="2"/>
    <n v="4"/>
    <n v="2"/>
    <n v="1"/>
    <n v="2"/>
    <n v="5"/>
    <n v="1"/>
    <n v="4"/>
    <n v="2"/>
    <n v="5"/>
    <s v="双柏县鄂嘉镇老厂村委会松树林"/>
    <s v="2016/0714-0826"/>
    <s v="2016/0714-0826"/>
    <n v="0"/>
    <n v="0"/>
    <n v="15"/>
    <n v="0"/>
    <n v="3"/>
    <s v="532322196209090519"/>
    <s v="15026017075"/>
  </r>
  <r>
    <x v="3"/>
    <s v="SB132"/>
    <x v="82"/>
    <x v="67"/>
    <n v="0"/>
    <n v="11"/>
    <n v="26"/>
    <n v="1"/>
    <n v="2"/>
    <n v="7"/>
    <n v="1"/>
    <n v="2"/>
    <n v="2"/>
    <n v="2"/>
    <n v="2"/>
    <n v="2"/>
    <n v="2"/>
    <n v="3"/>
    <n v="0"/>
    <n v="0"/>
    <n v="0"/>
    <n v="0"/>
    <n v="0"/>
    <n v="0"/>
    <n v="0"/>
    <n v="0"/>
    <n v="0"/>
    <n v="0"/>
    <n v="0"/>
    <n v="0"/>
    <n v="0"/>
    <n v="0"/>
    <n v="0"/>
    <n v="0"/>
    <s v="双柏县鄂嘉镇老厂村委会松树林"/>
    <s v="2016/0714-0826"/>
    <s v="2016/0714-0826"/>
    <n v="0"/>
    <n v="0"/>
    <n v="4"/>
    <n v="0"/>
    <n v="0.8"/>
    <s v="532322196209090519"/>
    <s v="15026017075"/>
  </r>
  <r>
    <x v="3"/>
    <s v="SB122"/>
    <x v="83"/>
    <x v="68"/>
    <n v="2"/>
    <n v="0"/>
    <n v="6"/>
    <n v="1"/>
    <n v="5"/>
    <n v="0"/>
    <n v="0"/>
    <n v="0"/>
    <n v="0"/>
    <n v="0"/>
    <n v="0"/>
    <n v="0"/>
    <n v="0"/>
    <n v="0"/>
    <n v="0"/>
    <n v="0"/>
    <n v="0"/>
    <n v="0"/>
    <n v="0"/>
    <n v="0"/>
    <n v="0"/>
    <n v="0"/>
    <n v="0"/>
    <n v="0"/>
    <n v="0"/>
    <n v="0"/>
    <n v="0"/>
    <n v="0"/>
    <n v="0"/>
    <n v="0"/>
    <s v="双柏县鄂嘉镇老厂村岔河"/>
    <s v="2016/0709-0827"/>
    <s v="2016/0709-0827"/>
    <n v="0"/>
    <n v="0"/>
    <n v="1.5"/>
    <n v="0"/>
    <n v="0.3"/>
    <s v="532322196404170514"/>
    <s v="15125722369"/>
  </r>
  <r>
    <x v="3"/>
    <s v="SB123"/>
    <x v="83"/>
    <x v="68"/>
    <n v="10"/>
    <n v="0"/>
    <n v="39"/>
    <n v="1"/>
    <n v="1"/>
    <n v="2"/>
    <n v="3"/>
    <n v="3"/>
    <n v="4"/>
    <n v="5"/>
    <n v="6"/>
    <n v="6"/>
    <n v="8"/>
    <n v="0"/>
    <n v="0"/>
    <n v="0"/>
    <n v="0"/>
    <n v="0"/>
    <n v="0"/>
    <n v="0"/>
    <n v="0"/>
    <n v="0"/>
    <n v="0"/>
    <n v="0"/>
    <n v="0"/>
    <n v="0"/>
    <n v="0"/>
    <n v="0"/>
    <n v="0"/>
    <n v="0"/>
    <s v="双柏县鄂嘉镇老厂村岔河"/>
    <s v="2016/0709-0823"/>
    <s v="2016/0709-0823"/>
    <n v="0"/>
    <n v="0"/>
    <n v="6"/>
    <n v="0"/>
    <n v="1.2"/>
    <s v="532322196404170514"/>
    <s v="15125722369"/>
  </r>
  <r>
    <x v="3"/>
    <s v="SB124"/>
    <x v="83"/>
    <x v="68"/>
    <n v="20"/>
    <n v="0"/>
    <n v="85"/>
    <n v="1"/>
    <n v="1"/>
    <n v="1"/>
    <n v="1"/>
    <n v="1"/>
    <n v="2"/>
    <n v="2"/>
    <n v="2"/>
    <n v="3"/>
    <n v="3"/>
    <n v="3"/>
    <n v="3"/>
    <n v="4"/>
    <n v="4"/>
    <n v="4"/>
    <n v="5"/>
    <n v="6"/>
    <n v="8"/>
    <n v="15"/>
    <n v="16"/>
    <n v="0"/>
    <n v="0"/>
    <n v="0"/>
    <n v="0"/>
    <n v="0"/>
    <n v="0"/>
    <n v="0"/>
    <s v="双柏县鄂嘉镇老厂村岔河"/>
    <s v="2016/0717-0723"/>
    <s v="2016/0717-0723"/>
    <n v="0"/>
    <n v="0"/>
    <n v="12.5"/>
    <n v="0"/>
    <n v="2.5"/>
    <s v="532322196404170514"/>
    <s v="15125722369"/>
  </r>
  <r>
    <x v="3"/>
    <s v="SB125"/>
    <x v="83"/>
    <x v="68"/>
    <n v="0"/>
    <n v="20"/>
    <n v="68"/>
    <n v="1"/>
    <n v="1"/>
    <n v="2"/>
    <n v="2"/>
    <n v="2"/>
    <n v="2"/>
    <n v="2"/>
    <n v="2"/>
    <n v="3"/>
    <n v="3"/>
    <n v="3"/>
    <n v="3"/>
    <n v="3"/>
    <n v="4"/>
    <n v="4"/>
    <n v="5"/>
    <n v="6"/>
    <n v="6"/>
    <n v="6"/>
    <n v="8"/>
    <n v="0"/>
    <n v="0"/>
    <n v="0"/>
    <n v="0"/>
    <n v="0"/>
    <n v="0"/>
    <n v="0"/>
    <s v="双柏县鄂嘉镇老厂村岔河"/>
    <s v="2016/0810-0818"/>
    <s v="2016/0810-0818"/>
    <n v="0"/>
    <n v="0"/>
    <n v="12.5"/>
    <n v="0"/>
    <n v="2.5"/>
    <s v="532322196404170514"/>
    <s v="15125722369"/>
  </r>
  <r>
    <x v="3"/>
    <s v="SB115"/>
    <x v="84"/>
    <x v="69"/>
    <n v="7"/>
    <n v="0"/>
    <n v="40"/>
    <n v="4"/>
    <n v="5"/>
    <n v="5"/>
    <n v="6"/>
    <n v="6"/>
    <n v="7"/>
    <n v="7"/>
    <n v="0"/>
    <n v="0"/>
    <n v="0"/>
    <n v="0"/>
    <n v="0"/>
    <n v="0"/>
    <n v="0"/>
    <n v="0"/>
    <n v="0"/>
    <n v="0"/>
    <n v="0"/>
    <n v="0"/>
    <n v="0"/>
    <n v="0"/>
    <n v="0"/>
    <n v="0"/>
    <n v="0"/>
    <n v="0"/>
    <n v="0"/>
    <n v="0"/>
    <s v="双柏县鄂嘉镇岔河"/>
    <s v="2016/0713-0829"/>
    <s v="2016/0713-0829"/>
    <n v="0"/>
    <n v="0"/>
    <n v="5"/>
    <n v="0"/>
    <n v="1"/>
    <s v="532322196308180536"/>
    <s v="15096478414"/>
  </r>
  <r>
    <x v="3"/>
    <s v="SB116"/>
    <x v="84"/>
    <x v="69"/>
    <n v="0"/>
    <n v="11"/>
    <n v="26"/>
    <n v="1"/>
    <n v="1"/>
    <n v="1"/>
    <n v="2"/>
    <n v="2"/>
    <n v="2"/>
    <n v="3"/>
    <n v="3"/>
    <n v="3"/>
    <n v="4"/>
    <n v="4"/>
    <n v="0"/>
    <n v="0"/>
    <n v="0"/>
    <n v="0"/>
    <n v="0"/>
    <n v="0"/>
    <n v="0"/>
    <n v="0"/>
    <n v="0"/>
    <n v="0"/>
    <n v="0"/>
    <n v="0"/>
    <n v="0"/>
    <n v="0"/>
    <n v="0"/>
    <n v="0"/>
    <s v="双柏县鄂嘉镇岔河"/>
    <s v="2016/0713-0829"/>
    <s v="2016/0713-0829"/>
    <n v="0"/>
    <n v="0"/>
    <n v="5"/>
    <n v="0"/>
    <n v="1"/>
    <s v="532322196308180536"/>
    <s v="15096478414"/>
  </r>
  <r>
    <x v="3"/>
    <s v="SB117"/>
    <x v="84"/>
    <x v="69"/>
    <n v="20"/>
    <n v="0"/>
    <n v="69"/>
    <n v="1"/>
    <n v="1"/>
    <n v="1"/>
    <n v="1"/>
    <n v="2"/>
    <n v="2"/>
    <n v="3"/>
    <n v="3"/>
    <n v="3"/>
    <n v="4"/>
    <n v="4"/>
    <n v="4"/>
    <n v="4"/>
    <n v="4"/>
    <n v="5"/>
    <n v="5"/>
    <n v="5"/>
    <n v="5"/>
    <n v="6"/>
    <n v="6"/>
    <n v="0"/>
    <n v="0"/>
    <n v="0"/>
    <n v="0"/>
    <n v="0"/>
    <n v="0"/>
    <n v="0"/>
    <s v="双柏县鄂嘉镇岔河"/>
    <s v="2016/0718-0829"/>
    <s v="2016/0718-0829"/>
    <n v="0"/>
    <n v="0"/>
    <n v="12.5"/>
    <n v="0"/>
    <n v="2.5"/>
    <s v="532322196308180536"/>
    <s v="15096478414"/>
  </r>
  <r>
    <x v="3"/>
    <s v="SB026"/>
    <x v="85"/>
    <x v="5"/>
    <n v="2"/>
    <n v="0"/>
    <n v="6"/>
    <n v="4"/>
    <n v="2"/>
    <n v="0"/>
    <n v="0"/>
    <n v="0"/>
    <n v="0"/>
    <n v="0"/>
    <n v="0"/>
    <n v="0"/>
    <n v="0"/>
    <n v="0"/>
    <n v="0"/>
    <n v="0"/>
    <n v="0"/>
    <n v="0"/>
    <n v="0"/>
    <n v="0"/>
    <n v="0"/>
    <n v="0"/>
    <n v="0"/>
    <n v="0"/>
    <n v="0"/>
    <n v="0"/>
    <n v="0"/>
    <n v="0"/>
    <n v="0"/>
    <n v="0"/>
    <s v="双柏县鄂嘉镇麻旺村委会下村7号"/>
    <s v="2016/0716"/>
    <s v="2016/0716"/>
    <n v="0"/>
    <s v="海拔2461，N24°26′31.81″ E101°72′648？″"/>
    <n v="2"/>
    <n v="0"/>
    <n v="0.4"/>
    <s v="532322196404110538"/>
    <s v="13354690369&amp;18183876459"/>
  </r>
  <r>
    <x v="3"/>
    <s v="SB027"/>
    <x v="85"/>
    <x v="5"/>
    <n v="3"/>
    <n v="0"/>
    <n v="36"/>
    <n v="14"/>
    <n v="15"/>
    <n v="7"/>
    <n v="0"/>
    <n v="0"/>
    <n v="0"/>
    <n v="0"/>
    <n v="0"/>
    <n v="0"/>
    <n v="0"/>
    <n v="0"/>
    <n v="0"/>
    <n v="0"/>
    <n v="0"/>
    <n v="0"/>
    <n v="0"/>
    <n v="0"/>
    <n v="0"/>
    <n v="0"/>
    <n v="0"/>
    <n v="0"/>
    <n v="0"/>
    <n v="0"/>
    <n v="0"/>
    <n v="0"/>
    <n v="0"/>
    <n v="0"/>
    <s v="双柏县鄂嘉镇新厂村委会大龙汤村一号"/>
    <s v="2016/0716-0718"/>
    <s v="2016/0716-0718"/>
    <n v="0"/>
    <s v="海拔2454，2461，N24°26′31.81″ E101°07′45.81″"/>
    <n v="10"/>
    <n v="0"/>
    <n v="2"/>
    <s v="532322196404110538"/>
    <s v="13354690369&amp;18183876459"/>
  </r>
  <r>
    <x v="3"/>
    <s v="SB028"/>
    <x v="85"/>
    <x v="5"/>
    <n v="4"/>
    <n v="0"/>
    <n v="15"/>
    <n v="4"/>
    <n v="1"/>
    <n v="5"/>
    <n v="5"/>
    <n v="0"/>
    <n v="0"/>
    <n v="0"/>
    <n v="0"/>
    <n v="0"/>
    <n v="0"/>
    <n v="0"/>
    <n v="0"/>
    <n v="0"/>
    <n v="0"/>
    <n v="0"/>
    <n v="0"/>
    <n v="0"/>
    <n v="0"/>
    <n v="0"/>
    <n v="0"/>
    <n v="0"/>
    <n v="0"/>
    <n v="0"/>
    <n v="0"/>
    <n v="0"/>
    <n v="0"/>
    <n v="0"/>
    <s v="双柏县鄂嘉镇新厂村委会大龙汤村一号"/>
    <s v="2016/0729-0802"/>
    <s v="2016/0729-0802"/>
    <n v="0"/>
    <s v="海拔2496，2461，N24°25′19.56″ "/>
    <n v="5"/>
    <n v="0"/>
    <n v="1"/>
    <s v="532322196404110538"/>
    <s v="13354690369&amp;18183876459"/>
  </r>
  <r>
    <x v="3"/>
    <s v="SB029"/>
    <x v="85"/>
    <x v="5"/>
    <n v="2"/>
    <n v="0"/>
    <n v="5"/>
    <n v="2"/>
    <n v="3"/>
    <n v="0"/>
    <n v="0"/>
    <n v="0"/>
    <n v="0"/>
    <n v="0"/>
    <n v="0"/>
    <n v="0"/>
    <n v="0"/>
    <n v="0"/>
    <n v="0"/>
    <n v="0"/>
    <n v="0"/>
    <n v="0"/>
    <n v="0"/>
    <n v="0"/>
    <n v="0"/>
    <n v="0"/>
    <n v="0"/>
    <n v="0"/>
    <n v="0"/>
    <n v="0"/>
    <n v="0"/>
    <n v="0"/>
    <n v="0"/>
    <n v="0"/>
    <s v="双柏县鄂嘉镇新厂村委会大龙汤村一号"/>
    <s v="2016/0810-0813"/>
    <s v="2016/0810-0813"/>
    <n v="0"/>
    <s v="海拔2445，2442，E101°07′53.96″"/>
    <n v="1.5"/>
    <n v="0"/>
    <n v="0.3"/>
    <s v="532322196404110538"/>
    <s v="13354690369&amp;18183876459"/>
  </r>
  <r>
    <x v="3"/>
    <s v="SB075"/>
    <x v="86"/>
    <x v="65"/>
    <n v="10"/>
    <n v="0"/>
    <n v="175"/>
    <n v="22"/>
    <n v="13"/>
    <n v="21"/>
    <n v="20"/>
    <n v="16"/>
    <n v="25"/>
    <n v="8"/>
    <n v="13"/>
    <n v="25"/>
    <n v="12"/>
    <n v="0"/>
    <n v="0"/>
    <n v="0"/>
    <n v="0"/>
    <n v="0"/>
    <n v="0"/>
    <n v="0"/>
    <n v="0"/>
    <n v="0"/>
    <n v="0"/>
    <n v="0"/>
    <n v="0"/>
    <n v="0"/>
    <n v="0"/>
    <n v="0"/>
    <n v="0"/>
    <n v="0"/>
    <s v="双柏县鄂嘉镇茶叶村委会三岔河管护点"/>
    <s v="2016/0709-0716"/>
    <s v="2016/0709-0716"/>
    <n v="0"/>
    <s v="海拔2246，N24°29′28.19″ E101°4′49.22″"/>
    <n v="45.5"/>
    <s v="2.5+1.1+1.5+2+2"/>
    <n v="9.1"/>
    <s v="532322197508260551"/>
    <s v="18183788915"/>
  </r>
  <r>
    <x v="3"/>
    <s v="SB076"/>
    <x v="86"/>
    <x v="56"/>
    <n v="10"/>
    <n v="0"/>
    <n v="195"/>
    <n v="19"/>
    <n v="20"/>
    <n v="25"/>
    <n v="21"/>
    <n v="28"/>
    <n v="19"/>
    <n v="10"/>
    <n v="13"/>
    <n v="23"/>
    <n v="17"/>
    <n v="0"/>
    <n v="0"/>
    <n v="0"/>
    <n v="0"/>
    <n v="0"/>
    <n v="0"/>
    <n v="0"/>
    <n v="0"/>
    <n v="0"/>
    <n v="0"/>
    <n v="0"/>
    <n v="0"/>
    <n v="0"/>
    <n v="0"/>
    <n v="0"/>
    <n v="0"/>
    <n v="0"/>
    <s v="双柏县鄂嘉镇茶叶村委会三岔河管护点"/>
    <s v="2016/0717-0720"/>
    <s v="2016/0717-0720"/>
    <n v="0"/>
    <s v="海拔2416，N24°27′31.17″ E101°5′43.85″"/>
    <n v="50"/>
    <s v="2*5"/>
    <n v="10"/>
    <s v="532322197508260551"/>
    <s v="18183788915"/>
  </r>
  <r>
    <x v="3"/>
    <s v="SB077"/>
    <x v="86"/>
    <x v="5"/>
    <n v="10"/>
    <n v="0"/>
    <n v="224"/>
    <n v="25"/>
    <n v="28"/>
    <n v="14"/>
    <n v="26"/>
    <n v="11"/>
    <n v="25"/>
    <n v="28"/>
    <n v="20"/>
    <n v="28"/>
    <n v="19"/>
    <n v="0"/>
    <n v="0"/>
    <n v="0"/>
    <n v="0"/>
    <n v="0"/>
    <n v="0"/>
    <n v="0"/>
    <n v="0"/>
    <n v="0"/>
    <n v="0"/>
    <n v="0"/>
    <n v="0"/>
    <n v="0"/>
    <n v="0"/>
    <n v="0"/>
    <n v="0"/>
    <n v="0"/>
    <s v="双柏县鄂嘉镇茶叶村委会三岔河管护点"/>
    <s v="2016/0721-0726"/>
    <s v="2016/0721-0726"/>
    <n v="0"/>
    <s v="N24°23′33.16″ E101°5′14.73″"/>
    <n v="52.5"/>
    <s v="2.5+2*4"/>
    <n v="10.5"/>
    <s v="532322197508260551"/>
    <s v="18183788915"/>
  </r>
  <r>
    <x v="3"/>
    <s v="SB078"/>
    <x v="86"/>
    <x v="56"/>
    <n v="10"/>
    <n v="0"/>
    <n v="248"/>
    <n v="25"/>
    <n v="22"/>
    <n v="19"/>
    <n v="27"/>
    <n v="31"/>
    <n v="29"/>
    <n v="30"/>
    <n v="21"/>
    <n v="24"/>
    <n v="20"/>
    <n v="0"/>
    <n v="0"/>
    <n v="0"/>
    <n v="0"/>
    <n v="0"/>
    <n v="0"/>
    <n v="0"/>
    <n v="0"/>
    <n v="0"/>
    <n v="0"/>
    <n v="0"/>
    <n v="0"/>
    <n v="0"/>
    <n v="0"/>
    <n v="0"/>
    <n v="0"/>
    <n v="0"/>
    <s v="双柏县鄂嘉镇茶叶村委会三岔河管护点"/>
    <s v="2016/0727-0802"/>
    <s v="2016/0727-0802"/>
    <n v="0"/>
    <s v="海拔2417，N24°27′17.22″ E101°5′25.06″"/>
    <n v="41"/>
    <s v="2+1.1+1.1+2+2"/>
    <n v="8.1999999999999993"/>
    <s v="532322197508260551"/>
    <s v="18183788915"/>
  </r>
  <r>
    <x v="3"/>
    <s v="SB150"/>
    <x v="87"/>
    <x v="70"/>
    <n v="9"/>
    <n v="0"/>
    <n v="216"/>
    <n v="26"/>
    <n v="10"/>
    <n v="14"/>
    <n v="26"/>
    <n v="27"/>
    <n v="32"/>
    <n v="16"/>
    <n v="29"/>
    <n v="36"/>
    <n v="0"/>
    <n v="0"/>
    <n v="0"/>
    <n v="0"/>
    <n v="0"/>
    <n v="0"/>
    <n v="0"/>
    <n v="0"/>
    <n v="0"/>
    <n v="0"/>
    <n v="0"/>
    <n v="0"/>
    <n v="0"/>
    <n v="0"/>
    <n v="0"/>
    <n v="0"/>
    <n v="0"/>
    <n v="0"/>
    <s v="双柏县鄂嘉镇茶叶村委会三岔河管护点"/>
    <s v="2016/0709-0716"/>
    <s v="2016/0709-0716"/>
    <n v="0"/>
    <s v="海拔2206，N24°28′10.60″ E101°5′47.14″"/>
    <n v="37.5"/>
    <s v="2+1.5+2+1.1+0.9"/>
    <n v="7.5"/>
    <s v="532322196912020512"/>
    <s v="13368784380"/>
  </r>
  <r>
    <x v="3"/>
    <s v="SB151"/>
    <x v="87"/>
    <x v="70"/>
    <n v="9"/>
    <n v="0"/>
    <n v="253"/>
    <n v="21"/>
    <n v="37"/>
    <n v="34"/>
    <n v="27"/>
    <n v="18"/>
    <n v="25"/>
    <n v="35"/>
    <n v="26"/>
    <n v="30"/>
    <n v="0"/>
    <n v="0"/>
    <n v="0"/>
    <n v="0"/>
    <n v="0"/>
    <n v="0"/>
    <n v="0"/>
    <n v="0"/>
    <n v="0"/>
    <n v="0"/>
    <n v="0"/>
    <n v="0"/>
    <n v="0"/>
    <n v="0"/>
    <n v="0"/>
    <n v="0"/>
    <n v="0"/>
    <n v="0"/>
    <s v="双柏县鄂嘉镇茶叶村委会三岔河管护点"/>
    <s v="2016/0717-0720"/>
    <s v="2016/0717-0720"/>
    <n v="0"/>
    <s v="海拔2352，N24°28′40.48″ E101°5′38.74″"/>
    <n v="50"/>
    <s v="2+1.5+2.5+2+2"/>
    <n v="10"/>
    <s v="532322196912020512"/>
    <s v="13368784380"/>
  </r>
  <r>
    <x v="3"/>
    <s v="SB152"/>
    <x v="87"/>
    <x v="70"/>
    <n v="10"/>
    <n v="0"/>
    <n v="205"/>
    <n v="14"/>
    <n v="16"/>
    <n v="21"/>
    <n v="22"/>
    <n v="18"/>
    <n v="27"/>
    <n v="19"/>
    <n v="26"/>
    <n v="21"/>
    <n v="21"/>
    <n v="0"/>
    <n v="0"/>
    <n v="0"/>
    <n v="0"/>
    <n v="0"/>
    <n v="0"/>
    <n v="0"/>
    <n v="0"/>
    <n v="0"/>
    <n v="0"/>
    <n v="0"/>
    <n v="0"/>
    <n v="0"/>
    <n v="0"/>
    <n v="0"/>
    <n v="0"/>
    <n v="0"/>
    <s v="双柏县鄂嘉镇茶叶村委会三岔河管护点"/>
    <s v="2016/0721-0726"/>
    <s v="2016/0721-0726"/>
    <n v="0"/>
    <s v="海拔2626，N24°28′11.67″ E101°5′46.34″"/>
    <n v="57.5"/>
    <s v="2.5+2+2.5+2+2.5"/>
    <n v="11.5"/>
    <s v="532322196912020512"/>
    <s v="13368784380"/>
  </r>
  <r>
    <x v="3"/>
    <s v="SB153"/>
    <x v="87"/>
    <x v="56"/>
    <n v="10"/>
    <n v="0"/>
    <n v="201"/>
    <n v="15"/>
    <n v="23"/>
    <n v="23"/>
    <n v="14"/>
    <n v="22"/>
    <n v="26"/>
    <n v="21"/>
    <n v="28"/>
    <n v="10"/>
    <n v="19"/>
    <n v="0"/>
    <n v="0"/>
    <n v="0"/>
    <n v="0"/>
    <n v="0"/>
    <n v="0"/>
    <n v="0"/>
    <n v="0"/>
    <n v="0"/>
    <n v="0"/>
    <n v="0"/>
    <n v="0"/>
    <n v="0"/>
    <n v="0"/>
    <n v="0"/>
    <n v="0"/>
    <n v="0"/>
    <s v="双柏县鄂嘉镇茶叶村委会三岔河管护点"/>
    <s v="2016/0727-0802"/>
    <s v="2016/0727-0802"/>
    <n v="0"/>
    <s v="海拔2323，N24°27′36.55″ E101°5′38.84″"/>
    <n v="52.5"/>
    <s v="2+2+2+2.5+2"/>
    <n v="10.5"/>
    <s v="532322196912020512"/>
    <s v="13368784380"/>
  </r>
  <r>
    <x v="3"/>
    <s v="SB154"/>
    <x v="87"/>
    <x v="5"/>
    <n v="0"/>
    <n v="1"/>
    <n v="2"/>
    <n v="2"/>
    <n v="0"/>
    <n v="0"/>
    <n v="0"/>
    <n v="0"/>
    <n v="0"/>
    <n v="0"/>
    <n v="0"/>
    <n v="0"/>
    <n v="0"/>
    <n v="0"/>
    <n v="0"/>
    <n v="0"/>
    <n v="0"/>
    <n v="0"/>
    <n v="0"/>
    <n v="0"/>
    <n v="0"/>
    <n v="0"/>
    <n v="0"/>
    <n v="0"/>
    <n v="0"/>
    <n v="0"/>
    <n v="0"/>
    <n v="0"/>
    <n v="0"/>
    <n v="0"/>
    <s v="双柏县鄂嘉镇茶叶村委会茶叶新村"/>
    <s v="2016/0825"/>
    <s v="2016/0825"/>
    <n v="0"/>
    <s v="海拔2354，N24°47′47.69″ E101°12′52.84″"/>
    <n v="0.25"/>
    <s v="PCR FAILED"/>
    <n v="0.05"/>
    <s v="532322196912020512"/>
    <s v="13368784380"/>
  </r>
  <r>
    <x v="3"/>
    <s v="SB022"/>
    <x v="88"/>
    <x v="71"/>
    <n v="9"/>
    <n v="0"/>
    <n v="178"/>
    <n v="17"/>
    <n v="12"/>
    <n v="22"/>
    <n v="31"/>
    <n v="33"/>
    <n v="15"/>
    <n v="17"/>
    <n v="18"/>
    <n v="13"/>
    <n v="0"/>
    <n v="0"/>
    <n v="0"/>
    <n v="0"/>
    <n v="0"/>
    <n v="0"/>
    <n v="0"/>
    <n v="0"/>
    <n v="0"/>
    <n v="0"/>
    <n v="0"/>
    <n v="0"/>
    <n v="0"/>
    <n v="0"/>
    <n v="0"/>
    <n v="0"/>
    <n v="0"/>
    <n v="0"/>
    <s v="双柏县鄂嘉镇茶叶村委会三岔河管护点"/>
    <s v="2016/0709-0716"/>
    <s v="2016/0709-0716"/>
    <n v="0"/>
    <s v="海拔2388 N24°27′59.12″，E101°5′35.94″"/>
    <n v="48"/>
    <s v="2+2+2.5+1.1+2"/>
    <n v="9.6"/>
    <s v="532322197305030510"/>
    <s v="15368553240"/>
  </r>
  <r>
    <x v="3"/>
    <s v="SB023"/>
    <x v="88"/>
    <x v="71"/>
    <n v="10"/>
    <n v="0"/>
    <n v="235"/>
    <n v="22"/>
    <n v="35"/>
    <n v="18"/>
    <n v="19"/>
    <n v="40"/>
    <n v="20"/>
    <n v="19"/>
    <n v="17"/>
    <n v="27"/>
    <n v="18"/>
    <n v="0"/>
    <n v="0"/>
    <n v="0"/>
    <n v="0"/>
    <n v="0"/>
    <n v="0"/>
    <n v="0"/>
    <n v="0"/>
    <n v="0"/>
    <n v="0"/>
    <n v="0"/>
    <n v="0"/>
    <n v="0"/>
    <n v="0"/>
    <n v="0"/>
    <n v="0"/>
    <n v="0"/>
    <s v="双柏县鄂嘉镇茶叶村委会三岔河管护点"/>
    <s v="2016/0717-0718"/>
    <s v="2016/0717-0718"/>
    <n v="0"/>
    <s v="海拔2438 N24°28′37.25″，E101°5′22.29″"/>
    <n v="41"/>
    <s v="2+1.5+2.5+0.7+1.5"/>
    <n v="8.1999999999999993"/>
    <s v="532322197305030510"/>
    <s v="15368553240"/>
  </r>
  <r>
    <x v="3"/>
    <s v="SB024"/>
    <x v="88"/>
    <x v="71"/>
    <n v="10"/>
    <n v="0"/>
    <n v="201"/>
    <n v="34"/>
    <n v="9"/>
    <n v="14"/>
    <n v="10"/>
    <n v="26"/>
    <n v="27"/>
    <n v="18"/>
    <n v="17"/>
    <n v="18"/>
    <n v="28"/>
    <n v="0"/>
    <n v="0"/>
    <n v="0"/>
    <n v="0"/>
    <n v="0"/>
    <n v="0"/>
    <n v="0"/>
    <n v="0"/>
    <n v="0"/>
    <n v="0"/>
    <n v="0"/>
    <n v="0"/>
    <n v="0"/>
    <n v="0"/>
    <n v="0"/>
    <n v="0"/>
    <n v="0"/>
    <s v="双柏县鄂嘉镇茶叶村委会茶叶山"/>
    <s v="2016/0718-0725"/>
    <s v="2016/0718-0725"/>
    <n v="0"/>
    <s v="海拔2517 N24°27′38.76″，E101°5′31.34″"/>
    <n v="57.5"/>
    <s v="2.5+1.5+2.5+2.5+2.5"/>
    <n v="11.5"/>
    <s v="532322197305030510"/>
    <s v="15368553240"/>
  </r>
  <r>
    <x v="3"/>
    <s v="SB025"/>
    <x v="88"/>
    <x v="71"/>
    <n v="10"/>
    <n v="0"/>
    <n v="192"/>
    <n v="23"/>
    <n v="28"/>
    <n v="12"/>
    <n v="17"/>
    <n v="17"/>
    <n v="23"/>
    <n v="10"/>
    <n v="16"/>
    <n v="31"/>
    <n v="15"/>
    <n v="0"/>
    <n v="0"/>
    <n v="0"/>
    <n v="0"/>
    <n v="0"/>
    <n v="0"/>
    <n v="0"/>
    <n v="0"/>
    <n v="0"/>
    <n v="0"/>
    <n v="0"/>
    <n v="0"/>
    <n v="0"/>
    <n v="0"/>
    <n v="0"/>
    <n v="0"/>
    <n v="0"/>
    <s v="双柏县鄂嘉镇茶叶村委会"/>
    <s v="2016/0725-0729"/>
    <s v="2016/0725-0729"/>
    <n v="0"/>
    <s v="海拔2420 N24°27′23.96″，E101°5′56.55″"/>
    <n v="52.5"/>
    <s v="2+2.5+1.5+2+2.5"/>
    <n v="10.5"/>
    <s v="532322197305030510"/>
    <s v="15368553240"/>
  </r>
  <r>
    <x v="3"/>
    <s v="SB133"/>
    <x v="89"/>
    <x v="70"/>
    <n v="10"/>
    <n v="0"/>
    <n v="235"/>
    <n v="39"/>
    <n v="17"/>
    <n v="29"/>
    <n v="19"/>
    <n v="19"/>
    <n v="9"/>
    <n v="27"/>
    <n v="24"/>
    <n v="21"/>
    <n v="31"/>
    <n v="0"/>
    <n v="0"/>
    <n v="0"/>
    <n v="0"/>
    <n v="0"/>
    <n v="0"/>
    <n v="0"/>
    <n v="0"/>
    <n v="0"/>
    <n v="0"/>
    <n v="0"/>
    <n v="0"/>
    <n v="0"/>
    <n v="0"/>
    <n v="0"/>
    <n v="0"/>
    <n v="0"/>
    <s v="双柏县鄂嘉镇茶叶村委会三岔河管护点"/>
    <s v="2016/0709-0717"/>
    <s v="2016/0709-0717"/>
    <n v="0"/>
    <s v="N24°28′25.68″ E101°5′22.25″"/>
    <n v="52.5"/>
    <s v="2*4+2.5"/>
    <n v="10.5"/>
    <s v="53232219660611051X"/>
    <s v="15987828019"/>
  </r>
  <r>
    <x v="3"/>
    <s v="SB134"/>
    <x v="89"/>
    <x v="56"/>
    <n v="10"/>
    <n v="0"/>
    <n v="244"/>
    <n v="21"/>
    <n v="33"/>
    <n v="21"/>
    <n v="21"/>
    <n v="10"/>
    <n v="22"/>
    <n v="18"/>
    <n v="33"/>
    <n v="28"/>
    <n v="37"/>
    <n v="0"/>
    <n v="0"/>
    <n v="0"/>
    <n v="0"/>
    <n v="0"/>
    <n v="0"/>
    <n v="0"/>
    <n v="0"/>
    <n v="0"/>
    <n v="0"/>
    <n v="0"/>
    <n v="0"/>
    <n v="0"/>
    <n v="0"/>
    <n v="0"/>
    <n v="0"/>
    <n v="0"/>
    <s v="双柏县鄂嘉镇茶叶村委会三岔河管护点"/>
    <s v="2016/0718-0720"/>
    <s v="2016/0718-0720"/>
    <n v="0"/>
    <s v="N24°27′23.70″ E101°5′17.51″"/>
    <n v="43.000000000000007"/>
    <s v="1.8*3+1.6*2"/>
    <n v="8.6000000000000014"/>
    <s v="53232219660611051X"/>
    <s v="15987828019"/>
  </r>
  <r>
    <x v="3"/>
    <s v="SB135"/>
    <x v="89"/>
    <x v="71"/>
    <n v="10"/>
    <n v="0"/>
    <n v="196"/>
    <n v="14"/>
    <n v="29"/>
    <n v="19"/>
    <n v="22"/>
    <n v="14"/>
    <n v="12"/>
    <n v="22"/>
    <n v="20"/>
    <n v="25"/>
    <n v="19"/>
    <n v="0"/>
    <n v="0"/>
    <n v="0"/>
    <n v="0"/>
    <n v="0"/>
    <n v="0"/>
    <n v="0"/>
    <n v="0"/>
    <n v="0"/>
    <n v="0"/>
    <n v="0"/>
    <n v="0"/>
    <n v="0"/>
    <n v="0"/>
    <n v="0"/>
    <n v="0"/>
    <n v="0"/>
    <s v="双柏县鄂嘉镇茶叶村委会三岔河管护点"/>
    <s v="2016/0721-0726"/>
    <s v="2016/0721-0726"/>
    <n v="0"/>
    <s v="N24°28′31.71″ E101°5′17.05″"/>
    <n v="50"/>
    <s v="2+2.5+1.5+2+2"/>
    <n v="10"/>
    <s v="53232219660611051X"/>
    <s v="15987828019"/>
  </r>
  <r>
    <x v="3"/>
    <s v="SB136"/>
    <x v="89"/>
    <x v="56"/>
    <n v="10"/>
    <n v="0"/>
    <n v="236"/>
    <n v="27"/>
    <n v="19"/>
    <n v="20"/>
    <n v="21"/>
    <n v="26"/>
    <n v="24"/>
    <n v="23"/>
    <n v="26"/>
    <n v="28"/>
    <n v="22"/>
    <n v="0"/>
    <n v="0"/>
    <n v="0"/>
    <n v="0"/>
    <n v="0"/>
    <n v="0"/>
    <n v="0"/>
    <n v="0"/>
    <n v="0"/>
    <n v="0"/>
    <n v="0"/>
    <n v="0"/>
    <n v="0"/>
    <n v="0"/>
    <n v="0"/>
    <n v="0"/>
    <n v="0"/>
    <s v="双柏县鄂嘉镇茶叶村委会三岔河管护点"/>
    <s v="2016/0727-0802"/>
    <s v="2016/0727-0802"/>
    <n v="0"/>
    <s v="海拔2437，N24°27′35.59″ E101°5′31.62″"/>
    <n v="50"/>
    <s v="2*5"/>
    <n v="10"/>
    <s v="53232219660611051X"/>
    <s v="15987828019"/>
  </r>
  <r>
    <x v="3"/>
    <s v="SB110"/>
    <x v="90"/>
    <x v="54"/>
    <n v="3"/>
    <n v="0"/>
    <n v="6"/>
    <n v="3"/>
    <n v="2"/>
    <n v="1"/>
    <n v="0"/>
    <n v="0"/>
    <n v="0"/>
    <n v="0"/>
    <n v="0"/>
    <n v="0"/>
    <n v="0"/>
    <n v="0"/>
    <n v="0"/>
    <n v="0"/>
    <n v="0"/>
    <n v="0"/>
    <n v="0"/>
    <n v="0"/>
    <n v="0"/>
    <n v="0"/>
    <n v="0"/>
    <n v="0"/>
    <n v="0"/>
    <n v="0"/>
    <n v="0"/>
    <n v="0"/>
    <n v="0"/>
    <n v="0"/>
    <s v="双柏县鄂嘉镇老厂村委会岔河大亳山"/>
    <s v="2016/0714"/>
    <s v="2016/0714"/>
    <n v="0"/>
    <s v="海拔2487，N24°23′40.46″ E101°9′46.24″"/>
    <n v="2"/>
    <n v="0"/>
    <n v="0.4"/>
    <s v="532322196606240517"/>
    <s v="18787867656"/>
  </r>
  <r>
    <x v="3"/>
    <s v="SB111"/>
    <x v="90"/>
    <x v="5"/>
    <n v="4"/>
    <n v="0"/>
    <n v="19"/>
    <n v="4"/>
    <n v="5"/>
    <n v="6"/>
    <n v="4"/>
    <n v="0"/>
    <n v="0"/>
    <n v="0"/>
    <n v="0"/>
    <n v="0"/>
    <n v="0"/>
    <n v="0"/>
    <n v="0"/>
    <n v="0"/>
    <n v="0"/>
    <n v="0"/>
    <n v="0"/>
    <n v="0"/>
    <n v="0"/>
    <n v="0"/>
    <n v="0"/>
    <n v="0"/>
    <n v="0"/>
    <n v="0"/>
    <n v="0"/>
    <n v="0"/>
    <n v="0"/>
    <n v="0"/>
    <s v="双柏县鄂嘉镇老厂村委会铺子"/>
    <s v="2016/0725"/>
    <s v="2016/0725"/>
    <n v="0"/>
    <s v="海拔2405，N24°23′42.8″ E101°10′21.5″"/>
    <n v="4"/>
    <n v="0"/>
    <n v="0.8"/>
    <s v="532322196606240517"/>
    <s v="18787867656"/>
  </r>
  <r>
    <x v="3"/>
    <s v="SB112"/>
    <x v="90"/>
    <x v="5"/>
    <n v="2"/>
    <n v="0"/>
    <n v="6"/>
    <n v="4"/>
    <n v="2"/>
    <n v="0"/>
    <n v="0"/>
    <n v="0"/>
    <n v="0"/>
    <n v="0"/>
    <n v="0"/>
    <n v="0"/>
    <n v="0"/>
    <n v="0"/>
    <n v="0"/>
    <n v="0"/>
    <n v="0"/>
    <n v="0"/>
    <n v="0"/>
    <n v="0"/>
    <n v="0"/>
    <n v="0"/>
    <n v="0"/>
    <n v="0"/>
    <n v="0"/>
    <n v="0"/>
    <n v="0"/>
    <n v="0"/>
    <n v="0"/>
    <n v="0"/>
    <s v="双柏县鄂嘉镇老厂村委会铺子"/>
    <s v="2016/0805"/>
    <s v="2016/0805"/>
    <n v="0"/>
    <s v="海拔2504，N24°23′40.57″ E101°7′45.24″"/>
    <n v="3"/>
    <n v="0"/>
    <n v="0.6"/>
    <s v="532322196606240517"/>
    <s v="18787867656"/>
  </r>
  <r>
    <x v="3"/>
    <s v="SB113"/>
    <x v="90"/>
    <x v="54"/>
    <n v="4"/>
    <n v="0"/>
    <n v="21"/>
    <n v="3"/>
    <n v="9"/>
    <n v="8"/>
    <n v="1"/>
    <n v="0"/>
    <n v="0"/>
    <n v="0"/>
    <n v="0"/>
    <n v="0"/>
    <n v="0"/>
    <n v="0"/>
    <n v="0"/>
    <n v="0"/>
    <n v="0"/>
    <n v="0"/>
    <n v="0"/>
    <n v="0"/>
    <n v="0"/>
    <n v="0"/>
    <n v="0"/>
    <n v="0"/>
    <n v="0"/>
    <n v="0"/>
    <n v="0"/>
    <n v="0"/>
    <n v="0"/>
    <n v="0"/>
    <s v="双柏县鄂嘉镇老厂村委会铺子"/>
    <s v="2016/0820"/>
    <s v="2016/0820"/>
    <n v="0"/>
    <s v="海拔2351，N24°23′41.38″ E101°9′42.71″"/>
    <n v="4"/>
    <n v="0"/>
    <n v="0.8"/>
    <s v="532322196606240517"/>
    <s v="18787867656"/>
  </r>
  <r>
    <x v="3"/>
    <s v="SB114"/>
    <x v="90"/>
    <x v="5"/>
    <n v="0"/>
    <n v="3"/>
    <n v="8"/>
    <n v="2"/>
    <n v="4"/>
    <n v="2"/>
    <n v="0"/>
    <n v="0"/>
    <n v="0"/>
    <n v="0"/>
    <n v="0"/>
    <n v="0"/>
    <n v="0"/>
    <n v="0"/>
    <n v="0"/>
    <n v="0"/>
    <n v="0"/>
    <n v="0"/>
    <n v="0"/>
    <n v="0"/>
    <n v="0"/>
    <n v="0"/>
    <n v="0"/>
    <n v="0"/>
    <n v="0"/>
    <n v="0"/>
    <n v="0"/>
    <n v="0"/>
    <n v="0"/>
    <n v="0"/>
    <s v="双柏县鄂嘉镇老厂村委会铺子"/>
    <s v="2016/0819"/>
    <s v="2016/0819"/>
    <n v="0"/>
    <s v="海拔2305，N24°21′51.47″ E101°7′42.74″"/>
    <n v="2.5"/>
    <n v="0"/>
    <n v="0.5"/>
    <s v="532322196606240517"/>
    <s v="18787867656"/>
  </r>
  <r>
    <x v="3"/>
    <s v="SB096"/>
    <x v="91"/>
    <x v="70"/>
    <n v="10"/>
    <n v="0"/>
    <n v="198"/>
    <n v="8"/>
    <n v="18"/>
    <n v="12"/>
    <n v="30"/>
    <n v="24"/>
    <n v="15"/>
    <n v="23"/>
    <n v="11"/>
    <n v="27"/>
    <n v="30"/>
    <n v="0"/>
    <n v="0"/>
    <n v="0"/>
    <n v="0"/>
    <n v="0"/>
    <n v="0"/>
    <n v="0"/>
    <n v="0"/>
    <n v="0"/>
    <n v="0"/>
    <n v="0"/>
    <n v="0"/>
    <n v="0"/>
    <n v="0"/>
    <n v="0"/>
    <n v="0"/>
    <n v="0"/>
    <s v="双柏县鄂嘉镇茶叶村委会三岔河管护点"/>
    <s v="2016/0709-0717"/>
    <s v="2016/0709-0717"/>
    <n v="0"/>
    <s v="海拔2191 N24°29′27.13″，E101°4′50.16″"/>
    <n v="46"/>
    <s v="2+2.5+1.1+2.5+1.1"/>
    <n v="9.1999999999999993"/>
    <s v="532322196704040519"/>
    <s v="18187834612"/>
  </r>
  <r>
    <x v="3"/>
    <s v="SB097"/>
    <x v="91"/>
    <x v="70"/>
    <n v="10"/>
    <n v="0"/>
    <n v="180"/>
    <n v="19"/>
    <n v="11"/>
    <n v="21"/>
    <n v="13"/>
    <n v="18"/>
    <n v="21"/>
    <n v="19"/>
    <n v="12"/>
    <n v="29"/>
    <n v="17"/>
    <n v="0"/>
    <n v="0"/>
    <n v="0"/>
    <n v="0"/>
    <n v="0"/>
    <n v="0"/>
    <n v="0"/>
    <n v="0"/>
    <n v="0"/>
    <n v="0"/>
    <n v="0"/>
    <n v="0"/>
    <n v="0"/>
    <n v="0"/>
    <n v="0"/>
    <n v="0"/>
    <n v="0"/>
    <s v="双柏县鄂嘉镇茶叶村委会三岔河管护点"/>
    <s v="2016/0718-0721"/>
    <s v="2016/0718-0721"/>
    <n v="0"/>
    <s v="海拔2414 N24°2′90.13″，E101°5′25.21″"/>
    <n v="47.5"/>
    <s v="2+2+2+1.5+2"/>
    <n v="9.5"/>
    <s v="532322196704040519"/>
    <s v="18187834612"/>
  </r>
  <r>
    <x v="3"/>
    <s v="SB098"/>
    <x v="91"/>
    <x v="70"/>
    <n v="9"/>
    <n v="0"/>
    <n v="279"/>
    <n v="20"/>
    <n v="40"/>
    <n v="39"/>
    <n v="46"/>
    <n v="38"/>
    <n v="28"/>
    <n v="19"/>
    <n v="33"/>
    <n v="16"/>
    <n v="0"/>
    <n v="0"/>
    <n v="0"/>
    <n v="0"/>
    <n v="0"/>
    <n v="0"/>
    <n v="0"/>
    <n v="0"/>
    <n v="0"/>
    <n v="0"/>
    <n v="0"/>
    <n v="0"/>
    <n v="0"/>
    <n v="0"/>
    <n v="0"/>
    <n v="0"/>
    <n v="0"/>
    <n v="0"/>
    <s v="双柏县鄂嘉镇茶叶村委会三岔河管护点"/>
    <s v="2016/0730"/>
    <s v="2016/0730"/>
    <n v="0"/>
    <s v="海拔2495 N24°27′36.43″，E101°5′39.00″"/>
    <n v="52"/>
    <s v="2.5+2.5+2.5+0.9+2"/>
    <n v="10.4"/>
    <s v="532322196704040519"/>
    <s v="18187834612"/>
  </r>
  <r>
    <x v="3"/>
    <s v="SB099"/>
    <x v="91"/>
    <x v="70"/>
    <n v="10"/>
    <n v="0"/>
    <n v="168"/>
    <n v="14"/>
    <n v="27"/>
    <n v="11"/>
    <n v="24"/>
    <n v="24"/>
    <n v="11"/>
    <n v="13"/>
    <n v="13"/>
    <n v="14"/>
    <n v="17"/>
    <n v="0"/>
    <n v="0"/>
    <n v="0"/>
    <n v="0"/>
    <n v="0"/>
    <n v="0"/>
    <n v="0"/>
    <n v="0"/>
    <n v="0"/>
    <n v="0"/>
    <n v="0"/>
    <n v="0"/>
    <n v="0"/>
    <n v="0"/>
    <n v="0"/>
    <n v="0"/>
    <n v="0"/>
    <s v="双柏县鄂嘉镇茶叶村委会三岔河管护点"/>
    <n v="0"/>
    <n v="0"/>
    <n v="0"/>
    <n v="0"/>
    <n v="43"/>
    <s v="1.5+2+2+1.1+2"/>
    <n v="8.6"/>
    <s v="532322196704040519"/>
    <s v="18187834612"/>
  </r>
  <r>
    <x v="3"/>
    <s v="SB100"/>
    <x v="91"/>
    <x v="70"/>
    <n v="0"/>
    <n v="1"/>
    <n v="2"/>
    <n v="2"/>
    <n v="0"/>
    <n v="0"/>
    <n v="0"/>
    <n v="0"/>
    <n v="0"/>
    <n v="0"/>
    <n v="0"/>
    <n v="0"/>
    <n v="0"/>
    <n v="0"/>
    <n v="0"/>
    <n v="0"/>
    <n v="0"/>
    <n v="0"/>
    <n v="0"/>
    <n v="0"/>
    <n v="0"/>
    <n v="0"/>
    <n v="0"/>
    <n v="0"/>
    <n v="0"/>
    <n v="0"/>
    <n v="0"/>
    <n v="0"/>
    <n v="0"/>
    <n v="0"/>
    <s v="双柏县鄂嘉镇茶叶村委会三岔河管护点"/>
    <n v="0"/>
    <n v="0"/>
    <n v="0"/>
    <s v="海拔2191 N24°29′27.13″，E101°4′50.20″"/>
    <n v="0.5"/>
    <n v="0"/>
    <n v="0.1"/>
    <s v="532322196704040519"/>
    <s v="18187834612"/>
  </r>
  <r>
    <x v="3"/>
    <s v="SB034"/>
    <x v="92"/>
    <x v="5"/>
    <n v="8"/>
    <n v="0"/>
    <n v="31"/>
    <n v="3"/>
    <n v="4"/>
    <n v="3"/>
    <n v="4"/>
    <n v="4"/>
    <n v="5"/>
    <n v="4"/>
    <n v="4"/>
    <n v="0"/>
    <n v="0"/>
    <n v="0"/>
    <n v="0"/>
    <n v="0"/>
    <n v="0"/>
    <n v="0"/>
    <n v="0"/>
    <n v="0"/>
    <n v="0"/>
    <n v="0"/>
    <n v="0"/>
    <n v="0"/>
    <n v="0"/>
    <n v="0"/>
    <n v="0"/>
    <n v="0"/>
    <n v="0"/>
    <n v="0"/>
    <s v="双柏县鄂嘉镇义隆村"/>
    <s v="2016/0723-0801"/>
    <s v="2016/0723-0801"/>
    <n v="0"/>
    <s v="海拔2501，N24°23′56.35″ E101°15′01.84″"/>
    <n v="5"/>
    <n v="0"/>
    <n v="1"/>
    <s v="532322196401260514"/>
    <s v="13987859414"/>
  </r>
  <r>
    <x v="3"/>
    <s v="SB035"/>
    <x v="92"/>
    <x v="5"/>
    <n v="10"/>
    <n v="0"/>
    <n v="32"/>
    <n v="1"/>
    <n v="4"/>
    <n v="3"/>
    <n v="4"/>
    <n v="3"/>
    <n v="4"/>
    <n v="3"/>
    <n v="4"/>
    <n v="3"/>
    <n v="3"/>
    <n v="0"/>
    <n v="0"/>
    <n v="0"/>
    <n v="0"/>
    <n v="0"/>
    <n v="0"/>
    <n v="0"/>
    <n v="0"/>
    <n v="0"/>
    <n v="0"/>
    <n v="0"/>
    <n v="0"/>
    <n v="0"/>
    <n v="0"/>
    <n v="0"/>
    <n v="0"/>
    <n v="0"/>
    <s v="双柏县鄂嘉镇义隆村"/>
    <s v="2016/0802-0811"/>
    <s v="2016/0802-0811"/>
    <n v="0"/>
    <s v="海拔2640，N24°22′07.02″ E101°15′25.82″"/>
    <n v="10"/>
    <n v="0"/>
    <n v="2"/>
    <s v="532322196401260514"/>
    <s v="13987859414"/>
  </r>
  <r>
    <x v="3"/>
    <s v="SB036"/>
    <x v="92"/>
    <x v="5"/>
    <n v="10"/>
    <n v="0"/>
    <n v="33"/>
    <n v="1"/>
    <n v="3"/>
    <n v="5"/>
    <n v="3"/>
    <n v="2"/>
    <n v="2"/>
    <n v="2"/>
    <n v="4"/>
    <n v="6"/>
    <n v="5"/>
    <n v="0"/>
    <n v="0"/>
    <n v="0"/>
    <n v="0"/>
    <n v="0"/>
    <n v="0"/>
    <n v="0"/>
    <n v="0"/>
    <n v="0"/>
    <n v="0"/>
    <n v="0"/>
    <n v="0"/>
    <n v="0"/>
    <n v="0"/>
    <n v="0"/>
    <n v="0"/>
    <n v="0"/>
    <s v="双柏县鄂嘉镇义隆村"/>
    <s v="2016/0812-0821"/>
    <s v="2016/0812-0821"/>
    <n v="0"/>
    <s v="海拔2640，N24°22′07.02″ E101°15′25.82″"/>
    <n v="10"/>
    <n v="0"/>
    <n v="2"/>
    <s v="532322196401260514"/>
    <s v="13987859414"/>
  </r>
  <r>
    <x v="3"/>
    <s v="SB037"/>
    <x v="92"/>
    <x v="5"/>
    <n v="10"/>
    <n v="0"/>
    <n v="41"/>
    <n v="6"/>
    <n v="5"/>
    <n v="3"/>
    <n v="4"/>
    <n v="3"/>
    <n v="3"/>
    <n v="5"/>
    <n v="3"/>
    <n v="4"/>
    <n v="5"/>
    <n v="0"/>
    <n v="0"/>
    <n v="0"/>
    <n v="0"/>
    <n v="0"/>
    <n v="0"/>
    <n v="0"/>
    <n v="0"/>
    <n v="0"/>
    <n v="0"/>
    <n v="0"/>
    <n v="0"/>
    <n v="0"/>
    <n v="0"/>
    <n v="0"/>
    <n v="0"/>
    <n v="0"/>
    <s v="双柏县鄂嘉镇义隆村"/>
    <s v="2016/0822-0830"/>
    <s v="2016/0822-0830"/>
    <n v="0"/>
    <s v="海拔2750，N24°21′49.51″ E101°21′49.51″"/>
    <n v="5"/>
    <n v="0"/>
    <n v="1"/>
    <s v="532322196401260514"/>
    <s v="13987859414"/>
  </r>
  <r>
    <x v="3"/>
    <s v="SB038"/>
    <x v="92"/>
    <x v="5"/>
    <n v="0"/>
    <n v="14"/>
    <n v="44"/>
    <n v="1"/>
    <n v="2"/>
    <n v="2"/>
    <n v="2"/>
    <n v="3"/>
    <n v="3"/>
    <n v="3"/>
    <n v="4"/>
    <n v="4"/>
    <n v="4"/>
    <n v="4"/>
    <n v="4"/>
    <n v="4"/>
    <n v="4"/>
    <n v="0"/>
    <n v="0"/>
    <n v="0"/>
    <n v="0"/>
    <n v="0"/>
    <n v="0"/>
    <n v="0"/>
    <n v="0"/>
    <n v="0"/>
    <n v="0"/>
    <n v="0"/>
    <n v="0"/>
    <n v="0"/>
    <s v="双柏县鄂嘉镇义隆村"/>
    <s v="2016/08"/>
    <s v="2016/08"/>
    <n v="0"/>
    <s v="海拔2361，N24°22′46.92″ E101°15′45.10″"/>
    <n v="10"/>
    <n v="0"/>
    <n v="2"/>
    <s v="532322196401260514"/>
    <s v="13987859414"/>
  </r>
  <r>
    <x v="3"/>
    <s v="SB137"/>
    <x v="93"/>
    <x v="5"/>
    <n v="4"/>
    <n v="0"/>
    <n v="14"/>
    <n v="4"/>
    <n v="2"/>
    <n v="5"/>
    <n v="3"/>
    <n v="0"/>
    <n v="0"/>
    <n v="0"/>
    <n v="0"/>
    <n v="0"/>
    <n v="0"/>
    <n v="0"/>
    <n v="0"/>
    <n v="0"/>
    <n v="0"/>
    <n v="0"/>
    <n v="0"/>
    <n v="0"/>
    <n v="0"/>
    <n v="0"/>
    <n v="0"/>
    <n v="0"/>
    <n v="0"/>
    <n v="0"/>
    <n v="0"/>
    <n v="0"/>
    <n v="0"/>
    <n v="0"/>
    <s v="双柏县鄂嘉镇新厂村委会张家社"/>
    <s v="2016/0716"/>
    <s v="2016/0716"/>
    <n v="0"/>
    <s v="2483"/>
    <n v="2.5"/>
    <n v="0"/>
    <n v="0.5"/>
    <s v="532322196411020514"/>
    <s v="15288546609"/>
  </r>
  <r>
    <x v="3"/>
    <s v="SB138"/>
    <x v="93"/>
    <x v="72"/>
    <n v="3"/>
    <n v="0"/>
    <n v="11"/>
    <n v="4"/>
    <n v="4"/>
    <n v="3"/>
    <n v="0"/>
    <n v="0"/>
    <n v="0"/>
    <n v="0"/>
    <n v="0"/>
    <n v="0"/>
    <n v="0"/>
    <n v="0"/>
    <n v="0"/>
    <n v="0"/>
    <n v="0"/>
    <n v="0"/>
    <n v="0"/>
    <n v="0"/>
    <n v="0"/>
    <n v="0"/>
    <n v="0"/>
    <n v="0"/>
    <n v="0"/>
    <n v="0"/>
    <n v="0"/>
    <n v="0"/>
    <n v="0"/>
    <n v="0"/>
    <s v="双柏县鄂嘉镇新厂村委会张家社"/>
    <s v="2016/0724"/>
    <s v="2016/0724"/>
    <n v="0"/>
    <s v="海拔2614 N24°26′54.63″，E101°6′47.77″"/>
    <n v="2"/>
    <n v="0"/>
    <n v="0.4"/>
    <s v="532322196411020514"/>
    <s v="15288546609"/>
  </r>
  <r>
    <x v="3"/>
    <s v="SB139"/>
    <x v="93"/>
    <x v="5"/>
    <n v="6"/>
    <n v="0"/>
    <n v="21"/>
    <n v="2"/>
    <n v="4"/>
    <n v="1"/>
    <n v="4"/>
    <n v="6"/>
    <n v="4"/>
    <n v="0"/>
    <n v="0"/>
    <n v="0"/>
    <n v="0"/>
    <n v="0"/>
    <n v="0"/>
    <n v="0"/>
    <n v="0"/>
    <n v="0"/>
    <n v="0"/>
    <n v="0"/>
    <n v="0"/>
    <n v="0"/>
    <n v="0"/>
    <n v="0"/>
    <n v="0"/>
    <n v="0"/>
    <n v="0"/>
    <n v="0"/>
    <n v="0"/>
    <n v="0"/>
    <s v="双柏县鄂嘉镇新厂村委会张家社 季青林"/>
    <s v="2016/0725"/>
    <s v="2016/0725"/>
    <n v="0"/>
    <s v="海拔2423 N24°17′64″，E101°6′51.1″"/>
    <n v="4"/>
    <n v="0"/>
    <n v="0.8"/>
    <s v="532322196411020514"/>
    <s v="15288546609"/>
  </r>
  <r>
    <x v="3"/>
    <s v="SB140"/>
    <x v="93"/>
    <x v="72"/>
    <n v="5"/>
    <n v="0"/>
    <n v="18"/>
    <n v="2"/>
    <n v="4"/>
    <n v="3"/>
    <n v="3"/>
    <n v="6"/>
    <n v="0"/>
    <n v="0"/>
    <n v="0"/>
    <n v="0"/>
    <n v="0"/>
    <n v="0"/>
    <n v="0"/>
    <n v="0"/>
    <n v="0"/>
    <n v="0"/>
    <n v="0"/>
    <n v="0"/>
    <n v="0"/>
    <n v="0"/>
    <n v="0"/>
    <n v="0"/>
    <n v="0"/>
    <n v="0"/>
    <n v="0"/>
    <n v="0"/>
    <n v="0"/>
    <n v="0"/>
    <s v="双柏县鄂嘉镇新厂村委会张家社"/>
    <s v="2016/0805"/>
    <s v="2016/0805"/>
    <n v="0"/>
    <s v="海拔2508 N24°27′5.63″，E101°6′45.43″"/>
    <n v="5"/>
    <n v="0"/>
    <n v="1"/>
    <s v="532322196411020514"/>
    <s v="15288546609"/>
  </r>
  <r>
    <x v="3"/>
    <s v="SB018"/>
    <x v="94"/>
    <x v="73"/>
    <n v="10"/>
    <n v="0"/>
    <n v="54"/>
    <n v="6"/>
    <n v="12"/>
    <n v="6"/>
    <n v="3"/>
    <n v="3"/>
    <n v="4"/>
    <n v="7"/>
    <n v="6"/>
    <n v="2"/>
    <n v="5"/>
    <n v="0"/>
    <n v="0"/>
    <n v="0"/>
    <n v="0"/>
    <n v="0"/>
    <n v="0"/>
    <n v="0"/>
    <n v="0"/>
    <n v="0"/>
    <n v="0"/>
    <n v="0"/>
    <n v="0"/>
    <n v="0"/>
    <n v="0"/>
    <n v="0"/>
    <n v="0"/>
    <n v="0"/>
    <s v="双柏县鄂嘉镇新树村委会"/>
    <s v="2016/0720-0729"/>
    <s v="2016/0720-0729"/>
    <n v="0"/>
    <s v="海拔2570，N24°19′22.01″ E101°17′10.19″"/>
    <n v="6"/>
    <n v="0"/>
    <n v="1.2"/>
    <s v="532322198604170518"/>
    <s v="13638703405"/>
  </r>
  <r>
    <x v="3"/>
    <s v="SB019"/>
    <x v="94"/>
    <x v="73"/>
    <n v="10"/>
    <n v="0"/>
    <n v="39"/>
    <n v="5"/>
    <n v="3"/>
    <n v="5"/>
    <n v="5"/>
    <n v="4"/>
    <n v="3"/>
    <n v="3"/>
    <n v="3"/>
    <n v="4"/>
    <n v="4"/>
    <n v="0"/>
    <n v="0"/>
    <n v="0"/>
    <n v="0"/>
    <n v="0"/>
    <n v="0"/>
    <n v="0"/>
    <n v="0"/>
    <n v="0"/>
    <n v="0"/>
    <n v="0"/>
    <n v="0"/>
    <n v="0"/>
    <n v="0"/>
    <n v="0"/>
    <n v="0"/>
    <n v="0"/>
    <s v="双柏县鄂嘉镇新树村委会"/>
    <s v="2016/0729-0808"/>
    <s v="2016/0729-0808"/>
    <n v="0"/>
    <s v="海拔2570，N24°19′22.01″ E101°17′10.9″"/>
    <n v="6"/>
    <n v="0"/>
    <n v="1.2"/>
    <s v="532322198604170518"/>
    <s v="13638703405"/>
  </r>
  <r>
    <x v="3"/>
    <s v="SB020"/>
    <x v="94"/>
    <x v="73"/>
    <n v="10"/>
    <n v="0"/>
    <n v="40"/>
    <n v="4"/>
    <n v="3"/>
    <n v="2"/>
    <n v="5"/>
    <n v="2"/>
    <n v="4"/>
    <n v="5"/>
    <n v="3"/>
    <n v="6"/>
    <n v="6"/>
    <n v="0"/>
    <n v="0"/>
    <n v="0"/>
    <n v="0"/>
    <n v="0"/>
    <n v="0"/>
    <n v="0"/>
    <n v="0"/>
    <n v="0"/>
    <n v="0"/>
    <n v="0"/>
    <n v="0"/>
    <n v="0"/>
    <n v="0"/>
    <n v="0"/>
    <n v="0"/>
    <n v="0"/>
    <s v="双柏县鄂嘉镇新树村委会"/>
    <s v="2016/0808-0818"/>
    <s v="2016/0808-0818"/>
    <n v="0"/>
    <s v="海拔2570，N24°19′22.01″ E101°17′10.19″"/>
    <n v="6"/>
    <n v="0"/>
    <n v="1.2"/>
    <s v="532322198604170518"/>
    <s v="13638703405"/>
  </r>
  <r>
    <x v="3"/>
    <s v="SB021"/>
    <x v="94"/>
    <x v="73"/>
    <n v="10"/>
    <n v="0"/>
    <n v="39"/>
    <n v="3"/>
    <n v="4"/>
    <n v="4"/>
    <n v="2"/>
    <n v="5"/>
    <n v="4"/>
    <n v="3"/>
    <n v="5"/>
    <n v="5"/>
    <n v="4"/>
    <n v="0"/>
    <n v="0"/>
    <n v="0"/>
    <n v="0"/>
    <n v="0"/>
    <n v="0"/>
    <n v="0"/>
    <n v="0"/>
    <n v="0"/>
    <n v="0"/>
    <n v="0"/>
    <n v="0"/>
    <n v="0"/>
    <n v="0"/>
    <n v="0"/>
    <n v="0"/>
    <n v="0"/>
    <s v="双柏县鄂嘉镇新树村委会"/>
    <s v="2016/0818-0828"/>
    <s v="2016/0818-0828"/>
    <n v="0"/>
    <s v="海拔2570，N24°19′22.01″ E101°17′10.19″"/>
    <n v="6"/>
    <n v="0"/>
    <n v="1.2"/>
    <s v="532322198604170518"/>
    <s v="13638703405"/>
  </r>
  <r>
    <x v="3"/>
    <s v="SB084"/>
    <x v="95"/>
    <x v="74"/>
    <n v="4"/>
    <n v="0"/>
    <n v="39"/>
    <n v="9"/>
    <n v="10"/>
    <n v="10"/>
    <n v="10"/>
    <n v="0"/>
    <n v="0"/>
    <n v="0"/>
    <n v="0"/>
    <n v="0"/>
    <n v="0"/>
    <n v="0"/>
    <n v="0"/>
    <n v="0"/>
    <n v="0"/>
    <n v="0"/>
    <n v="0"/>
    <n v="0"/>
    <n v="0"/>
    <n v="0"/>
    <n v="0"/>
    <n v="0"/>
    <n v="0"/>
    <n v="0"/>
    <n v="0"/>
    <n v="0"/>
    <n v="0"/>
    <n v="0"/>
    <s v="双柏县鄂嘉镇新厂村中厂"/>
    <s v="2016/0708-0717"/>
    <s v="2016/0708-0717"/>
    <n v="0"/>
    <s v="2553-2575-2540"/>
    <n v="7.5"/>
    <n v="0"/>
    <n v="1.5"/>
    <s v="532322197010120519"/>
    <s v="15912923610"/>
  </r>
  <r>
    <x v="3"/>
    <s v="SB085"/>
    <x v="95"/>
    <x v="74"/>
    <n v="8"/>
    <n v="0"/>
    <n v="85"/>
    <n v="10"/>
    <n v="10"/>
    <n v="10"/>
    <n v="11"/>
    <n v="13"/>
    <n v="10"/>
    <n v="10"/>
    <n v="11"/>
    <n v="0"/>
    <n v="0"/>
    <n v="0"/>
    <n v="0"/>
    <n v="0"/>
    <n v="0"/>
    <n v="0"/>
    <n v="0"/>
    <n v="0"/>
    <n v="0"/>
    <n v="0"/>
    <n v="0"/>
    <n v="0"/>
    <n v="0"/>
    <n v="0"/>
    <n v="0"/>
    <n v="0"/>
    <n v="0"/>
    <n v="0"/>
    <s v="双柏县鄂嘉镇新厂村中厂"/>
    <s v="2016/0718-0727"/>
    <s v="2016/0718-0727"/>
    <n v="0"/>
    <s v="2487-2480-2483-2503"/>
    <n v="15"/>
    <n v="0"/>
    <n v="3"/>
    <s v="532322197010120519"/>
    <s v="15912923610"/>
  </r>
  <r>
    <x v="3"/>
    <s v="SB086"/>
    <x v="95"/>
    <x v="74"/>
    <n v="3"/>
    <n v="0"/>
    <n v="23"/>
    <n v="11"/>
    <n v="3"/>
    <n v="9"/>
    <n v="0"/>
    <n v="0"/>
    <n v="0"/>
    <n v="0"/>
    <n v="0"/>
    <n v="0"/>
    <n v="0"/>
    <n v="0"/>
    <n v="0"/>
    <n v="0"/>
    <n v="0"/>
    <n v="0"/>
    <n v="0"/>
    <n v="0"/>
    <n v="0"/>
    <n v="0"/>
    <n v="0"/>
    <n v="0"/>
    <n v="0"/>
    <n v="0"/>
    <n v="0"/>
    <n v="0"/>
    <n v="0"/>
    <n v="0"/>
    <s v="双柏县鄂嘉镇新厂村中厂"/>
    <s v="2016/0806-0814"/>
    <s v="2016/0806-0814"/>
    <n v="0"/>
    <s v="2571-2484"/>
    <n v="5"/>
    <n v="0"/>
    <n v="1"/>
    <s v="532322197010120519"/>
    <s v="15912923610"/>
  </r>
  <r>
    <x v="4"/>
    <s v="XP077"/>
    <x v="96"/>
    <x v="5"/>
    <n v="11"/>
    <n v="0"/>
    <n v="38"/>
    <n v="3"/>
    <n v="3"/>
    <n v="3"/>
    <n v="3"/>
    <n v="3"/>
    <n v="3"/>
    <n v="4"/>
    <n v="4"/>
    <n v="4"/>
    <n v="4"/>
    <n v="4"/>
    <n v="0"/>
    <n v="0"/>
    <n v="0"/>
    <n v="0"/>
    <n v="0"/>
    <n v="0"/>
    <n v="0"/>
    <n v="0"/>
    <n v="0"/>
    <n v="0"/>
    <n v="0"/>
    <n v="0"/>
    <n v="0"/>
    <n v="0"/>
    <n v="0"/>
    <n v="0"/>
    <s v="新平水塘波村杨家箐"/>
    <s v="20160908"/>
    <n v="0"/>
    <n v="0"/>
    <n v="0"/>
    <n v="7.5"/>
    <n v="0"/>
    <n v="1.5"/>
    <n v="0"/>
    <n v="0"/>
  </r>
  <r>
    <x v="4"/>
    <s v="XP078"/>
    <x v="96"/>
    <x v="5"/>
    <n v="12"/>
    <n v="0"/>
    <n v="43"/>
    <n v="1"/>
    <n v="1"/>
    <n v="3"/>
    <n v="3"/>
    <n v="3"/>
    <n v="3"/>
    <n v="3"/>
    <n v="4"/>
    <n v="4"/>
    <n v="5"/>
    <n v="5"/>
    <n v="8"/>
    <n v="0"/>
    <n v="0"/>
    <n v="0"/>
    <n v="0"/>
    <n v="0"/>
    <n v="0"/>
    <n v="0"/>
    <n v="0"/>
    <n v="0"/>
    <n v="0"/>
    <n v="0"/>
    <n v="0"/>
    <n v="0"/>
    <n v="0"/>
    <n v="0"/>
    <s v="新平水塘波村老牛场"/>
    <s v="20160913"/>
    <n v="0"/>
    <n v="0"/>
    <s v="N02677457，E00743664"/>
    <n v="6"/>
    <n v="0"/>
    <n v="1.2"/>
    <n v="0"/>
    <n v="0"/>
  </r>
  <r>
    <x v="4"/>
    <s v="XP099"/>
    <x v="97"/>
    <x v="5"/>
    <n v="10"/>
    <n v="0"/>
    <n v="43"/>
    <n v="4"/>
    <n v="4"/>
    <n v="4"/>
    <n v="4"/>
    <n v="4"/>
    <n v="4"/>
    <n v="4"/>
    <n v="5"/>
    <n v="5"/>
    <n v="5"/>
    <n v="0"/>
    <n v="0"/>
    <n v="0"/>
    <n v="0"/>
    <n v="0"/>
    <n v="0"/>
    <n v="0"/>
    <n v="0"/>
    <n v="0"/>
    <n v="0"/>
    <n v="0"/>
    <n v="0"/>
    <n v="0"/>
    <n v="0"/>
    <n v="0"/>
    <n v="0"/>
    <n v="0"/>
    <s v="新平县建兴乡磨味村狗头坡组"/>
    <s v="20160715"/>
    <n v="0"/>
    <n v="0"/>
    <s v="海拔2386。N23°48′58.60″ E101°36′49.36″"/>
    <n v="10"/>
    <n v="0"/>
    <n v="2"/>
    <s v="532428196808241116"/>
    <s v="18088911723"/>
  </r>
  <r>
    <x v="4"/>
    <s v="XP100"/>
    <x v="97"/>
    <x v="5"/>
    <n v="10"/>
    <n v="0"/>
    <n v="37"/>
    <n v="3"/>
    <n v="3"/>
    <n v="3"/>
    <n v="4"/>
    <n v="4"/>
    <n v="4"/>
    <n v="4"/>
    <n v="4"/>
    <n v="4"/>
    <n v="4"/>
    <n v="0"/>
    <n v="0"/>
    <n v="0"/>
    <n v="0"/>
    <n v="0"/>
    <n v="0"/>
    <n v="0"/>
    <n v="0"/>
    <n v="0"/>
    <n v="0"/>
    <n v="0"/>
    <n v="0"/>
    <n v="0"/>
    <n v="0"/>
    <n v="0"/>
    <n v="0"/>
    <n v="0"/>
    <s v="？？？"/>
    <s v="编号10-1"/>
    <n v="0"/>
    <n v="0"/>
    <n v="0"/>
    <n v="10"/>
    <n v="0"/>
    <n v="2"/>
    <s v="532428196808241116"/>
    <s v="18088911723"/>
  </r>
  <r>
    <x v="4"/>
    <s v="XP101"/>
    <x v="97"/>
    <x v="5"/>
    <n v="10"/>
    <n v="0"/>
    <n v="59"/>
    <n v="4"/>
    <n v="4"/>
    <n v="4"/>
    <n v="4"/>
    <n v="4"/>
    <n v="4"/>
    <n v="4"/>
    <n v="6"/>
    <n v="8"/>
    <n v="17"/>
    <n v="0"/>
    <n v="0"/>
    <n v="0"/>
    <n v="0"/>
    <n v="0"/>
    <n v="0"/>
    <n v="0"/>
    <n v="0"/>
    <n v="0"/>
    <n v="0"/>
    <n v="0"/>
    <n v="0"/>
    <n v="0"/>
    <n v="0"/>
    <n v="0"/>
    <n v="0"/>
    <n v="0"/>
    <s v="？？？"/>
    <s v="编号10-2"/>
    <n v="0"/>
    <n v="0"/>
    <n v="0"/>
    <n v="10"/>
    <n v="0"/>
    <n v="2"/>
    <s v="532428196808241116"/>
    <s v="18088911723"/>
  </r>
  <r>
    <x v="4"/>
    <s v="XP102"/>
    <x v="97"/>
    <x v="5"/>
    <n v="10"/>
    <n v="0"/>
    <n v="33"/>
    <n v="3"/>
    <n v="3"/>
    <n v="3"/>
    <n v="3"/>
    <n v="3"/>
    <n v="3"/>
    <n v="3"/>
    <n v="4"/>
    <n v="4"/>
    <n v="4"/>
    <n v="0"/>
    <n v="0"/>
    <n v="0"/>
    <n v="0"/>
    <n v="0"/>
    <n v="0"/>
    <n v="0"/>
    <n v="0"/>
    <n v="0"/>
    <n v="0"/>
    <n v="0"/>
    <n v="0"/>
    <n v="0"/>
    <n v="0"/>
    <n v="0"/>
    <n v="0"/>
    <n v="0"/>
    <s v="？？？"/>
    <s v="编号10-3"/>
    <n v="0"/>
    <n v="0"/>
    <n v="0"/>
    <n v="5"/>
    <n v="0"/>
    <n v="1"/>
    <s v="532428196808241116"/>
    <s v="18088911723"/>
  </r>
  <r>
    <x v="4"/>
    <s v="XP103"/>
    <x v="97"/>
    <x v="5"/>
    <n v="0"/>
    <n v="20"/>
    <n v="52"/>
    <n v="2"/>
    <n v="2"/>
    <n v="2"/>
    <n v="2"/>
    <n v="2"/>
    <n v="2"/>
    <n v="2"/>
    <n v="2"/>
    <n v="2"/>
    <n v="2"/>
    <n v="2"/>
    <n v="2"/>
    <n v="3"/>
    <n v="3"/>
    <n v="3"/>
    <n v="3"/>
    <n v="3"/>
    <n v="4"/>
    <n v="4"/>
    <n v="5"/>
    <n v="0"/>
    <n v="0"/>
    <n v="0"/>
    <n v="0"/>
    <n v="0"/>
    <n v="0"/>
    <n v="0"/>
    <s v="？？？"/>
    <s v="？"/>
    <n v="0"/>
    <n v="0"/>
    <n v="0"/>
    <n v="10"/>
    <n v="0"/>
    <n v="2"/>
    <s v="532428196808241116"/>
    <s v="18088911723"/>
  </r>
  <r>
    <x v="4"/>
    <s v="XP028"/>
    <x v="98"/>
    <x v="60"/>
    <n v="7"/>
    <n v="0"/>
    <n v="120"/>
    <n v="22"/>
    <n v="14"/>
    <n v="9"/>
    <n v="18"/>
    <n v="22"/>
    <n v="25"/>
    <n v="10"/>
    <n v="0"/>
    <n v="0"/>
    <n v="0"/>
    <n v="0"/>
    <n v="0"/>
    <n v="0"/>
    <n v="0"/>
    <n v="0"/>
    <n v="0"/>
    <n v="0"/>
    <n v="0"/>
    <n v="0"/>
    <n v="0"/>
    <n v="0"/>
    <n v="0"/>
    <n v="0"/>
    <n v="0"/>
    <n v="0"/>
    <n v="0"/>
    <n v="0"/>
    <s v="新平者竜庆丰社区"/>
    <s v="20160812"/>
    <n v="0"/>
    <n v="0"/>
    <s v="2691102-17734351"/>
    <n v="21.500000000000004"/>
    <s v="0.9+0.9+1.1+0.5+0.9"/>
    <n v="4.3000000000000007"/>
    <s v="532428197506021913"/>
    <s v="18088911758"/>
  </r>
  <r>
    <x v="4"/>
    <s v="XP029"/>
    <x v="98"/>
    <x v="60"/>
    <n v="5"/>
    <n v="0"/>
    <n v="73"/>
    <n v="14"/>
    <n v="11"/>
    <n v="11"/>
    <n v="21"/>
    <n v="16"/>
    <n v="0"/>
    <n v="0"/>
    <n v="0"/>
    <n v="0"/>
    <n v="0"/>
    <n v="0"/>
    <n v="0"/>
    <n v="0"/>
    <n v="0"/>
    <n v="0"/>
    <n v="0"/>
    <n v="0"/>
    <n v="0"/>
    <n v="0"/>
    <n v="0"/>
    <n v="0"/>
    <n v="0"/>
    <n v="0"/>
    <n v="0"/>
    <n v="0"/>
    <n v="0"/>
    <n v="0"/>
    <s v="新平者竜庆丰社区"/>
    <s v="20160812"/>
    <n v="0"/>
    <n v="0"/>
    <s v="2691341-17733590"/>
    <n v="12.5"/>
    <n v="0"/>
    <n v="2.5"/>
    <s v="532428197506021913"/>
    <s v="18088911758"/>
  </r>
  <r>
    <x v="4"/>
    <s v="XP030"/>
    <x v="98"/>
    <x v="60"/>
    <n v="5"/>
    <n v="0"/>
    <n v="67"/>
    <n v="14"/>
    <n v="18"/>
    <n v="8"/>
    <n v="11"/>
    <n v="16"/>
    <n v="0"/>
    <n v="0"/>
    <n v="0"/>
    <n v="0"/>
    <n v="0"/>
    <n v="0"/>
    <n v="0"/>
    <n v="0"/>
    <n v="0"/>
    <n v="0"/>
    <n v="0"/>
    <n v="0"/>
    <n v="0"/>
    <n v="0"/>
    <n v="0"/>
    <n v="0"/>
    <n v="0"/>
    <n v="0"/>
    <n v="0"/>
    <n v="0"/>
    <n v="0"/>
    <n v="0"/>
    <s v="新平者竜庆丰社区"/>
    <s v="20160813"/>
    <n v="0"/>
    <n v="0"/>
    <s v="1690774-17733590"/>
    <n v="10"/>
    <n v="0"/>
    <n v="2"/>
    <s v="532428197506021913"/>
    <s v="18088911758"/>
  </r>
  <r>
    <x v="4"/>
    <s v="XP031"/>
    <x v="98"/>
    <x v="60"/>
    <n v="4"/>
    <n v="0"/>
    <n v="57"/>
    <n v="12"/>
    <n v="17"/>
    <n v="13"/>
    <n v="15"/>
    <n v="0"/>
    <n v="0"/>
    <n v="0"/>
    <n v="0"/>
    <n v="0"/>
    <n v="0"/>
    <n v="0"/>
    <n v="0"/>
    <n v="0"/>
    <n v="0"/>
    <n v="0"/>
    <n v="0"/>
    <n v="0"/>
    <n v="0"/>
    <n v="0"/>
    <n v="0"/>
    <n v="0"/>
    <n v="0"/>
    <n v="0"/>
    <n v="0"/>
    <n v="0"/>
    <n v="0"/>
    <n v="0"/>
    <s v="新平者竜庆丰社区"/>
    <s v="20160813"/>
    <n v="0"/>
    <n v="0"/>
    <s v="2690447-17733400"/>
    <n v="12.5"/>
    <n v="0"/>
    <n v="2.5"/>
    <s v="532428197506021913"/>
    <s v="18088911758"/>
  </r>
  <r>
    <x v="4"/>
    <s v="XP032"/>
    <x v="98"/>
    <x v="60"/>
    <n v="2"/>
    <n v="0"/>
    <n v="43"/>
    <n v="25"/>
    <n v="18"/>
    <n v="0"/>
    <n v="0"/>
    <n v="0"/>
    <n v="0"/>
    <n v="0"/>
    <n v="0"/>
    <n v="0"/>
    <n v="0"/>
    <n v="0"/>
    <n v="0"/>
    <n v="0"/>
    <n v="0"/>
    <n v="0"/>
    <n v="0"/>
    <n v="0"/>
    <n v="0"/>
    <n v="0"/>
    <n v="0"/>
    <n v="0"/>
    <n v="0"/>
    <n v="0"/>
    <n v="0"/>
    <n v="0"/>
    <n v="0"/>
    <n v="0"/>
    <s v="新平者竜庆丰社区"/>
    <s v="20160924"/>
    <n v="0"/>
    <n v="0"/>
    <s v="2690663-17736115"/>
    <n v="7.5"/>
    <n v="0"/>
    <n v="1.5"/>
    <s v="532428197506021913"/>
    <s v="18088911758"/>
  </r>
  <r>
    <x v="4"/>
    <s v="XP033"/>
    <x v="98"/>
    <x v="60"/>
    <n v="2"/>
    <n v="0"/>
    <n v="34"/>
    <n v="18"/>
    <n v="16"/>
    <n v="0"/>
    <n v="0"/>
    <n v="0"/>
    <n v="0"/>
    <n v="0"/>
    <n v="0"/>
    <n v="0"/>
    <n v="0"/>
    <n v="0"/>
    <n v="0"/>
    <n v="0"/>
    <n v="0"/>
    <n v="0"/>
    <n v="0"/>
    <n v="0"/>
    <n v="0"/>
    <n v="0"/>
    <n v="0"/>
    <n v="0"/>
    <n v="0"/>
    <n v="0"/>
    <n v="0"/>
    <n v="0"/>
    <n v="0"/>
    <n v="0"/>
    <s v="新平者竜庆丰社区"/>
    <s v="20160924"/>
    <n v="0"/>
    <n v="0"/>
    <s v="2689661-17735663"/>
    <n v="5"/>
    <n v="0"/>
    <n v="1"/>
    <s v="532428197506021913"/>
    <s v="18088911758"/>
  </r>
  <r>
    <x v="4"/>
    <s v="XP034"/>
    <x v="98"/>
    <x v="60"/>
    <n v="5"/>
    <n v="0"/>
    <n v="102"/>
    <n v="10"/>
    <n v="20"/>
    <n v="28"/>
    <n v="24"/>
    <n v="20"/>
    <n v="0"/>
    <n v="0"/>
    <n v="0"/>
    <n v="0"/>
    <n v="0"/>
    <n v="0"/>
    <n v="0"/>
    <n v="0"/>
    <n v="0"/>
    <n v="0"/>
    <n v="0"/>
    <n v="0"/>
    <n v="0"/>
    <n v="0"/>
    <n v="0"/>
    <n v="0"/>
    <n v="0"/>
    <n v="0"/>
    <n v="0"/>
    <n v="0"/>
    <n v="0"/>
    <n v="0"/>
    <s v="新平者竜庆丰社区"/>
    <s v="20160925"/>
    <n v="0"/>
    <n v="0"/>
    <s v="2688340-17734928"/>
    <n v="20.5"/>
    <s v="0.5+0.9+1.1+0.9+0.7"/>
    <n v="4.0999999999999996"/>
    <s v="532428197506021913"/>
    <s v="18088911758"/>
  </r>
  <r>
    <x v="4"/>
    <s v="XP068"/>
    <x v="99"/>
    <x v="75"/>
    <n v="4"/>
    <n v="0"/>
    <n v="55"/>
    <n v="8"/>
    <n v="17"/>
    <n v="16"/>
    <n v="14"/>
    <n v="0"/>
    <n v="0"/>
    <n v="0"/>
    <n v="0"/>
    <n v="0"/>
    <n v="0"/>
    <n v="0"/>
    <n v="0"/>
    <n v="0"/>
    <n v="0"/>
    <n v="0"/>
    <n v="0"/>
    <n v="0"/>
    <n v="0"/>
    <n v="0"/>
    <n v="0"/>
    <n v="0"/>
    <n v="0"/>
    <n v="0"/>
    <n v="0"/>
    <n v="0"/>
    <n v="0"/>
    <n v="0"/>
    <s v="新平县者竜乡竹箐村"/>
    <s v="20160705"/>
    <n v="0"/>
    <n v="0"/>
    <s v="2690435-17730991"/>
    <n v="10"/>
    <n v="0"/>
    <n v="2"/>
    <s v="532428196903291939"/>
    <s v="18088911760"/>
  </r>
  <r>
    <x v="4"/>
    <s v="XP069"/>
    <x v="99"/>
    <x v="75"/>
    <n v="6"/>
    <n v="0"/>
    <n v="66"/>
    <n v="18"/>
    <n v="7"/>
    <n v="11"/>
    <n v="11"/>
    <n v="9"/>
    <n v="10"/>
    <n v="0"/>
    <n v="0"/>
    <n v="0"/>
    <n v="0"/>
    <n v="0"/>
    <n v="0"/>
    <n v="0"/>
    <n v="0"/>
    <n v="0"/>
    <n v="0"/>
    <n v="0"/>
    <n v="0"/>
    <n v="0"/>
    <n v="0"/>
    <n v="0"/>
    <n v="0"/>
    <n v="0"/>
    <n v="0"/>
    <n v="0"/>
    <n v="0"/>
    <n v="0"/>
    <s v="新平县者竜乡竹箐村"/>
    <s v="20160705"/>
    <n v="0"/>
    <n v="0"/>
    <s v="2691397-17733089"/>
    <n v="10"/>
    <n v="0"/>
    <n v="2"/>
    <s v="532428196903291939"/>
    <s v="18088911760"/>
  </r>
  <r>
    <x v="4"/>
    <s v="XP070"/>
    <x v="99"/>
    <x v="75"/>
    <n v="6"/>
    <n v="0"/>
    <n v="81"/>
    <n v="12"/>
    <n v="13"/>
    <n v="14"/>
    <n v="14"/>
    <n v="14"/>
    <n v="14"/>
    <n v="0"/>
    <n v="0"/>
    <n v="0"/>
    <n v="0"/>
    <n v="0"/>
    <n v="0"/>
    <n v="0"/>
    <n v="0"/>
    <n v="0"/>
    <n v="0"/>
    <n v="0"/>
    <n v="0"/>
    <n v="0"/>
    <n v="0"/>
    <n v="0"/>
    <n v="0"/>
    <n v="0"/>
    <n v="0"/>
    <n v="0"/>
    <n v="0"/>
    <n v="0"/>
    <s v="新平县者竜乡竹箐村"/>
    <s v="20160706"/>
    <n v="0"/>
    <n v="0"/>
    <s v="2690041-17730878"/>
    <n v="12.5"/>
    <n v="0"/>
    <n v="2.5"/>
    <s v="532428196903291939"/>
    <s v="18088911760"/>
  </r>
  <r>
    <x v="4"/>
    <s v="XP071"/>
    <x v="99"/>
    <x v="75"/>
    <n v="3"/>
    <n v="0"/>
    <n v="43"/>
    <n v="16"/>
    <n v="14"/>
    <n v="13"/>
    <n v="0"/>
    <n v="0"/>
    <n v="0"/>
    <n v="0"/>
    <n v="0"/>
    <n v="0"/>
    <n v="0"/>
    <n v="0"/>
    <n v="0"/>
    <n v="0"/>
    <n v="0"/>
    <n v="0"/>
    <n v="0"/>
    <n v="0"/>
    <n v="0"/>
    <n v="0"/>
    <n v="0"/>
    <n v="0"/>
    <n v="0"/>
    <n v="0"/>
    <n v="0"/>
    <n v="0"/>
    <n v="0"/>
    <n v="0"/>
    <s v="新平县者竜乡竹箐村"/>
    <s v="20160706"/>
    <n v="0"/>
    <n v="0"/>
    <s v="2689008-17732139"/>
    <n v="6"/>
    <n v="0"/>
    <n v="1.2"/>
    <s v="532428196903291939"/>
    <s v="18088911760"/>
  </r>
  <r>
    <x v="4"/>
    <s v="XP001"/>
    <x v="100"/>
    <x v="5"/>
    <n v="6"/>
    <n v="0"/>
    <n v="73"/>
    <n v="13"/>
    <n v="12"/>
    <n v="15"/>
    <n v="8"/>
    <n v="14"/>
    <n v="11"/>
    <n v="0"/>
    <n v="0"/>
    <n v="0"/>
    <n v="0"/>
    <n v="0"/>
    <n v="0"/>
    <n v="0"/>
    <n v="0"/>
    <n v="0"/>
    <n v="0"/>
    <n v="0"/>
    <n v="0"/>
    <n v="0"/>
    <n v="0"/>
    <n v="0"/>
    <n v="0"/>
    <n v="0"/>
    <n v="0"/>
    <n v="0"/>
    <n v="0"/>
    <n v="0"/>
    <s v="新平县者竜乡者竜村"/>
    <s v="20160814"/>
    <n v="0"/>
    <n v="0"/>
    <s v="2690663-17736115"/>
    <n v="15"/>
    <n v="0"/>
    <n v="3"/>
    <s v="532428197303171911"/>
    <s v="18088911760"/>
  </r>
  <r>
    <x v="4"/>
    <s v="XP002"/>
    <x v="100"/>
    <x v="5"/>
    <n v="3"/>
    <n v="0"/>
    <n v="47"/>
    <n v="19"/>
    <n v="14"/>
    <n v="14"/>
    <n v="0"/>
    <n v="0"/>
    <n v="0"/>
    <n v="0"/>
    <n v="0"/>
    <n v="0"/>
    <n v="0"/>
    <n v="0"/>
    <n v="0"/>
    <n v="0"/>
    <n v="0"/>
    <n v="0"/>
    <n v="0"/>
    <n v="0"/>
    <n v="0"/>
    <n v="0"/>
    <n v="0"/>
    <n v="0"/>
    <n v="0"/>
    <n v="0"/>
    <n v="0"/>
    <n v="0"/>
    <n v="0"/>
    <n v="0"/>
    <s v="新平县者竜乡者竜村"/>
    <s v="20160814"/>
    <n v="0"/>
    <n v="0"/>
    <s v="2689661-17735663"/>
    <n v="6"/>
    <n v="0"/>
    <n v="1.2"/>
    <s v="532428197303171911"/>
    <s v="18088911760"/>
  </r>
  <r>
    <x v="4"/>
    <s v="XP003"/>
    <x v="100"/>
    <x v="5"/>
    <n v="4"/>
    <n v="0"/>
    <n v="51"/>
    <n v="10"/>
    <n v="13"/>
    <n v="12"/>
    <n v="16"/>
    <n v="0"/>
    <n v="0"/>
    <n v="0"/>
    <n v="0"/>
    <n v="0"/>
    <n v="0"/>
    <n v="0"/>
    <n v="0"/>
    <n v="0"/>
    <n v="0"/>
    <n v="0"/>
    <n v="0"/>
    <n v="0"/>
    <n v="0"/>
    <n v="0"/>
    <n v="0"/>
    <n v="0"/>
    <n v="0"/>
    <n v="0"/>
    <n v="0"/>
    <n v="0"/>
    <n v="0"/>
    <n v="0"/>
    <s v="新平县者竜乡者竜村"/>
    <s v="20160815"/>
    <n v="0"/>
    <n v="0"/>
    <s v="2689211-17735363"/>
    <n v="10"/>
    <n v="0"/>
    <n v="2"/>
    <s v="532428197303171911"/>
    <s v="18088911760"/>
  </r>
  <r>
    <x v="4"/>
    <s v="XP004"/>
    <x v="100"/>
    <x v="76"/>
    <n v="4"/>
    <n v="0"/>
    <n v="44"/>
    <n v="14"/>
    <n v="15"/>
    <n v="8"/>
    <n v="7"/>
    <n v="0"/>
    <n v="0"/>
    <n v="0"/>
    <n v="0"/>
    <n v="0"/>
    <n v="0"/>
    <n v="0"/>
    <n v="0"/>
    <n v="0"/>
    <n v="0"/>
    <n v="0"/>
    <n v="0"/>
    <n v="0"/>
    <n v="0"/>
    <n v="0"/>
    <n v="0"/>
    <n v="0"/>
    <n v="0"/>
    <n v="0"/>
    <n v="0"/>
    <n v="0"/>
    <n v="0"/>
    <n v="0"/>
    <s v="新平县者竜乡者竜村"/>
    <s v="20160815"/>
    <n v="0"/>
    <n v="0"/>
    <s v="2688340-17734928"/>
    <n v="10"/>
    <n v="0"/>
    <n v="2"/>
    <s v="532428197303171911"/>
    <s v="18088911760"/>
  </r>
  <r>
    <x v="4"/>
    <s v="XP005"/>
    <x v="100"/>
    <x v="5"/>
    <n v="3"/>
    <n v="0"/>
    <n v="39"/>
    <n v="15"/>
    <n v="9"/>
    <n v="15"/>
    <n v="0"/>
    <n v="0"/>
    <n v="0"/>
    <n v="0"/>
    <n v="0"/>
    <n v="0"/>
    <n v="0"/>
    <n v="0"/>
    <n v="0"/>
    <n v="0"/>
    <n v="0"/>
    <n v="0"/>
    <n v="0"/>
    <n v="0"/>
    <n v="0"/>
    <n v="0"/>
    <n v="0"/>
    <n v="0"/>
    <n v="0"/>
    <n v="0"/>
    <n v="0"/>
    <n v="0"/>
    <n v="0"/>
    <n v="0"/>
    <s v="新平县者竜乡者竜村"/>
    <s v="20160922"/>
    <n v="0"/>
    <n v="0"/>
    <s v="2691102-17734351"/>
    <n v="7.5"/>
    <n v="0"/>
    <n v="1.5"/>
    <s v="532428197303171911"/>
    <s v="18088911760"/>
  </r>
  <r>
    <x v="4"/>
    <s v="XP006"/>
    <x v="100"/>
    <x v="77"/>
    <n v="3"/>
    <n v="0"/>
    <n v="59"/>
    <n v="22"/>
    <n v="25"/>
    <n v="12"/>
    <n v="0"/>
    <n v="0"/>
    <n v="0"/>
    <n v="0"/>
    <n v="0"/>
    <n v="0"/>
    <n v="0"/>
    <n v="0"/>
    <n v="0"/>
    <n v="0"/>
    <n v="0"/>
    <n v="0"/>
    <n v="0"/>
    <n v="0"/>
    <n v="0"/>
    <n v="0"/>
    <n v="0"/>
    <n v="0"/>
    <n v="0"/>
    <n v="0"/>
    <n v="0"/>
    <n v="0"/>
    <n v="0"/>
    <n v="0"/>
    <s v="新平县者竜乡者竜村"/>
    <s v="20160923"/>
    <n v="0"/>
    <n v="0"/>
    <s v="2690447-1773400"/>
    <n v="10"/>
    <n v="0"/>
    <n v="2"/>
    <s v="532428197303171911"/>
    <s v="18088911760"/>
  </r>
  <r>
    <x v="4"/>
    <s v="XP007"/>
    <x v="100"/>
    <x v="78"/>
    <n v="2"/>
    <n v="0"/>
    <n v="23"/>
    <n v="8"/>
    <n v="15"/>
    <n v="0"/>
    <n v="0"/>
    <n v="0"/>
    <n v="0"/>
    <n v="0"/>
    <n v="0"/>
    <n v="0"/>
    <n v="0"/>
    <n v="0"/>
    <n v="0"/>
    <n v="0"/>
    <n v="0"/>
    <n v="0"/>
    <n v="0"/>
    <n v="0"/>
    <n v="0"/>
    <n v="0"/>
    <n v="0"/>
    <n v="0"/>
    <n v="0"/>
    <n v="0"/>
    <n v="0"/>
    <n v="0"/>
    <n v="0"/>
    <n v="0"/>
    <s v="新平县者竜乡者竜村"/>
    <s v="20160923"/>
    <n v="0"/>
    <n v="0"/>
    <s v="2691341-17733590"/>
    <n v="5"/>
    <n v="0"/>
    <n v="1"/>
    <s v="532428197303171911"/>
    <s v="18088911760"/>
  </r>
  <r>
    <x v="4"/>
    <s v="XP008"/>
    <x v="100"/>
    <x v="79"/>
    <n v="3"/>
    <n v="0"/>
    <n v="49"/>
    <n v="19"/>
    <n v="19"/>
    <n v="11"/>
    <n v="0"/>
    <n v="0"/>
    <n v="0"/>
    <n v="0"/>
    <n v="0"/>
    <n v="0"/>
    <n v="0"/>
    <n v="0"/>
    <n v="0"/>
    <n v="0"/>
    <n v="0"/>
    <n v="0"/>
    <n v="0"/>
    <n v="0"/>
    <n v="0"/>
    <n v="0"/>
    <n v="0"/>
    <n v="0"/>
    <n v="0"/>
    <n v="0"/>
    <n v="0"/>
    <n v="0"/>
    <n v="0"/>
    <n v="0"/>
    <s v="新平县者竜乡者竜村"/>
    <s v="20160923"/>
    <n v="0"/>
    <n v="0"/>
    <s v="2690774-17733590"/>
    <n v="7.5"/>
    <n v="0"/>
    <n v="1.5"/>
    <s v="532428197303171911"/>
    <s v="18088911760"/>
  </r>
  <r>
    <x v="4"/>
    <s v="XP019"/>
    <x v="101"/>
    <x v="80"/>
    <n v="5"/>
    <n v="0"/>
    <n v="13"/>
    <n v="1"/>
    <n v="1"/>
    <n v="4"/>
    <n v="4"/>
    <n v="3"/>
    <n v="0"/>
    <n v="0"/>
    <n v="0"/>
    <n v="0"/>
    <n v="0"/>
    <n v="0"/>
    <n v="0"/>
    <n v="0"/>
    <n v="0"/>
    <n v="0"/>
    <n v="0"/>
    <n v="0"/>
    <n v="0"/>
    <n v="0"/>
    <n v="0"/>
    <n v="0"/>
    <n v="0"/>
    <n v="0"/>
    <n v="0"/>
    <n v="0"/>
    <n v="0"/>
    <n v="0"/>
    <s v="新平者竜渔科村"/>
    <s v="20160704"/>
    <n v="0"/>
    <n v="0"/>
    <s v="2682150-17739701"/>
    <n v="3"/>
    <n v="0"/>
    <n v="0.6"/>
    <s v="532428196806131917"/>
    <s v="18088911752"/>
  </r>
  <r>
    <x v="4"/>
    <s v="XP020"/>
    <x v="101"/>
    <x v="80"/>
    <n v="5"/>
    <n v="0"/>
    <n v="10"/>
    <n v="2"/>
    <n v="1"/>
    <n v="1"/>
    <n v="2"/>
    <n v="4"/>
    <n v="0"/>
    <n v="0"/>
    <n v="0"/>
    <n v="0"/>
    <n v="0"/>
    <n v="0"/>
    <n v="0"/>
    <n v="0"/>
    <n v="0"/>
    <n v="0"/>
    <n v="0"/>
    <n v="0"/>
    <n v="0"/>
    <n v="0"/>
    <n v="0"/>
    <n v="0"/>
    <n v="0"/>
    <n v="0"/>
    <n v="0"/>
    <n v="0"/>
    <n v="0"/>
    <n v="0"/>
    <s v="新平者竜渔科村"/>
    <s v="20160704"/>
    <n v="0"/>
    <n v="0"/>
    <s v="2681938-17739901"/>
    <n v="3"/>
    <n v="0"/>
    <n v="0.6"/>
    <s v="532428196806131917"/>
    <s v="18088911752"/>
  </r>
  <r>
    <x v="4"/>
    <s v="XP021"/>
    <x v="101"/>
    <x v="80"/>
    <n v="5"/>
    <n v="0"/>
    <n v="16"/>
    <n v="1"/>
    <n v="4"/>
    <n v="5"/>
    <n v="5"/>
    <n v="1"/>
    <n v="0"/>
    <n v="0"/>
    <n v="0"/>
    <n v="0"/>
    <n v="0"/>
    <n v="0"/>
    <n v="0"/>
    <n v="0"/>
    <n v="0"/>
    <n v="0"/>
    <n v="0"/>
    <n v="0"/>
    <n v="0"/>
    <n v="0"/>
    <n v="0"/>
    <n v="0"/>
    <n v="0"/>
    <n v="0"/>
    <n v="0"/>
    <n v="0"/>
    <n v="0"/>
    <n v="0"/>
    <s v="新平者竜渔科村"/>
    <s v="20160705"/>
    <n v="0"/>
    <n v="0"/>
    <s v="2685224-17736878"/>
    <n v="3"/>
    <n v="0"/>
    <n v="0.6"/>
    <s v="532428196806131917"/>
    <s v="18088911752"/>
  </r>
  <r>
    <x v="4"/>
    <s v="XP022"/>
    <x v="101"/>
    <x v="80"/>
    <n v="5"/>
    <n v="0"/>
    <n v="25"/>
    <n v="3"/>
    <n v="4"/>
    <n v="8"/>
    <n v="5"/>
    <n v="5"/>
    <n v="0"/>
    <n v="0"/>
    <n v="0"/>
    <n v="0"/>
    <n v="0"/>
    <n v="0"/>
    <n v="0"/>
    <n v="0"/>
    <n v="0"/>
    <n v="0"/>
    <n v="0"/>
    <n v="0"/>
    <n v="0"/>
    <n v="0"/>
    <n v="0"/>
    <n v="0"/>
    <n v="0"/>
    <n v="0"/>
    <n v="0"/>
    <n v="0"/>
    <n v="0"/>
    <n v="0"/>
    <s v="新平者竜渔科村"/>
    <s v="20160705"/>
    <n v="0"/>
    <n v="0"/>
    <s v="2683676-17738572"/>
    <n v="6"/>
    <n v="0"/>
    <n v="1.2"/>
    <s v="532428196806131917"/>
    <s v="18088911752"/>
  </r>
  <r>
    <x v="4"/>
    <s v="XP023"/>
    <x v="101"/>
    <x v="80"/>
    <n v="0"/>
    <n v="7"/>
    <n v="17"/>
    <n v="1"/>
    <n v="1"/>
    <n v="2"/>
    <n v="2"/>
    <n v="3"/>
    <n v="4"/>
    <n v="4"/>
    <n v="0"/>
    <n v="0"/>
    <n v="0"/>
    <n v="0"/>
    <n v="0"/>
    <n v="0"/>
    <n v="0"/>
    <n v="0"/>
    <n v="0"/>
    <n v="0"/>
    <n v="0"/>
    <n v="0"/>
    <n v="0"/>
    <n v="0"/>
    <n v="0"/>
    <n v="0"/>
    <n v="0"/>
    <n v="0"/>
    <n v="0"/>
    <n v="0"/>
    <s v="？？？"/>
    <n v="0"/>
    <n v="0"/>
    <n v="0"/>
    <n v="0"/>
    <n v="3"/>
    <n v="0"/>
    <n v="0.6"/>
    <s v="532428196806131917"/>
    <s v="18088911752"/>
  </r>
  <r>
    <x v="4"/>
    <s v="XP024"/>
    <x v="101"/>
    <x v="80"/>
    <n v="4"/>
    <n v="0"/>
    <n v="16"/>
    <n v="3"/>
    <n v="5"/>
    <n v="4"/>
    <n v="4"/>
    <n v="0"/>
    <n v="0"/>
    <n v="0"/>
    <n v="0"/>
    <n v="0"/>
    <n v="0"/>
    <n v="0"/>
    <n v="0"/>
    <n v="0"/>
    <n v="0"/>
    <n v="0"/>
    <n v="0"/>
    <n v="0"/>
    <n v="0"/>
    <n v="0"/>
    <n v="0"/>
    <n v="0"/>
    <n v="0"/>
    <n v="0"/>
    <n v="0"/>
    <n v="0"/>
    <n v="0"/>
    <n v="0"/>
    <s v="新平者竜渔科村"/>
    <s v="20160922"/>
    <n v="0"/>
    <n v="0"/>
    <s v="2680500-17738453"/>
    <n v="3"/>
    <n v="0"/>
    <n v="0.6"/>
    <s v="532428196806131917"/>
    <s v="18088911752"/>
  </r>
  <r>
    <x v="4"/>
    <s v="XP025"/>
    <x v="101"/>
    <x v="80"/>
    <n v="4"/>
    <n v="0"/>
    <n v="37"/>
    <n v="11"/>
    <n v="5"/>
    <n v="9"/>
    <n v="12"/>
    <n v="0"/>
    <n v="0"/>
    <n v="0"/>
    <n v="0"/>
    <n v="0"/>
    <n v="0"/>
    <n v="0"/>
    <n v="0"/>
    <n v="0"/>
    <n v="0"/>
    <n v="0"/>
    <n v="0"/>
    <n v="0"/>
    <n v="0"/>
    <n v="0"/>
    <n v="0"/>
    <n v="0"/>
    <n v="0"/>
    <n v="0"/>
    <n v="0"/>
    <n v="0"/>
    <n v="0"/>
    <n v="0"/>
    <s v="新平者竜渔科村"/>
    <s v="20160922"/>
    <n v="0"/>
    <n v="0"/>
    <s v="2680285-17739110"/>
    <n v="5"/>
    <n v="0"/>
    <n v="1"/>
    <s v="532428196806131917"/>
    <s v="18088911752"/>
  </r>
  <r>
    <x v="4"/>
    <s v="XP026"/>
    <x v="101"/>
    <x v="80"/>
    <n v="6"/>
    <n v="0"/>
    <n v="49"/>
    <n v="7"/>
    <n v="12"/>
    <n v="7"/>
    <n v="10"/>
    <n v="7"/>
    <n v="6"/>
    <n v="0"/>
    <n v="0"/>
    <n v="0"/>
    <n v="0"/>
    <n v="0"/>
    <n v="0"/>
    <n v="0"/>
    <n v="0"/>
    <n v="0"/>
    <n v="0"/>
    <n v="0"/>
    <n v="0"/>
    <n v="0"/>
    <n v="0"/>
    <n v="0"/>
    <n v="0"/>
    <n v="0"/>
    <n v="0"/>
    <n v="0"/>
    <n v="0"/>
    <n v="0"/>
    <s v="新平者竜渔科村"/>
    <s v="20160923"/>
    <n v="0"/>
    <n v="0"/>
    <s v="2681917-17739917"/>
    <n v="7.5"/>
    <n v="0"/>
    <n v="1.5"/>
    <s v="532428196806131917"/>
    <s v="18088911752"/>
  </r>
  <r>
    <x v="4"/>
    <s v="XP027"/>
    <x v="101"/>
    <x v="80"/>
    <n v="6"/>
    <n v="0"/>
    <n v="45"/>
    <n v="8"/>
    <n v="7"/>
    <n v="8"/>
    <n v="8"/>
    <n v="10"/>
    <n v="4"/>
    <n v="0"/>
    <n v="0"/>
    <n v="0"/>
    <n v="0"/>
    <n v="0"/>
    <n v="0"/>
    <n v="0"/>
    <n v="0"/>
    <n v="0"/>
    <n v="0"/>
    <n v="0"/>
    <n v="0"/>
    <n v="0"/>
    <n v="0"/>
    <n v="0"/>
    <n v="0"/>
    <n v="0"/>
    <n v="0"/>
    <n v="0"/>
    <n v="0"/>
    <n v="0"/>
    <s v="新平者竜渔科村"/>
    <s v="20160923"/>
    <n v="0"/>
    <n v="0"/>
    <s v="2681366-17739283"/>
    <n v="6"/>
    <n v="0"/>
    <n v="1.2"/>
    <s v="532428196806131917"/>
    <s v="18088911752"/>
  </r>
  <r>
    <x v="4"/>
    <s v="XP035"/>
    <x v="102"/>
    <x v="81"/>
    <n v="13"/>
    <n v="1"/>
    <n v="122"/>
    <n v="12"/>
    <n v="16"/>
    <n v="6"/>
    <n v="8"/>
    <n v="12"/>
    <n v="10"/>
    <n v="9"/>
    <n v="10"/>
    <n v="7"/>
    <n v="5"/>
    <n v="7"/>
    <n v="11"/>
    <n v="6"/>
    <n v="3"/>
    <n v="0"/>
    <n v="0"/>
    <n v="0"/>
    <n v="0"/>
    <n v="0"/>
    <n v="0"/>
    <n v="0"/>
    <n v="0"/>
    <n v="0"/>
    <n v="0"/>
    <n v="0"/>
    <n v="0"/>
    <n v="0"/>
    <s v="大口，保家堰"/>
    <s v="20160723"/>
    <n v="0"/>
    <n v="0"/>
    <s v="海拔2300"/>
    <n v="40.5"/>
    <s v="1.5+1.1+1.5+2+2"/>
    <n v="8.1"/>
    <s v="530427198307101511"/>
    <s v="15894289134"/>
  </r>
  <r>
    <x v="4"/>
    <s v="XP036"/>
    <x v="102"/>
    <x v="81"/>
    <n v="9"/>
    <n v="0"/>
    <n v="71"/>
    <n v="9"/>
    <n v="7"/>
    <n v="6"/>
    <n v="11"/>
    <n v="12"/>
    <n v="7"/>
    <n v="8"/>
    <n v="5"/>
    <n v="6"/>
    <n v="0"/>
    <n v="0"/>
    <n v="0"/>
    <n v="0"/>
    <n v="0"/>
    <n v="0"/>
    <n v="0"/>
    <n v="0"/>
    <n v="0"/>
    <n v="0"/>
    <n v="0"/>
    <n v="0"/>
    <n v="0"/>
    <n v="0"/>
    <n v="0"/>
    <n v="0"/>
    <n v="0"/>
    <n v="0"/>
    <s v="大口，保家堰"/>
    <s v="20160807"/>
    <n v="0"/>
    <n v="0"/>
    <s v="海拔2200"/>
    <n v="25"/>
    <n v="0"/>
    <n v="5"/>
    <s v="530427198307101511"/>
    <s v="15894289134"/>
  </r>
  <r>
    <x v="4"/>
    <s v="XP037"/>
    <x v="102"/>
    <x v="81"/>
    <n v="9"/>
    <n v="0"/>
    <n v="93"/>
    <n v="7"/>
    <n v="13"/>
    <n v="9"/>
    <n v="12"/>
    <n v="14"/>
    <n v="13"/>
    <n v="7"/>
    <n v="8"/>
    <n v="10"/>
    <n v="0"/>
    <n v="0"/>
    <n v="0"/>
    <n v="0"/>
    <n v="0"/>
    <n v="0"/>
    <n v="0"/>
    <n v="0"/>
    <n v="0"/>
    <n v="0"/>
    <n v="0"/>
    <n v="0"/>
    <n v="0"/>
    <n v="0"/>
    <n v="0"/>
    <n v="0"/>
    <n v="0"/>
    <n v="0"/>
    <s v="大口，山门口"/>
    <s v="20160820"/>
    <n v="0"/>
    <n v="0"/>
    <s v="海拔2500"/>
    <n v="30"/>
    <n v="0"/>
    <n v="6"/>
    <s v="530427198307101511"/>
    <s v="15894289134"/>
  </r>
  <r>
    <x v="4"/>
    <s v="XP038"/>
    <x v="102"/>
    <x v="81"/>
    <n v="8"/>
    <n v="0"/>
    <n v="92"/>
    <n v="9"/>
    <n v="12"/>
    <n v="9"/>
    <n v="7"/>
    <n v="6"/>
    <n v="26"/>
    <n v="12"/>
    <n v="11"/>
    <n v="0"/>
    <n v="0"/>
    <n v="0"/>
    <n v="0"/>
    <n v="0"/>
    <n v="0"/>
    <n v="0"/>
    <n v="0"/>
    <n v="0"/>
    <n v="0"/>
    <n v="0"/>
    <n v="0"/>
    <n v="0"/>
    <n v="0"/>
    <n v="0"/>
    <n v="0"/>
    <n v="0"/>
    <n v="0"/>
    <n v="0"/>
    <s v="大口，山门口"/>
    <s v="20160820"/>
    <n v="0"/>
    <n v="0"/>
    <s v="海拔2300"/>
    <n v="25"/>
    <n v="0"/>
    <n v="5"/>
    <s v="530427198307101511"/>
    <s v="15894289134"/>
  </r>
  <r>
    <x v="4"/>
    <s v="XP039"/>
    <x v="102"/>
    <x v="81"/>
    <n v="0"/>
    <n v="19"/>
    <n v="72"/>
    <n v="2"/>
    <n v="3"/>
    <n v="3"/>
    <n v="3"/>
    <n v="3"/>
    <n v="3"/>
    <n v="3"/>
    <n v="3"/>
    <n v="3"/>
    <n v="4"/>
    <n v="4"/>
    <n v="4"/>
    <n v="4"/>
    <n v="4"/>
    <n v="4"/>
    <n v="5"/>
    <n v="5"/>
    <n v="6"/>
    <n v="6"/>
    <n v="0"/>
    <n v="0"/>
    <n v="0"/>
    <n v="0"/>
    <n v="0"/>
    <n v="0"/>
    <n v="0"/>
    <n v="0"/>
    <s v="大口，山门口"/>
    <s v="20160829"/>
    <n v="0"/>
    <n v="0"/>
    <s v="海拔2200"/>
    <n v="30"/>
    <n v="0"/>
    <n v="6"/>
    <s v="530427198307101511"/>
    <s v="15894289134"/>
  </r>
  <r>
    <x v="4"/>
    <s v="XP114"/>
    <x v="96"/>
    <x v="5"/>
    <n v="10"/>
    <n v="0"/>
    <n v="58"/>
    <n v="4"/>
    <n v="5"/>
    <n v="5"/>
    <n v="5"/>
    <n v="6"/>
    <n v="6"/>
    <n v="6"/>
    <n v="6"/>
    <n v="7"/>
    <n v="8"/>
    <n v="0"/>
    <n v="0"/>
    <n v="0"/>
    <n v="0"/>
    <n v="0"/>
    <n v="0"/>
    <n v="0"/>
    <n v="0"/>
    <n v="0"/>
    <n v="0"/>
    <n v="0"/>
    <n v="0"/>
    <n v="0"/>
    <n v="0"/>
    <n v="0"/>
    <n v="0"/>
    <n v="0"/>
    <s v="新平县戛洒镇耀南村"/>
    <s v="201607"/>
    <n v="0"/>
    <n v="0"/>
    <s v="海拔2549,2650814.1-17755464.4"/>
    <n v="7.5"/>
    <n v="0"/>
    <n v="1.5"/>
    <s v="532428197211161310"/>
    <s v="13577769875"/>
  </r>
  <r>
    <x v="4"/>
    <s v="XP115"/>
    <x v="96"/>
    <x v="5"/>
    <n v="10"/>
    <n v="0"/>
    <n v="57"/>
    <n v="5"/>
    <n v="5"/>
    <n v="5"/>
    <n v="6"/>
    <n v="6"/>
    <n v="6"/>
    <n v="6"/>
    <n v="6"/>
    <n v="6"/>
    <n v="6"/>
    <n v="0"/>
    <n v="0"/>
    <n v="0"/>
    <n v="0"/>
    <n v="0"/>
    <n v="0"/>
    <n v="0"/>
    <n v="0"/>
    <n v="0"/>
    <n v="0"/>
    <n v="0"/>
    <n v="0"/>
    <n v="0"/>
    <n v="0"/>
    <n v="0"/>
    <n v="0"/>
    <n v="0"/>
    <s v="新平县戛洒镇耀南村花山路"/>
    <s v="201607"/>
    <n v="0"/>
    <n v="0"/>
    <s v="海拔2491,2650879.1-17755419.1"/>
    <n v="10"/>
    <n v="0"/>
    <n v="2"/>
    <s v="532428197211161310"/>
    <s v="13577769875"/>
  </r>
  <r>
    <x v="4"/>
    <s v="XP116"/>
    <x v="96"/>
    <x v="5"/>
    <n v="10"/>
    <n v="0"/>
    <n v="59"/>
    <n v="5"/>
    <n v="5"/>
    <n v="6"/>
    <n v="6"/>
    <n v="6"/>
    <n v="6"/>
    <n v="6"/>
    <n v="6"/>
    <n v="6"/>
    <n v="7"/>
    <n v="0"/>
    <n v="0"/>
    <n v="0"/>
    <n v="0"/>
    <n v="0"/>
    <n v="0"/>
    <n v="0"/>
    <n v="0"/>
    <n v="0"/>
    <n v="0"/>
    <n v="0"/>
    <n v="0"/>
    <n v="0"/>
    <n v="0"/>
    <n v="0"/>
    <n v="0"/>
    <n v="0"/>
    <s v="新平县戛洒镇耀南村花山"/>
    <s v="201607"/>
    <n v="0"/>
    <n v="0"/>
    <s v="海拔2571,2650790.1-17755466.5"/>
    <n v="5"/>
    <n v="0"/>
    <n v="1"/>
    <s v="532428197211161310"/>
    <s v="13577769875"/>
  </r>
  <r>
    <x v="4"/>
    <s v="XP117"/>
    <x v="96"/>
    <x v="5"/>
    <n v="10"/>
    <n v="0"/>
    <n v="63"/>
    <n v="4"/>
    <n v="5"/>
    <n v="5"/>
    <n v="5"/>
    <n v="5"/>
    <n v="6"/>
    <n v="8"/>
    <n v="8"/>
    <n v="8"/>
    <n v="9"/>
    <n v="0"/>
    <n v="0"/>
    <n v="0"/>
    <n v="0"/>
    <n v="0"/>
    <n v="0"/>
    <n v="0"/>
    <n v="0"/>
    <n v="0"/>
    <n v="0"/>
    <n v="0"/>
    <n v="0"/>
    <n v="0"/>
    <n v="0"/>
    <n v="0"/>
    <n v="0"/>
    <n v="0"/>
    <s v="新平县戛洒镇耀南村金拱洞上边"/>
    <s v="201607"/>
    <n v="0"/>
    <n v="0"/>
    <s v="海拔2508,265099.1-17755420.3"/>
    <n v="7.5"/>
    <n v="0"/>
    <n v="1.5"/>
    <s v="532428197211161310"/>
    <s v="13577769875"/>
  </r>
  <r>
    <x v="4"/>
    <s v="XP118"/>
    <x v="96"/>
    <x v="5"/>
    <n v="0"/>
    <n v="20"/>
    <n v="35"/>
    <n v="1"/>
    <n v="1"/>
    <n v="1"/>
    <n v="1"/>
    <n v="1"/>
    <n v="1"/>
    <n v="1"/>
    <n v="1"/>
    <n v="1"/>
    <n v="1"/>
    <n v="2"/>
    <n v="2"/>
    <n v="2"/>
    <n v="2"/>
    <n v="2"/>
    <n v="2"/>
    <n v="2"/>
    <n v="3"/>
    <n v="4"/>
    <n v="4"/>
    <n v="0"/>
    <n v="0"/>
    <n v="0"/>
    <n v="0"/>
    <n v="0"/>
    <n v="0"/>
    <n v="0"/>
    <s v="新平县戛洒镇耀南村"/>
    <s v="201607"/>
    <n v="0"/>
    <n v="0"/>
    <s v="海拔2571,2650790.1-17755466.5"/>
    <n v="10"/>
    <n v="0"/>
    <n v="2"/>
    <s v="532428197211161310"/>
    <s v="13577769875"/>
  </r>
  <r>
    <x v="4"/>
    <s v="XP084"/>
    <x v="103"/>
    <x v="5"/>
    <n v="10"/>
    <n v="0"/>
    <n v="216"/>
    <n v="9"/>
    <n v="16"/>
    <n v="27"/>
    <n v="21"/>
    <n v="20"/>
    <n v="29"/>
    <n v="26"/>
    <n v="20"/>
    <n v="27"/>
    <n v="21"/>
    <n v="0"/>
    <n v="0"/>
    <n v="0"/>
    <n v="0"/>
    <n v="0"/>
    <n v="0"/>
    <n v="0"/>
    <n v="0"/>
    <n v="0"/>
    <n v="0"/>
    <n v="0"/>
    <n v="0"/>
    <n v="0"/>
    <n v="0"/>
    <n v="0"/>
    <n v="0"/>
    <n v="0"/>
    <s v="新平县戛洒镇发启盘龙"/>
    <s v="20160730"/>
    <n v="0"/>
    <n v="0"/>
    <s v="2658717.7-17755092.2"/>
    <n v="40.5"/>
    <s v="2+1.5+1.5+2+1.1"/>
    <n v="8.1"/>
    <s v="530427197009161351"/>
    <s v="18787771048"/>
  </r>
  <r>
    <x v="4"/>
    <s v="XP085"/>
    <x v="103"/>
    <x v="5"/>
    <n v="10"/>
    <n v="0"/>
    <n v="167"/>
    <n v="12"/>
    <n v="20"/>
    <n v="24"/>
    <n v="19"/>
    <n v="15"/>
    <n v="22"/>
    <n v="14"/>
    <n v="20"/>
    <n v="12"/>
    <n v="9"/>
    <n v="0"/>
    <n v="0"/>
    <n v="0"/>
    <n v="0"/>
    <n v="0"/>
    <n v="0"/>
    <n v="0"/>
    <n v="0"/>
    <n v="0"/>
    <n v="0"/>
    <n v="0"/>
    <n v="0"/>
    <n v="0"/>
    <n v="0"/>
    <n v="0"/>
    <n v="0"/>
    <n v="0"/>
    <s v="新平县戛洒镇发启盘龙"/>
    <s v="20160730"/>
    <n v="0"/>
    <n v="0"/>
    <s v="2658729.4-17755107.0"/>
    <n v="38"/>
    <s v="2+1.5+1.5+1.5+1.1"/>
    <n v="7.6"/>
    <s v="530427197009161351"/>
    <s v="18787771048"/>
  </r>
  <r>
    <x v="4"/>
    <s v="XP086"/>
    <x v="103"/>
    <x v="5"/>
    <n v="10"/>
    <n v="0"/>
    <n v="172"/>
    <n v="9"/>
    <n v="15"/>
    <n v="25"/>
    <n v="17"/>
    <n v="20"/>
    <n v="16"/>
    <n v="14"/>
    <n v="13"/>
    <n v="20"/>
    <n v="23"/>
    <n v="0"/>
    <n v="0"/>
    <n v="0"/>
    <n v="0"/>
    <n v="0"/>
    <n v="0"/>
    <n v="0"/>
    <n v="0"/>
    <n v="0"/>
    <n v="0"/>
    <n v="0"/>
    <n v="0"/>
    <n v="0"/>
    <n v="0"/>
    <n v="0"/>
    <n v="0"/>
    <n v="0"/>
    <s v="新平县戛洒镇发启盘龙"/>
    <s v="20160730"/>
    <n v="0"/>
    <n v="0"/>
    <s v="2658746.3-17755197.7"/>
    <n v="37.5"/>
    <s v="1.5*5"/>
    <n v="7.5"/>
    <s v="530427197009161351"/>
    <s v="18787771048"/>
  </r>
  <r>
    <x v="4"/>
    <s v="XP087"/>
    <x v="103"/>
    <x v="5"/>
    <n v="10"/>
    <n v="0"/>
    <n v="189"/>
    <n v="22"/>
    <n v="23"/>
    <n v="12"/>
    <n v="20"/>
    <n v="20"/>
    <n v="17"/>
    <n v="18"/>
    <n v="23"/>
    <n v="14"/>
    <n v="20"/>
    <n v="0"/>
    <n v="0"/>
    <n v="0"/>
    <n v="0"/>
    <n v="0"/>
    <n v="0"/>
    <n v="0"/>
    <n v="0"/>
    <n v="0"/>
    <n v="0"/>
    <n v="0"/>
    <n v="0"/>
    <n v="0"/>
    <n v="0"/>
    <n v="0"/>
    <n v="0"/>
    <n v="0"/>
    <s v="新平县戛洒镇发启盘龙"/>
    <s v="20160730"/>
    <n v="0"/>
    <n v="0"/>
    <s v="2658706.8-17755086.9"/>
    <n v="38"/>
    <s v="1.5+1.1+1.5+1.5+2"/>
    <n v="7.6"/>
    <s v="530427197009161351"/>
    <s v="18787771048"/>
  </r>
  <r>
    <x v="4"/>
    <s v="XP088"/>
    <x v="103"/>
    <x v="5"/>
    <n v="0"/>
    <n v="19"/>
    <n v="206"/>
    <n v="6"/>
    <n v="9"/>
    <n v="11"/>
    <n v="9"/>
    <n v="15"/>
    <n v="19"/>
    <n v="12"/>
    <n v="6"/>
    <n v="11"/>
    <n v="8"/>
    <n v="9"/>
    <n v="13"/>
    <n v="7"/>
    <n v="11"/>
    <n v="12"/>
    <n v="9"/>
    <n v="11"/>
    <n v="12"/>
    <n v="16"/>
    <n v="0"/>
    <n v="0"/>
    <n v="0"/>
    <n v="0"/>
    <n v="0"/>
    <n v="0"/>
    <n v="0"/>
    <n v="0"/>
    <s v="新平县戛洒镇盘龙"/>
    <s v="20160730"/>
    <n v="0"/>
    <n v="0"/>
    <s v="2659290.6-17754694.1"/>
    <n v="47.5"/>
    <s v="2+1.5+2+2+2"/>
    <n v="9.5"/>
    <s v="530427197009161351"/>
    <s v="18787771048"/>
  </r>
  <r>
    <x v="4"/>
    <s v="XP056"/>
    <x v="104"/>
    <x v="82"/>
    <n v="6"/>
    <n v="0"/>
    <n v="42"/>
    <n v="7"/>
    <n v="10"/>
    <n v="4"/>
    <n v="6"/>
    <n v="8"/>
    <n v="7"/>
    <n v="0"/>
    <n v="0"/>
    <n v="0"/>
    <n v="0"/>
    <n v="0"/>
    <n v="0"/>
    <n v="0"/>
    <n v="0"/>
    <n v="0"/>
    <n v="0"/>
    <n v="0"/>
    <n v="0"/>
    <n v="0"/>
    <n v="0"/>
    <n v="0"/>
    <n v="0"/>
    <n v="0"/>
    <n v="0"/>
    <n v="0"/>
    <n v="0"/>
    <n v="0"/>
    <s v="新平者竜庆丰社区"/>
    <s v="20160706"/>
    <n v="0"/>
    <n v="0"/>
    <s v="2684028-17735311"/>
    <n v="7.5"/>
    <n v="0"/>
    <n v="1.5"/>
    <s v="532428196402021910"/>
    <s v="15987718497"/>
  </r>
  <r>
    <x v="4"/>
    <s v="XP057"/>
    <x v="104"/>
    <x v="82"/>
    <n v="5"/>
    <n v="0"/>
    <n v="34"/>
    <n v="5"/>
    <n v="17"/>
    <n v="5"/>
    <n v="3"/>
    <n v="4"/>
    <n v="0"/>
    <n v="0"/>
    <n v="0"/>
    <n v="0"/>
    <n v="0"/>
    <n v="0"/>
    <n v="0"/>
    <n v="0"/>
    <n v="0"/>
    <n v="0"/>
    <n v="0"/>
    <n v="0"/>
    <n v="0"/>
    <n v="0"/>
    <n v="0"/>
    <n v="0"/>
    <n v="0"/>
    <n v="0"/>
    <n v="0"/>
    <n v="0"/>
    <n v="0"/>
    <n v="0"/>
    <s v="新平者竜庆丰社区"/>
    <s v="20160706"/>
    <n v="0"/>
    <n v="0"/>
    <s v="2685126-17736371"/>
    <n v="10"/>
    <n v="0"/>
    <n v="2"/>
    <s v="532428196402021910"/>
    <s v="15987718497"/>
  </r>
  <r>
    <x v="4"/>
    <s v="XP058"/>
    <x v="104"/>
    <x v="82"/>
    <n v="5"/>
    <n v="0"/>
    <n v="43"/>
    <n v="21"/>
    <n v="12"/>
    <n v="7"/>
    <n v="2"/>
    <n v="1"/>
    <n v="0"/>
    <n v="0"/>
    <n v="0"/>
    <n v="0"/>
    <n v="0"/>
    <n v="0"/>
    <n v="0"/>
    <n v="0"/>
    <n v="0"/>
    <n v="0"/>
    <n v="0"/>
    <n v="0"/>
    <n v="0"/>
    <n v="0"/>
    <n v="0"/>
    <n v="0"/>
    <n v="0"/>
    <n v="0"/>
    <n v="0"/>
    <n v="0"/>
    <n v="0"/>
    <n v="0"/>
    <s v="新平者竜庆丰社区"/>
    <s v="20160707"/>
    <n v="0"/>
    <n v="0"/>
    <s v="2682330-17736317"/>
    <n v="12.5"/>
    <n v="0"/>
    <n v="2.5"/>
    <s v="532428196402021910"/>
    <s v="15987718497"/>
  </r>
  <r>
    <x v="4"/>
    <s v="XP059"/>
    <x v="104"/>
    <x v="82"/>
    <n v="6"/>
    <n v="0"/>
    <n v="70"/>
    <n v="14"/>
    <n v="19"/>
    <n v="17"/>
    <n v="13"/>
    <n v="4"/>
    <n v="3"/>
    <n v="0"/>
    <n v="0"/>
    <n v="0"/>
    <n v="0"/>
    <n v="0"/>
    <n v="0"/>
    <n v="0"/>
    <n v="0"/>
    <n v="0"/>
    <n v="0"/>
    <n v="0"/>
    <n v="0"/>
    <n v="0"/>
    <n v="0"/>
    <n v="0"/>
    <n v="0"/>
    <n v="0"/>
    <n v="0"/>
    <n v="0"/>
    <n v="0"/>
    <n v="0"/>
    <s v="新平者竜庆丰社区"/>
    <s v="20160707"/>
    <n v="0"/>
    <n v="0"/>
    <s v="2681725-17736683"/>
    <n v="15"/>
    <n v="0"/>
    <n v="3"/>
    <s v="532428196402021910"/>
    <s v="15987718497"/>
  </r>
  <r>
    <x v="4"/>
    <s v="XP060"/>
    <x v="105"/>
    <x v="83"/>
    <n v="2"/>
    <n v="0"/>
    <n v="25"/>
    <n v="12"/>
    <n v="13"/>
    <n v="0"/>
    <n v="0"/>
    <n v="0"/>
    <n v="0"/>
    <n v="0"/>
    <n v="0"/>
    <n v="0"/>
    <n v="0"/>
    <n v="0"/>
    <n v="0"/>
    <n v="0"/>
    <n v="0"/>
    <n v="0"/>
    <n v="0"/>
    <n v="0"/>
    <n v="0"/>
    <n v="0"/>
    <n v="0"/>
    <n v="0"/>
    <n v="0"/>
    <n v="0"/>
    <n v="0"/>
    <n v="0"/>
    <n v="0"/>
    <n v="0"/>
    <s v="新平县者竜乡者竜村"/>
    <s v="20160816"/>
    <n v="0"/>
    <n v="0"/>
    <s v="2686896-17734868"/>
    <n v="6"/>
    <n v="0"/>
    <n v="1.2"/>
    <s v="532428195703121930"/>
    <s v="18088911755"/>
  </r>
  <r>
    <x v="4"/>
    <s v="XP061"/>
    <x v="105"/>
    <x v="83"/>
    <n v="3"/>
    <n v="0"/>
    <n v="29"/>
    <n v="8"/>
    <n v="9"/>
    <n v="12"/>
    <n v="0"/>
    <n v="0"/>
    <n v="0"/>
    <n v="0"/>
    <n v="0"/>
    <n v="0"/>
    <n v="0"/>
    <n v="0"/>
    <n v="0"/>
    <n v="0"/>
    <n v="0"/>
    <n v="0"/>
    <n v="0"/>
    <n v="0"/>
    <n v="0"/>
    <n v="0"/>
    <n v="0"/>
    <n v="0"/>
    <n v="0"/>
    <n v="0"/>
    <n v="0"/>
    <n v="0"/>
    <n v="0"/>
    <n v="0"/>
    <s v="新平县者竜乡者竜村"/>
    <s v="20160816"/>
    <n v="0"/>
    <n v="0"/>
    <s v="2686318-17734227"/>
    <n v="6"/>
    <n v="0"/>
    <n v="1.2"/>
    <s v="532428195703121930"/>
    <s v="18088911755"/>
  </r>
  <r>
    <x v="4"/>
    <s v="XP062"/>
    <x v="105"/>
    <x v="83"/>
    <n v="2"/>
    <n v="0"/>
    <n v="39"/>
    <n v="26"/>
    <n v="13"/>
    <n v="0"/>
    <n v="0"/>
    <n v="0"/>
    <n v="0"/>
    <n v="0"/>
    <n v="0"/>
    <n v="0"/>
    <n v="0"/>
    <n v="0"/>
    <n v="0"/>
    <n v="0"/>
    <n v="0"/>
    <n v="0"/>
    <n v="0"/>
    <n v="0"/>
    <n v="0"/>
    <n v="0"/>
    <n v="0"/>
    <n v="0"/>
    <n v="0"/>
    <n v="0"/>
    <n v="0"/>
    <n v="0"/>
    <n v="0"/>
    <n v="0"/>
    <s v="新平县者竜乡者竜村"/>
    <s v="20160817"/>
    <n v="0"/>
    <n v="0"/>
    <s v="2685126-17736371"/>
    <n v="7.5"/>
    <n v="0"/>
    <n v="1.5"/>
    <s v="532428195703121930"/>
    <s v="18088911755"/>
  </r>
  <r>
    <x v="4"/>
    <s v="XP063"/>
    <x v="105"/>
    <x v="83"/>
    <n v="3"/>
    <n v="0"/>
    <n v="43"/>
    <n v="12"/>
    <n v="12"/>
    <n v="19"/>
    <n v="0"/>
    <n v="0"/>
    <n v="0"/>
    <n v="0"/>
    <n v="0"/>
    <n v="0"/>
    <n v="0"/>
    <n v="0"/>
    <n v="0"/>
    <n v="0"/>
    <n v="0"/>
    <n v="0"/>
    <n v="0"/>
    <n v="0"/>
    <n v="0"/>
    <n v="0"/>
    <n v="0"/>
    <n v="0"/>
    <n v="0"/>
    <n v="0"/>
    <n v="0"/>
    <n v="0"/>
    <n v="0"/>
    <n v="0"/>
    <s v="新平县者竜乡者竜村"/>
    <s v="20160817"/>
    <n v="0"/>
    <n v="0"/>
    <s v="2686386-17735245"/>
    <n v="10"/>
    <n v="0"/>
    <n v="2"/>
    <s v="532428195703121930"/>
    <s v="18088911755"/>
  </r>
  <r>
    <x v="4"/>
    <s v="XP009"/>
    <x v="106"/>
    <x v="84"/>
    <n v="10"/>
    <n v="0"/>
    <n v="86"/>
    <n v="2"/>
    <n v="6"/>
    <n v="7"/>
    <n v="8"/>
    <n v="8"/>
    <n v="9"/>
    <n v="10"/>
    <n v="11"/>
    <n v="12"/>
    <n v="13"/>
    <n v="0"/>
    <n v="0"/>
    <n v="0"/>
    <n v="0"/>
    <n v="0"/>
    <n v="0"/>
    <n v="0"/>
    <n v="0"/>
    <n v="0"/>
    <n v="0"/>
    <n v="0"/>
    <n v="0"/>
    <n v="0"/>
    <n v="0"/>
    <n v="0"/>
    <n v="0"/>
    <n v="0"/>
    <s v="新平水塘管理所波村干龙坝"/>
    <s v="20160803"/>
    <n v="0"/>
    <n v="0"/>
    <s v="海拔2400"/>
    <n v="10"/>
    <n v="0"/>
    <n v="2"/>
    <s v="53042719610909231X"/>
    <s v="13529698316"/>
  </r>
  <r>
    <x v="4"/>
    <s v="XP010"/>
    <x v="106"/>
    <x v="84"/>
    <n v="10"/>
    <n v="0"/>
    <n v="94"/>
    <n v="3"/>
    <n v="4"/>
    <n v="7"/>
    <n v="7"/>
    <n v="8"/>
    <n v="11"/>
    <n v="11"/>
    <n v="12"/>
    <n v="14"/>
    <n v="17"/>
    <n v="0"/>
    <n v="0"/>
    <n v="0"/>
    <n v="0"/>
    <n v="0"/>
    <n v="0"/>
    <n v="0"/>
    <n v="0"/>
    <n v="0"/>
    <n v="0"/>
    <n v="0"/>
    <n v="0"/>
    <n v="0"/>
    <n v="0"/>
    <n v="0"/>
    <n v="0"/>
    <n v="0"/>
    <s v="新平水塘管理所波村干龙坝"/>
    <s v="20160805"/>
    <n v="0"/>
    <n v="0"/>
    <s v="海拔2400"/>
    <n v="12.5"/>
    <n v="0"/>
    <n v="2.5"/>
    <s v="53042719610909231X"/>
    <s v="13529698316"/>
  </r>
  <r>
    <x v="4"/>
    <s v="XP011"/>
    <x v="106"/>
    <x v="84"/>
    <n v="10"/>
    <n v="0"/>
    <n v="89"/>
    <n v="7"/>
    <n v="7"/>
    <n v="7"/>
    <n v="7"/>
    <n v="8"/>
    <n v="8"/>
    <n v="9"/>
    <n v="9"/>
    <n v="12"/>
    <n v="15"/>
    <n v="0"/>
    <n v="0"/>
    <n v="0"/>
    <n v="0"/>
    <n v="0"/>
    <n v="0"/>
    <n v="0"/>
    <n v="0"/>
    <n v="0"/>
    <n v="0"/>
    <n v="0"/>
    <n v="0"/>
    <n v="0"/>
    <n v="0"/>
    <n v="0"/>
    <n v="0"/>
    <n v="0"/>
    <s v="新平水塘管理所波村棚房箐"/>
    <s v="20160808"/>
    <n v="0"/>
    <n v="0"/>
    <s v="海拔2700"/>
    <n v="6"/>
    <n v="0"/>
    <n v="1.2"/>
    <s v="53042719610909231X"/>
    <s v="13529698316"/>
  </r>
  <r>
    <x v="4"/>
    <s v="XP012"/>
    <x v="106"/>
    <x v="84"/>
    <n v="10"/>
    <n v="0"/>
    <n v="75"/>
    <n v="5"/>
    <n v="6"/>
    <n v="6"/>
    <n v="7"/>
    <n v="8"/>
    <n v="8"/>
    <n v="8"/>
    <n v="8"/>
    <n v="9"/>
    <n v="10"/>
    <n v="0"/>
    <n v="0"/>
    <n v="0"/>
    <n v="0"/>
    <n v="0"/>
    <n v="0"/>
    <n v="0"/>
    <n v="0"/>
    <n v="0"/>
    <n v="0"/>
    <n v="0"/>
    <n v="0"/>
    <n v="0"/>
    <n v="0"/>
    <n v="0"/>
    <n v="0"/>
    <n v="0"/>
    <s v="新平水塘管理所波村明子山梁子"/>
    <s v="20160812"/>
    <n v="0"/>
    <n v="0"/>
    <s v="海拔2400"/>
    <n v="7.5"/>
    <n v="0"/>
    <n v="1.5"/>
    <s v="53042719610909231X"/>
    <s v="13529698316"/>
  </r>
  <r>
    <x v="4"/>
    <s v="XP013"/>
    <x v="106"/>
    <x v="84"/>
    <n v="0"/>
    <n v="20"/>
    <n v="160"/>
    <n v="4"/>
    <n v="6"/>
    <n v="6"/>
    <n v="6"/>
    <n v="6"/>
    <n v="7"/>
    <n v="7"/>
    <n v="8"/>
    <n v="8"/>
    <n v="8"/>
    <n v="8"/>
    <n v="8"/>
    <n v="9"/>
    <n v="9"/>
    <n v="9"/>
    <n v="9"/>
    <n v="10"/>
    <n v="10"/>
    <n v="11"/>
    <n v="11"/>
    <n v="0"/>
    <n v="0"/>
    <n v="0"/>
    <n v="0"/>
    <n v="0"/>
    <n v="0"/>
    <n v="0"/>
    <s v="？？？"/>
    <s v="？"/>
    <n v="0"/>
    <n v="0"/>
    <s v="？"/>
    <n v="14.499999999999996"/>
    <s v="0.7+0.5+0.7+0.7+0.3"/>
    <n v="2.8999999999999995"/>
    <s v="53042719610909231X"/>
    <s v="13529698316"/>
  </r>
  <r>
    <x v="4"/>
    <s v="XP014"/>
    <x v="106"/>
    <x v="84"/>
    <n v="10"/>
    <n v="0"/>
    <n v="96"/>
    <n v="7"/>
    <n v="8"/>
    <n v="8"/>
    <n v="9"/>
    <n v="10"/>
    <n v="10"/>
    <n v="11"/>
    <n v="11"/>
    <n v="11"/>
    <n v="11"/>
    <n v="0"/>
    <n v="0"/>
    <n v="0"/>
    <n v="0"/>
    <n v="0"/>
    <n v="0"/>
    <n v="0"/>
    <n v="0"/>
    <n v="0"/>
    <n v="0"/>
    <n v="0"/>
    <n v="0"/>
    <n v="0"/>
    <n v="0"/>
    <n v="0"/>
    <n v="0"/>
    <n v="0"/>
    <s v="新平水塘波村干龙坝"/>
    <s v="20160806"/>
    <n v="0"/>
    <n v="0"/>
    <s v="海拔2400"/>
    <n v="10"/>
    <n v="0"/>
    <n v="2"/>
    <s v="53042719610909231X"/>
    <s v="13529698316"/>
  </r>
  <r>
    <x v="4"/>
    <s v="XP015"/>
    <x v="106"/>
    <x v="84"/>
    <n v="0"/>
    <n v="19"/>
    <n v="146"/>
    <n v="2"/>
    <n v="3"/>
    <n v="4"/>
    <n v="5"/>
    <n v="5"/>
    <n v="6"/>
    <n v="6"/>
    <n v="7"/>
    <n v="7"/>
    <n v="7"/>
    <n v="7"/>
    <n v="8"/>
    <n v="10"/>
    <n v="10"/>
    <n v="11"/>
    <n v="11"/>
    <n v="12"/>
    <n v="12"/>
    <n v="13"/>
    <n v="0"/>
    <n v="0"/>
    <n v="0"/>
    <n v="0"/>
    <n v="0"/>
    <n v="0"/>
    <n v="0"/>
    <n v="0"/>
    <s v="新平水塘波村棚房梁子"/>
    <s v="20160809"/>
    <n v="0"/>
    <n v="0"/>
    <s v="海拔2650"/>
    <n v="16.5"/>
    <s v="0.9+0.3+0.7+0.7+0.7"/>
    <n v="3.3"/>
    <s v="53042719610909231X"/>
    <s v="13529698316"/>
  </r>
  <r>
    <x v="4"/>
    <s v="XP016"/>
    <x v="106"/>
    <x v="84"/>
    <n v="10"/>
    <n v="0"/>
    <n v="87"/>
    <n v="7"/>
    <n v="8"/>
    <n v="8"/>
    <n v="8"/>
    <n v="8"/>
    <n v="9"/>
    <n v="9"/>
    <n v="9"/>
    <n v="10"/>
    <n v="11"/>
    <n v="0"/>
    <n v="0"/>
    <n v="0"/>
    <n v="0"/>
    <n v="0"/>
    <n v="0"/>
    <n v="0"/>
    <n v="0"/>
    <n v="0"/>
    <n v="0"/>
    <n v="0"/>
    <n v="0"/>
    <n v="0"/>
    <n v="0"/>
    <n v="0"/>
    <n v="0"/>
    <n v="0"/>
    <s v="新平水塘波村明子山梁子"/>
    <s v="20160810"/>
    <n v="0"/>
    <n v="0"/>
    <s v="海拔2400"/>
    <n v="10"/>
    <n v="0"/>
    <n v="2"/>
    <s v="53042719610909231X"/>
    <s v="13529698316"/>
  </r>
  <r>
    <x v="4"/>
    <s v="XP017"/>
    <x v="106"/>
    <x v="84"/>
    <n v="10"/>
    <n v="0"/>
    <n v="67"/>
    <n v="5"/>
    <n v="6"/>
    <n v="6"/>
    <n v="6"/>
    <n v="6"/>
    <n v="7"/>
    <n v="7"/>
    <n v="7"/>
    <n v="8"/>
    <n v="9"/>
    <n v="0"/>
    <n v="0"/>
    <n v="0"/>
    <n v="0"/>
    <n v="0"/>
    <n v="0"/>
    <n v="0"/>
    <n v="0"/>
    <n v="0"/>
    <n v="0"/>
    <n v="0"/>
    <n v="0"/>
    <n v="0"/>
    <n v="0"/>
    <n v="0"/>
    <n v="0"/>
    <n v="0"/>
    <s v="新平水塘波村明子山"/>
    <s v="20160814"/>
    <n v="0"/>
    <n v="0"/>
    <s v="海拔2450"/>
    <n v="10"/>
    <n v="0"/>
    <n v="2"/>
    <s v="53042719610909231X"/>
    <s v="13529698316"/>
  </r>
  <r>
    <x v="4"/>
    <s v="XP018"/>
    <x v="106"/>
    <x v="84"/>
    <n v="10"/>
    <n v="0"/>
    <n v="88"/>
    <n v="3"/>
    <n v="7"/>
    <n v="7"/>
    <n v="8"/>
    <n v="9"/>
    <n v="10"/>
    <n v="10"/>
    <n v="10"/>
    <n v="11"/>
    <n v="13"/>
    <n v="0"/>
    <n v="0"/>
    <n v="0"/>
    <n v="0"/>
    <n v="0"/>
    <n v="0"/>
    <n v="0"/>
    <n v="0"/>
    <n v="0"/>
    <n v="0"/>
    <n v="0"/>
    <n v="0"/>
    <n v="0"/>
    <n v="0"/>
    <n v="0"/>
    <n v="0"/>
    <n v="0"/>
    <s v="新平水塘波村明子山箐"/>
    <s v="20160821"/>
    <n v="0"/>
    <n v="0"/>
    <s v="海拔2460"/>
    <n v="10"/>
    <n v="0"/>
    <n v="2"/>
    <s v="53042719610909231X"/>
    <s v="13529698316"/>
  </r>
  <r>
    <x v="4"/>
    <s v="XP043"/>
    <x v="107"/>
    <x v="85"/>
    <n v="10"/>
    <n v="0"/>
    <n v="150"/>
    <n v="9"/>
    <n v="19"/>
    <n v="17"/>
    <n v="16"/>
    <n v="17"/>
    <n v="17"/>
    <n v="12"/>
    <n v="12"/>
    <n v="15"/>
    <n v="16"/>
    <n v="0"/>
    <n v="0"/>
    <n v="0"/>
    <n v="0"/>
    <n v="0"/>
    <n v="0"/>
    <n v="0"/>
    <n v="0"/>
    <n v="0"/>
    <n v="0"/>
    <n v="0"/>
    <n v="0"/>
    <n v="0"/>
    <n v="0"/>
    <n v="0"/>
    <n v="0"/>
    <n v="0"/>
    <s v="新平水塘旧哈村"/>
    <s v="20160722-0723"/>
    <n v="0"/>
    <n v="0"/>
    <n v="0"/>
    <n v="29.5"/>
    <s v="1.1+1.1+1.5+1.1+1.1"/>
    <n v="5.9"/>
    <s v="532428195712101552"/>
    <s v="15894298336"/>
  </r>
  <r>
    <x v="4"/>
    <s v="XP044"/>
    <x v="107"/>
    <x v="85"/>
    <n v="10"/>
    <n v="0"/>
    <n v="135"/>
    <n v="16"/>
    <n v="17"/>
    <n v="11"/>
    <n v="8"/>
    <n v="13"/>
    <n v="10"/>
    <n v="18"/>
    <n v="10"/>
    <n v="19"/>
    <n v="13"/>
    <n v="0"/>
    <n v="0"/>
    <n v="0"/>
    <n v="0"/>
    <n v="0"/>
    <n v="0"/>
    <n v="0"/>
    <n v="0"/>
    <n v="0"/>
    <n v="0"/>
    <n v="0"/>
    <n v="0"/>
    <n v="0"/>
    <n v="0"/>
    <n v="0"/>
    <n v="0"/>
    <n v="0"/>
    <s v="新平水塘旧哈村"/>
    <s v="20160724-0725"/>
    <n v="0"/>
    <n v="0"/>
    <n v="0"/>
    <n v="23.5"/>
    <s v="0.9*4+1.1"/>
    <n v="4.7"/>
    <s v="532428195712101552"/>
    <s v="15894298336"/>
  </r>
  <r>
    <x v="4"/>
    <s v="XP045"/>
    <x v="107"/>
    <x v="85"/>
    <n v="10"/>
    <n v="0"/>
    <n v="95"/>
    <n v="9"/>
    <n v="7"/>
    <n v="17"/>
    <n v="7"/>
    <n v="6"/>
    <n v="10"/>
    <n v="8"/>
    <n v="10"/>
    <n v="12"/>
    <n v="9"/>
    <n v="0"/>
    <n v="0"/>
    <n v="0"/>
    <n v="0"/>
    <n v="0"/>
    <n v="0"/>
    <n v="0"/>
    <n v="0"/>
    <n v="0"/>
    <n v="0"/>
    <n v="0"/>
    <n v="0"/>
    <n v="0"/>
    <n v="0"/>
    <n v="0"/>
    <n v="0"/>
    <n v="0"/>
    <s v="新平水塘旧哈村"/>
    <s v="20160726-0728"/>
    <n v="0"/>
    <n v="0"/>
    <n v="0"/>
    <n v="25"/>
    <n v="0"/>
    <n v="5"/>
    <s v="532428195712101552"/>
    <s v="15894298336"/>
  </r>
  <r>
    <x v="4"/>
    <s v="XP046"/>
    <x v="107"/>
    <x v="85"/>
    <n v="10"/>
    <n v="0"/>
    <n v="159"/>
    <n v="30"/>
    <n v="15"/>
    <n v="20"/>
    <n v="15"/>
    <n v="13"/>
    <n v="19"/>
    <n v="15"/>
    <n v="11"/>
    <n v="10"/>
    <n v="11"/>
    <n v="0"/>
    <n v="0"/>
    <n v="0"/>
    <n v="0"/>
    <n v="0"/>
    <n v="0"/>
    <n v="0"/>
    <n v="0"/>
    <n v="0"/>
    <n v="0"/>
    <n v="0"/>
    <n v="0"/>
    <n v="0"/>
    <n v="0"/>
    <n v="0"/>
    <n v="0"/>
    <n v="0"/>
    <s v="新平水塘旧哈村"/>
    <s v="20160729-0730"/>
    <n v="0"/>
    <n v="0"/>
    <n v="0"/>
    <n v="26.500000000000004"/>
    <s v="0.7+1.1+1.1+0.9+1.5"/>
    <n v="5.3000000000000007"/>
    <s v="532428195712101552"/>
    <s v="15894298336"/>
  </r>
  <r>
    <x v="4"/>
    <s v="XP047"/>
    <x v="107"/>
    <x v="85"/>
    <n v="0"/>
    <n v="20"/>
    <n v="201"/>
    <n v="11"/>
    <n v="11"/>
    <n v="5"/>
    <n v="15"/>
    <n v="10"/>
    <n v="10"/>
    <n v="9"/>
    <n v="12"/>
    <n v="8"/>
    <n v="13"/>
    <n v="10"/>
    <n v="8"/>
    <n v="7"/>
    <n v="7"/>
    <n v="9"/>
    <n v="10"/>
    <n v="12"/>
    <n v="13"/>
    <n v="10"/>
    <n v="11"/>
    <n v="0"/>
    <n v="0"/>
    <n v="0"/>
    <n v="0"/>
    <n v="0"/>
    <n v="0"/>
    <n v="0"/>
    <s v="新平水塘旧哈村"/>
    <s v="20160731-0803"/>
    <n v="0"/>
    <n v="0"/>
    <n v="0"/>
    <n v="40.5"/>
    <s v="1.5+2+1.1+1.5+2"/>
    <n v="8.1"/>
    <s v="532428195712101552"/>
    <s v="15894298336"/>
  </r>
  <r>
    <x v="4"/>
    <s v="XP104"/>
    <x v="108"/>
    <x v="5"/>
    <n v="10"/>
    <n v="0"/>
    <n v="32"/>
    <n v="2"/>
    <n v="2"/>
    <n v="3"/>
    <n v="3"/>
    <n v="3"/>
    <n v="3"/>
    <n v="3"/>
    <n v="3"/>
    <n v="5"/>
    <n v="5"/>
    <n v="0"/>
    <n v="0"/>
    <n v="0"/>
    <n v="0"/>
    <n v="0"/>
    <n v="0"/>
    <n v="0"/>
    <n v="0"/>
    <n v="0"/>
    <n v="0"/>
    <n v="0"/>
    <n v="0"/>
    <n v="0"/>
    <n v="0"/>
    <n v="0"/>
    <n v="0"/>
    <n v="0"/>
    <s v="新平县戛洒镇耀南村（长臂猿听点）"/>
    <s v="201607"/>
    <n v="0"/>
    <n v="0"/>
    <s v="海拔2391，十字路口长臂猿，2651749.1-17757171.4"/>
    <n v="5"/>
    <n v="0"/>
    <n v="1"/>
    <s v="530427197601131311"/>
    <s v="18724831039"/>
  </r>
  <r>
    <x v="4"/>
    <s v="XP105"/>
    <x v="108"/>
    <x v="5"/>
    <n v="10"/>
    <n v="0"/>
    <n v="59"/>
    <n v="5"/>
    <n v="6"/>
    <n v="6"/>
    <n v="6"/>
    <n v="6"/>
    <n v="6"/>
    <n v="6"/>
    <n v="6"/>
    <n v="6"/>
    <n v="6"/>
    <n v="0"/>
    <n v="0"/>
    <n v="0"/>
    <n v="0"/>
    <n v="0"/>
    <n v="0"/>
    <n v="0"/>
    <n v="0"/>
    <n v="0"/>
    <n v="0"/>
    <n v="0"/>
    <n v="0"/>
    <n v="0"/>
    <n v="0"/>
    <n v="0"/>
    <n v="0"/>
    <n v="0"/>
    <s v="新平县戛洒镇耀南村"/>
    <s v="201607"/>
    <n v="0"/>
    <n v="0"/>
    <s v="海拔2546.2650708.3-17755473.2"/>
    <n v="7.5"/>
    <n v="0"/>
    <n v="1.5"/>
    <s v="530427197601131311"/>
    <s v="18724831039"/>
  </r>
  <r>
    <x v="4"/>
    <s v="XP106"/>
    <x v="108"/>
    <x v="5"/>
    <n v="10"/>
    <n v="0"/>
    <n v="80"/>
    <n v="5"/>
    <n v="6"/>
    <n v="6"/>
    <n v="6"/>
    <n v="8"/>
    <n v="8"/>
    <n v="10"/>
    <n v="10"/>
    <n v="10"/>
    <n v="11"/>
    <n v="0"/>
    <n v="0"/>
    <n v="0"/>
    <n v="0"/>
    <n v="0"/>
    <n v="0"/>
    <n v="0"/>
    <n v="0"/>
    <n v="0"/>
    <n v="0"/>
    <n v="0"/>
    <n v="0"/>
    <n v="0"/>
    <n v="0"/>
    <n v="0"/>
    <n v="0"/>
    <n v="0"/>
    <s v="新平县戛洒镇耀南村"/>
    <s v="201607"/>
    <n v="0"/>
    <n v="0"/>
    <s v="海拔2516.2650764.2-17755470.1"/>
    <n v="10"/>
    <n v="0"/>
    <n v="2"/>
    <s v="530427197601131311"/>
    <s v="18724831039"/>
  </r>
  <r>
    <x v="4"/>
    <s v="XP107"/>
    <x v="108"/>
    <x v="5"/>
    <n v="10"/>
    <n v="0"/>
    <n v="30"/>
    <n v="2"/>
    <n v="3"/>
    <n v="3"/>
    <n v="3"/>
    <n v="3"/>
    <n v="3"/>
    <n v="3"/>
    <n v="3"/>
    <n v="3"/>
    <n v="4"/>
    <n v="0"/>
    <n v="0"/>
    <n v="0"/>
    <n v="0"/>
    <n v="0"/>
    <n v="0"/>
    <n v="0"/>
    <n v="0"/>
    <n v="0"/>
    <n v="0"/>
    <n v="0"/>
    <n v="0"/>
    <n v="0"/>
    <n v="0"/>
    <n v="0"/>
    <n v="0"/>
    <n v="0"/>
    <s v="？？？"/>
    <s v="？"/>
    <n v="0"/>
    <n v="0"/>
    <s v="海拔2174，茶马古道，2652589.4-17755865.6"/>
    <n v="6"/>
    <n v="0"/>
    <n v="1.2"/>
    <s v="530427197601131311"/>
    <s v="18724831039"/>
  </r>
  <r>
    <x v="4"/>
    <s v="XP108"/>
    <x v="108"/>
    <x v="5"/>
    <n v="0"/>
    <n v="20"/>
    <n v="34"/>
    <n v="1"/>
    <n v="1"/>
    <n v="1"/>
    <n v="1"/>
    <n v="1"/>
    <n v="1"/>
    <n v="1"/>
    <n v="2"/>
    <n v="2"/>
    <n v="2"/>
    <n v="2"/>
    <n v="2"/>
    <n v="2"/>
    <n v="2"/>
    <n v="2"/>
    <n v="2"/>
    <n v="2"/>
    <n v="2"/>
    <n v="2"/>
    <n v="3"/>
    <n v="0"/>
    <n v="0"/>
    <n v="0"/>
    <n v="0"/>
    <n v="0"/>
    <n v="0"/>
    <n v="0"/>
    <s v="新平县戛洒镇耀南村"/>
    <s v="201607"/>
    <n v="0"/>
    <n v="0"/>
    <s v="海拔2401，金山丫口，2651398.4-17754510.1"/>
    <n v="7.5"/>
    <n v="0"/>
    <n v="1.5"/>
    <s v="530427197601131311"/>
    <s v="18724831039"/>
  </r>
  <r>
    <x v="4"/>
    <s v="XP040"/>
    <x v="109"/>
    <x v="86"/>
    <n v="2"/>
    <n v="0"/>
    <n v="6"/>
    <n v="3"/>
    <n v="3"/>
    <n v="0"/>
    <n v="0"/>
    <n v="0"/>
    <n v="0"/>
    <n v="0"/>
    <n v="0"/>
    <n v="0"/>
    <n v="0"/>
    <n v="0"/>
    <n v="0"/>
    <n v="0"/>
    <n v="0"/>
    <n v="0"/>
    <n v="0"/>
    <n v="0"/>
    <n v="0"/>
    <n v="0"/>
    <n v="0"/>
    <n v="0"/>
    <n v="0"/>
    <n v="0"/>
    <n v="0"/>
    <n v="0"/>
    <n v="0"/>
    <n v="0"/>
    <s v="红柒林"/>
    <s v="20160711-0716"/>
    <n v="0"/>
    <n v="0"/>
    <n v="0"/>
    <n v="2"/>
    <n v="0"/>
    <n v="0.4"/>
    <s v="530427196301231535"/>
    <s v="13529991363"/>
  </r>
  <r>
    <x v="4"/>
    <s v="XP041"/>
    <x v="109"/>
    <x v="86"/>
    <n v="2"/>
    <n v="0"/>
    <n v="4"/>
    <n v="2"/>
    <n v="2"/>
    <n v="0"/>
    <n v="0"/>
    <n v="0"/>
    <n v="0"/>
    <n v="0"/>
    <n v="0"/>
    <n v="0"/>
    <n v="0"/>
    <n v="0"/>
    <n v="0"/>
    <n v="0"/>
    <n v="0"/>
    <n v="0"/>
    <n v="0"/>
    <n v="0"/>
    <n v="0"/>
    <n v="0"/>
    <n v="0"/>
    <n v="0"/>
    <n v="0"/>
    <n v="0"/>
    <n v="0"/>
    <n v="0"/>
    <n v="0"/>
    <n v="0"/>
    <s v="白水河"/>
    <s v="20160802-0804"/>
    <n v="0"/>
    <n v="0"/>
    <n v="0"/>
    <n v="2"/>
    <n v="0"/>
    <n v="0.4"/>
    <s v="530427196301231535"/>
    <s v="13529991363"/>
  </r>
  <r>
    <x v="4"/>
    <s v="XP042"/>
    <x v="109"/>
    <x v="86"/>
    <n v="2"/>
    <n v="0"/>
    <n v="7"/>
    <n v="2"/>
    <n v="5"/>
    <n v="0"/>
    <n v="0"/>
    <n v="0"/>
    <n v="0"/>
    <n v="0"/>
    <n v="0"/>
    <n v="0"/>
    <n v="0"/>
    <n v="0"/>
    <n v="0"/>
    <n v="0"/>
    <n v="0"/>
    <n v="0"/>
    <n v="0"/>
    <n v="0"/>
    <n v="0"/>
    <n v="0"/>
    <n v="0"/>
    <n v="0"/>
    <n v="0"/>
    <n v="0"/>
    <n v="0"/>
    <n v="0"/>
    <n v="0"/>
    <n v="0"/>
    <s v="大个甲"/>
    <s v="20160813-0821"/>
    <n v="0"/>
    <n v="0"/>
    <n v="0"/>
    <n v="2"/>
    <n v="0"/>
    <n v="0.4"/>
    <s v="530427196301231535"/>
    <s v="13529991363"/>
  </r>
  <r>
    <x v="4"/>
    <s v="XP122"/>
    <x v="110"/>
    <x v="5"/>
    <n v="10"/>
    <n v="0"/>
    <n v="169"/>
    <n v="10"/>
    <n v="18"/>
    <n v="17"/>
    <n v="21"/>
    <n v="19"/>
    <n v="15"/>
    <n v="25"/>
    <n v="16"/>
    <n v="10"/>
    <n v="18"/>
    <n v="0"/>
    <n v="0"/>
    <n v="0"/>
    <n v="0"/>
    <n v="0"/>
    <n v="0"/>
    <n v="0"/>
    <n v="0"/>
    <n v="0"/>
    <n v="0"/>
    <n v="0"/>
    <n v="0"/>
    <n v="0"/>
    <n v="0"/>
    <n v="0"/>
    <n v="0"/>
    <n v="0"/>
    <s v="新平县戛洒发启盘龙"/>
    <s v="20160729"/>
    <n v="0"/>
    <n v="0"/>
    <s v="海拔2124，2658804.7-17755022.0"/>
    <n v="24.5"/>
    <s v="0.9*3+1.1+1.1"/>
    <n v="4.9000000000000004"/>
    <s v="李荣昌-18787771048"/>
    <s v="530427197009161351"/>
  </r>
  <r>
    <x v="4"/>
    <s v="XP119"/>
    <x v="111"/>
    <x v="5"/>
    <n v="10"/>
    <n v="0"/>
    <n v="146"/>
    <n v="13"/>
    <n v="17"/>
    <n v="13"/>
    <n v="12"/>
    <n v="15"/>
    <n v="12"/>
    <n v="12"/>
    <n v="18"/>
    <n v="25"/>
    <n v="9"/>
    <n v="0"/>
    <n v="0"/>
    <n v="0"/>
    <n v="0"/>
    <n v="0"/>
    <n v="0"/>
    <n v="0"/>
    <n v="0"/>
    <n v="0"/>
    <n v="0"/>
    <n v="0"/>
    <n v="0"/>
    <n v="0"/>
    <n v="0"/>
    <n v="0"/>
    <n v="0"/>
    <n v="0"/>
    <s v="新平县戛洒发启火山"/>
    <s v="20160729"/>
    <n v="0"/>
    <n v="0"/>
    <s v="海拔2111.3，2658807.7-17755085.0"/>
    <n v="28.500000000000007"/>
    <s v="1.5+1.1+1.1+1.1+0.9"/>
    <n v="5.7000000000000011"/>
    <s v="李世冲-15969317098"/>
    <s v="532428197512191337"/>
  </r>
  <r>
    <x v="4"/>
    <s v="XP120"/>
    <x v="111"/>
    <x v="5"/>
    <n v="0"/>
    <n v="20"/>
    <n v="129"/>
    <n v="4"/>
    <n v="4"/>
    <n v="5"/>
    <n v="5"/>
    <n v="5"/>
    <n v="5"/>
    <n v="5"/>
    <n v="5"/>
    <n v="5"/>
    <n v="5"/>
    <n v="6"/>
    <n v="6"/>
    <n v="6"/>
    <n v="6"/>
    <n v="7"/>
    <n v="8"/>
    <n v="8"/>
    <n v="10"/>
    <n v="11"/>
    <n v="13"/>
    <n v="0"/>
    <n v="0"/>
    <n v="0"/>
    <n v="0"/>
    <n v="0"/>
    <n v="0"/>
    <n v="0"/>
    <s v="新平县戛洒发启火山"/>
    <s v="20160729"/>
    <n v="0"/>
    <n v="0"/>
    <s v="海拔2225.9，2658710.3-17755048.6"/>
    <n v="35.5"/>
    <s v="1.5*4+1.1"/>
    <n v="7.1"/>
    <s v="李世冲-15969317098"/>
    <s v="532428197512191337"/>
  </r>
  <r>
    <x v="4"/>
    <s v="XP121"/>
    <x v="112"/>
    <x v="5"/>
    <n v="10"/>
    <n v="0"/>
    <n v="130"/>
    <n v="18"/>
    <n v="20"/>
    <n v="9"/>
    <n v="6"/>
    <n v="11"/>
    <n v="17"/>
    <n v="15"/>
    <n v="9"/>
    <n v="12"/>
    <n v="13"/>
    <n v="0"/>
    <n v="0"/>
    <n v="0"/>
    <n v="0"/>
    <n v="0"/>
    <n v="0"/>
    <n v="0"/>
    <n v="0"/>
    <n v="0"/>
    <n v="0"/>
    <n v="0"/>
    <n v="0"/>
    <n v="0"/>
    <n v="0"/>
    <n v="0"/>
    <n v="0"/>
    <n v="0"/>
    <s v="新平县戛洒镇耀南村云盘"/>
    <s v="20160729"/>
    <n v="0"/>
    <n v="0"/>
    <s v="海拔2203，2658725.4-17755056.2"/>
    <n v="26.500000000000004"/>
    <s v="1.1+1.5+1.1+0.7+0.9"/>
    <n v="5.3000000000000007"/>
    <s v="李宗平-18088911702"/>
    <s v="532428198209091311"/>
  </r>
  <r>
    <x v="4"/>
    <s v="XP123"/>
    <x v="113"/>
    <x v="5"/>
    <n v="10"/>
    <n v="0"/>
    <n v="110"/>
    <n v="7"/>
    <n v="7"/>
    <n v="14"/>
    <n v="14"/>
    <n v="9"/>
    <n v="12"/>
    <n v="16"/>
    <n v="16"/>
    <n v="5"/>
    <n v="10"/>
    <n v="0"/>
    <n v="0"/>
    <n v="0"/>
    <n v="0"/>
    <n v="0"/>
    <n v="0"/>
    <n v="0"/>
    <n v="0"/>
    <n v="0"/>
    <n v="0"/>
    <n v="0"/>
    <n v="0"/>
    <n v="0"/>
    <n v="0"/>
    <n v="0"/>
    <n v="0"/>
    <n v="0"/>
    <s v="新平县戛洒镇耀南村徐？草塘22号"/>
    <s v="20160729"/>
    <n v="0"/>
    <n v="0"/>
    <s v="海拔2197.4，2658735.2-17755045.4"/>
    <n v="24.5"/>
    <s v="1.1+0.7+1.1+0.9+1.1"/>
    <n v="4.9000000000000004"/>
    <s v="余朝明-13577786771"/>
    <s v="532428196006121331"/>
  </r>
  <r>
    <x v="4"/>
    <s v="XP109"/>
    <x v="114"/>
    <x v="5"/>
    <n v="9"/>
    <n v="0"/>
    <n v="109"/>
    <n v="9"/>
    <n v="16"/>
    <n v="11"/>
    <n v="13"/>
    <n v="6"/>
    <n v="11"/>
    <n v="7"/>
    <n v="9"/>
    <n v="27"/>
    <n v="0"/>
    <n v="0"/>
    <n v="0"/>
    <n v="0"/>
    <n v="0"/>
    <n v="0"/>
    <n v="0"/>
    <n v="0"/>
    <n v="0"/>
    <n v="0"/>
    <n v="0"/>
    <n v="0"/>
    <n v="0"/>
    <n v="0"/>
    <n v="0"/>
    <n v="0"/>
    <n v="0"/>
    <n v="0"/>
    <s v="？？？"/>
    <s v="编号9-1"/>
    <n v="0"/>
    <n v="0"/>
    <n v="0"/>
    <n v="15.499999999999998"/>
    <s v="0.5+0.7+0.7+0.7+0.5"/>
    <n v="3.0999999999999996"/>
    <s v="532428197510250911"/>
    <s v="18088911719"/>
  </r>
  <r>
    <x v="4"/>
    <s v="XP110"/>
    <x v="114"/>
    <x v="5"/>
    <n v="9"/>
    <n v="0"/>
    <n v="25"/>
    <n v="1"/>
    <n v="2"/>
    <n v="2"/>
    <n v="3"/>
    <n v="3"/>
    <n v="3"/>
    <n v="3"/>
    <n v="4"/>
    <n v="4"/>
    <n v="0"/>
    <n v="0"/>
    <n v="0"/>
    <n v="0"/>
    <n v="0"/>
    <n v="0"/>
    <n v="0"/>
    <n v="0"/>
    <n v="0"/>
    <n v="0"/>
    <n v="0"/>
    <n v="0"/>
    <n v="0"/>
    <n v="0"/>
    <n v="0"/>
    <n v="0"/>
    <n v="0"/>
    <n v="0"/>
    <s v="？？？"/>
    <s v="编号9-2"/>
    <n v="0"/>
    <n v="0"/>
    <n v="0"/>
    <n v="10"/>
    <n v="0"/>
    <n v="2"/>
    <s v="532428197510250911"/>
    <s v="18088911719"/>
  </r>
  <r>
    <x v="4"/>
    <s v="XP111"/>
    <x v="114"/>
    <x v="5"/>
    <n v="11"/>
    <n v="0"/>
    <n v="171"/>
    <n v="11"/>
    <n v="21"/>
    <n v="10"/>
    <n v="4"/>
    <n v="10"/>
    <n v="6"/>
    <n v="45"/>
    <n v="3"/>
    <n v="36"/>
    <n v="15"/>
    <n v="10"/>
    <n v="0"/>
    <n v="0"/>
    <n v="0"/>
    <n v="0"/>
    <n v="0"/>
    <n v="0"/>
    <n v="0"/>
    <n v="0"/>
    <n v="0"/>
    <n v="0"/>
    <n v="0"/>
    <n v="0"/>
    <n v="0"/>
    <n v="0"/>
    <n v="0"/>
    <n v="0"/>
    <s v="？？？"/>
    <s v="编号11-3"/>
    <n v="0"/>
    <n v="0"/>
    <n v="0"/>
    <n v="30"/>
    <s v="1.5+1.1+0.7+2+0.7"/>
    <n v="6"/>
    <s v="532428197510250911"/>
    <s v="18088911719"/>
  </r>
  <r>
    <x v="4"/>
    <s v="XP112"/>
    <x v="114"/>
    <x v="5"/>
    <n v="10"/>
    <n v="0"/>
    <n v="37"/>
    <n v="2"/>
    <n v="3"/>
    <n v="3"/>
    <n v="3"/>
    <n v="3"/>
    <n v="4"/>
    <n v="4"/>
    <n v="4"/>
    <n v="5"/>
    <n v="6"/>
    <n v="0"/>
    <n v="0"/>
    <n v="0"/>
    <n v="0"/>
    <n v="0"/>
    <n v="0"/>
    <n v="0"/>
    <n v="0"/>
    <n v="0"/>
    <n v="0"/>
    <n v="0"/>
    <n v="0"/>
    <n v="0"/>
    <n v="0"/>
    <n v="0"/>
    <n v="0"/>
    <n v="0"/>
    <s v="？？？"/>
    <s v="编号10-4"/>
    <n v="0"/>
    <n v="0"/>
    <n v="0"/>
    <n v="6"/>
    <n v="0"/>
    <n v="1.2"/>
    <s v="532428197510250911"/>
    <s v="18088911719"/>
  </r>
  <r>
    <x v="4"/>
    <s v="XP113"/>
    <x v="114"/>
    <x v="5"/>
    <n v="0"/>
    <n v="16"/>
    <n v="50"/>
    <n v="11"/>
    <n v="10"/>
    <n v="1"/>
    <n v="1"/>
    <n v="1"/>
    <n v="1"/>
    <n v="1"/>
    <n v="1"/>
    <n v="1"/>
    <n v="2"/>
    <n v="2"/>
    <n v="3"/>
    <n v="3"/>
    <n v="3"/>
    <n v="4"/>
    <n v="5"/>
    <n v="0"/>
    <n v="0"/>
    <n v="0"/>
    <n v="0"/>
    <n v="0"/>
    <n v="0"/>
    <n v="0"/>
    <n v="0"/>
    <n v="0"/>
    <n v="0"/>
    <n v="0"/>
    <s v="新平县戛沙镇仁和村坝多组"/>
    <s v="20160715"/>
    <n v="0"/>
    <n v="0"/>
    <s v="海拔1993，湾河，N23°50′31.62″ E101°57′27.32″"/>
    <n v="15"/>
    <n v="0"/>
    <n v="3"/>
    <s v="532428197510250911"/>
    <s v="18088911719"/>
  </r>
  <r>
    <x v="4"/>
    <s v="XP064"/>
    <x v="115"/>
    <x v="87"/>
    <n v="7"/>
    <n v="0"/>
    <n v="144"/>
    <n v="19"/>
    <n v="27"/>
    <n v="22"/>
    <n v="21"/>
    <n v="12"/>
    <n v="21"/>
    <n v="22"/>
    <n v="0"/>
    <n v="0"/>
    <n v="0"/>
    <n v="0"/>
    <n v="0"/>
    <n v="0"/>
    <n v="0"/>
    <n v="0"/>
    <n v="0"/>
    <n v="0"/>
    <n v="0"/>
    <n v="0"/>
    <n v="0"/>
    <n v="0"/>
    <n v="0"/>
    <n v="0"/>
    <n v="0"/>
    <n v="0"/>
    <n v="0"/>
    <n v="0"/>
    <s v="新平者竜竹箐村"/>
    <s v="20160704"/>
    <n v="0"/>
    <n v="0"/>
    <s v="2693580-17732565"/>
    <n v="25.500000000000004"/>
    <s v="1.5+0.7+0.7+1.5+0.7"/>
    <n v="5.1000000000000005"/>
    <s v="532428196202221911"/>
    <s v="18088911750"/>
  </r>
  <r>
    <x v="4"/>
    <s v="XP065"/>
    <x v="115"/>
    <x v="87"/>
    <n v="6"/>
    <n v="0"/>
    <n v="116"/>
    <n v="20"/>
    <n v="24"/>
    <n v="24"/>
    <n v="18"/>
    <n v="14"/>
    <n v="16"/>
    <n v="0"/>
    <n v="0"/>
    <n v="0"/>
    <n v="0"/>
    <n v="0"/>
    <n v="0"/>
    <n v="0"/>
    <n v="0"/>
    <n v="0"/>
    <n v="0"/>
    <n v="0"/>
    <n v="0"/>
    <n v="0"/>
    <n v="0"/>
    <n v="0"/>
    <n v="0"/>
    <n v="0"/>
    <n v="0"/>
    <n v="0"/>
    <n v="0"/>
    <n v="0"/>
    <s v="新平者竜竹箐村"/>
    <s v="20160704"/>
    <n v="0"/>
    <n v="0"/>
    <s v="2692356-17733597"/>
    <n v="21.5"/>
    <s v="0.7+0.7+0.9+0.9+1.1"/>
    <n v="4.3"/>
    <s v="532428196202221911"/>
    <s v="18088911750"/>
  </r>
  <r>
    <x v="4"/>
    <s v="XP066"/>
    <x v="115"/>
    <x v="87"/>
    <n v="2"/>
    <n v="0"/>
    <n v="56"/>
    <n v="31"/>
    <n v="25"/>
    <n v="0"/>
    <n v="0"/>
    <n v="0"/>
    <n v="0"/>
    <n v="0"/>
    <n v="0"/>
    <n v="0"/>
    <n v="0"/>
    <n v="0"/>
    <n v="0"/>
    <n v="0"/>
    <n v="0"/>
    <n v="0"/>
    <n v="0"/>
    <n v="0"/>
    <n v="0"/>
    <n v="0"/>
    <n v="0"/>
    <n v="0"/>
    <n v="0"/>
    <n v="0"/>
    <n v="0"/>
    <n v="0"/>
    <n v="0"/>
    <n v="0"/>
    <s v="新平者竜竹箐村"/>
    <s v="20160705"/>
    <n v="0"/>
    <n v="0"/>
    <s v="2691702-17733158"/>
    <n v="7.5"/>
    <n v="0"/>
    <n v="1.5"/>
    <s v="532428196202221911"/>
    <s v="18088911750"/>
  </r>
  <r>
    <x v="4"/>
    <s v="XP067"/>
    <x v="115"/>
    <x v="87"/>
    <n v="3"/>
    <n v="0"/>
    <n v="45"/>
    <n v="22"/>
    <n v="9"/>
    <n v="14"/>
    <n v="0"/>
    <n v="0"/>
    <n v="0"/>
    <n v="0"/>
    <n v="0"/>
    <n v="0"/>
    <n v="0"/>
    <n v="0"/>
    <n v="0"/>
    <n v="0"/>
    <n v="0"/>
    <n v="0"/>
    <n v="0"/>
    <n v="0"/>
    <n v="0"/>
    <n v="0"/>
    <n v="0"/>
    <n v="0"/>
    <n v="0"/>
    <n v="0"/>
    <n v="0"/>
    <n v="0"/>
    <n v="0"/>
    <n v="0"/>
    <s v="新平者竜竹箐村"/>
    <s v="20160705"/>
    <n v="0"/>
    <n v="0"/>
    <s v="2691821-17733309"/>
    <n v="6"/>
    <n v="0"/>
    <n v="1.2"/>
    <s v="532428196202221911"/>
    <s v="18088911750"/>
  </r>
  <r>
    <x v="4"/>
    <s v="XP089"/>
    <x v="116"/>
    <x v="5"/>
    <n v="9"/>
    <n v="0"/>
    <n v="56"/>
    <n v="2"/>
    <n v="4"/>
    <n v="5"/>
    <n v="5"/>
    <n v="5"/>
    <n v="7"/>
    <n v="7"/>
    <n v="10"/>
    <n v="11"/>
    <n v="0"/>
    <n v="0"/>
    <n v="0"/>
    <n v="0"/>
    <n v="0"/>
    <n v="0"/>
    <n v="0"/>
    <n v="0"/>
    <n v="0"/>
    <n v="0"/>
    <n v="0"/>
    <n v="0"/>
    <n v="0"/>
    <n v="0"/>
    <n v="0"/>
    <n v="0"/>
    <n v="0"/>
    <n v="0"/>
    <s v="？？？"/>
    <s v="？"/>
    <n v="0"/>
    <n v="0"/>
    <s v="？"/>
    <n v="7.5"/>
    <n v="0"/>
    <n v="1.5"/>
    <s v="530427197801080950"/>
    <s v="18088911725"/>
  </r>
  <r>
    <x v="4"/>
    <s v="XP090"/>
    <x v="116"/>
    <x v="5"/>
    <n v="10"/>
    <n v="0"/>
    <n v="104"/>
    <n v="2"/>
    <n v="4"/>
    <n v="5"/>
    <n v="5"/>
    <n v="6"/>
    <n v="6"/>
    <n v="7"/>
    <n v="9"/>
    <n v="11"/>
    <n v="49"/>
    <n v="0"/>
    <n v="0"/>
    <n v="0"/>
    <n v="0"/>
    <n v="0"/>
    <n v="0"/>
    <n v="0"/>
    <n v="0"/>
    <n v="0"/>
    <n v="0"/>
    <n v="0"/>
    <n v="0"/>
    <n v="0"/>
    <n v="0"/>
    <n v="0"/>
    <n v="0"/>
    <n v="0"/>
    <s v="？？？"/>
    <s v="编号10-1"/>
    <n v="0"/>
    <n v="0"/>
    <s v="？"/>
    <n v="17.499999999999996"/>
    <s v="0.5+0.9+0.5+0.7+0.9"/>
    <n v="3.4999999999999996"/>
    <s v="530427197801080950"/>
    <s v="18088911725"/>
  </r>
  <r>
    <x v="4"/>
    <s v="XP091"/>
    <x v="116"/>
    <x v="5"/>
    <n v="10"/>
    <n v="0"/>
    <n v="134"/>
    <n v="8"/>
    <n v="8"/>
    <n v="10"/>
    <n v="11"/>
    <n v="13"/>
    <n v="14"/>
    <n v="14"/>
    <n v="15"/>
    <n v="17"/>
    <n v="24"/>
    <n v="0"/>
    <n v="0"/>
    <n v="0"/>
    <n v="0"/>
    <n v="0"/>
    <n v="0"/>
    <n v="0"/>
    <n v="0"/>
    <n v="0"/>
    <n v="0"/>
    <n v="0"/>
    <n v="0"/>
    <n v="0"/>
    <n v="0"/>
    <n v="0"/>
    <n v="0"/>
    <n v="0"/>
    <s v="？？？"/>
    <s v="编号10-2"/>
    <n v="0"/>
    <n v="0"/>
    <s v="？"/>
    <n v="17.5"/>
    <s v="0.9+0.7+0.7+0.7+0.5"/>
    <n v="3.5"/>
    <s v="530427197801080950"/>
    <s v="18088911725"/>
  </r>
  <r>
    <x v="4"/>
    <s v="XP092"/>
    <x v="116"/>
    <x v="5"/>
    <n v="10"/>
    <n v="0"/>
    <n v="142"/>
    <n v="23"/>
    <n v="13"/>
    <n v="12"/>
    <n v="10"/>
    <n v="8"/>
    <n v="23"/>
    <n v="13"/>
    <n v="12"/>
    <n v="14"/>
    <n v="14"/>
    <n v="0"/>
    <n v="0"/>
    <n v="0"/>
    <n v="0"/>
    <n v="0"/>
    <n v="0"/>
    <n v="0"/>
    <n v="0"/>
    <n v="0"/>
    <n v="0"/>
    <n v="0"/>
    <n v="0"/>
    <n v="0"/>
    <n v="0"/>
    <n v="0"/>
    <n v="0"/>
    <n v="0"/>
    <s v="？？？"/>
    <s v="？"/>
    <n v="0"/>
    <n v="0"/>
    <s v="？"/>
    <n v="16.5"/>
    <s v="0.7*4+0.5"/>
    <n v="3.3"/>
    <s v="530427197801080950"/>
    <s v="18088911725"/>
  </r>
  <r>
    <x v="4"/>
    <s v="XP093"/>
    <x v="116"/>
    <x v="5"/>
    <n v="0"/>
    <n v="20"/>
    <n v="137"/>
    <n v="1"/>
    <n v="3"/>
    <n v="3"/>
    <n v="5"/>
    <n v="5"/>
    <n v="5"/>
    <n v="5"/>
    <n v="6"/>
    <n v="6"/>
    <n v="6"/>
    <n v="7"/>
    <n v="7"/>
    <n v="8"/>
    <n v="9"/>
    <n v="9"/>
    <n v="9"/>
    <n v="10"/>
    <n v="10"/>
    <n v="11"/>
    <n v="12"/>
    <n v="0"/>
    <n v="0"/>
    <n v="0"/>
    <n v="0"/>
    <n v="0"/>
    <n v="0"/>
    <n v="0"/>
    <s v="新平县蓡沙镇胜利村段甲组"/>
    <s v="20160725"/>
    <n v="0"/>
    <n v="0"/>
    <s v="白石岩，海拔2388。N23°48′00.92″ E101°38′03.83″"/>
    <n v="17.5"/>
    <s v="0.7*5"/>
    <n v="3.5"/>
    <s v="530427197801080950"/>
    <s v="18088911725"/>
  </r>
  <r>
    <x v="4"/>
    <s v="XP048"/>
    <x v="117"/>
    <x v="88"/>
    <n v="5"/>
    <n v="0"/>
    <n v="27"/>
    <n v="5"/>
    <n v="5"/>
    <n v="8"/>
    <n v="4"/>
    <n v="5"/>
    <n v="0"/>
    <n v="0"/>
    <n v="0"/>
    <n v="0"/>
    <n v="0"/>
    <n v="0"/>
    <n v="0"/>
    <n v="0"/>
    <n v="0"/>
    <n v="0"/>
    <n v="0"/>
    <n v="0"/>
    <n v="0"/>
    <n v="0"/>
    <n v="0"/>
    <n v="0"/>
    <n v="0"/>
    <n v="0"/>
    <n v="0"/>
    <n v="0"/>
    <n v="0"/>
    <n v="0"/>
    <s v="新平者竜春元村"/>
    <s v="20160811"/>
    <n v="0"/>
    <n v="0"/>
    <s v="2678324-17739715"/>
    <n v="5"/>
    <n v="0"/>
    <n v="1"/>
    <s v="53242819650217191X"/>
    <s v="18088911762"/>
  </r>
  <r>
    <x v="4"/>
    <s v="XP049"/>
    <x v="117"/>
    <x v="88"/>
    <n v="5"/>
    <n v="0"/>
    <n v="33"/>
    <n v="5"/>
    <n v="10"/>
    <n v="8"/>
    <n v="4"/>
    <n v="6"/>
    <n v="0"/>
    <n v="0"/>
    <n v="0"/>
    <n v="0"/>
    <n v="0"/>
    <n v="0"/>
    <n v="0"/>
    <n v="0"/>
    <n v="0"/>
    <n v="0"/>
    <n v="0"/>
    <n v="0"/>
    <n v="0"/>
    <n v="0"/>
    <n v="0"/>
    <n v="0"/>
    <n v="0"/>
    <n v="0"/>
    <n v="0"/>
    <n v="0"/>
    <n v="0"/>
    <n v="0"/>
    <s v="新平者竜春元村"/>
    <s v="20160811"/>
    <n v="0"/>
    <n v="0"/>
    <s v="2677914-17740076"/>
    <n v="6"/>
    <n v="0"/>
    <n v="1.2"/>
    <s v="53242819650217191X"/>
    <s v="18088911762"/>
  </r>
  <r>
    <x v="4"/>
    <s v="XP050"/>
    <x v="117"/>
    <x v="88"/>
    <n v="5"/>
    <n v="0"/>
    <n v="23"/>
    <n v="3"/>
    <n v="4"/>
    <n v="6"/>
    <n v="5"/>
    <n v="5"/>
    <n v="0"/>
    <n v="0"/>
    <n v="0"/>
    <n v="0"/>
    <n v="0"/>
    <n v="0"/>
    <n v="0"/>
    <n v="0"/>
    <n v="0"/>
    <n v="0"/>
    <n v="0"/>
    <n v="0"/>
    <n v="0"/>
    <n v="0"/>
    <n v="0"/>
    <n v="0"/>
    <n v="0"/>
    <n v="0"/>
    <n v="0"/>
    <n v="0"/>
    <n v="0"/>
    <n v="0"/>
    <s v="新平者竜春元村"/>
    <s v="20160812"/>
    <n v="0"/>
    <n v="0"/>
    <s v="2679070-17738982"/>
    <n v="6"/>
    <n v="0"/>
    <n v="1.2"/>
    <s v="53242819650217191X"/>
    <s v="18088911762"/>
  </r>
  <r>
    <x v="4"/>
    <s v="XP051"/>
    <x v="117"/>
    <x v="88"/>
    <n v="5"/>
    <n v="0"/>
    <n v="33"/>
    <n v="4"/>
    <n v="7"/>
    <n v="8"/>
    <n v="8"/>
    <n v="6"/>
    <n v="0"/>
    <n v="0"/>
    <n v="0"/>
    <n v="0"/>
    <n v="0"/>
    <n v="0"/>
    <n v="0"/>
    <n v="0"/>
    <n v="0"/>
    <n v="0"/>
    <n v="0"/>
    <n v="0"/>
    <n v="0"/>
    <n v="0"/>
    <n v="0"/>
    <n v="0"/>
    <n v="0"/>
    <n v="0"/>
    <n v="0"/>
    <n v="0"/>
    <n v="0"/>
    <n v="0"/>
    <s v="新平者竜春元村"/>
    <s v="20160812"/>
    <n v="0"/>
    <n v="0"/>
    <s v="2679400-17739129"/>
    <n v="7.5"/>
    <n v="0"/>
    <n v="1.5"/>
    <s v="53242819650217191X"/>
    <s v="18088911762"/>
  </r>
  <r>
    <x v="4"/>
    <s v="XP079"/>
    <x v="118"/>
    <x v="5"/>
    <n v="10"/>
    <n v="0"/>
    <n v="17"/>
    <n v="1"/>
    <n v="1"/>
    <n v="1"/>
    <n v="1"/>
    <n v="2"/>
    <n v="2"/>
    <n v="2"/>
    <n v="2"/>
    <n v="2"/>
    <n v="3"/>
    <n v="0"/>
    <n v="0"/>
    <n v="0"/>
    <n v="0"/>
    <n v="0"/>
    <n v="0"/>
    <n v="0"/>
    <n v="0"/>
    <n v="0"/>
    <n v="0"/>
    <n v="0"/>
    <n v="0"/>
    <n v="0"/>
    <n v="0"/>
    <n v="0"/>
    <n v="0"/>
    <n v="0"/>
    <s v="？？？"/>
    <s v="20160611"/>
    <n v="0"/>
    <n v="0"/>
    <s v="太山箐，海拔2199。N23°22′37.45″ E103°22′81.62″"/>
    <n v="6"/>
    <n v="0"/>
    <n v="1.2"/>
    <s v="530427197904142114"/>
    <s v="15284433862"/>
  </r>
  <r>
    <x v="4"/>
    <s v="XP080"/>
    <x v="118"/>
    <x v="5"/>
    <n v="10"/>
    <n v="0"/>
    <n v="19"/>
    <n v="1"/>
    <n v="2"/>
    <n v="2"/>
    <n v="2"/>
    <n v="2"/>
    <n v="2"/>
    <n v="2"/>
    <n v="2"/>
    <n v="2"/>
    <n v="2"/>
    <n v="0"/>
    <n v="0"/>
    <n v="0"/>
    <n v="0"/>
    <n v="0"/>
    <n v="0"/>
    <n v="0"/>
    <n v="0"/>
    <n v="0"/>
    <n v="0"/>
    <n v="0"/>
    <n v="0"/>
    <n v="0"/>
    <n v="0"/>
    <n v="0"/>
    <n v="0"/>
    <n v="0"/>
    <s v="？？？"/>
    <s v="20160620"/>
    <n v="0"/>
    <n v="0"/>
    <s v="太山箐，海拔2199。N23°22′37.45″ E103°22′81.62″"/>
    <n v="3"/>
    <n v="0"/>
    <n v="0.6"/>
    <s v="530427197904142114"/>
    <s v="15284433862"/>
  </r>
  <r>
    <x v="4"/>
    <s v="XP081"/>
    <x v="118"/>
    <x v="5"/>
    <n v="10"/>
    <n v="0"/>
    <n v="16"/>
    <n v="1"/>
    <n v="1"/>
    <n v="1"/>
    <n v="1"/>
    <n v="2"/>
    <n v="2"/>
    <n v="2"/>
    <n v="2"/>
    <n v="2"/>
    <n v="2"/>
    <n v="0"/>
    <n v="0"/>
    <n v="0"/>
    <n v="0"/>
    <n v="0"/>
    <n v="0"/>
    <n v="0"/>
    <n v="0"/>
    <n v="0"/>
    <n v="0"/>
    <n v="0"/>
    <n v="0"/>
    <n v="0"/>
    <n v="0"/>
    <n v="0"/>
    <n v="0"/>
    <n v="0"/>
    <s v="？？？"/>
    <s v="20160629"/>
    <n v="0"/>
    <n v="0"/>
    <s v="太山箐，海拔2199。N23°22′37.45″ E103°22′81.62″"/>
    <n v="2"/>
    <n v="0"/>
    <n v="0.4"/>
    <s v="530427197904142114"/>
    <s v="15284433862"/>
  </r>
  <r>
    <x v="4"/>
    <s v="XP082"/>
    <x v="118"/>
    <x v="5"/>
    <n v="10"/>
    <n v="0"/>
    <n v="19"/>
    <n v="1"/>
    <n v="1"/>
    <n v="1"/>
    <n v="2"/>
    <n v="2"/>
    <n v="2"/>
    <n v="2"/>
    <n v="2"/>
    <n v="2"/>
    <n v="4"/>
    <n v="0"/>
    <n v="0"/>
    <n v="0"/>
    <n v="0"/>
    <n v="0"/>
    <n v="0"/>
    <n v="0"/>
    <n v="0"/>
    <n v="0"/>
    <n v="0"/>
    <n v="0"/>
    <n v="0"/>
    <n v="0"/>
    <n v="0"/>
    <n v="0"/>
    <n v="0"/>
    <n v="0"/>
    <s v="？？？"/>
    <s v="2016????"/>
    <n v="0"/>
    <n v="0"/>
    <s v="太山箐，海拔2199。N23°22′37.45″ E103°22′81.62″"/>
    <n v="6"/>
    <n v="0"/>
    <n v="1.2"/>
    <s v="530427197904142114"/>
    <s v="15284433862"/>
  </r>
  <r>
    <x v="4"/>
    <s v="XP083"/>
    <x v="118"/>
    <x v="5"/>
    <n v="0"/>
    <n v="20"/>
    <n v="63"/>
    <n v="1"/>
    <n v="2"/>
    <n v="2"/>
    <n v="2"/>
    <n v="2"/>
    <n v="2"/>
    <n v="3"/>
    <n v="3"/>
    <n v="3"/>
    <n v="3"/>
    <n v="3"/>
    <n v="3"/>
    <n v="3"/>
    <n v="3"/>
    <n v="4"/>
    <n v="4"/>
    <n v="4"/>
    <n v="4"/>
    <n v="5"/>
    <n v="7"/>
    <n v="0"/>
    <n v="0"/>
    <n v="0"/>
    <n v="0"/>
    <n v="0"/>
    <n v="0"/>
    <n v="0"/>
    <s v="新平县平掌乡仓房村旧岩小组"/>
    <s v="20160715"/>
    <n v="0"/>
    <n v="0"/>
    <s v="太山箐，海拔2199。N23°22′37.45″ E103°22′81.62″"/>
    <n v="7.5"/>
    <n v="0"/>
    <n v="1.5"/>
    <s v="530427197904142114"/>
    <s v="15284433862"/>
  </r>
  <r>
    <x v="4"/>
    <s v="XP094"/>
    <x v="119"/>
    <x v="5"/>
    <n v="10"/>
    <n v="0"/>
    <n v="231"/>
    <n v="26"/>
    <n v="15"/>
    <n v="22"/>
    <n v="19"/>
    <n v="33"/>
    <n v="26"/>
    <n v="32"/>
    <n v="24"/>
    <n v="18"/>
    <n v="16"/>
    <n v="0"/>
    <n v="0"/>
    <n v="0"/>
    <n v="0"/>
    <n v="0"/>
    <n v="0"/>
    <n v="0"/>
    <n v="0"/>
    <n v="0"/>
    <n v="0"/>
    <n v="0"/>
    <n v="0"/>
    <n v="0"/>
    <n v="0"/>
    <n v="0"/>
    <n v="0"/>
    <n v="0"/>
    <s v="新平县戛洒镇耀南村金山原始森林"/>
    <s v="20160729"/>
    <n v="0"/>
    <n v="0"/>
    <s v="海拔2485,2650893.7-17755086.3"/>
    <n v="50"/>
    <s v="2*5"/>
    <n v="10"/>
    <s v="532428196404082139"/>
    <s v="13988455214"/>
  </r>
  <r>
    <x v="4"/>
    <s v="XP095"/>
    <x v="119"/>
    <x v="5"/>
    <n v="10"/>
    <n v="0"/>
    <n v="186"/>
    <n v="16"/>
    <n v="16"/>
    <n v="16"/>
    <n v="22"/>
    <n v="22"/>
    <n v="21"/>
    <n v="19"/>
    <n v="14"/>
    <n v="23"/>
    <n v="17"/>
    <n v="0"/>
    <n v="0"/>
    <n v="0"/>
    <n v="0"/>
    <n v="0"/>
    <n v="0"/>
    <n v="0"/>
    <n v="0"/>
    <n v="0"/>
    <n v="0"/>
    <n v="0"/>
    <n v="0"/>
    <n v="0"/>
    <n v="0"/>
    <n v="0"/>
    <n v="0"/>
    <n v="0"/>
    <s v="新平县戛洒镇耀南村金山丫口金山原始森林"/>
    <s v="20160729"/>
    <n v="0"/>
    <n v="0"/>
    <s v="海拔2498,2650911.7-17755190.7"/>
    <n v="47.5"/>
    <s v="1.5+2*4"/>
    <n v="9.5"/>
    <s v="532428196404082139"/>
    <s v="13988455214"/>
  </r>
  <r>
    <x v="4"/>
    <s v="XP096"/>
    <x v="119"/>
    <x v="5"/>
    <n v="10"/>
    <n v="0"/>
    <n v="178"/>
    <n v="13"/>
    <n v="20"/>
    <n v="20"/>
    <n v="25"/>
    <n v="16"/>
    <n v="17"/>
    <n v="19"/>
    <n v="19"/>
    <n v="19"/>
    <n v="10"/>
    <n v="0"/>
    <n v="0"/>
    <n v="0"/>
    <n v="0"/>
    <n v="0"/>
    <n v="0"/>
    <n v="0"/>
    <n v="0"/>
    <n v="0"/>
    <n v="0"/>
    <n v="0"/>
    <n v="0"/>
    <n v="0"/>
    <n v="0"/>
    <n v="0"/>
    <n v="0"/>
    <n v="0"/>
    <s v="新平县戛洒镇耀南村花山脚金拱洞"/>
    <s v="20160729"/>
    <n v="0"/>
    <n v="0"/>
    <s v="海拔2516,2651054.1-17755397.2"/>
    <n v="42"/>
    <s v="0.9+2+2+2+1.5"/>
    <n v="8.4"/>
    <s v="532428196404082139"/>
    <s v="13988455214"/>
  </r>
  <r>
    <x v="4"/>
    <s v="XP097"/>
    <x v="119"/>
    <x v="5"/>
    <n v="10"/>
    <n v="0"/>
    <n v="226"/>
    <n v="20"/>
    <n v="28"/>
    <n v="25"/>
    <n v="27"/>
    <n v="19"/>
    <n v="23"/>
    <n v="21"/>
    <n v="21"/>
    <n v="21"/>
    <n v="21"/>
    <n v="0"/>
    <n v="0"/>
    <n v="0"/>
    <n v="0"/>
    <n v="0"/>
    <n v="0"/>
    <n v="0"/>
    <n v="0"/>
    <n v="0"/>
    <n v="0"/>
    <n v="0"/>
    <n v="0"/>
    <n v="0"/>
    <n v="0"/>
    <n v="0"/>
    <n v="0"/>
    <n v="0"/>
    <s v="新平县戛洒镇耀南村花山脚金拱洞"/>
    <s v="20160729"/>
    <n v="0"/>
    <n v="0"/>
    <s v="海拔2521,2651204.1.1-17755496.1"/>
    <n v="33.5"/>
    <s v="1.5+1.1+1.5+1.1+1.5"/>
    <n v="6.6999999999999993"/>
    <s v="532428196404082139"/>
    <s v="13988455214"/>
  </r>
  <r>
    <x v="4"/>
    <s v="XP098"/>
    <x v="119"/>
    <x v="5"/>
    <n v="0"/>
    <n v="20"/>
    <n v="58"/>
    <n v="1"/>
    <n v="1"/>
    <n v="1"/>
    <n v="1"/>
    <n v="2"/>
    <n v="2"/>
    <n v="2"/>
    <n v="2"/>
    <n v="2"/>
    <n v="2"/>
    <n v="3"/>
    <n v="3"/>
    <n v="3"/>
    <n v="3"/>
    <n v="3"/>
    <n v="4"/>
    <n v="5"/>
    <n v="5"/>
    <n v="6"/>
    <n v="7"/>
    <n v="0"/>
    <n v="0"/>
    <n v="0"/>
    <n v="0"/>
    <n v="0"/>
    <n v="0"/>
    <n v="0"/>
    <s v="新平县戛洒镇耀南村金山丫口"/>
    <s v="20160729"/>
    <n v="0"/>
    <n v="0"/>
    <s v="海拔2546,2650798.3-17755473.2"/>
    <n v="7.5"/>
    <n v="0"/>
    <n v="1.5"/>
    <s v="532428196404082139"/>
    <s v="13988455214"/>
  </r>
  <r>
    <x v="4"/>
    <s v="XP072"/>
    <x v="120"/>
    <x v="5"/>
    <n v="10"/>
    <n v="0"/>
    <n v="68"/>
    <n v="4"/>
    <n v="4"/>
    <n v="7"/>
    <n v="16"/>
    <n v="10"/>
    <n v="4"/>
    <n v="6"/>
    <n v="4"/>
    <n v="6"/>
    <n v="7"/>
    <n v="0"/>
    <n v="0"/>
    <n v="0"/>
    <n v="0"/>
    <n v="0"/>
    <n v="0"/>
    <n v="0"/>
    <n v="0"/>
    <n v="0"/>
    <n v="0"/>
    <n v="0"/>
    <n v="0"/>
    <n v="0"/>
    <n v="0"/>
    <n v="0"/>
    <n v="0"/>
    <n v="0"/>
    <s v="新平县戛沙镇小坝多村阴波黑组"/>
    <s v="20160715"/>
    <n v="0"/>
    <n v="0"/>
    <s v="老箐，海拔2222。N23°49′59.05″ E101°36′30.31″"/>
    <n v="10"/>
    <n v="0"/>
    <n v="2"/>
    <s v="530427197312242314"/>
    <s v="18088911726"/>
  </r>
  <r>
    <x v="4"/>
    <s v="XP073"/>
    <x v="120"/>
    <x v="5"/>
    <n v="10"/>
    <n v="0"/>
    <n v="131"/>
    <n v="38"/>
    <n v="8"/>
    <n v="9"/>
    <n v="6"/>
    <n v="4"/>
    <n v="35"/>
    <n v="7"/>
    <n v="9"/>
    <n v="8"/>
    <n v="7"/>
    <n v="0"/>
    <n v="0"/>
    <n v="0"/>
    <n v="0"/>
    <n v="0"/>
    <n v="0"/>
    <n v="0"/>
    <n v="0"/>
    <n v="0"/>
    <n v="0"/>
    <n v="0"/>
    <n v="0"/>
    <n v="0"/>
    <n v="0"/>
    <n v="0"/>
    <n v="0"/>
    <n v="0"/>
    <s v="NA"/>
    <s v="NA"/>
    <n v="0"/>
    <n v="0"/>
    <n v="0"/>
    <n v="20.500000000000004"/>
    <s v="0.7+1.1+0.9+1.1+0.3"/>
    <n v="4.1000000000000005"/>
    <s v="530427197312242314"/>
    <s v="18088911726"/>
  </r>
  <r>
    <x v="4"/>
    <s v="XP074"/>
    <x v="120"/>
    <x v="5"/>
    <n v="10"/>
    <n v="0"/>
    <n v="119"/>
    <n v="12"/>
    <n v="15"/>
    <n v="9"/>
    <n v="10"/>
    <n v="10"/>
    <n v="10"/>
    <n v="15"/>
    <n v="8"/>
    <n v="20"/>
    <n v="10"/>
    <n v="0"/>
    <n v="0"/>
    <n v="0"/>
    <n v="0"/>
    <n v="0"/>
    <n v="0"/>
    <n v="0"/>
    <n v="0"/>
    <n v="0"/>
    <n v="0"/>
    <n v="0"/>
    <n v="0"/>
    <n v="0"/>
    <n v="0"/>
    <n v="0"/>
    <n v="0"/>
    <n v="0"/>
    <s v="NA"/>
    <s v="NA"/>
    <n v="0"/>
    <n v="0"/>
    <n v="0"/>
    <n v="18.5"/>
    <s v="0.9+1.1+0.5+0.9+0.3"/>
    <n v="3.6999999999999997"/>
    <s v="530427197312242314"/>
    <s v="18088911726"/>
  </r>
  <r>
    <x v="4"/>
    <s v="XP075"/>
    <x v="120"/>
    <x v="5"/>
    <n v="10"/>
    <n v="0"/>
    <n v="75"/>
    <n v="8"/>
    <n v="5"/>
    <n v="9"/>
    <n v="9"/>
    <n v="7"/>
    <n v="6"/>
    <n v="8"/>
    <n v="10"/>
    <n v="8"/>
    <n v="5"/>
    <n v="0"/>
    <n v="0"/>
    <n v="0"/>
    <n v="0"/>
    <n v="0"/>
    <n v="0"/>
    <n v="0"/>
    <n v="0"/>
    <n v="0"/>
    <n v="0"/>
    <n v="0"/>
    <n v="0"/>
    <n v="0"/>
    <n v="0"/>
    <n v="0"/>
    <n v="0"/>
    <n v="0"/>
    <s v="NA"/>
    <s v="NA"/>
    <n v="0"/>
    <n v="0"/>
    <n v="0"/>
    <n v="10"/>
    <n v="0"/>
    <n v="2"/>
    <s v="530427197312242314"/>
    <s v="18088911726"/>
  </r>
  <r>
    <x v="4"/>
    <s v="XP076"/>
    <x v="120"/>
    <x v="5"/>
    <n v="0"/>
    <n v="20"/>
    <n v="78"/>
    <n v="13"/>
    <n v="1"/>
    <n v="1"/>
    <n v="2"/>
    <n v="2"/>
    <n v="2"/>
    <n v="2"/>
    <n v="3"/>
    <n v="3"/>
    <n v="3"/>
    <n v="3"/>
    <n v="3"/>
    <n v="3"/>
    <n v="4"/>
    <n v="5"/>
    <n v="5"/>
    <n v="5"/>
    <n v="6"/>
    <n v="6"/>
    <n v="6"/>
    <n v="0"/>
    <n v="0"/>
    <n v="0"/>
    <n v="0"/>
    <n v="0"/>
    <n v="0"/>
    <n v="0"/>
    <s v="NA"/>
    <s v="NA"/>
    <n v="0"/>
    <n v="0"/>
    <n v="0"/>
    <n v="20"/>
    <n v="0"/>
    <n v="4"/>
    <s v="530427197312242314"/>
    <s v="18088911726"/>
  </r>
  <r>
    <x v="4"/>
    <s v="XP052"/>
    <x v="121"/>
    <x v="89"/>
    <n v="5"/>
    <n v="0"/>
    <n v="30"/>
    <n v="10"/>
    <n v="7"/>
    <n v="3"/>
    <n v="5"/>
    <n v="5"/>
    <n v="0"/>
    <n v="0"/>
    <n v="0"/>
    <n v="0"/>
    <n v="0"/>
    <n v="0"/>
    <n v="0"/>
    <n v="0"/>
    <n v="0"/>
    <n v="0"/>
    <n v="0"/>
    <n v="0"/>
    <n v="0"/>
    <n v="0"/>
    <n v="0"/>
    <n v="0"/>
    <n v="0"/>
    <n v="0"/>
    <n v="0"/>
    <n v="0"/>
    <n v="0"/>
    <n v="0"/>
    <s v="新平者竜春元村"/>
    <s v="20160813"/>
    <n v="0"/>
    <n v="0"/>
    <s v="2680285-17739110"/>
    <n v="10"/>
    <n v="0"/>
    <n v="2"/>
    <s v="532428197103181912"/>
    <s v="18088911757"/>
  </r>
  <r>
    <x v="4"/>
    <s v="XP053"/>
    <x v="121"/>
    <x v="89"/>
    <n v="5"/>
    <n v="0"/>
    <n v="24"/>
    <n v="5"/>
    <n v="4"/>
    <n v="6"/>
    <n v="4"/>
    <n v="5"/>
    <n v="0"/>
    <n v="0"/>
    <n v="0"/>
    <n v="0"/>
    <n v="0"/>
    <n v="0"/>
    <n v="0"/>
    <n v="0"/>
    <n v="0"/>
    <n v="0"/>
    <n v="0"/>
    <n v="0"/>
    <n v="0"/>
    <n v="0"/>
    <n v="0"/>
    <n v="0"/>
    <n v="0"/>
    <n v="0"/>
    <n v="0"/>
    <n v="0"/>
    <n v="0"/>
    <n v="0"/>
    <s v="新平者竜春元村"/>
    <s v="20160813"/>
    <n v="0"/>
    <n v="0"/>
    <s v="2680500-17738453"/>
    <n v="5"/>
    <n v="0"/>
    <n v="1"/>
    <s v="532428197103181912"/>
    <s v="18088911757"/>
  </r>
  <r>
    <x v="4"/>
    <s v="XP054"/>
    <x v="121"/>
    <x v="89"/>
    <n v="5"/>
    <n v="0"/>
    <n v="34"/>
    <n v="10"/>
    <n v="7"/>
    <n v="2"/>
    <n v="12"/>
    <n v="3"/>
    <n v="0"/>
    <n v="0"/>
    <n v="0"/>
    <n v="0"/>
    <n v="0"/>
    <n v="0"/>
    <n v="0"/>
    <n v="0"/>
    <n v="0"/>
    <n v="0"/>
    <n v="0"/>
    <n v="0"/>
    <n v="0"/>
    <n v="0"/>
    <n v="0"/>
    <n v="0"/>
    <n v="0"/>
    <n v="0"/>
    <n v="0"/>
    <n v="0"/>
    <n v="0"/>
    <n v="0"/>
    <s v="新平者竜春元村"/>
    <s v="20160814"/>
    <n v="0"/>
    <n v="0"/>
    <s v="2681917-17739919"/>
    <n v="6"/>
    <n v="0"/>
    <n v="1.2"/>
    <s v="532428197103181912"/>
    <s v="18088911757"/>
  </r>
  <r>
    <x v="4"/>
    <s v="XP055"/>
    <x v="121"/>
    <x v="89"/>
    <n v="5"/>
    <n v="0"/>
    <n v="31"/>
    <n v="12"/>
    <n v="7"/>
    <n v="2"/>
    <n v="3"/>
    <n v="7"/>
    <n v="0"/>
    <n v="0"/>
    <n v="0"/>
    <n v="0"/>
    <n v="0"/>
    <n v="0"/>
    <n v="0"/>
    <n v="0"/>
    <n v="0"/>
    <n v="0"/>
    <n v="0"/>
    <n v="0"/>
    <n v="0"/>
    <n v="0"/>
    <n v="0"/>
    <n v="0"/>
    <n v="0"/>
    <n v="0"/>
    <n v="0"/>
    <n v="0"/>
    <n v="0"/>
    <n v="0"/>
    <s v="新平者竜春元村"/>
    <s v="20160814"/>
    <n v="0"/>
    <n v="0"/>
    <s v="2681366-17739283"/>
    <n v="7.5"/>
    <n v="0"/>
    <n v="1.5"/>
    <s v="532428197103181912"/>
    <s v="18088911757"/>
  </r>
  <r>
    <x v="5"/>
    <s v="ZY47"/>
    <x v="122"/>
    <x v="5"/>
    <n v="0"/>
    <n v="9"/>
    <n v="29"/>
    <n v="2"/>
    <n v="2"/>
    <n v="3"/>
    <n v="3"/>
    <n v="3"/>
    <n v="4"/>
    <n v="4"/>
    <n v="4"/>
    <n v="4"/>
    <n v="0"/>
    <n v="0"/>
    <n v="0"/>
    <n v="0"/>
    <n v="0"/>
    <n v="0"/>
    <n v="0"/>
    <n v="0"/>
    <n v="0"/>
    <n v="0"/>
    <n v="0"/>
    <n v="0"/>
    <n v="0"/>
    <n v="0"/>
    <n v="0"/>
    <n v="0"/>
    <n v="0"/>
    <n v="0"/>
    <s v="镇沅县九甲镇文岗村争山组"/>
    <s v="201607"/>
    <n v="0"/>
    <n v="0"/>
    <s v="大尖峰"/>
    <n v="4"/>
    <d v="1899-12-30T00:00:00"/>
    <d v="1899-12-30T19:12:00"/>
    <s v="？？？"/>
    <s v="？？"/>
  </r>
  <r>
    <x v="5"/>
    <s v="ZY08"/>
    <x v="123"/>
    <x v="90"/>
    <n v="1"/>
    <n v="0"/>
    <n v="8"/>
    <n v="8"/>
    <n v="0"/>
    <n v="0"/>
    <n v="0"/>
    <n v="0"/>
    <n v="0"/>
    <n v="0"/>
    <n v="0"/>
    <n v="0"/>
    <n v="0"/>
    <n v="0"/>
    <n v="0"/>
    <n v="0"/>
    <n v="0"/>
    <n v="0"/>
    <n v="0"/>
    <n v="0"/>
    <n v="0"/>
    <n v="0"/>
    <n v="0"/>
    <n v="0"/>
    <n v="0"/>
    <n v="0"/>
    <n v="0"/>
    <n v="0"/>
    <n v="0"/>
    <n v="0"/>
    <s v="镇沅东洒村"/>
    <s v="20160708-0710"/>
    <n v="0"/>
    <n v="0"/>
    <n v="0"/>
    <n v="2"/>
    <d v="1899-12-30T00:00:00"/>
    <d v="1899-12-30T09:36:00"/>
    <s v="532726196904061254"/>
    <s v="13648795316"/>
  </r>
  <r>
    <x v="5"/>
    <s v="ZY58"/>
    <x v="124"/>
    <x v="91"/>
    <n v="8"/>
    <n v="0"/>
    <n v="82"/>
    <n v="28"/>
    <n v="18"/>
    <n v="7"/>
    <n v="9"/>
    <n v="7"/>
    <n v="4"/>
    <n v="6"/>
    <n v="3"/>
    <n v="0"/>
    <n v="0"/>
    <n v="0"/>
    <n v="0"/>
    <n v="0"/>
    <n v="0"/>
    <n v="0"/>
    <n v="0"/>
    <n v="0"/>
    <n v="0"/>
    <n v="0"/>
    <n v="0"/>
    <n v="0"/>
    <n v="0"/>
    <n v="0"/>
    <n v="0"/>
    <n v="0"/>
    <n v="0"/>
    <n v="0"/>
    <s v="镇沅县九甲镇果吉村"/>
    <s v="？？"/>
    <n v="0"/>
    <n v="0"/>
    <s v="1"/>
    <n v="12.5"/>
    <d v="1899-12-30T00:00:00"/>
    <d v="1900-01-01T12:00:00"/>
    <s v="？？？"/>
    <s v="13887959989"/>
  </r>
  <r>
    <x v="5"/>
    <s v="ZY59"/>
    <x v="124"/>
    <x v="91"/>
    <n v="8"/>
    <n v="0"/>
    <n v="63"/>
    <n v="9"/>
    <n v="12"/>
    <n v="12"/>
    <n v="6"/>
    <n v="10"/>
    <n v="4"/>
    <n v="7"/>
    <n v="3"/>
    <n v="0"/>
    <n v="0"/>
    <n v="0"/>
    <n v="0"/>
    <n v="0"/>
    <n v="0"/>
    <n v="0"/>
    <n v="0"/>
    <n v="0"/>
    <n v="0"/>
    <n v="0"/>
    <n v="0"/>
    <n v="0"/>
    <n v="0"/>
    <n v="0"/>
    <n v="0"/>
    <n v="0"/>
    <n v="0"/>
    <n v="0"/>
    <s v="镇沅县九甲镇果吉村"/>
    <s v="？？"/>
    <n v="0"/>
    <n v="0"/>
    <s v="2"/>
    <n v="10"/>
    <d v="1899-12-30T00:00:00"/>
    <d v="1900-01-01T00:00:00"/>
    <s v="？？？"/>
    <s v="13887959989"/>
  </r>
  <r>
    <x v="5"/>
    <s v="ZY05"/>
    <x v="125"/>
    <x v="92"/>
    <n v="5"/>
    <n v="0"/>
    <n v="85"/>
    <n v="34"/>
    <n v="10"/>
    <n v="17"/>
    <n v="11"/>
    <n v="13"/>
    <n v="0"/>
    <n v="0"/>
    <n v="0"/>
    <n v="0"/>
    <n v="0"/>
    <n v="0"/>
    <n v="0"/>
    <n v="0"/>
    <n v="0"/>
    <n v="0"/>
    <n v="0"/>
    <n v="0"/>
    <n v="0"/>
    <n v="0"/>
    <n v="0"/>
    <n v="0"/>
    <n v="0"/>
    <n v="0"/>
    <n v="0"/>
    <n v="0"/>
    <n v="0"/>
    <n v="0"/>
    <s v="镇沅县九甲镇和平村千家寨"/>
    <s v="20160721-0730"/>
    <n v="0"/>
    <n v="0"/>
    <n v="0"/>
    <n v="20"/>
    <d v="1899-12-30T00:00:00"/>
    <d v="1900-01-03T00:00:00"/>
    <s v="53272619860928241X"/>
    <s v="13987901549"/>
  </r>
  <r>
    <x v="5"/>
    <s v="ZY49"/>
    <x v="126"/>
    <x v="93"/>
    <n v="10"/>
    <n v="0"/>
    <n v="19"/>
    <n v="1"/>
    <n v="1"/>
    <n v="2"/>
    <n v="2"/>
    <n v="2"/>
    <n v="2"/>
    <n v="2"/>
    <n v="2"/>
    <n v="2"/>
    <n v="3"/>
    <n v="0"/>
    <n v="0"/>
    <n v="0"/>
    <n v="0"/>
    <n v="0"/>
    <n v="0"/>
    <n v="0"/>
    <n v="0"/>
    <n v="0"/>
    <n v="0"/>
    <n v="0"/>
    <n v="0"/>
    <n v="0"/>
    <n v="0"/>
    <n v="0"/>
    <n v="0"/>
    <n v="0"/>
    <s v="镇沅县九甲镇和平村往南"/>
    <s v="20160702"/>
    <n v="0"/>
    <n v="0"/>
    <s v="海拔2200"/>
    <n v="5"/>
    <d v="1899-12-30T00:00:00"/>
    <d v="1899-12-31T00:00:00"/>
    <s v="？？？"/>
    <s v="15925281740"/>
  </r>
  <r>
    <x v="5"/>
    <s v="ZY50"/>
    <x v="126"/>
    <x v="93"/>
    <n v="10"/>
    <n v="0"/>
    <n v="34"/>
    <n v="2"/>
    <n v="2"/>
    <n v="5"/>
    <n v="5"/>
    <n v="3"/>
    <n v="3"/>
    <n v="3"/>
    <n v="1"/>
    <n v="4"/>
    <n v="6"/>
    <n v="0"/>
    <n v="0"/>
    <n v="0"/>
    <n v="0"/>
    <n v="0"/>
    <n v="0"/>
    <n v="0"/>
    <n v="0"/>
    <n v="0"/>
    <n v="0"/>
    <n v="0"/>
    <n v="0"/>
    <n v="0"/>
    <n v="0"/>
    <n v="0"/>
    <n v="0"/>
    <n v="0"/>
    <s v="镇沅县九甲镇和平村千家寨保护所"/>
    <s v="2016709"/>
    <n v="0"/>
    <n v="0"/>
    <n v="0"/>
    <n v="5"/>
    <d v="1899-12-30T00:00:00"/>
    <d v="1899-12-31T00:00:00"/>
    <s v="？？？"/>
    <s v="15925281740"/>
  </r>
  <r>
    <x v="5"/>
    <s v="ZY51"/>
    <x v="126"/>
    <x v="93"/>
    <n v="0"/>
    <n v="4"/>
    <n v="17"/>
    <n v="1"/>
    <n v="4"/>
    <n v="5"/>
    <n v="7"/>
    <n v="0"/>
    <n v="0"/>
    <n v="0"/>
    <n v="0"/>
    <n v="0"/>
    <n v="0"/>
    <n v="0"/>
    <n v="0"/>
    <n v="0"/>
    <n v="0"/>
    <n v="0"/>
    <n v="0"/>
    <n v="0"/>
    <n v="0"/>
    <n v="0"/>
    <n v="0"/>
    <n v="0"/>
    <n v="0"/>
    <n v="0"/>
    <n v="0"/>
    <n v="0"/>
    <n v="0"/>
    <n v="0"/>
    <s v="镇沅县九甲镇和平村千家寨保护所"/>
    <s v="20160820"/>
    <n v="0"/>
    <n v="0"/>
    <n v="0"/>
    <n v="5"/>
    <d v="1899-12-30T00:00:00"/>
    <d v="1899-12-31T00:00:00"/>
    <s v="？？？"/>
    <s v="15925281740"/>
  </r>
  <r>
    <x v="5"/>
    <s v="ZY52"/>
    <x v="126"/>
    <x v="93"/>
    <n v="8"/>
    <n v="0"/>
    <n v="12"/>
    <n v="1"/>
    <n v="1"/>
    <n v="1"/>
    <n v="1"/>
    <n v="1"/>
    <n v="2"/>
    <n v="2"/>
    <n v="3"/>
    <n v="0"/>
    <n v="0"/>
    <n v="0"/>
    <n v="0"/>
    <n v="0"/>
    <n v="0"/>
    <n v="0"/>
    <n v="0"/>
    <n v="0"/>
    <n v="0"/>
    <n v="0"/>
    <n v="0"/>
    <n v="0"/>
    <n v="0"/>
    <n v="0"/>
    <n v="0"/>
    <n v="0"/>
    <n v="0"/>
    <n v="0"/>
    <s v="镇沅县"/>
    <s v="20160824"/>
    <n v="0"/>
    <n v="0"/>
    <s v="海拔2500"/>
    <n v="3"/>
    <d v="1899-12-30T00:00:00"/>
    <d v="1899-12-30T14:24:00"/>
    <s v="？？？"/>
    <s v="15925281740"/>
  </r>
  <r>
    <x v="5"/>
    <s v="ZY53"/>
    <x v="126"/>
    <x v="93"/>
    <n v="2"/>
    <n v="0"/>
    <n v="5"/>
    <n v="2"/>
    <n v="3"/>
    <n v="0"/>
    <n v="0"/>
    <n v="0"/>
    <n v="0"/>
    <n v="0"/>
    <n v="0"/>
    <n v="0"/>
    <n v="0"/>
    <n v="0"/>
    <n v="0"/>
    <n v="0"/>
    <n v="0"/>
    <n v="0"/>
    <n v="0"/>
    <n v="0"/>
    <n v="0"/>
    <n v="0"/>
    <n v="0"/>
    <n v="0"/>
    <n v="0"/>
    <n v="0"/>
    <n v="0"/>
    <n v="0"/>
    <n v="0"/>
    <n v="0"/>
    <s v="镇沅县九甲镇和平村千家寨保护区"/>
    <s v="20161028"/>
    <n v="0"/>
    <n v="0"/>
    <s v="海拔2100"/>
    <n v="20"/>
    <d v="1899-12-30T00:00:00"/>
    <d v="1900-01-03T00:00:00"/>
    <s v="？？？"/>
    <s v="15925281740"/>
  </r>
  <r>
    <x v="5"/>
    <s v="ZY56"/>
    <x v="127"/>
    <x v="5"/>
    <n v="0"/>
    <n v="2"/>
    <n v="8"/>
    <n v="6"/>
    <n v="2"/>
    <n v="0"/>
    <n v="0"/>
    <n v="0"/>
    <n v="0"/>
    <n v="0"/>
    <n v="0"/>
    <n v="0"/>
    <n v="0"/>
    <n v="0"/>
    <n v="0"/>
    <n v="0"/>
    <n v="0"/>
    <n v="0"/>
    <n v="0"/>
    <n v="0"/>
    <n v="0"/>
    <n v="0"/>
    <n v="0"/>
    <n v="0"/>
    <n v="0"/>
    <n v="0"/>
    <n v="0"/>
    <n v="0"/>
    <n v="0"/>
    <n v="0"/>
    <s v="镇沅县九甲镇果吉村"/>
    <s v="201607"/>
    <n v="0"/>
    <n v="0"/>
    <n v="0"/>
    <n v="2"/>
    <d v="1899-12-30T00:00:00"/>
    <d v="1899-12-30T09:36:00"/>
    <s v="53272619740801211X"/>
    <s v="15125687717"/>
  </r>
  <r>
    <x v="5"/>
    <s v="ZY57"/>
    <x v="127"/>
    <x v="5"/>
    <n v="4"/>
    <n v="0"/>
    <n v="24"/>
    <n v="9"/>
    <n v="5"/>
    <n v="8"/>
    <n v="2"/>
    <n v="0"/>
    <n v="0"/>
    <n v="0"/>
    <n v="0"/>
    <n v="0"/>
    <n v="0"/>
    <n v="0"/>
    <n v="0"/>
    <n v="0"/>
    <n v="0"/>
    <n v="0"/>
    <n v="0"/>
    <n v="0"/>
    <n v="0"/>
    <n v="0"/>
    <n v="0"/>
    <n v="0"/>
    <n v="0"/>
    <n v="0"/>
    <n v="0"/>
    <n v="0"/>
    <n v="0"/>
    <n v="0"/>
    <s v="镇沅县九甲镇果吉村"/>
    <s v="201607-08"/>
    <n v="0"/>
    <n v="0"/>
    <n v="0"/>
    <n v="3"/>
    <d v="1899-12-30T00:00:00"/>
    <d v="1899-12-30T14:24:00"/>
    <s v="53272619740801211X"/>
    <s v="15125687717"/>
  </r>
  <r>
    <x v="5"/>
    <s v="ZY54"/>
    <x v="128"/>
    <x v="94"/>
    <n v="9"/>
    <n v="0"/>
    <n v="109"/>
    <n v="16"/>
    <n v="30"/>
    <n v="14"/>
    <n v="13"/>
    <n v="7"/>
    <n v="9"/>
    <n v="7"/>
    <n v="7"/>
    <n v="6"/>
    <n v="0"/>
    <n v="0"/>
    <n v="0"/>
    <n v="0"/>
    <n v="0"/>
    <n v="0"/>
    <n v="0"/>
    <n v="0"/>
    <n v="0"/>
    <n v="0"/>
    <n v="0"/>
    <n v="0"/>
    <n v="0"/>
    <n v="0"/>
    <n v="0"/>
    <n v="0"/>
    <n v="0"/>
    <n v="0"/>
    <s v="镇沅县九甲镇和平村"/>
    <s v="20160816"/>
    <n v="0"/>
    <n v="0"/>
    <n v="0"/>
    <n v="19.5"/>
    <s v="0.9*3+0.7+0.5"/>
    <d v="1900-01-02T21:36:00"/>
    <s v="532726195702122118"/>
    <s v="15658794271"/>
  </r>
  <r>
    <x v="5"/>
    <s v="ZY55"/>
    <x v="128"/>
    <x v="94"/>
    <n v="7"/>
    <n v="0"/>
    <n v="97"/>
    <n v="34"/>
    <n v="18"/>
    <n v="18"/>
    <n v="9"/>
    <n v="7"/>
    <n v="8"/>
    <n v="3"/>
    <n v="0"/>
    <n v="0"/>
    <n v="0"/>
    <n v="0"/>
    <n v="0"/>
    <n v="0"/>
    <n v="0"/>
    <n v="0"/>
    <n v="0"/>
    <n v="0"/>
    <n v="0"/>
    <n v="0"/>
    <n v="0"/>
    <n v="0"/>
    <n v="0"/>
    <n v="0"/>
    <n v="0"/>
    <n v="0"/>
    <n v="0"/>
    <n v="0"/>
    <s v="镇沅县九甲镇和平村"/>
    <s v="20160825"/>
    <n v="0"/>
    <n v="0"/>
    <n v="0"/>
    <n v="22.5"/>
    <d v="1899-12-30T00:00:00"/>
    <d v="1900-01-03T12:00:00"/>
    <s v="532726195702122118"/>
    <s v="15658794271"/>
  </r>
  <r>
    <x v="5"/>
    <s v="ZY37"/>
    <x v="129"/>
    <x v="5"/>
    <n v="4"/>
    <n v="0"/>
    <n v="37"/>
    <n v="6"/>
    <n v="19"/>
    <n v="5"/>
    <n v="7"/>
    <n v="0"/>
    <n v="0"/>
    <n v="0"/>
    <n v="0"/>
    <n v="0"/>
    <n v="0"/>
    <n v="0"/>
    <n v="0"/>
    <n v="0"/>
    <n v="0"/>
    <n v="0"/>
    <n v="0"/>
    <n v="0"/>
    <n v="0"/>
    <n v="0"/>
    <n v="0"/>
    <n v="0"/>
    <n v="0"/>
    <n v="0"/>
    <n v="0"/>
    <n v="0"/>
    <n v="0"/>
    <n v="0"/>
    <s v="镇沅县者东镇樟盆村延樟盆组"/>
    <s v="20160815"/>
    <n v="0"/>
    <n v="0"/>
    <n v="0"/>
    <n v="5"/>
    <d v="1899-12-30T00:00:00"/>
    <d v="1899-12-31T00:00:00"/>
    <s v="532726196205242412"/>
    <s v="15987982717"/>
  </r>
  <r>
    <x v="5"/>
    <s v="ZY38"/>
    <x v="129"/>
    <x v="5"/>
    <n v="3"/>
    <n v="0"/>
    <n v="27"/>
    <n v="12"/>
    <n v="7"/>
    <n v="8"/>
    <n v="0"/>
    <n v="0"/>
    <n v="0"/>
    <n v="0"/>
    <n v="0"/>
    <n v="0"/>
    <n v="0"/>
    <n v="0"/>
    <n v="0"/>
    <n v="0"/>
    <n v="0"/>
    <n v="0"/>
    <n v="0"/>
    <n v="0"/>
    <n v="0"/>
    <n v="0"/>
    <n v="0"/>
    <n v="0"/>
    <n v="0"/>
    <n v="0"/>
    <n v="0"/>
    <n v="0"/>
    <n v="0"/>
    <n v="0"/>
    <s v="镇沅县者东镇樟盆村延樟盆组"/>
    <s v="20160705"/>
    <n v="0"/>
    <n v="0"/>
    <n v="0"/>
    <n v="3"/>
    <d v="1899-12-30T00:00:00"/>
    <d v="1899-12-30T14:24:00"/>
    <s v="532726196205242412"/>
    <s v="15987982717"/>
  </r>
  <r>
    <x v="5"/>
    <s v="ZY39"/>
    <x v="129"/>
    <x v="5"/>
    <n v="2"/>
    <n v="0"/>
    <n v="24"/>
    <n v="13"/>
    <n v="11"/>
    <n v="0"/>
    <n v="0"/>
    <n v="0"/>
    <n v="0"/>
    <n v="0"/>
    <n v="0"/>
    <n v="0"/>
    <n v="0"/>
    <n v="0"/>
    <n v="0"/>
    <n v="0"/>
    <n v="0"/>
    <n v="0"/>
    <n v="0"/>
    <n v="0"/>
    <n v="0"/>
    <n v="0"/>
    <n v="0"/>
    <n v="0"/>
    <n v="0"/>
    <n v="0"/>
    <n v="0"/>
    <n v="0"/>
    <n v="0"/>
    <n v="0"/>
    <s v="镇沅县者东镇樟盆村延樟盆组"/>
    <s v="20160720"/>
    <n v="0"/>
    <n v="0"/>
    <n v="0"/>
    <n v="2"/>
    <d v="1899-12-30T00:00:00"/>
    <d v="1899-12-30T09:36:00"/>
    <s v="532726196205242412"/>
    <s v="15987982717"/>
  </r>
  <r>
    <x v="5"/>
    <s v="ZY40"/>
    <x v="129"/>
    <x v="5"/>
    <n v="6"/>
    <n v="0"/>
    <n v="33"/>
    <n v="11"/>
    <n v="6"/>
    <n v="6"/>
    <n v="4"/>
    <n v="3"/>
    <n v="3"/>
    <n v="0"/>
    <n v="0"/>
    <n v="0"/>
    <n v="0"/>
    <n v="0"/>
    <n v="0"/>
    <n v="0"/>
    <n v="0"/>
    <n v="0"/>
    <n v="0"/>
    <n v="0"/>
    <n v="0"/>
    <n v="0"/>
    <n v="0"/>
    <n v="0"/>
    <n v="0"/>
    <n v="0"/>
    <n v="0"/>
    <n v="0"/>
    <n v="0"/>
    <n v="0"/>
    <s v="镇沅县者东镇樟盆村延樟盆组"/>
    <s v="20160911"/>
    <n v="0"/>
    <n v="0"/>
    <n v="0"/>
    <n v="15"/>
    <d v="1899-12-30T00:00:00"/>
    <d v="1900-01-02T00:00:00"/>
    <s v="532726196205242412"/>
    <s v="15987982717"/>
  </r>
  <r>
    <x v="5"/>
    <s v="ZY01"/>
    <x v="130"/>
    <x v="5"/>
    <n v="6"/>
    <n v="0"/>
    <n v="24"/>
    <n v="5"/>
    <n v="5"/>
    <n v="3"/>
    <n v="4"/>
    <n v="4"/>
    <n v="3"/>
    <n v="0"/>
    <n v="0"/>
    <n v="0"/>
    <n v="0"/>
    <n v="0"/>
    <n v="0"/>
    <n v="0"/>
    <n v="0"/>
    <n v="0"/>
    <n v="0"/>
    <n v="0"/>
    <n v="0"/>
    <n v="0"/>
    <n v="0"/>
    <n v="0"/>
    <n v="0"/>
    <n v="0"/>
    <n v="0"/>
    <n v="0"/>
    <n v="0"/>
    <n v="0"/>
    <s v="镇沅县者东镇麦地村"/>
    <s v="NA"/>
    <n v="0"/>
    <n v="0"/>
    <n v="0"/>
    <n v="10"/>
    <d v="1899-12-30T00:00:00"/>
    <d v="1900-01-01T00:00:00"/>
    <s v="？？？"/>
    <s v="？？"/>
  </r>
  <r>
    <x v="5"/>
    <s v="ZY02"/>
    <x v="131"/>
    <x v="95"/>
    <n v="0"/>
    <n v="1"/>
    <n v="1"/>
    <n v="1"/>
    <n v="0"/>
    <n v="0"/>
    <n v="0"/>
    <n v="0"/>
    <n v="0"/>
    <n v="0"/>
    <n v="0"/>
    <n v="0"/>
    <n v="0"/>
    <n v="0"/>
    <n v="0"/>
    <n v="0"/>
    <n v="0"/>
    <n v="0"/>
    <n v="0"/>
    <n v="0"/>
    <n v="0"/>
    <n v="0"/>
    <n v="0"/>
    <n v="0"/>
    <n v="0"/>
    <n v="0"/>
    <n v="0"/>
    <n v="0"/>
    <n v="0"/>
    <n v="0"/>
    <s v="镇沅县九甲镇勐真村"/>
    <s v="20160620"/>
    <n v="0"/>
    <n v="0"/>
    <n v="0"/>
    <n v="0.5"/>
    <d v="1899-12-30T00:00:00"/>
    <d v="1899-12-30T02:24:00"/>
    <s v="532726199008132111"/>
    <s v="13649692948"/>
  </r>
  <r>
    <x v="5"/>
    <s v="ZY07"/>
    <x v="132"/>
    <x v="96"/>
    <n v="1"/>
    <n v="0"/>
    <n v="5"/>
    <n v="5"/>
    <n v="0"/>
    <n v="0"/>
    <n v="0"/>
    <n v="0"/>
    <n v="0"/>
    <n v="0"/>
    <n v="0"/>
    <n v="0"/>
    <n v="0"/>
    <n v="0"/>
    <n v="0"/>
    <n v="0"/>
    <n v="0"/>
    <n v="0"/>
    <n v="0"/>
    <n v="0"/>
    <n v="0"/>
    <n v="0"/>
    <n v="0"/>
    <n v="0"/>
    <n v="0"/>
    <n v="0"/>
    <n v="0"/>
    <n v="0"/>
    <n v="0"/>
    <n v="0"/>
    <s v="镇沅东洒村"/>
    <s v="20160708"/>
    <n v="0"/>
    <n v="0"/>
    <n v="0"/>
    <n v="1"/>
    <d v="1899-12-30T00:00:00"/>
    <d v="1899-12-30T04:48:00"/>
    <s v="532726195903062115"/>
    <s v="13769902526"/>
  </r>
  <r>
    <x v="5"/>
    <s v="ZY41"/>
    <x v="133"/>
    <x v="97"/>
    <n v="10"/>
    <n v="0"/>
    <n v="31"/>
    <n v="2"/>
    <n v="3"/>
    <n v="3"/>
    <n v="3"/>
    <n v="3"/>
    <n v="3"/>
    <n v="3"/>
    <n v="3"/>
    <n v="4"/>
    <n v="4"/>
    <n v="0"/>
    <n v="0"/>
    <n v="0"/>
    <n v="0"/>
    <n v="0"/>
    <n v="0"/>
    <n v="0"/>
    <n v="0"/>
    <n v="0"/>
    <n v="0"/>
    <n v="0"/>
    <n v="0"/>
    <n v="0"/>
    <n v="0"/>
    <n v="0"/>
    <n v="0"/>
    <n v="0"/>
    <s v="镇沅县九甲镇文岗村争山组"/>
    <s v="201607"/>
    <n v="0"/>
    <n v="0"/>
    <s v="大尖峰"/>
    <n v="7.5"/>
    <d v="1899-12-30T00:00:00"/>
    <d v="1899-12-31T12:00:00"/>
    <s v="？？？"/>
    <s v="15925281143"/>
  </r>
  <r>
    <x v="5"/>
    <s v="ZY42"/>
    <x v="133"/>
    <x v="97"/>
    <n v="10"/>
    <n v="0"/>
    <n v="28"/>
    <n v="2"/>
    <n v="2"/>
    <n v="3"/>
    <n v="3"/>
    <n v="3"/>
    <n v="3"/>
    <n v="3"/>
    <n v="3"/>
    <n v="3"/>
    <n v="3"/>
    <n v="0"/>
    <n v="0"/>
    <n v="0"/>
    <n v="0"/>
    <n v="0"/>
    <n v="0"/>
    <n v="0"/>
    <n v="0"/>
    <n v="0"/>
    <n v="0"/>
    <n v="0"/>
    <n v="0"/>
    <n v="0"/>
    <n v="0"/>
    <n v="0"/>
    <n v="0"/>
    <n v="0"/>
    <s v="镇沅县九甲镇文岗村争山组"/>
    <s v="201607"/>
    <n v="0"/>
    <n v="0"/>
    <s v="雷打岩"/>
    <n v="5"/>
    <d v="1899-12-30T00:00:00"/>
    <d v="1899-12-31T00:00:00"/>
    <s v="？？？"/>
    <s v="15925281143"/>
  </r>
  <r>
    <x v="5"/>
    <s v="ZY43"/>
    <x v="133"/>
    <x v="97"/>
    <n v="0"/>
    <n v="9"/>
    <n v="20"/>
    <n v="2"/>
    <n v="2"/>
    <n v="2"/>
    <n v="2"/>
    <n v="2"/>
    <n v="2"/>
    <n v="2"/>
    <n v="2"/>
    <n v="4"/>
    <n v="0"/>
    <n v="0"/>
    <n v="0"/>
    <n v="0"/>
    <n v="0"/>
    <n v="0"/>
    <n v="0"/>
    <n v="0"/>
    <n v="0"/>
    <n v="0"/>
    <n v="0"/>
    <n v="0"/>
    <n v="0"/>
    <n v="0"/>
    <n v="0"/>
    <n v="0"/>
    <n v="0"/>
    <n v="0"/>
    <s v="镇沅县九甲镇文岗村争山组"/>
    <s v="201607"/>
    <n v="0"/>
    <n v="0"/>
    <s v="大茶房上"/>
    <n v="10"/>
    <d v="1899-12-30T00:00:00"/>
    <d v="1900-01-01T00:00:00"/>
    <s v="？？？"/>
    <s v="15925281143"/>
  </r>
  <r>
    <x v="5"/>
    <s v="ZY44"/>
    <x v="133"/>
    <x v="97"/>
    <n v="10"/>
    <n v="0"/>
    <n v="23"/>
    <n v="2"/>
    <n v="2"/>
    <n v="2"/>
    <n v="2"/>
    <n v="2"/>
    <n v="2"/>
    <n v="2"/>
    <n v="2"/>
    <n v="3"/>
    <n v="4"/>
    <n v="0"/>
    <n v="0"/>
    <n v="0"/>
    <n v="0"/>
    <n v="0"/>
    <n v="0"/>
    <n v="0"/>
    <n v="0"/>
    <n v="0"/>
    <n v="0"/>
    <n v="0"/>
    <n v="0"/>
    <n v="0"/>
    <n v="0"/>
    <n v="0"/>
    <n v="0"/>
    <n v="0"/>
    <s v="镇沅县九甲镇文岗村争山组"/>
    <s v="201607"/>
    <n v="0"/>
    <n v="0"/>
    <s v="大茶户"/>
    <n v="4"/>
    <d v="1899-12-30T00:00:00"/>
    <d v="1899-12-30T19:12:00"/>
    <s v="？？？"/>
    <s v="15925281143"/>
  </r>
  <r>
    <x v="5"/>
    <s v="ZY48"/>
    <x v="133"/>
    <x v="97"/>
    <n v="10"/>
    <n v="0"/>
    <n v="36"/>
    <n v="3"/>
    <n v="3"/>
    <n v="3"/>
    <n v="3"/>
    <n v="3"/>
    <n v="3"/>
    <n v="3"/>
    <n v="5"/>
    <n v="5"/>
    <n v="5"/>
    <n v="0"/>
    <n v="0"/>
    <n v="0"/>
    <n v="0"/>
    <n v="0"/>
    <n v="0"/>
    <n v="0"/>
    <n v="0"/>
    <n v="0"/>
    <n v="0"/>
    <n v="0"/>
    <n v="0"/>
    <n v="0"/>
    <n v="0"/>
    <n v="0"/>
    <n v="0"/>
    <n v="0"/>
    <s v="镇沅县九甲镇文岗村争山组"/>
    <s v="201607"/>
    <n v="0"/>
    <n v="0"/>
    <s v="大尖峰"/>
    <n v="7.5"/>
    <d v="1899-12-30T00:00:00"/>
    <d v="1899-12-31T12:00:00"/>
    <s v="？？？"/>
    <s v="15925281143"/>
  </r>
  <r>
    <x v="5"/>
    <s v="ZY29"/>
    <x v="134"/>
    <x v="98"/>
    <n v="11"/>
    <n v="0"/>
    <n v="56"/>
    <n v="14"/>
    <n v="5"/>
    <n v="11"/>
    <n v="2"/>
    <n v="6"/>
    <n v="3"/>
    <n v="3"/>
    <n v="2"/>
    <n v="6"/>
    <n v="2"/>
    <n v="2"/>
    <n v="0"/>
    <n v="0"/>
    <n v="0"/>
    <n v="0"/>
    <n v="0"/>
    <n v="0"/>
    <n v="0"/>
    <n v="0"/>
    <n v="0"/>
    <n v="0"/>
    <n v="0"/>
    <n v="0"/>
    <n v="0"/>
    <n v="0"/>
    <n v="0"/>
    <n v="0"/>
    <s v="镇沅县九甲镇文岗村朵山小组"/>
    <s v="201607-09"/>
    <n v="0"/>
    <n v="0"/>
    <s v="纸场河"/>
    <n v="12.5"/>
    <d v="1899-12-30T00:00:00"/>
    <d v="1900-01-01T12:00:00"/>
    <s v="532726197208282115"/>
    <s v="13578185348"/>
  </r>
  <r>
    <x v="5"/>
    <s v="ZY30"/>
    <x v="134"/>
    <x v="98"/>
    <n v="5"/>
    <n v="0"/>
    <n v="30"/>
    <n v="12"/>
    <n v="6"/>
    <n v="7"/>
    <n v="3"/>
    <n v="2"/>
    <n v="0"/>
    <n v="0"/>
    <n v="0"/>
    <n v="0"/>
    <n v="0"/>
    <n v="0"/>
    <n v="0"/>
    <n v="0"/>
    <n v="0"/>
    <n v="0"/>
    <n v="0"/>
    <n v="0"/>
    <n v="0"/>
    <n v="0"/>
    <n v="0"/>
    <n v="0"/>
    <n v="0"/>
    <n v="0"/>
    <n v="0"/>
    <n v="0"/>
    <n v="0"/>
    <n v="0"/>
    <s v="？？？"/>
    <s v="？？"/>
    <n v="0"/>
    <n v="0"/>
    <s v="1"/>
    <n v="7.5"/>
    <d v="1899-12-30T00:00:00"/>
    <d v="1899-12-31T12:00:00"/>
    <s v="532726197208282115"/>
    <s v="13578185348"/>
  </r>
  <r>
    <x v="5"/>
    <s v="ZY31"/>
    <x v="134"/>
    <x v="98"/>
    <n v="9"/>
    <n v="0"/>
    <n v="57"/>
    <n v="12"/>
    <n v="12"/>
    <n v="7"/>
    <n v="5"/>
    <n v="5"/>
    <n v="6"/>
    <n v="2"/>
    <n v="5"/>
    <n v="3"/>
    <n v="0"/>
    <n v="0"/>
    <n v="0"/>
    <n v="0"/>
    <n v="0"/>
    <n v="0"/>
    <n v="0"/>
    <n v="0"/>
    <n v="0"/>
    <n v="0"/>
    <n v="0"/>
    <n v="0"/>
    <n v="0"/>
    <n v="0"/>
    <n v="0"/>
    <n v="0"/>
    <n v="0"/>
    <n v="0"/>
    <s v="？？？"/>
    <s v="？？"/>
    <n v="0"/>
    <n v="0"/>
    <s v="2"/>
    <n v="7.5"/>
    <d v="1899-12-30T00:00:00"/>
    <d v="1899-12-31T12:00:00"/>
    <s v="532726197208282115"/>
    <s v="13578185348"/>
  </r>
  <r>
    <x v="5"/>
    <s v="ZY32"/>
    <x v="134"/>
    <x v="98"/>
    <n v="0"/>
    <n v="2"/>
    <n v="2"/>
    <n v="1"/>
    <n v="1"/>
    <n v="0"/>
    <n v="0"/>
    <n v="0"/>
    <n v="0"/>
    <n v="0"/>
    <n v="0"/>
    <n v="0"/>
    <n v="0"/>
    <n v="0"/>
    <n v="0"/>
    <n v="0"/>
    <n v="0"/>
    <n v="0"/>
    <n v="0"/>
    <n v="0"/>
    <n v="0"/>
    <n v="0"/>
    <n v="0"/>
    <n v="0"/>
    <n v="0"/>
    <n v="0"/>
    <n v="0"/>
    <n v="0"/>
    <n v="0"/>
    <n v="0"/>
    <s v="？？？"/>
    <s v="？？"/>
    <n v="0"/>
    <n v="0"/>
    <s v="3"/>
    <n v="1"/>
    <d v="1899-12-30T00:00:00"/>
    <d v="1899-12-30T04:48:00"/>
    <s v="532726197208282115"/>
    <s v="13578185348"/>
  </r>
  <r>
    <x v="5"/>
    <s v="ZY45"/>
    <x v="135"/>
    <x v="99"/>
    <n v="10"/>
    <n v="0"/>
    <n v="26"/>
    <n v="2"/>
    <n v="2"/>
    <n v="2"/>
    <n v="2"/>
    <n v="2"/>
    <n v="3"/>
    <n v="3"/>
    <n v="3"/>
    <n v="3"/>
    <n v="4"/>
    <n v="0"/>
    <n v="0"/>
    <n v="0"/>
    <n v="0"/>
    <n v="0"/>
    <n v="0"/>
    <n v="0"/>
    <n v="0"/>
    <n v="0"/>
    <n v="0"/>
    <n v="0"/>
    <n v="0"/>
    <n v="0"/>
    <n v="0"/>
    <n v="0"/>
    <n v="0"/>
    <n v="0"/>
    <s v="镇沅县九甲镇文岗村争山组"/>
    <s v="201607"/>
    <n v="0"/>
    <n v="0"/>
    <s v="大茶房"/>
    <n v="4"/>
    <d v="1899-12-30T00:00:00"/>
    <d v="1899-12-30T19:12:00"/>
    <s v="？？？"/>
    <s v="18387927336"/>
  </r>
  <r>
    <x v="5"/>
    <s v="ZY46"/>
    <x v="135"/>
    <x v="99"/>
    <n v="10"/>
    <n v="0"/>
    <n v="28"/>
    <n v="3"/>
    <n v="3"/>
    <n v="3"/>
    <n v="3"/>
    <n v="3"/>
    <n v="3"/>
    <n v="3"/>
    <n v="3"/>
    <n v="3"/>
    <n v="1"/>
    <n v="0"/>
    <n v="0"/>
    <n v="0"/>
    <n v="0"/>
    <n v="0"/>
    <n v="0"/>
    <n v="0"/>
    <n v="0"/>
    <n v="0"/>
    <n v="0"/>
    <n v="0"/>
    <n v="0"/>
    <n v="0"/>
    <n v="0"/>
    <n v="0"/>
    <n v="0"/>
    <n v="0"/>
    <s v="镇沅县九甲镇文岗村争山组"/>
    <s v="201607"/>
    <n v="0"/>
    <n v="0"/>
    <s v="羊蹄子山"/>
    <n v="4"/>
    <d v="1899-12-30T00:00:00"/>
    <d v="1899-12-30T19:12:00"/>
    <s v="？？？"/>
    <s v="18387927336"/>
  </r>
  <r>
    <x v="5"/>
    <s v="ZY06"/>
    <x v="136"/>
    <x v="100"/>
    <n v="1"/>
    <n v="0"/>
    <n v="1"/>
    <n v="1"/>
    <n v="0"/>
    <n v="0"/>
    <n v="0"/>
    <n v="0"/>
    <n v="0"/>
    <n v="0"/>
    <n v="0"/>
    <n v="0"/>
    <n v="0"/>
    <n v="0"/>
    <n v="0"/>
    <n v="0"/>
    <n v="0"/>
    <n v="0"/>
    <n v="0"/>
    <n v="0"/>
    <n v="0"/>
    <n v="0"/>
    <n v="0"/>
    <n v="0"/>
    <n v="0"/>
    <n v="0"/>
    <n v="0"/>
    <n v="0"/>
    <n v="0"/>
    <n v="0"/>
    <s v="镇沅县九甲镇勐真村文工村民小组"/>
    <s v="20160709"/>
    <n v="0"/>
    <n v="0"/>
    <n v="0"/>
    <n v="0.5"/>
    <d v="1899-12-30T00:00:00"/>
    <d v="1899-12-30T02:24:00"/>
    <s v="53272619800405211X"/>
    <s v="13577954998"/>
  </r>
  <r>
    <x v="5"/>
    <s v="ZY03"/>
    <x v="137"/>
    <x v="101"/>
    <n v="2"/>
    <n v="0"/>
    <n v="31"/>
    <n v="17"/>
    <n v="14"/>
    <n v="0"/>
    <n v="0"/>
    <n v="0"/>
    <n v="0"/>
    <n v="0"/>
    <n v="0"/>
    <n v="0"/>
    <n v="0"/>
    <n v="0"/>
    <n v="0"/>
    <n v="0"/>
    <n v="0"/>
    <n v="0"/>
    <n v="0"/>
    <n v="0"/>
    <n v="0"/>
    <n v="0"/>
    <n v="0"/>
    <n v="0"/>
    <n v="0"/>
    <n v="0"/>
    <n v="0"/>
    <n v="0"/>
    <n v="0"/>
    <n v="0"/>
    <s v="镇沅县麦地村"/>
    <s v="20160713"/>
    <n v="0"/>
    <n v="0"/>
    <n v="0"/>
    <n v="10"/>
    <d v="1899-12-30T00:00:00"/>
    <d v="1900-01-01T00:00:00"/>
    <s v="532726197806252434"/>
    <s v="15125604726"/>
  </r>
  <r>
    <x v="5"/>
    <s v="ZY09"/>
    <x v="138"/>
    <x v="102"/>
    <n v="3"/>
    <n v="0"/>
    <n v="11"/>
    <n v="4"/>
    <n v="4"/>
    <n v="3"/>
    <n v="0"/>
    <n v="0"/>
    <n v="0"/>
    <n v="0"/>
    <n v="0"/>
    <n v="0"/>
    <n v="0"/>
    <n v="0"/>
    <n v="0"/>
    <n v="0"/>
    <n v="0"/>
    <n v="0"/>
    <n v="0"/>
    <n v="0"/>
    <n v="0"/>
    <n v="0"/>
    <n v="0"/>
    <n v="0"/>
    <n v="0"/>
    <n v="0"/>
    <n v="0"/>
    <n v="0"/>
    <n v="0"/>
    <n v="0"/>
    <s v="镇沅九甲甸坑村民委员会"/>
    <s v="201607-08"/>
    <n v="0"/>
    <n v="0"/>
    <n v="0"/>
    <n v="3"/>
    <d v="1899-12-30T00:00:00"/>
    <d v="1899-12-30T14:24:00"/>
    <s v="532726197505162136"/>
    <s v="13759009851"/>
  </r>
  <r>
    <x v="5"/>
    <s v="ZY10"/>
    <x v="138"/>
    <x v="102"/>
    <n v="6"/>
    <n v="0"/>
    <n v="25"/>
    <n v="9"/>
    <n v="4"/>
    <n v="2"/>
    <n v="1"/>
    <n v="4"/>
    <n v="5"/>
    <n v="0"/>
    <n v="0"/>
    <n v="0"/>
    <n v="0"/>
    <n v="0"/>
    <n v="0"/>
    <n v="0"/>
    <n v="0"/>
    <n v="0"/>
    <n v="0"/>
    <n v="0"/>
    <n v="0"/>
    <n v="0"/>
    <n v="0"/>
    <n v="0"/>
    <n v="0"/>
    <n v="0"/>
    <n v="0"/>
    <n v="0"/>
    <n v="0"/>
    <n v="0"/>
    <s v="镇沅九甲甸坑村"/>
    <s v="201607-08"/>
    <n v="0"/>
    <n v="0"/>
    <n v="0"/>
    <n v="7.5"/>
    <d v="1899-12-30T00:00:00"/>
    <d v="1899-12-31T12:00:00"/>
    <s v="532726197505162136"/>
    <s v="13759009851"/>
  </r>
  <r>
    <x v="5"/>
    <s v="ZY60"/>
    <x v="139"/>
    <x v="103"/>
    <n v="2"/>
    <n v="0"/>
    <n v="22"/>
    <n v="11"/>
    <n v="11"/>
    <n v="0"/>
    <n v="0"/>
    <n v="0"/>
    <n v="0"/>
    <n v="0"/>
    <n v="0"/>
    <n v="0"/>
    <n v="0"/>
    <n v="0"/>
    <n v="0"/>
    <n v="0"/>
    <n v="0"/>
    <n v="0"/>
    <n v="0"/>
    <n v="0"/>
    <n v="0"/>
    <n v="0"/>
    <n v="0"/>
    <n v="0"/>
    <n v="0"/>
    <n v="0"/>
    <n v="0"/>
    <n v="0"/>
    <n v="0"/>
    <n v="0"/>
    <s v="镇沅县九甲镇和平村千家寨"/>
    <s v="20160713"/>
    <n v="0"/>
    <n v="0"/>
    <s v="1"/>
    <n v="5"/>
    <d v="1899-12-30T00:00:00"/>
    <d v="1899-12-31T00:00:00"/>
    <s v="？？？"/>
    <s v="13987931449"/>
  </r>
  <r>
    <x v="5"/>
    <s v="ZY61"/>
    <x v="139"/>
    <x v="103"/>
    <n v="3"/>
    <n v="0"/>
    <n v="27"/>
    <n v="10"/>
    <n v="10"/>
    <n v="7"/>
    <n v="0"/>
    <n v="0"/>
    <n v="0"/>
    <n v="0"/>
    <n v="0"/>
    <n v="0"/>
    <n v="0"/>
    <n v="0"/>
    <n v="0"/>
    <n v="0"/>
    <n v="0"/>
    <n v="0"/>
    <n v="0"/>
    <n v="0"/>
    <n v="0"/>
    <n v="0"/>
    <n v="0"/>
    <n v="0"/>
    <n v="0"/>
    <n v="0"/>
    <n v="0"/>
    <n v="0"/>
    <n v="0"/>
    <n v="0"/>
    <s v="镇沅县九甲镇和平村千家寨"/>
    <s v="20160713"/>
    <n v="0"/>
    <n v="0"/>
    <s v="2"/>
    <n v="5"/>
    <d v="1899-12-30T00:00:00"/>
    <d v="1899-12-31T00:00:00"/>
    <s v="？？？"/>
    <s v="13987931449"/>
  </r>
  <r>
    <x v="5"/>
    <s v="ZY62"/>
    <x v="139"/>
    <x v="103"/>
    <n v="9"/>
    <n v="0"/>
    <n v="105"/>
    <n v="21"/>
    <n v="12"/>
    <n v="9"/>
    <n v="10"/>
    <n v="11"/>
    <n v="12"/>
    <n v="10"/>
    <n v="10"/>
    <n v="10"/>
    <n v="0"/>
    <n v="0"/>
    <n v="0"/>
    <n v="0"/>
    <n v="0"/>
    <n v="0"/>
    <n v="0"/>
    <n v="0"/>
    <n v="0"/>
    <n v="0"/>
    <n v="0"/>
    <n v="0"/>
    <n v="0"/>
    <n v="0"/>
    <n v="0"/>
    <n v="0"/>
    <n v="0"/>
    <n v="0"/>
    <s v="镇沅县九甲镇和平村千家寨"/>
    <s v="20160713"/>
    <n v="0"/>
    <n v="0"/>
    <s v="3"/>
    <n v="16.5"/>
    <s v="0.7+0.9+0.5+0.7+0.5"/>
    <d v="1900-01-02T07:12:00"/>
    <s v="？？？"/>
    <s v="13987931449"/>
  </r>
  <r>
    <x v="5"/>
    <s v="ZY04"/>
    <x v="140"/>
    <x v="104"/>
    <n v="6"/>
    <n v="0"/>
    <n v="6"/>
    <n v="1"/>
    <n v="1"/>
    <n v="1"/>
    <n v="1"/>
    <n v="1"/>
    <n v="1"/>
    <n v="0"/>
    <n v="0"/>
    <n v="0"/>
    <n v="0"/>
    <n v="0"/>
    <n v="0"/>
    <n v="0"/>
    <n v="0"/>
    <n v="0"/>
    <n v="0"/>
    <n v="0"/>
    <n v="0"/>
    <n v="0"/>
    <n v="0"/>
    <n v="0"/>
    <n v="0"/>
    <n v="0"/>
    <n v="0"/>
    <n v="0"/>
    <n v="0"/>
    <n v="0"/>
    <s v="镇沅县者东镇新村村"/>
    <s v="？？"/>
    <n v="0"/>
    <n v="0"/>
    <n v="0"/>
    <n v="1"/>
    <d v="1899-12-30T00:00:00"/>
    <d v="1899-12-30T04:48:00"/>
    <s v="？？？"/>
    <s v="15987945909"/>
  </r>
  <r>
    <x v="5"/>
    <s v="ZY11"/>
    <x v="141"/>
    <x v="105"/>
    <n v="10"/>
    <n v="0"/>
    <n v="93"/>
    <n v="10"/>
    <n v="12"/>
    <n v="8"/>
    <n v="8"/>
    <n v="12"/>
    <n v="8"/>
    <n v="7"/>
    <n v="6"/>
    <n v="10"/>
    <n v="12"/>
    <n v="0"/>
    <n v="0"/>
    <n v="0"/>
    <n v="0"/>
    <n v="0"/>
    <n v="0"/>
    <n v="0"/>
    <n v="0"/>
    <n v="0"/>
    <n v="0"/>
    <n v="0"/>
    <n v="0"/>
    <n v="0"/>
    <n v="0"/>
    <n v="0"/>
    <n v="0"/>
    <n v="0"/>
    <s v="镇沅县者东镇凹龙村二社"/>
    <s v="20160701-0702"/>
    <n v="0"/>
    <n v="0"/>
    <s v="海拔2387&amp;3511"/>
    <n v="22.5"/>
    <d v="1899-12-30T00:00:00"/>
    <d v="1900-01-03T12:00:00"/>
    <s v="532726196501132410"/>
    <s v="13577961712"/>
  </r>
  <r>
    <x v="5"/>
    <s v="ZY12"/>
    <x v="141"/>
    <x v="105"/>
    <n v="9"/>
    <n v="0"/>
    <n v="116"/>
    <n v="28"/>
    <n v="20"/>
    <n v="8"/>
    <n v="7"/>
    <n v="11"/>
    <n v="10"/>
    <n v="13"/>
    <n v="10"/>
    <n v="9"/>
    <n v="0"/>
    <n v="0"/>
    <n v="0"/>
    <n v="0"/>
    <n v="0"/>
    <n v="0"/>
    <n v="0"/>
    <n v="0"/>
    <n v="0"/>
    <n v="0"/>
    <n v="0"/>
    <n v="0"/>
    <n v="0"/>
    <n v="0"/>
    <n v="0"/>
    <n v="0"/>
    <n v="0"/>
    <n v="0"/>
    <s v="镇沅县者东镇凹龙村"/>
    <n v="20160712"/>
    <n v="0"/>
    <n v="0"/>
    <s v="海拔2387"/>
    <n v="18.5"/>
    <s v="0.9*3+0.5*2"/>
    <d v="1900-01-02T16:48:00"/>
    <s v="532726196501132410"/>
    <s v="13577961712"/>
  </r>
  <r>
    <x v="5"/>
    <s v="ZY13"/>
    <x v="141"/>
    <x v="105"/>
    <n v="10"/>
    <n v="0"/>
    <n v="223"/>
    <n v="15"/>
    <n v="24"/>
    <n v="23"/>
    <n v="23"/>
    <n v="21"/>
    <n v="31"/>
    <n v="18"/>
    <n v="30"/>
    <n v="19"/>
    <n v="19"/>
    <n v="0"/>
    <n v="0"/>
    <n v="0"/>
    <n v="0"/>
    <n v="0"/>
    <n v="0"/>
    <n v="0"/>
    <n v="0"/>
    <n v="0"/>
    <n v="0"/>
    <n v="0"/>
    <n v="0"/>
    <n v="0"/>
    <n v="0"/>
    <n v="0"/>
    <n v="0"/>
    <n v="0"/>
    <s v="镇沅县者东镇凹龙村"/>
    <n v="20160722"/>
    <n v="0"/>
    <n v="0"/>
    <s v="海拔2496"/>
    <n v="50"/>
    <s v="2*5"/>
    <d v="1900-01-09T00:00:00"/>
    <s v="532726196501132410"/>
    <s v="13577961712"/>
  </r>
  <r>
    <x v="5"/>
    <s v="ZY14"/>
    <x v="141"/>
    <x v="105"/>
    <n v="10"/>
    <n v="0"/>
    <n v="137"/>
    <n v="14"/>
    <n v="13"/>
    <n v="12"/>
    <n v="9"/>
    <n v="12"/>
    <n v="18"/>
    <n v="13"/>
    <n v="17"/>
    <n v="11"/>
    <n v="18"/>
    <n v="0"/>
    <n v="0"/>
    <n v="0"/>
    <n v="0"/>
    <n v="0"/>
    <n v="0"/>
    <n v="0"/>
    <n v="0"/>
    <n v="0"/>
    <n v="0"/>
    <n v="0"/>
    <n v="0"/>
    <n v="0"/>
    <n v="0"/>
    <n v="0"/>
    <n v="0"/>
    <n v="0"/>
    <s v="镇沅县者东镇凹龙村"/>
    <n v="20160815"/>
    <n v="0"/>
    <n v="0"/>
    <s v="海拔2796"/>
    <n v="24.5"/>
    <s v="1.5+0.9*3+0.7"/>
    <d v="1900-01-03T21:36:00"/>
    <s v="532726196501132410"/>
    <s v="13577961712"/>
  </r>
  <r>
    <x v="5"/>
    <s v="ZY15"/>
    <x v="141"/>
    <x v="105"/>
    <n v="10"/>
    <n v="0"/>
    <n v="220"/>
    <n v="26"/>
    <n v="27"/>
    <n v="18"/>
    <n v="18"/>
    <n v="24"/>
    <n v="21"/>
    <n v="21"/>
    <n v="25"/>
    <n v="16"/>
    <n v="24"/>
    <n v="0"/>
    <n v="0"/>
    <n v="0"/>
    <n v="0"/>
    <n v="0"/>
    <n v="0"/>
    <n v="0"/>
    <n v="0"/>
    <n v="0"/>
    <n v="0"/>
    <n v="0"/>
    <n v="0"/>
    <n v="0"/>
    <n v="0"/>
    <n v="0"/>
    <n v="0"/>
    <n v="0"/>
    <s v="镇沅县者东镇凹龙村"/>
    <s v="20160722"/>
    <n v="0"/>
    <n v="0"/>
    <s v="海拔2496"/>
    <n v="52.5"/>
    <s v="2+1.5+3+2+2"/>
    <d v="1900-01-09T12:00:00"/>
    <s v="532726196501132410"/>
    <s v="13577961712"/>
  </r>
  <r>
    <x v="5"/>
    <s v="ZY16"/>
    <x v="141"/>
    <x v="105"/>
    <n v="10"/>
    <n v="0"/>
    <n v="210"/>
    <n v="24"/>
    <n v="30"/>
    <n v="23"/>
    <n v="15"/>
    <n v="13"/>
    <n v="21"/>
    <n v="26"/>
    <n v="27"/>
    <n v="16"/>
    <n v="15"/>
    <n v="0"/>
    <n v="0"/>
    <n v="0"/>
    <n v="0"/>
    <n v="0"/>
    <n v="0"/>
    <n v="0"/>
    <n v="0"/>
    <n v="0"/>
    <n v="0"/>
    <n v="0"/>
    <n v="0"/>
    <n v="0"/>
    <n v="0"/>
    <n v="0"/>
    <n v="0"/>
    <n v="0"/>
    <s v="镇沅县者东镇凹龙村"/>
    <s v="20160729"/>
    <n v="0"/>
    <n v="0"/>
    <s v="海拔2696-1"/>
    <n v="45"/>
    <s v="2+1.5+2+2+1.5"/>
    <d v="1900-01-08T00:00:00"/>
    <s v="532726196501132410"/>
    <s v="13577961712"/>
  </r>
  <r>
    <x v="5"/>
    <s v="ZY17"/>
    <x v="141"/>
    <x v="105"/>
    <n v="10"/>
    <n v="0"/>
    <n v="126"/>
    <n v="19"/>
    <n v="13"/>
    <n v="19"/>
    <n v="16"/>
    <n v="13"/>
    <n v="11"/>
    <n v="15"/>
    <n v="9"/>
    <n v="8"/>
    <n v="3"/>
    <n v="0"/>
    <n v="0"/>
    <n v="0"/>
    <n v="0"/>
    <n v="0"/>
    <n v="0"/>
    <n v="0"/>
    <n v="0"/>
    <n v="0"/>
    <n v="0"/>
    <n v="0"/>
    <n v="0"/>
    <n v="0"/>
    <n v="0"/>
    <n v="0"/>
    <n v="0"/>
    <n v="0"/>
    <s v="镇沅县者东镇凹龙村"/>
    <s v="20160729"/>
    <n v="0"/>
    <n v="0"/>
    <s v="海拔2696-2"/>
    <n v="32.500000000000007"/>
    <s v="2+2+0.7+0.9+0.9"/>
    <d v="1900-01-05T12:00:00"/>
    <s v="532726196501132410"/>
    <s v="13577961712"/>
  </r>
  <r>
    <x v="5"/>
    <s v="ZY18"/>
    <x v="141"/>
    <x v="105"/>
    <n v="9"/>
    <n v="0"/>
    <n v="193"/>
    <n v="26"/>
    <n v="17"/>
    <n v="26"/>
    <n v="16"/>
    <n v="13"/>
    <n v="24"/>
    <n v="28"/>
    <n v="33"/>
    <n v="10"/>
    <n v="0"/>
    <n v="0"/>
    <n v="0"/>
    <n v="0"/>
    <n v="0"/>
    <n v="0"/>
    <n v="0"/>
    <n v="0"/>
    <n v="0"/>
    <n v="0"/>
    <n v="0"/>
    <n v="0"/>
    <n v="0"/>
    <n v="0"/>
    <n v="0"/>
    <n v="0"/>
    <n v="0"/>
    <n v="0"/>
    <s v="镇沅县者东镇凹龙村"/>
    <s v="20160815"/>
    <n v="0"/>
    <n v="0"/>
    <s v="海拔2796"/>
    <n v="62.5"/>
    <s v="3+2.5+2.5+3+1.5"/>
    <d v="1900-01-11T12:00:00"/>
    <s v="532726196501132410"/>
    <s v="13577961712"/>
  </r>
  <r>
    <x v="5"/>
    <s v="ZY33"/>
    <x v="142"/>
    <x v="106"/>
    <n v="10"/>
    <n v="0"/>
    <n v="23"/>
    <n v="1"/>
    <n v="1"/>
    <n v="2"/>
    <n v="2"/>
    <n v="2"/>
    <n v="2"/>
    <n v="3"/>
    <n v="3"/>
    <n v="3"/>
    <n v="4"/>
    <n v="0"/>
    <n v="0"/>
    <n v="0"/>
    <n v="0"/>
    <n v="0"/>
    <n v="0"/>
    <n v="0"/>
    <n v="0"/>
    <n v="0"/>
    <n v="0"/>
    <n v="0"/>
    <n v="0"/>
    <n v="0"/>
    <n v="0"/>
    <n v="0"/>
    <n v="0"/>
    <n v="0"/>
    <s v="镇沅县者东镇木丁村中山组"/>
    <s v="20160815"/>
    <n v="0"/>
    <n v="0"/>
    <s v="1"/>
    <n v="5"/>
    <d v="1899-12-30T00:00:00"/>
    <d v="1899-12-31T00:00:00"/>
    <s v="53272619780514241X"/>
    <s v="15154888456"/>
  </r>
  <r>
    <x v="5"/>
    <s v="ZY34"/>
    <x v="142"/>
    <x v="106"/>
    <n v="8"/>
    <n v="0"/>
    <n v="83"/>
    <n v="10"/>
    <n v="10"/>
    <n v="10"/>
    <n v="10"/>
    <n v="9"/>
    <n v="15"/>
    <n v="8"/>
    <n v="11"/>
    <n v="0"/>
    <n v="0"/>
    <n v="0"/>
    <n v="0"/>
    <n v="0"/>
    <n v="0"/>
    <n v="0"/>
    <n v="0"/>
    <n v="0"/>
    <n v="0"/>
    <n v="0"/>
    <n v="0"/>
    <n v="0"/>
    <n v="0"/>
    <n v="0"/>
    <n v="0"/>
    <n v="0"/>
    <n v="0"/>
    <n v="0"/>
    <s v="镇沅县者东镇木丁村中山组"/>
    <s v="20160815"/>
    <n v="0"/>
    <n v="0"/>
    <s v="2"/>
    <n v="15"/>
    <d v="1899-12-30T00:00:00"/>
    <d v="1900-01-02T00:00:00"/>
    <s v="53272619780514241X"/>
    <s v="15154888456"/>
  </r>
  <r>
    <x v="5"/>
    <s v="ZY35"/>
    <x v="142"/>
    <x v="106"/>
    <n v="12"/>
    <n v="0"/>
    <n v="28"/>
    <n v="2"/>
    <n v="2"/>
    <n v="2"/>
    <n v="2"/>
    <n v="2"/>
    <n v="2"/>
    <n v="2"/>
    <n v="2"/>
    <n v="2"/>
    <n v="3"/>
    <n v="3"/>
    <n v="4"/>
    <n v="0"/>
    <n v="0"/>
    <n v="0"/>
    <n v="0"/>
    <n v="0"/>
    <n v="0"/>
    <n v="0"/>
    <n v="0"/>
    <n v="0"/>
    <n v="0"/>
    <n v="0"/>
    <n v="0"/>
    <n v="0"/>
    <n v="0"/>
    <n v="0"/>
    <s v="镇沅县者东镇木丁村中山组"/>
    <s v="20160828"/>
    <n v="0"/>
    <n v="0"/>
    <n v="0"/>
    <n v="5"/>
    <d v="1899-12-30T00:00:00"/>
    <d v="1899-12-31T00:00:00"/>
    <s v="53272619780514241X"/>
    <s v="15154888456"/>
  </r>
  <r>
    <x v="5"/>
    <s v="ZY36"/>
    <x v="142"/>
    <x v="106"/>
    <n v="0"/>
    <n v="20"/>
    <n v="50"/>
    <n v="1"/>
    <n v="1"/>
    <n v="2"/>
    <n v="2"/>
    <n v="2"/>
    <n v="2"/>
    <n v="2"/>
    <n v="2"/>
    <n v="2"/>
    <n v="2"/>
    <n v="2"/>
    <n v="3"/>
    <n v="3"/>
    <n v="3"/>
    <n v="3"/>
    <n v="3"/>
    <n v="3"/>
    <n v="3"/>
    <n v="3"/>
    <n v="6"/>
    <n v="0"/>
    <n v="0"/>
    <n v="0"/>
    <n v="0"/>
    <n v="0"/>
    <n v="0"/>
    <n v="0"/>
    <s v="镇沅县者东镇木丁村中山组"/>
    <s v="20160828"/>
    <n v="0"/>
    <n v="0"/>
    <n v="0"/>
    <n v="15"/>
    <d v="1899-12-30T00:00:00"/>
    <d v="1900-01-02T00:00:00"/>
    <s v="53272619780514241X"/>
    <s v="15154888456"/>
  </r>
  <r>
    <x v="5"/>
    <s v="ZY19"/>
    <x v="143"/>
    <x v="107"/>
    <n v="10"/>
    <n v="0"/>
    <n v="187"/>
    <n v="24"/>
    <n v="31"/>
    <n v="17"/>
    <n v="10"/>
    <n v="31"/>
    <n v="16"/>
    <n v="12"/>
    <n v="15"/>
    <n v="14"/>
    <n v="17"/>
    <n v="0"/>
    <n v="0"/>
    <n v="0"/>
    <n v="0"/>
    <n v="0"/>
    <n v="0"/>
    <n v="0"/>
    <n v="0"/>
    <n v="0"/>
    <n v="0"/>
    <n v="0"/>
    <n v="0"/>
    <n v="0"/>
    <n v="0"/>
    <n v="0"/>
    <n v="0"/>
    <n v="0"/>
    <s v="？？？"/>
    <s v="20160714"/>
    <n v="0"/>
    <n v="0"/>
    <n v="0"/>
    <n v="45"/>
    <s v="1.5+2+1.5+2+2"/>
    <d v="1900-01-08T00:00:00"/>
    <s v="532726196103102419"/>
    <s v="？？"/>
  </r>
  <r>
    <x v="5"/>
    <s v="ZY20"/>
    <x v="143"/>
    <x v="107"/>
    <n v="10"/>
    <n v="0"/>
    <n v="269"/>
    <n v="23"/>
    <n v="28"/>
    <n v="23"/>
    <n v="21"/>
    <n v="25"/>
    <n v="25"/>
    <n v="44"/>
    <n v="30"/>
    <n v="24"/>
    <n v="26"/>
    <n v="0"/>
    <n v="0"/>
    <n v="0"/>
    <n v="0"/>
    <n v="0"/>
    <n v="0"/>
    <n v="0"/>
    <n v="0"/>
    <n v="0"/>
    <n v="0"/>
    <n v="0"/>
    <n v="0"/>
    <n v="0"/>
    <n v="0"/>
    <n v="0"/>
    <n v="0"/>
    <n v="0"/>
    <s v="？？？"/>
    <s v="20160821"/>
    <n v="0"/>
    <n v="0"/>
    <n v="0"/>
    <n v="55"/>
    <s v="2+2.5+2+2.5+2"/>
    <d v="1900-01-10T00:00:00"/>
    <s v="532726196103102419"/>
    <s v="？？"/>
  </r>
  <r>
    <x v="5"/>
    <s v="ZY21"/>
    <x v="143"/>
    <x v="107"/>
    <n v="0"/>
    <n v="20"/>
    <n v="184"/>
    <n v="11"/>
    <n v="8"/>
    <n v="5"/>
    <n v="9"/>
    <n v="6"/>
    <n v="10"/>
    <n v="9"/>
    <n v="10"/>
    <n v="5"/>
    <n v="7"/>
    <n v="13"/>
    <n v="12"/>
    <n v="5"/>
    <n v="17"/>
    <n v="14"/>
    <n v="8"/>
    <n v="9"/>
    <n v="8"/>
    <n v="7"/>
    <n v="11"/>
    <n v="0"/>
    <n v="0"/>
    <n v="0"/>
    <n v="0"/>
    <n v="0"/>
    <n v="0"/>
    <n v="0"/>
    <s v="？？？"/>
    <s v="20160805"/>
    <n v="0"/>
    <n v="0"/>
    <n v="0"/>
    <n v="50"/>
    <s v="2.5+2+2+1.5+2"/>
    <d v="1900-01-09T00:00:00"/>
    <s v="532726196103102419"/>
    <s v="？？"/>
  </r>
  <r>
    <x v="5"/>
    <s v="ZY22"/>
    <x v="143"/>
    <x v="107"/>
    <n v="10"/>
    <n v="0"/>
    <n v="224"/>
    <n v="23"/>
    <n v="21"/>
    <n v="22"/>
    <n v="25"/>
    <n v="35"/>
    <n v="33"/>
    <n v="23"/>
    <n v="10"/>
    <n v="21"/>
    <n v="11"/>
    <n v="0"/>
    <n v="0"/>
    <n v="0"/>
    <n v="0"/>
    <n v="0"/>
    <n v="0"/>
    <n v="0"/>
    <n v="0"/>
    <n v="0"/>
    <n v="0"/>
    <n v="0"/>
    <n v="0"/>
    <n v="0"/>
    <n v="0"/>
    <n v="0"/>
    <n v="0"/>
    <n v="0"/>
    <s v="学堂？"/>
    <s v="20160821"/>
    <n v="0"/>
    <n v="0"/>
    <n v="0"/>
    <n v="42.5"/>
    <s v="2+1.5+2+1.5+1.5"/>
    <d v="1900-01-07T12:00:00"/>
    <s v="532726196103102419"/>
    <s v="？？"/>
  </r>
  <r>
    <x v="5"/>
    <s v="ZY23"/>
    <x v="143"/>
    <x v="107"/>
    <n v="5"/>
    <n v="0"/>
    <n v="98"/>
    <n v="26"/>
    <n v="14"/>
    <n v="18"/>
    <n v="25"/>
    <n v="15"/>
    <n v="0"/>
    <n v="0"/>
    <n v="0"/>
    <n v="0"/>
    <n v="0"/>
    <n v="0"/>
    <n v="0"/>
    <n v="0"/>
    <n v="0"/>
    <n v="0"/>
    <n v="0"/>
    <n v="0"/>
    <n v="0"/>
    <n v="0"/>
    <n v="0"/>
    <n v="0"/>
    <n v="0"/>
    <n v="0"/>
    <n v="0"/>
    <n v="0"/>
    <n v="0"/>
    <n v="0"/>
    <s v="学堂？"/>
    <s v="20160822"/>
    <n v="0"/>
    <n v="0"/>
    <n v="0"/>
    <n v="22.5"/>
    <d v="1899-12-30T00:00:00"/>
    <d v="1900-01-03T12:00:00"/>
    <s v="532726196103102419"/>
    <s v="？？"/>
  </r>
  <r>
    <x v="5"/>
    <s v="ZY24"/>
    <x v="143"/>
    <x v="107"/>
    <n v="0"/>
    <n v="14"/>
    <n v="186"/>
    <n v="9"/>
    <n v="18"/>
    <n v="25"/>
    <n v="23"/>
    <n v="11"/>
    <n v="19"/>
    <n v="6"/>
    <n v="6"/>
    <n v="8"/>
    <n v="9"/>
    <n v="9"/>
    <n v="5"/>
    <n v="17"/>
    <n v="21"/>
    <n v="0"/>
    <n v="0"/>
    <n v="0"/>
    <n v="0"/>
    <n v="0"/>
    <n v="0"/>
    <n v="0"/>
    <n v="0"/>
    <n v="0"/>
    <n v="0"/>
    <n v="0"/>
    <n v="0"/>
    <n v="0"/>
    <s v="学堂？"/>
    <s v="？？"/>
    <n v="0"/>
    <n v="0"/>
    <n v="0"/>
    <n v="34.5"/>
    <s v="1.5+0.9+1.5+1.5+1.5"/>
    <d v="1900-01-05T21:36:00"/>
    <s v="532726196103102419"/>
    <s v="？？"/>
  </r>
  <r>
    <x v="5"/>
    <s v="ZY25"/>
    <x v="144"/>
    <x v="5"/>
    <n v="15"/>
    <n v="0"/>
    <n v="31"/>
    <n v="1"/>
    <n v="4"/>
    <n v="2"/>
    <n v="2"/>
    <n v="2"/>
    <n v="2"/>
    <n v="2"/>
    <n v="2"/>
    <n v="2"/>
    <n v="2"/>
    <n v="2"/>
    <n v="2"/>
    <n v="2"/>
    <n v="2"/>
    <n v="2"/>
    <n v="0"/>
    <n v="0"/>
    <n v="0"/>
    <n v="0"/>
    <n v="0"/>
    <n v="0"/>
    <n v="0"/>
    <n v="0"/>
    <n v="0"/>
    <n v="0"/>
    <n v="0"/>
    <n v="0"/>
    <s v="镇沅县者东镇木丁村大山小组"/>
    <s v="20160718"/>
    <n v="0"/>
    <n v="0"/>
    <n v="0"/>
    <n v="10"/>
    <d v="1899-12-30T00:00:00"/>
    <d v="1900-01-01T00:00:00"/>
    <s v="532726195812282411"/>
    <s v="13987907342"/>
  </r>
  <r>
    <x v="5"/>
    <s v="ZY26"/>
    <x v="144"/>
    <x v="5"/>
    <n v="0"/>
    <n v="20"/>
    <n v="60"/>
    <n v="1"/>
    <n v="2"/>
    <n v="2"/>
    <n v="2"/>
    <n v="2"/>
    <n v="3"/>
    <n v="3"/>
    <n v="3"/>
    <n v="3"/>
    <n v="3"/>
    <n v="3"/>
    <n v="3"/>
    <n v="3"/>
    <n v="3"/>
    <n v="3"/>
    <n v="4"/>
    <n v="4"/>
    <n v="4"/>
    <n v="4"/>
    <n v="5"/>
    <n v="0"/>
    <n v="0"/>
    <n v="0"/>
    <n v="0"/>
    <n v="0"/>
    <n v="0"/>
    <n v="0"/>
    <s v="镇沅县者东镇木丁村大山小组"/>
    <s v="20160821&amp;27"/>
    <n v="0"/>
    <n v="0"/>
    <n v="0"/>
    <n v="20"/>
    <d v="1899-12-30T00:00:00"/>
    <d v="1900-01-03T00:00:00"/>
    <s v="532726195812282411"/>
    <s v="13987907342"/>
  </r>
  <r>
    <x v="5"/>
    <s v="ZY27"/>
    <x v="144"/>
    <x v="5"/>
    <n v="10"/>
    <n v="0"/>
    <n v="33"/>
    <n v="2"/>
    <n v="4"/>
    <n v="4"/>
    <n v="4"/>
    <n v="4"/>
    <n v="3"/>
    <n v="3"/>
    <n v="3"/>
    <n v="3"/>
    <n v="3"/>
    <n v="0"/>
    <n v="0"/>
    <n v="0"/>
    <n v="0"/>
    <n v="0"/>
    <n v="0"/>
    <n v="0"/>
    <n v="0"/>
    <n v="0"/>
    <n v="0"/>
    <n v="0"/>
    <n v="0"/>
    <n v="0"/>
    <n v="0"/>
    <n v="0"/>
    <n v="0"/>
    <n v="0"/>
    <s v="镇沅县者东镇木丁村大山小组"/>
    <s v="20160822"/>
    <n v="0"/>
    <n v="0"/>
    <n v="0"/>
    <n v="12.5"/>
    <d v="1899-12-30T00:00:00"/>
    <d v="1900-01-01T12:00:00"/>
    <s v="532726195812282411"/>
    <s v="13987907342"/>
  </r>
  <r>
    <x v="5"/>
    <s v="ZY28"/>
    <x v="144"/>
    <x v="5"/>
    <n v="14"/>
    <n v="0"/>
    <n v="64"/>
    <n v="5"/>
    <n v="5"/>
    <n v="5"/>
    <n v="5"/>
    <n v="5"/>
    <n v="5"/>
    <n v="5"/>
    <n v="5"/>
    <n v="4"/>
    <n v="4"/>
    <n v="4"/>
    <n v="3"/>
    <n v="3"/>
    <n v="6"/>
    <n v="0"/>
    <n v="0"/>
    <n v="0"/>
    <n v="0"/>
    <n v="0"/>
    <n v="0"/>
    <n v="0"/>
    <n v="0"/>
    <n v="0"/>
    <n v="0"/>
    <n v="0"/>
    <n v="0"/>
    <n v="0"/>
    <s v="镇沅县者东镇木丁村大山小组"/>
    <s v="20160823-0824"/>
    <n v="0"/>
    <n v="0"/>
    <n v="0"/>
    <n v="20"/>
    <d v="1899-12-30T00:00:00"/>
    <d v="1900-01-03T00:00:00"/>
    <s v="532726195812282411"/>
    <s v="139879073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CF2197-8E64-A140-B404-9596E95ADBF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F150" firstHeaderRow="1" firstDataRow="2" firstDataCol="1"/>
  <pivotFields count="44">
    <pivotField showAll="0">
      <items count="7">
        <item x="2"/>
        <item x="3"/>
        <item x="4"/>
        <item x="1"/>
        <item x="0"/>
        <item x="5"/>
        <item t="default"/>
      </items>
    </pivotField>
    <pivotField showAll="0"/>
    <pivotField axis="axisRow" dataField="1" showAll="0">
      <items count="146">
        <item x="122"/>
        <item x="60"/>
        <item x="124"/>
        <item x="125"/>
        <item x="38"/>
        <item x="74"/>
        <item x="131"/>
        <item x="25"/>
        <item x="144"/>
        <item x="33"/>
        <item x="94"/>
        <item x="57"/>
        <item x="113"/>
        <item x="111"/>
        <item x="112"/>
        <item x="110"/>
        <item x="6"/>
        <item x="120"/>
        <item x="7"/>
        <item x="56"/>
        <item x="29"/>
        <item x="119"/>
        <item x="116"/>
        <item x="30"/>
        <item x="93"/>
        <item x="118"/>
        <item x="117"/>
        <item x="91"/>
        <item x="51"/>
        <item x="108"/>
        <item x="109"/>
        <item x="135"/>
        <item x="133"/>
        <item x="134"/>
        <item x="95"/>
        <item x="44"/>
        <item x="72"/>
        <item x="45"/>
        <item x="129"/>
        <item x="9"/>
        <item x="100"/>
        <item x="130"/>
        <item x="104"/>
        <item x="40"/>
        <item x="101"/>
        <item x="10"/>
        <item x="18"/>
        <item x="16"/>
        <item x="15"/>
        <item x="70"/>
        <item x="11"/>
        <item x="19"/>
        <item x="20"/>
        <item x="42"/>
        <item x="105"/>
        <item x="17"/>
        <item x="127"/>
        <item x="12"/>
        <item x="13"/>
        <item x="73"/>
        <item x="102"/>
        <item x="41"/>
        <item x="67"/>
        <item x="128"/>
        <item x="43"/>
        <item x="71"/>
        <item x="96"/>
        <item x="14"/>
        <item x="103"/>
        <item x="68"/>
        <item x="69"/>
        <item x="54"/>
        <item x="27"/>
        <item x="55"/>
        <item x="143"/>
        <item x="26"/>
        <item x="92"/>
        <item x="98"/>
        <item x="53"/>
        <item x="52"/>
        <item x="141"/>
        <item x="90"/>
        <item x="79"/>
        <item x="5"/>
        <item x="114"/>
        <item x="4"/>
        <item x="86"/>
        <item x="89"/>
        <item x="87"/>
        <item x="138"/>
        <item x="88"/>
        <item x="140"/>
        <item x="85"/>
        <item x="78"/>
        <item x="77"/>
        <item x="139"/>
        <item x="137"/>
        <item x="84"/>
        <item x="83"/>
        <item x="81"/>
        <item x="82"/>
        <item x="80"/>
        <item x="136"/>
        <item x="97"/>
        <item x="34"/>
        <item x="50"/>
        <item x="48"/>
        <item x="24"/>
        <item x="49"/>
        <item x="106"/>
        <item x="132"/>
        <item x="107"/>
        <item x="76"/>
        <item x="3"/>
        <item x="31"/>
        <item x="142"/>
        <item x="35"/>
        <item x="58"/>
        <item x="123"/>
        <item x="0"/>
        <item x="39"/>
        <item x="28"/>
        <item x="115"/>
        <item x="64"/>
        <item x="63"/>
        <item x="61"/>
        <item x="62"/>
        <item x="1"/>
        <item x="32"/>
        <item x="121"/>
        <item x="37"/>
        <item x="36"/>
        <item x="59"/>
        <item x="99"/>
        <item x="8"/>
        <item x="75"/>
        <item x="46"/>
        <item x="22"/>
        <item x="21"/>
        <item x="47"/>
        <item x="23"/>
        <item x="65"/>
        <item x="66"/>
        <item x="126"/>
        <item x="2"/>
        <item t="default"/>
      </items>
    </pivotField>
    <pivotField axis="axisCol" showAll="0">
      <items count="109">
        <item x="82"/>
        <item x="7"/>
        <item x="13"/>
        <item x="53"/>
        <item x="93"/>
        <item x="65"/>
        <item x="71"/>
        <item x="70"/>
        <item x="56"/>
        <item x="62"/>
        <item x="72"/>
        <item x="74"/>
        <item x="57"/>
        <item x="54"/>
        <item x="55"/>
        <item x="52"/>
        <item x="68"/>
        <item x="64"/>
        <item x="61"/>
        <item x="58"/>
        <item x="66"/>
        <item x="67"/>
        <item x="69"/>
        <item x="59"/>
        <item x="0"/>
        <item x="6"/>
        <item x="3"/>
        <item x="4"/>
        <item x="37"/>
        <item x="40"/>
        <item x="38"/>
        <item x="44"/>
        <item x="48"/>
        <item x="41"/>
        <item x="49"/>
        <item x="46"/>
        <item x="42"/>
        <item x="51"/>
        <item x="36"/>
        <item x="39"/>
        <item x="34"/>
        <item x="35"/>
        <item x="43"/>
        <item x="47"/>
        <item x="50"/>
        <item x="45"/>
        <item x="101"/>
        <item x="105"/>
        <item x="107"/>
        <item x="2"/>
        <item x="1"/>
        <item x="106"/>
        <item x="96"/>
        <item x="104"/>
        <item x="95"/>
        <item x="100"/>
        <item x="102"/>
        <item x="98"/>
        <item x="97"/>
        <item x="91"/>
        <item x="94"/>
        <item x="92"/>
        <item x="15"/>
        <item x="28"/>
        <item x="29"/>
        <item x="31"/>
        <item x="27"/>
        <item x="14"/>
        <item x="32"/>
        <item x="17"/>
        <item x="12"/>
        <item x="25"/>
        <item x="18"/>
        <item x="33"/>
        <item x="9"/>
        <item x="19"/>
        <item x="23"/>
        <item x="26"/>
        <item x="22"/>
        <item x="11"/>
        <item x="20"/>
        <item x="8"/>
        <item x="24"/>
        <item x="16"/>
        <item x="103"/>
        <item x="85"/>
        <item x="86"/>
        <item x="75"/>
        <item x="87"/>
        <item x="60"/>
        <item x="79"/>
        <item x="78"/>
        <item x="77"/>
        <item x="84"/>
        <item x="81"/>
        <item x="89"/>
        <item x="80"/>
        <item x="83"/>
        <item x="88"/>
        <item x="76"/>
        <item x="90"/>
        <item x="30"/>
        <item x="21"/>
        <item x="10"/>
        <item x="73"/>
        <item x="63"/>
        <item x="99"/>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Fields count="1">
    <field x="3"/>
  </colFields>
  <col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colItems>
  <dataFields count="1">
    <dataField name="Count of 姓名" fld="2" subtotal="count" baseField="0" baseItem="0" numFmtId="167"/>
  </dataFields>
  <formats count="5">
    <format dxfId="5">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
      <pivotArea dataOnly="0" labelOnly="1" fieldPosition="0">
        <references count="1">
          <reference field="3"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
      <pivotArea dataOnly="0" labelOnly="1" fieldPosition="0">
        <references count="1">
          <reference field="3" count="8">
            <x v="100"/>
            <x v="101"/>
            <x v="102"/>
            <x v="103"/>
            <x v="104"/>
            <x v="105"/>
            <x v="106"/>
            <x v="107"/>
          </reference>
        </references>
      </pivotArea>
    </format>
    <format dxfId="2">
      <pivotArea dataOnly="0" labelOnly="1" grandRow="1" outline="0"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F1BC-3C71-1F41-B6A6-D6EF5678FDFD}">
  <dimension ref="A1:AT507"/>
  <sheetViews>
    <sheetView tabSelected="1" zoomScale="61" zoomScaleNormal="61" zoomScalePageLayoutView="120" workbookViewId="0">
      <pane ySplit="1" topLeftCell="A3" activePane="bottomLeft" state="frozen"/>
      <selection pane="bottomLeft" activeCell="F1" sqref="F1"/>
    </sheetView>
  </sheetViews>
  <sheetFormatPr baseColWidth="10" defaultColWidth="11.5" defaultRowHeight="15"/>
  <cols>
    <col min="1" max="1" width="15.1640625" bestFit="1" customWidth="1"/>
    <col min="2" max="2" width="14.6640625" style="202" bestFit="1" customWidth="1"/>
    <col min="3" max="3" width="13.83203125" bestFit="1" customWidth="1"/>
    <col min="4" max="4" width="11.33203125" bestFit="1" customWidth="1"/>
    <col min="5" max="5" width="12.33203125" style="259" bestFit="1" customWidth="1"/>
    <col min="6" max="6" width="17.5" style="202" bestFit="1" customWidth="1"/>
    <col min="7" max="7" width="11" style="257" bestFit="1" customWidth="1"/>
    <col min="8" max="8" width="12.6640625" style="257" customWidth="1"/>
    <col min="9" max="9" width="11" style="202" bestFit="1" customWidth="1"/>
    <col min="10" max="36" width="8.1640625" customWidth="1"/>
    <col min="37" max="37" width="47" customWidth="1"/>
    <col min="38" max="38" width="16.33203125" customWidth="1"/>
    <col min="39" max="39" width="14" customWidth="1"/>
    <col min="40" max="40" width="13" bestFit="1" customWidth="1"/>
    <col min="41" max="41" width="79.5" customWidth="1"/>
    <col min="43" max="44" width="22.83203125" style="209" bestFit="1" customWidth="1"/>
    <col min="45" max="45" width="34.6640625" style="201" customWidth="1"/>
    <col min="46" max="46" width="22.83203125" style="201" bestFit="1" customWidth="1"/>
  </cols>
  <sheetData>
    <row r="1" spans="1:46" s="166" customFormat="1">
      <c r="A1" s="166" t="s">
        <v>3425</v>
      </c>
      <c r="B1" s="204" t="s">
        <v>3416</v>
      </c>
      <c r="C1" s="167" t="s">
        <v>3426</v>
      </c>
      <c r="D1" s="167" t="s">
        <v>3456</v>
      </c>
      <c r="E1" s="265" t="s">
        <v>3384</v>
      </c>
      <c r="F1" s="167" t="s">
        <v>3604</v>
      </c>
      <c r="G1" s="256" t="s">
        <v>3423</v>
      </c>
      <c r="H1" s="256" t="s">
        <v>3424</v>
      </c>
      <c r="I1" s="204" t="s">
        <v>3427</v>
      </c>
      <c r="J1" s="167" t="s">
        <v>3428</v>
      </c>
      <c r="K1" s="167" t="s">
        <v>3429</v>
      </c>
      <c r="L1" s="167" t="s">
        <v>3430</v>
      </c>
      <c r="M1" s="167" t="s">
        <v>3431</v>
      </c>
      <c r="N1" s="167" t="s">
        <v>3432</v>
      </c>
      <c r="O1" s="167" t="s">
        <v>3433</v>
      </c>
      <c r="P1" s="167" t="s">
        <v>3434</v>
      </c>
      <c r="Q1" s="167" t="s">
        <v>3435</v>
      </c>
      <c r="R1" s="167" t="s">
        <v>3436</v>
      </c>
      <c r="S1" s="167" t="s">
        <v>3437</v>
      </c>
      <c r="T1" s="167" t="s">
        <v>3438</v>
      </c>
      <c r="U1" s="167" t="s">
        <v>3439</v>
      </c>
      <c r="V1" s="167" t="s">
        <v>3440</v>
      </c>
      <c r="W1" s="167" t="s">
        <v>3441</v>
      </c>
      <c r="X1" s="167" t="s">
        <v>3442</v>
      </c>
      <c r="Y1" s="167" t="s">
        <v>3443</v>
      </c>
      <c r="Z1" s="167" t="s">
        <v>3444</v>
      </c>
      <c r="AA1" s="167" t="s">
        <v>3445</v>
      </c>
      <c r="AB1" s="167" t="s">
        <v>3446</v>
      </c>
      <c r="AC1" s="167" t="s">
        <v>3447</v>
      </c>
      <c r="AD1" s="167" t="s">
        <v>3448</v>
      </c>
      <c r="AE1" s="167" t="s">
        <v>3449</v>
      </c>
      <c r="AF1" s="167" t="s">
        <v>3450</v>
      </c>
      <c r="AG1" s="167" t="s">
        <v>3451</v>
      </c>
      <c r="AH1" s="167" t="s">
        <v>3452</v>
      </c>
      <c r="AI1" s="167" t="s">
        <v>3453</v>
      </c>
      <c r="AJ1" s="167" t="s">
        <v>3454</v>
      </c>
      <c r="AK1" s="167" t="s">
        <v>3455</v>
      </c>
      <c r="AL1" s="167" t="str">
        <f>双柏!AH1</f>
        <v>采样日期开始</v>
      </c>
      <c r="AM1" s="167" t="str">
        <f>双柏!AI1</f>
        <v>采样日期结束</v>
      </c>
      <c r="AN1" s="167" t="str">
        <f>双柏!AJ1</f>
        <v>海拔</v>
      </c>
      <c r="AO1" s="167" t="str">
        <f>双柏!AK1</f>
        <v>其他位置信息</v>
      </c>
      <c r="AP1" s="167" t="str">
        <f>双柏!AL1</f>
        <v>lysis_buffer</v>
      </c>
      <c r="AQ1" s="294" t="str">
        <f>双柏!AM1</f>
        <v>volume_calc</v>
      </c>
      <c r="AR1" s="294" t="str">
        <f>双柏!AN1</f>
        <v>leech_volume</v>
      </c>
      <c r="AS1" s="199" t="str">
        <f>双柏!AO1</f>
        <v>身份证号码</v>
      </c>
      <c r="AT1" s="199" t="str">
        <f>双柏!AP1</f>
        <v>电话号码</v>
      </c>
    </row>
    <row r="2" spans="1:46">
      <c r="A2" t="s">
        <v>1925</v>
      </c>
      <c r="B2" s="202" t="str">
        <f>VLOOKUP(A2,databases!$A$2:$B$7, 2, FALSE)</f>
        <v>ChuXiong</v>
      </c>
      <c r="C2" s="165" t="str">
        <f>楚雄!B22</f>
        <v>张存付</v>
      </c>
      <c r="D2" s="202" t="str">
        <f>VLOOKUP(C2,databases!$D$2:$E$145, 2, FALSE)</f>
        <v>R16</v>
      </c>
      <c r="E2" s="259">
        <f>INDEX(sample_database!$B$2:$B$506,MATCH(F2,sample_database!$L$2:$L$506,0))</f>
        <v>38</v>
      </c>
      <c r="F2" s="202" t="str">
        <f>楚雄!A22</f>
        <v>CX21</v>
      </c>
      <c r="G2" s="257">
        <f>楚雄!C22</f>
        <v>0</v>
      </c>
      <c r="H2" s="257">
        <f>楚雄!D22</f>
        <v>17</v>
      </c>
      <c r="I2" s="202">
        <f>楚雄!E22</f>
        <v>21</v>
      </c>
      <c r="J2" s="202">
        <f>楚雄!F22</f>
        <v>1</v>
      </c>
      <c r="K2" s="202">
        <f>楚雄!G22</f>
        <v>1</v>
      </c>
      <c r="L2" s="202">
        <f>楚雄!H22</f>
        <v>1</v>
      </c>
      <c r="M2" s="202">
        <f>楚雄!I22</f>
        <v>1</v>
      </c>
      <c r="N2" s="202">
        <f>楚雄!J22</f>
        <v>1</v>
      </c>
      <c r="O2" s="202">
        <f>楚雄!K22</f>
        <v>1</v>
      </c>
      <c r="P2" s="202">
        <f>楚雄!L22</f>
        <v>1</v>
      </c>
      <c r="Q2" s="202">
        <f>楚雄!M22</f>
        <v>1</v>
      </c>
      <c r="R2" s="202">
        <f>楚雄!N22</f>
        <v>1</v>
      </c>
      <c r="S2" s="202">
        <f>楚雄!O22</f>
        <v>1</v>
      </c>
      <c r="T2" s="202">
        <f>楚雄!P22</f>
        <v>1</v>
      </c>
      <c r="U2" s="202">
        <f>楚雄!Q22</f>
        <v>1</v>
      </c>
      <c r="V2" s="202">
        <f>楚雄!R22</f>
        <v>1</v>
      </c>
      <c r="W2" s="202">
        <f>楚雄!S22</f>
        <v>2</v>
      </c>
      <c r="X2" s="202">
        <f>楚雄!T22</f>
        <v>2</v>
      </c>
      <c r="Y2" s="202">
        <f>楚雄!U22</f>
        <v>2</v>
      </c>
      <c r="Z2" s="202">
        <f>楚雄!V22</f>
        <v>2</v>
      </c>
      <c r="AA2" s="202">
        <f>楚雄!W22</f>
        <v>0</v>
      </c>
      <c r="AB2" s="202">
        <f>楚雄!X22</f>
        <v>0</v>
      </c>
      <c r="AC2" s="202">
        <f>楚雄!Y22</f>
        <v>0</v>
      </c>
      <c r="AD2" s="202">
        <f>楚雄!Z22</f>
        <v>0</v>
      </c>
      <c r="AE2" s="202">
        <f>楚雄!AA22</f>
        <v>0</v>
      </c>
      <c r="AF2" s="202">
        <f>楚雄!AB22</f>
        <v>0</v>
      </c>
      <c r="AG2" s="202">
        <f>楚雄!AC22</f>
        <v>0</v>
      </c>
      <c r="AH2" s="202">
        <f>楚雄!AD22</f>
        <v>0</v>
      </c>
      <c r="AI2" s="202">
        <f>楚雄!AE22</f>
        <v>0</v>
      </c>
      <c r="AJ2" s="202">
        <f>楚雄!AF22</f>
        <v>0</v>
      </c>
      <c r="AK2" s="165" t="str">
        <f>楚雄!AG22</f>
        <v>楚雄西舍路下岔河村委会</v>
      </c>
      <c r="AL2" s="165" t="str">
        <f>楚雄!AH22</f>
        <v>20160705-0710</v>
      </c>
      <c r="AM2" s="165">
        <f>楚雄!AI22</f>
        <v>0</v>
      </c>
      <c r="AN2" s="165">
        <f>楚雄!AJ22</f>
        <v>0</v>
      </c>
      <c r="AO2" s="165" t="str">
        <f>楚雄!AK22</f>
        <v>N24°36′37.61″ E101°02′10.68″</v>
      </c>
      <c r="AP2" s="263">
        <v>3</v>
      </c>
      <c r="AQ2" s="209">
        <f>楚雄!AM22</f>
        <v>0</v>
      </c>
      <c r="AR2" s="295" t="str">
        <f>楚雄!AN22</f>
        <v>NA</v>
      </c>
      <c r="AS2" s="199" t="str">
        <f>楚雄!AO22</f>
        <v>532301198702263118</v>
      </c>
      <c r="AT2" s="199" t="str">
        <f>楚雄!AP22</f>
        <v>15912941971</v>
      </c>
    </row>
    <row r="3" spans="1:46">
      <c r="A3" t="s">
        <v>1925</v>
      </c>
      <c r="B3" s="202" t="str">
        <f>VLOOKUP(A3,databases!$A$2:$B$7, 2, FALSE)</f>
        <v>ChuXiong</v>
      </c>
      <c r="C3" s="165" t="str">
        <f>楚雄!B23</f>
        <v>张存付</v>
      </c>
      <c r="D3" s="202" t="str">
        <f>VLOOKUP(C3,databases!$D$2:$E$145, 2, FALSE)</f>
        <v>R16</v>
      </c>
      <c r="E3" s="259">
        <f>INDEX(sample_database!$B$2:$B$506,MATCH(F3,sample_database!$L$2:$L$506,0))</f>
        <v>38</v>
      </c>
      <c r="F3" s="202" t="str">
        <f>楚雄!A23</f>
        <v>CX22</v>
      </c>
      <c r="G3" s="257">
        <f>楚雄!C23</f>
        <v>7</v>
      </c>
      <c r="H3" s="257">
        <f>楚雄!D23</f>
        <v>0</v>
      </c>
      <c r="I3" s="202">
        <f>楚雄!E23</f>
        <v>14</v>
      </c>
      <c r="J3" s="202">
        <f>楚雄!F23</f>
        <v>1</v>
      </c>
      <c r="K3" s="202">
        <f>楚雄!G23</f>
        <v>1</v>
      </c>
      <c r="L3" s="202">
        <f>楚雄!H23</f>
        <v>1</v>
      </c>
      <c r="M3" s="202">
        <f>楚雄!I23</f>
        <v>2</v>
      </c>
      <c r="N3" s="202">
        <f>楚雄!J23</f>
        <v>2</v>
      </c>
      <c r="O3" s="202">
        <f>楚雄!K23</f>
        <v>3</v>
      </c>
      <c r="P3" s="202">
        <f>楚雄!L23</f>
        <v>4</v>
      </c>
      <c r="Q3" s="202">
        <f>楚雄!M23</f>
        <v>0</v>
      </c>
      <c r="R3" s="202">
        <f>楚雄!N23</f>
        <v>0</v>
      </c>
      <c r="S3" s="202">
        <f>楚雄!O23</f>
        <v>0</v>
      </c>
      <c r="T3" s="202">
        <f>楚雄!P23</f>
        <v>0</v>
      </c>
      <c r="U3" s="202">
        <f>楚雄!Q23</f>
        <v>0</v>
      </c>
      <c r="V3" s="202">
        <f>楚雄!R23</f>
        <v>0</v>
      </c>
      <c r="W3" s="202">
        <f>楚雄!S23</f>
        <v>0</v>
      </c>
      <c r="X3" s="202">
        <f>楚雄!T23</f>
        <v>0</v>
      </c>
      <c r="Y3" s="202">
        <f>楚雄!U23</f>
        <v>0</v>
      </c>
      <c r="Z3" s="202">
        <f>楚雄!V23</f>
        <v>0</v>
      </c>
      <c r="AA3" s="202">
        <f>楚雄!W23</f>
        <v>0</v>
      </c>
      <c r="AB3" s="202">
        <f>楚雄!X23</f>
        <v>0</v>
      </c>
      <c r="AC3" s="202">
        <f>楚雄!Y23</f>
        <v>0</v>
      </c>
      <c r="AD3" s="202">
        <f>楚雄!Z23</f>
        <v>0</v>
      </c>
      <c r="AE3" s="202">
        <f>楚雄!AA23</f>
        <v>0</v>
      </c>
      <c r="AF3" s="202">
        <f>楚雄!AB23</f>
        <v>0</v>
      </c>
      <c r="AG3" s="202">
        <f>楚雄!AC23</f>
        <v>0</v>
      </c>
      <c r="AH3" s="202">
        <f>楚雄!AD23</f>
        <v>0</v>
      </c>
      <c r="AI3" s="202">
        <f>楚雄!AE23</f>
        <v>0</v>
      </c>
      <c r="AJ3" s="202">
        <f>楚雄!AF23</f>
        <v>0</v>
      </c>
      <c r="AK3" s="165" t="str">
        <f>楚雄!AG23</f>
        <v>楚雄西舍路下岔河村委会</v>
      </c>
      <c r="AL3" s="165" t="str">
        <f>楚雄!AH23</f>
        <v>20160705-0710</v>
      </c>
      <c r="AM3" s="165">
        <f>楚雄!AI23</f>
        <v>0</v>
      </c>
      <c r="AN3" s="165">
        <f>楚雄!AJ23</f>
        <v>0</v>
      </c>
      <c r="AO3" s="165" t="str">
        <f>楚雄!AK23</f>
        <v>N24°35′44.69″ E101°01′42.88″</v>
      </c>
      <c r="AP3" s="263">
        <v>3</v>
      </c>
      <c r="AQ3" s="209">
        <f>楚雄!AM23</f>
        <v>0</v>
      </c>
      <c r="AR3" s="295" t="str">
        <f>楚雄!AN23</f>
        <v>NA</v>
      </c>
      <c r="AS3" s="199" t="str">
        <f>楚雄!AO23</f>
        <v>532301198702263118</v>
      </c>
      <c r="AT3" s="199" t="str">
        <f>楚雄!AP23</f>
        <v>15912941971</v>
      </c>
    </row>
    <row r="4" spans="1:46">
      <c r="A4" t="s">
        <v>1925</v>
      </c>
      <c r="B4" s="202" t="str">
        <f>VLOOKUP(A4,databases!$A$2:$B$7, 2, FALSE)</f>
        <v>ChuXiong</v>
      </c>
      <c r="C4" s="165" t="str">
        <f>楚雄!B24</f>
        <v>张存付</v>
      </c>
      <c r="D4" s="202" t="str">
        <f>VLOOKUP(C4,databases!$D$2:$E$145, 2, FALSE)</f>
        <v>R16</v>
      </c>
      <c r="E4" s="259">
        <f>INDEX(sample_database!$B$2:$B$506,MATCH(F4,sample_database!$L$2:$L$506,0))</f>
        <v>38</v>
      </c>
      <c r="F4" s="202" t="str">
        <f>楚雄!A24</f>
        <v>CX23</v>
      </c>
      <c r="G4" s="257">
        <f>楚雄!C24</f>
        <v>6</v>
      </c>
      <c r="H4" s="257">
        <f>楚雄!D24</f>
        <v>0</v>
      </c>
      <c r="I4" s="202">
        <f>楚雄!E24</f>
        <v>6</v>
      </c>
      <c r="J4" s="202">
        <f>楚雄!F24</f>
        <v>1</v>
      </c>
      <c r="K4" s="202">
        <f>楚雄!G24</f>
        <v>1</v>
      </c>
      <c r="L4" s="202">
        <f>楚雄!H24</f>
        <v>1</v>
      </c>
      <c r="M4" s="202">
        <f>楚雄!I24</f>
        <v>1</v>
      </c>
      <c r="N4" s="202">
        <f>楚雄!J24</f>
        <v>1</v>
      </c>
      <c r="O4" s="202">
        <f>楚雄!K24</f>
        <v>1</v>
      </c>
      <c r="P4" s="202">
        <f>楚雄!L24</f>
        <v>0</v>
      </c>
      <c r="Q4" s="202">
        <f>楚雄!M24</f>
        <v>0</v>
      </c>
      <c r="R4" s="202">
        <f>楚雄!N24</f>
        <v>0</v>
      </c>
      <c r="S4" s="202">
        <f>楚雄!O24</f>
        <v>0</v>
      </c>
      <c r="T4" s="202">
        <f>楚雄!P24</f>
        <v>0</v>
      </c>
      <c r="U4" s="202">
        <f>楚雄!Q24</f>
        <v>0</v>
      </c>
      <c r="V4" s="202">
        <f>楚雄!R24</f>
        <v>0</v>
      </c>
      <c r="W4" s="202">
        <f>楚雄!S24</f>
        <v>0</v>
      </c>
      <c r="X4" s="202">
        <f>楚雄!T24</f>
        <v>0</v>
      </c>
      <c r="Y4" s="202">
        <f>楚雄!U24</f>
        <v>0</v>
      </c>
      <c r="Z4" s="202">
        <f>楚雄!V24</f>
        <v>0</v>
      </c>
      <c r="AA4" s="202">
        <f>楚雄!W24</f>
        <v>0</v>
      </c>
      <c r="AB4" s="202">
        <f>楚雄!X24</f>
        <v>0</v>
      </c>
      <c r="AC4" s="202">
        <f>楚雄!Y24</f>
        <v>0</v>
      </c>
      <c r="AD4" s="202">
        <f>楚雄!Z24</f>
        <v>0</v>
      </c>
      <c r="AE4" s="202">
        <f>楚雄!AA24</f>
        <v>0</v>
      </c>
      <c r="AF4" s="202">
        <f>楚雄!AB24</f>
        <v>0</v>
      </c>
      <c r="AG4" s="202">
        <f>楚雄!AC24</f>
        <v>0</v>
      </c>
      <c r="AH4" s="202">
        <f>楚雄!AD24</f>
        <v>0</v>
      </c>
      <c r="AI4" s="202">
        <f>楚雄!AE24</f>
        <v>0</v>
      </c>
      <c r="AJ4" s="202">
        <f>楚雄!AF24</f>
        <v>0</v>
      </c>
      <c r="AK4" s="165" t="str">
        <f>楚雄!AG24</f>
        <v>楚雄西舍路下岔河村委会</v>
      </c>
      <c r="AL4" s="165" t="str">
        <f>楚雄!AH24</f>
        <v>20160705-0710</v>
      </c>
      <c r="AM4" s="165">
        <f>楚雄!AI24</f>
        <v>0</v>
      </c>
      <c r="AN4" s="165">
        <f>楚雄!AJ24</f>
        <v>0</v>
      </c>
      <c r="AO4" s="165" t="str">
        <f>楚雄!AK24</f>
        <v>N24°35′73.64″ E101°01′45.98″</v>
      </c>
      <c r="AP4" s="263">
        <v>1</v>
      </c>
      <c r="AQ4" s="209">
        <f>楚雄!AM24</f>
        <v>0</v>
      </c>
      <c r="AR4" s="295" t="str">
        <f>楚雄!AN24</f>
        <v>NA</v>
      </c>
      <c r="AS4" s="199" t="str">
        <f>楚雄!AO24</f>
        <v>532301198702263118</v>
      </c>
      <c r="AT4" s="199" t="str">
        <f>楚雄!AP24</f>
        <v>15912941971</v>
      </c>
    </row>
    <row r="5" spans="1:46">
      <c r="A5" t="s">
        <v>1925</v>
      </c>
      <c r="B5" s="202" t="str">
        <f>VLOOKUP(A5,databases!$A$2:$B$7, 2, FALSE)</f>
        <v>ChuXiong</v>
      </c>
      <c r="C5" s="165" t="str">
        <f>楚雄!B25</f>
        <v>张存付</v>
      </c>
      <c r="D5" s="202" t="str">
        <f>VLOOKUP(C5,databases!$D$2:$E$145, 2, FALSE)</f>
        <v>R16</v>
      </c>
      <c r="E5" s="259">
        <f>INDEX(sample_database!$B$2:$B$506,MATCH(F5,sample_database!$L$2:$L$506,0))</f>
        <v>38</v>
      </c>
      <c r="F5" s="202" t="str">
        <f>楚雄!A25</f>
        <v>CX24</v>
      </c>
      <c r="G5" s="257">
        <f>楚雄!C25</f>
        <v>17</v>
      </c>
      <c r="H5" s="257">
        <f>楚雄!D25</f>
        <v>0</v>
      </c>
      <c r="I5" s="202">
        <f>楚雄!E25</f>
        <v>21</v>
      </c>
      <c r="J5" s="202">
        <f>楚雄!F25</f>
        <v>1</v>
      </c>
      <c r="K5" s="202">
        <f>楚雄!G25</f>
        <v>1</v>
      </c>
      <c r="L5" s="202">
        <f>楚雄!H25</f>
        <v>1</v>
      </c>
      <c r="M5" s="202">
        <f>楚雄!I25</f>
        <v>1</v>
      </c>
      <c r="N5" s="202">
        <f>楚雄!J25</f>
        <v>1</v>
      </c>
      <c r="O5" s="202">
        <f>楚雄!K25</f>
        <v>1</v>
      </c>
      <c r="P5" s="202">
        <f>楚雄!L25</f>
        <v>1</v>
      </c>
      <c r="Q5" s="202">
        <f>楚雄!M25</f>
        <v>1</v>
      </c>
      <c r="R5" s="202">
        <f>楚雄!N25</f>
        <v>1</v>
      </c>
      <c r="S5" s="202">
        <f>楚雄!O25</f>
        <v>1</v>
      </c>
      <c r="T5" s="202">
        <f>楚雄!P25</f>
        <v>1</v>
      </c>
      <c r="U5" s="202">
        <f>楚雄!Q25</f>
        <v>1</v>
      </c>
      <c r="V5" s="202">
        <f>楚雄!R25</f>
        <v>1</v>
      </c>
      <c r="W5" s="202">
        <f>楚雄!S25</f>
        <v>2</v>
      </c>
      <c r="X5" s="202">
        <f>楚雄!T25</f>
        <v>2</v>
      </c>
      <c r="Y5" s="202">
        <f>楚雄!U25</f>
        <v>2</v>
      </c>
      <c r="Z5" s="202">
        <f>楚雄!V25</f>
        <v>2</v>
      </c>
      <c r="AA5" s="202">
        <f>楚雄!W25</f>
        <v>0</v>
      </c>
      <c r="AB5" s="202">
        <f>楚雄!X25</f>
        <v>0</v>
      </c>
      <c r="AC5" s="202">
        <f>楚雄!Y25</f>
        <v>0</v>
      </c>
      <c r="AD5" s="202">
        <f>楚雄!Z25</f>
        <v>0</v>
      </c>
      <c r="AE5" s="202">
        <f>楚雄!AA25</f>
        <v>0</v>
      </c>
      <c r="AF5" s="202">
        <f>楚雄!AB25</f>
        <v>0</v>
      </c>
      <c r="AG5" s="202">
        <f>楚雄!AC25</f>
        <v>0</v>
      </c>
      <c r="AH5" s="202">
        <f>楚雄!AD25</f>
        <v>0</v>
      </c>
      <c r="AI5" s="202">
        <f>楚雄!AE25</f>
        <v>0</v>
      </c>
      <c r="AJ5" s="202">
        <f>楚雄!AF25</f>
        <v>0</v>
      </c>
      <c r="AK5" s="165" t="str">
        <f>楚雄!AG25</f>
        <v>楚雄西舍路下岔河村委会</v>
      </c>
      <c r="AL5" s="165" t="str">
        <f>楚雄!AH25</f>
        <v>20160705-0710</v>
      </c>
      <c r="AM5" s="165">
        <f>楚雄!AI25</f>
        <v>0</v>
      </c>
      <c r="AN5" s="165">
        <f>楚雄!AJ25</f>
        <v>0</v>
      </c>
      <c r="AO5" s="165" t="str">
        <f>楚雄!AK25</f>
        <v>N24°35′73.67″ E101°01′46.06″</v>
      </c>
      <c r="AP5" s="263">
        <v>3</v>
      </c>
      <c r="AQ5" s="209">
        <f>楚雄!AM25</f>
        <v>0</v>
      </c>
      <c r="AR5" s="295" t="str">
        <f>楚雄!AN25</f>
        <v>NA</v>
      </c>
      <c r="AS5" s="199" t="str">
        <f>楚雄!AO25</f>
        <v>532301198702263118</v>
      </c>
      <c r="AT5" s="199" t="str">
        <f>楚雄!AP25</f>
        <v>15912941971</v>
      </c>
    </row>
    <row r="6" spans="1:46">
      <c r="A6" t="s">
        <v>1925</v>
      </c>
      <c r="B6" s="202" t="str">
        <f>VLOOKUP(A6,databases!$A$2:$B$7, 2, FALSE)</f>
        <v>ChuXiong</v>
      </c>
      <c r="C6" s="165" t="str">
        <f>楚雄!B26</f>
        <v>张学良</v>
      </c>
      <c r="D6" s="202" t="str">
        <f>VLOOKUP(C6,databases!$D$2:$E$145, 2, FALSE)</f>
        <v>R18</v>
      </c>
      <c r="E6" s="259">
        <f>INDEX(sample_database!$B$2:$B$506,MATCH(F6,sample_database!$L$2:$L$506,0))</f>
        <v>2</v>
      </c>
      <c r="F6" s="202" t="str">
        <f>楚雄!A26</f>
        <v>CX25</v>
      </c>
      <c r="G6" s="257">
        <f>楚雄!C26</f>
        <v>0</v>
      </c>
      <c r="H6" s="257">
        <f>楚雄!D26</f>
        <v>7</v>
      </c>
      <c r="I6" s="202">
        <f>楚雄!E26</f>
        <v>26</v>
      </c>
      <c r="J6" s="202">
        <f>楚雄!F26</f>
        <v>1</v>
      </c>
      <c r="K6" s="202">
        <f>楚雄!G26</f>
        <v>2</v>
      </c>
      <c r="L6" s="202">
        <f>楚雄!H26</f>
        <v>3</v>
      </c>
      <c r="M6" s="202">
        <f>楚雄!I26</f>
        <v>3</v>
      </c>
      <c r="N6" s="202">
        <f>楚雄!J26</f>
        <v>3</v>
      </c>
      <c r="O6" s="202">
        <f>楚雄!K26</f>
        <v>5</v>
      </c>
      <c r="P6" s="202">
        <f>楚雄!L26</f>
        <v>9</v>
      </c>
      <c r="Q6" s="202">
        <f>楚雄!M26</f>
        <v>0</v>
      </c>
      <c r="R6" s="202">
        <f>楚雄!N26</f>
        <v>0</v>
      </c>
      <c r="S6" s="202">
        <f>楚雄!O26</f>
        <v>0</v>
      </c>
      <c r="T6" s="202">
        <f>楚雄!P26</f>
        <v>0</v>
      </c>
      <c r="U6" s="202">
        <f>楚雄!Q26</f>
        <v>0</v>
      </c>
      <c r="V6" s="202">
        <f>楚雄!R26</f>
        <v>0</v>
      </c>
      <c r="W6" s="202">
        <f>楚雄!S26</f>
        <v>0</v>
      </c>
      <c r="X6" s="202">
        <f>楚雄!T26</f>
        <v>0</v>
      </c>
      <c r="Y6" s="202">
        <f>楚雄!U26</f>
        <v>0</v>
      </c>
      <c r="Z6" s="202">
        <f>楚雄!V26</f>
        <v>0</v>
      </c>
      <c r="AA6" s="202">
        <f>楚雄!W26</f>
        <v>0</v>
      </c>
      <c r="AB6" s="202">
        <f>楚雄!X26</f>
        <v>0</v>
      </c>
      <c r="AC6" s="202">
        <f>楚雄!Y26</f>
        <v>0</v>
      </c>
      <c r="AD6" s="202">
        <f>楚雄!Z26</f>
        <v>0</v>
      </c>
      <c r="AE6" s="202">
        <f>楚雄!AA26</f>
        <v>0</v>
      </c>
      <c r="AF6" s="202">
        <f>楚雄!AB26</f>
        <v>0</v>
      </c>
      <c r="AG6" s="202">
        <f>楚雄!AC26</f>
        <v>0</v>
      </c>
      <c r="AH6" s="202">
        <f>楚雄!AD26</f>
        <v>0</v>
      </c>
      <c r="AI6" s="202">
        <f>楚雄!AE26</f>
        <v>0</v>
      </c>
      <c r="AJ6" s="202">
        <f>楚雄!AF26</f>
        <v>0</v>
      </c>
      <c r="AK6" s="165" t="str">
        <f>楚雄!AG26</f>
        <v>楚雄西舍路新华村委会</v>
      </c>
      <c r="AL6" s="165" t="str">
        <f>楚雄!AH26</f>
        <v>20160704-0710</v>
      </c>
      <c r="AM6" s="165">
        <f>楚雄!AI26</f>
        <v>0</v>
      </c>
      <c r="AN6" s="165">
        <f>楚雄!AJ26</f>
        <v>0</v>
      </c>
      <c r="AO6" s="165" t="str">
        <f>楚雄!AK26</f>
        <v>N24°31′83.68″ E101°03′85.85″</v>
      </c>
      <c r="AP6" s="263">
        <v>10</v>
      </c>
      <c r="AQ6" s="209">
        <f>楚雄!AM26</f>
        <v>0</v>
      </c>
      <c r="AR6" s="295" t="str">
        <f>楚雄!AN26</f>
        <v>NA</v>
      </c>
      <c r="AS6" s="199" t="str">
        <f>楚雄!AO26</f>
        <v>532301198011063133</v>
      </c>
      <c r="AT6" s="199" t="str">
        <f>楚雄!AP26</f>
        <v>13769279751</v>
      </c>
    </row>
    <row r="7" spans="1:46">
      <c r="A7" t="s">
        <v>1925</v>
      </c>
      <c r="B7" s="202" t="str">
        <f>VLOOKUP(A7,databases!$A$2:$B$7, 2, FALSE)</f>
        <v>ChuXiong</v>
      </c>
      <c r="C7" s="165" t="str">
        <f>楚雄!B27</f>
        <v>张学良</v>
      </c>
      <c r="D7" s="202" t="str">
        <f>VLOOKUP(C7,databases!$D$2:$E$145, 2, FALSE)</f>
        <v>R18</v>
      </c>
      <c r="E7" s="259">
        <f>INDEX(sample_database!$B$2:$B$506,MATCH(F7,sample_database!$L$2:$L$506,0))</f>
        <v>2</v>
      </c>
      <c r="F7" s="202" t="str">
        <f>楚雄!A27</f>
        <v>CX26</v>
      </c>
      <c r="G7" s="257">
        <f>楚雄!C27</f>
        <v>4</v>
      </c>
      <c r="H7" s="257">
        <f>楚雄!D27</f>
        <v>0</v>
      </c>
      <c r="I7" s="202">
        <f>楚雄!E27</f>
        <v>9</v>
      </c>
      <c r="J7" s="202">
        <f>楚雄!F27</f>
        <v>1</v>
      </c>
      <c r="K7" s="202">
        <f>楚雄!G27</f>
        <v>2</v>
      </c>
      <c r="L7" s="202">
        <f>楚雄!H27</f>
        <v>2</v>
      </c>
      <c r="M7" s="202">
        <f>楚雄!I27</f>
        <v>4</v>
      </c>
      <c r="N7" s="202">
        <f>楚雄!J27</f>
        <v>0</v>
      </c>
      <c r="O7" s="202">
        <f>楚雄!K27</f>
        <v>0</v>
      </c>
      <c r="P7" s="202">
        <f>楚雄!L27</f>
        <v>0</v>
      </c>
      <c r="Q7" s="202">
        <f>楚雄!M27</f>
        <v>0</v>
      </c>
      <c r="R7" s="202">
        <f>楚雄!N27</f>
        <v>0</v>
      </c>
      <c r="S7" s="202">
        <f>楚雄!O27</f>
        <v>0</v>
      </c>
      <c r="T7" s="202">
        <f>楚雄!P27</f>
        <v>0</v>
      </c>
      <c r="U7" s="202">
        <f>楚雄!Q27</f>
        <v>0</v>
      </c>
      <c r="V7" s="202">
        <f>楚雄!R27</f>
        <v>0</v>
      </c>
      <c r="W7" s="202">
        <f>楚雄!S27</f>
        <v>0</v>
      </c>
      <c r="X7" s="202">
        <f>楚雄!T27</f>
        <v>0</v>
      </c>
      <c r="Y7" s="202">
        <f>楚雄!U27</f>
        <v>0</v>
      </c>
      <c r="Z7" s="202">
        <f>楚雄!V27</f>
        <v>0</v>
      </c>
      <c r="AA7" s="202">
        <f>楚雄!W27</f>
        <v>0</v>
      </c>
      <c r="AB7" s="202">
        <f>楚雄!X27</f>
        <v>0</v>
      </c>
      <c r="AC7" s="202">
        <f>楚雄!Y27</f>
        <v>0</v>
      </c>
      <c r="AD7" s="202">
        <f>楚雄!Z27</f>
        <v>0</v>
      </c>
      <c r="AE7" s="202">
        <f>楚雄!AA27</f>
        <v>0</v>
      </c>
      <c r="AF7" s="202">
        <f>楚雄!AB27</f>
        <v>0</v>
      </c>
      <c r="AG7" s="202">
        <f>楚雄!AC27</f>
        <v>0</v>
      </c>
      <c r="AH7" s="202">
        <f>楚雄!AD27</f>
        <v>0</v>
      </c>
      <c r="AI7" s="202">
        <f>楚雄!AE27</f>
        <v>0</v>
      </c>
      <c r="AJ7" s="202">
        <f>楚雄!AF27</f>
        <v>0</v>
      </c>
      <c r="AK7" s="165" t="str">
        <f>楚雄!AG27</f>
        <v>楚雄西舍路新华村委会</v>
      </c>
      <c r="AL7" s="165" t="str">
        <f>楚雄!AH27</f>
        <v>20160711-0713</v>
      </c>
      <c r="AM7" s="165">
        <f>楚雄!AI27</f>
        <v>0</v>
      </c>
      <c r="AN7" s="165">
        <f>楚雄!AJ27</f>
        <v>0</v>
      </c>
      <c r="AO7" s="165" t="str">
        <f>楚雄!AK27</f>
        <v>N24°30′87.82″ E101°04′01.66″</v>
      </c>
      <c r="AP7" s="263">
        <v>4</v>
      </c>
      <c r="AQ7" s="209">
        <f>楚雄!AM27</f>
        <v>0</v>
      </c>
      <c r="AR7" s="295" t="str">
        <f>楚雄!AN27</f>
        <v>NA</v>
      </c>
      <c r="AS7" s="199" t="str">
        <f>楚雄!AO27</f>
        <v>532301198011063133</v>
      </c>
      <c r="AT7" s="199" t="str">
        <f>楚雄!AP27</f>
        <v>13769279751</v>
      </c>
    </row>
    <row r="8" spans="1:46">
      <c r="A8" t="s">
        <v>1925</v>
      </c>
      <c r="B8" s="202" t="str">
        <f>VLOOKUP(A8,databases!$A$2:$B$7, 2, FALSE)</f>
        <v>ChuXiong</v>
      </c>
      <c r="C8" s="165" t="str">
        <f>楚雄!B28</f>
        <v>张学良</v>
      </c>
      <c r="D8" s="202" t="str">
        <f>VLOOKUP(C8,databases!$D$2:$E$145, 2, FALSE)</f>
        <v>R18</v>
      </c>
      <c r="E8" s="259">
        <f>INDEX(sample_database!$B$2:$B$506,MATCH(F8,sample_database!$L$2:$L$506,0))</f>
        <v>2</v>
      </c>
      <c r="F8" s="202" t="str">
        <f>楚雄!A28</f>
        <v>CX27</v>
      </c>
      <c r="G8" s="257">
        <f>楚雄!C28</f>
        <v>2</v>
      </c>
      <c r="H8" s="257">
        <f>楚雄!D28</f>
        <v>0</v>
      </c>
      <c r="I8" s="202">
        <f>楚雄!E28</f>
        <v>2</v>
      </c>
      <c r="J8" s="202">
        <f>楚雄!F28</f>
        <v>1</v>
      </c>
      <c r="K8" s="202">
        <f>楚雄!G28</f>
        <v>1</v>
      </c>
      <c r="L8" s="202">
        <f>楚雄!H28</f>
        <v>0</v>
      </c>
      <c r="M8" s="202">
        <f>楚雄!I28</f>
        <v>0</v>
      </c>
      <c r="N8" s="202">
        <f>楚雄!J28</f>
        <v>0</v>
      </c>
      <c r="O8" s="202">
        <f>楚雄!K28</f>
        <v>0</v>
      </c>
      <c r="P8" s="202">
        <f>楚雄!L28</f>
        <v>0</v>
      </c>
      <c r="Q8" s="202">
        <f>楚雄!M28</f>
        <v>0</v>
      </c>
      <c r="R8" s="202">
        <f>楚雄!N28</f>
        <v>0</v>
      </c>
      <c r="S8" s="202">
        <f>楚雄!O28</f>
        <v>0</v>
      </c>
      <c r="T8" s="202">
        <f>楚雄!P28</f>
        <v>0</v>
      </c>
      <c r="U8" s="202">
        <f>楚雄!Q28</f>
        <v>0</v>
      </c>
      <c r="V8" s="202">
        <f>楚雄!R28</f>
        <v>0</v>
      </c>
      <c r="W8" s="202">
        <f>楚雄!S28</f>
        <v>0</v>
      </c>
      <c r="X8" s="202">
        <f>楚雄!T28</f>
        <v>0</v>
      </c>
      <c r="Y8" s="202">
        <f>楚雄!U28</f>
        <v>0</v>
      </c>
      <c r="Z8" s="202">
        <f>楚雄!V28</f>
        <v>0</v>
      </c>
      <c r="AA8" s="202">
        <f>楚雄!W28</f>
        <v>0</v>
      </c>
      <c r="AB8" s="202">
        <f>楚雄!X28</f>
        <v>0</v>
      </c>
      <c r="AC8" s="202">
        <f>楚雄!Y28</f>
        <v>0</v>
      </c>
      <c r="AD8" s="202">
        <f>楚雄!Z28</f>
        <v>0</v>
      </c>
      <c r="AE8" s="202">
        <f>楚雄!AA28</f>
        <v>0</v>
      </c>
      <c r="AF8" s="202">
        <f>楚雄!AB28</f>
        <v>0</v>
      </c>
      <c r="AG8" s="202">
        <f>楚雄!AC28</f>
        <v>0</v>
      </c>
      <c r="AH8" s="202">
        <f>楚雄!AD28</f>
        <v>0</v>
      </c>
      <c r="AI8" s="202">
        <f>楚雄!AE28</f>
        <v>0</v>
      </c>
      <c r="AJ8" s="202">
        <f>楚雄!AF28</f>
        <v>0</v>
      </c>
      <c r="AK8" s="165" t="str">
        <f>楚雄!AG28</f>
        <v>楚雄西舍路新华村委会</v>
      </c>
      <c r="AL8" s="165" t="str">
        <f>楚雄!AH28</f>
        <v>20160712-0716</v>
      </c>
      <c r="AM8" s="165">
        <f>楚雄!AI28</f>
        <v>0</v>
      </c>
      <c r="AN8" s="165">
        <f>楚雄!AJ28</f>
        <v>0</v>
      </c>
      <c r="AO8" s="165" t="str">
        <f>楚雄!AK28</f>
        <v>N24°30′87.11″ E101°04′02.01″</v>
      </c>
      <c r="AP8" s="263">
        <v>13</v>
      </c>
      <c r="AQ8" s="209">
        <f>楚雄!AM28</f>
        <v>0</v>
      </c>
      <c r="AR8" s="295" t="str">
        <f>楚雄!AN28</f>
        <v>NA</v>
      </c>
      <c r="AS8" s="199" t="str">
        <f>楚雄!AO28</f>
        <v>532301198011063133</v>
      </c>
      <c r="AT8" s="199" t="str">
        <f>楚雄!AP28</f>
        <v>13769279751</v>
      </c>
    </row>
    <row r="9" spans="1:46">
      <c r="A9" t="s">
        <v>1925</v>
      </c>
      <c r="B9" s="202" t="str">
        <f>VLOOKUP(A9,databases!$A$2:$B$7, 2, FALSE)</f>
        <v>ChuXiong</v>
      </c>
      <c r="C9" s="165" t="str">
        <f>楚雄!B29</f>
        <v>张学良</v>
      </c>
      <c r="D9" s="202" t="str">
        <f>VLOOKUP(C9,databases!$D$2:$E$145, 2, FALSE)</f>
        <v>R18</v>
      </c>
      <c r="E9" s="259">
        <f>INDEX(sample_database!$B$2:$B$506,MATCH(F9,sample_database!$L$2:$L$506,0))</f>
        <v>2</v>
      </c>
      <c r="F9" s="202" t="str">
        <f>楚雄!A29</f>
        <v>CX28</v>
      </c>
      <c r="G9" s="257">
        <f>楚雄!C29</f>
        <v>4</v>
      </c>
      <c r="H9" s="257">
        <f>楚雄!D29</f>
        <v>0</v>
      </c>
      <c r="I9" s="202">
        <f>楚雄!E29</f>
        <v>10</v>
      </c>
      <c r="J9" s="202">
        <f>楚雄!F29</f>
        <v>1</v>
      </c>
      <c r="K9" s="202">
        <f>楚雄!G29</f>
        <v>2</v>
      </c>
      <c r="L9" s="202">
        <f>楚雄!H29</f>
        <v>2</v>
      </c>
      <c r="M9" s="202">
        <f>楚雄!I29</f>
        <v>5</v>
      </c>
      <c r="N9" s="202">
        <f>楚雄!J29</f>
        <v>0</v>
      </c>
      <c r="O9" s="202">
        <f>楚雄!K29</f>
        <v>0</v>
      </c>
      <c r="P9" s="202">
        <f>楚雄!L29</f>
        <v>0</v>
      </c>
      <c r="Q9" s="202">
        <f>楚雄!M29</f>
        <v>0</v>
      </c>
      <c r="R9" s="202">
        <f>楚雄!N29</f>
        <v>0</v>
      </c>
      <c r="S9" s="202">
        <f>楚雄!O29</f>
        <v>0</v>
      </c>
      <c r="T9" s="202">
        <f>楚雄!P29</f>
        <v>0</v>
      </c>
      <c r="U9" s="202">
        <f>楚雄!Q29</f>
        <v>0</v>
      </c>
      <c r="V9" s="202">
        <f>楚雄!R29</f>
        <v>0</v>
      </c>
      <c r="W9" s="202">
        <f>楚雄!S29</f>
        <v>0</v>
      </c>
      <c r="X9" s="202">
        <f>楚雄!T29</f>
        <v>0</v>
      </c>
      <c r="Y9" s="202">
        <f>楚雄!U29</f>
        <v>0</v>
      </c>
      <c r="Z9" s="202">
        <f>楚雄!V29</f>
        <v>0</v>
      </c>
      <c r="AA9" s="202">
        <f>楚雄!W29</f>
        <v>0</v>
      </c>
      <c r="AB9" s="202">
        <f>楚雄!X29</f>
        <v>0</v>
      </c>
      <c r="AC9" s="202">
        <f>楚雄!Y29</f>
        <v>0</v>
      </c>
      <c r="AD9" s="202">
        <f>楚雄!Z29</f>
        <v>0</v>
      </c>
      <c r="AE9" s="202">
        <f>楚雄!AA29</f>
        <v>0</v>
      </c>
      <c r="AF9" s="202">
        <f>楚雄!AB29</f>
        <v>0</v>
      </c>
      <c r="AG9" s="202">
        <f>楚雄!AC29</f>
        <v>0</v>
      </c>
      <c r="AH9" s="202">
        <f>楚雄!AD29</f>
        <v>0</v>
      </c>
      <c r="AI9" s="202">
        <f>楚雄!AE29</f>
        <v>0</v>
      </c>
      <c r="AJ9" s="202">
        <f>楚雄!AF29</f>
        <v>0</v>
      </c>
      <c r="AK9" s="165" t="str">
        <f>楚雄!AG29</f>
        <v>楚雄西舍路新华村委会</v>
      </c>
      <c r="AL9" s="165" t="str">
        <f>楚雄!AH29</f>
        <v>20160720-0726</v>
      </c>
      <c r="AM9" s="165">
        <f>楚雄!AI29</f>
        <v>0</v>
      </c>
      <c r="AN9" s="165">
        <f>楚雄!AJ29</f>
        <v>0</v>
      </c>
      <c r="AO9" s="165" t="str">
        <f>楚雄!AK29</f>
        <v>N24°31′68.69″ E101°03′76.48″</v>
      </c>
      <c r="AP9" s="263">
        <v>3</v>
      </c>
      <c r="AQ9" s="209">
        <f>楚雄!AM29</f>
        <v>0</v>
      </c>
      <c r="AR9" s="295" t="str">
        <f>楚雄!AN29</f>
        <v>NA</v>
      </c>
      <c r="AS9" s="199" t="str">
        <f>楚雄!AO29</f>
        <v>532301198011063133</v>
      </c>
      <c r="AT9" s="199" t="str">
        <f>楚雄!AP29</f>
        <v>13769279751</v>
      </c>
    </row>
    <row r="10" spans="1:46">
      <c r="A10" t="s">
        <v>1925</v>
      </c>
      <c r="B10" s="202" t="str">
        <f>VLOOKUP(A10,databases!$A$2:$B$7, 2, FALSE)</f>
        <v>ChuXiong</v>
      </c>
      <c r="C10" s="165" t="str">
        <f>楚雄!B30</f>
        <v>张学良</v>
      </c>
      <c r="D10" s="202" t="str">
        <f>VLOOKUP(C10,databases!$D$2:$E$145, 2, FALSE)</f>
        <v>R18</v>
      </c>
      <c r="E10" s="259">
        <f>INDEX(sample_database!$B$2:$B$506,MATCH(F10,sample_database!$L$2:$L$506,0))</f>
        <v>2</v>
      </c>
      <c r="F10" s="202" t="str">
        <f>楚雄!A30</f>
        <v>CX29</v>
      </c>
      <c r="G10" s="257">
        <f>楚雄!C30</f>
        <v>3</v>
      </c>
      <c r="H10" s="257">
        <f>楚雄!D30</f>
        <v>0</v>
      </c>
      <c r="I10" s="202">
        <f>楚雄!E30</f>
        <v>11</v>
      </c>
      <c r="J10" s="202">
        <f>楚雄!F30</f>
        <v>2</v>
      </c>
      <c r="K10" s="202">
        <f>楚雄!G30</f>
        <v>3</v>
      </c>
      <c r="L10" s="202">
        <f>楚雄!H30</f>
        <v>6</v>
      </c>
      <c r="M10" s="202">
        <f>楚雄!I30</f>
        <v>0</v>
      </c>
      <c r="N10" s="202">
        <f>楚雄!J30</f>
        <v>0</v>
      </c>
      <c r="O10" s="202">
        <f>楚雄!K30</f>
        <v>0</v>
      </c>
      <c r="P10" s="202">
        <f>楚雄!L30</f>
        <v>0</v>
      </c>
      <c r="Q10" s="202">
        <f>楚雄!M30</f>
        <v>0</v>
      </c>
      <c r="R10" s="202">
        <f>楚雄!N30</f>
        <v>0</v>
      </c>
      <c r="S10" s="202">
        <f>楚雄!O30</f>
        <v>0</v>
      </c>
      <c r="T10" s="202">
        <f>楚雄!P30</f>
        <v>0</v>
      </c>
      <c r="U10" s="202">
        <f>楚雄!Q30</f>
        <v>0</v>
      </c>
      <c r="V10" s="202">
        <f>楚雄!R30</f>
        <v>0</v>
      </c>
      <c r="W10" s="202">
        <f>楚雄!S30</f>
        <v>0</v>
      </c>
      <c r="X10" s="202">
        <f>楚雄!T30</f>
        <v>0</v>
      </c>
      <c r="Y10" s="202">
        <f>楚雄!U30</f>
        <v>0</v>
      </c>
      <c r="Z10" s="202">
        <f>楚雄!V30</f>
        <v>0</v>
      </c>
      <c r="AA10" s="202">
        <f>楚雄!W30</f>
        <v>0</v>
      </c>
      <c r="AB10" s="202">
        <f>楚雄!X30</f>
        <v>0</v>
      </c>
      <c r="AC10" s="202">
        <f>楚雄!Y30</f>
        <v>0</v>
      </c>
      <c r="AD10" s="202">
        <f>楚雄!Z30</f>
        <v>0</v>
      </c>
      <c r="AE10" s="202">
        <f>楚雄!AA30</f>
        <v>0</v>
      </c>
      <c r="AF10" s="202">
        <f>楚雄!AB30</f>
        <v>0</v>
      </c>
      <c r="AG10" s="202">
        <f>楚雄!AC30</f>
        <v>0</v>
      </c>
      <c r="AH10" s="202">
        <f>楚雄!AD30</f>
        <v>0</v>
      </c>
      <c r="AI10" s="202">
        <f>楚雄!AE30</f>
        <v>0</v>
      </c>
      <c r="AJ10" s="202">
        <f>楚雄!AF30</f>
        <v>0</v>
      </c>
      <c r="AK10" s="165" t="str">
        <f>楚雄!AG30</f>
        <v>楚雄西舍路新华村委会</v>
      </c>
      <c r="AL10" s="165" t="str">
        <f>楚雄!AH30</f>
        <v>20160713-0717</v>
      </c>
      <c r="AM10" s="165">
        <f>楚雄!AI30</f>
        <v>0</v>
      </c>
      <c r="AN10" s="165">
        <f>楚雄!AJ30</f>
        <v>0</v>
      </c>
      <c r="AO10" s="165" t="str">
        <f>楚雄!AK30</f>
        <v>N24°31′04.97″ E101°04′17.31″</v>
      </c>
      <c r="AP10" s="263">
        <v>0.5</v>
      </c>
      <c r="AQ10" s="209" t="str">
        <f>楚雄!AM30</f>
        <v>PCR FAILED</v>
      </c>
      <c r="AR10" s="295" t="str">
        <f>楚雄!AN30</f>
        <v>NA</v>
      </c>
      <c r="AS10" s="199" t="str">
        <f>楚雄!AO30</f>
        <v>532301198011063133</v>
      </c>
      <c r="AT10" s="199" t="str">
        <f>楚雄!AP30</f>
        <v>13769279751</v>
      </c>
    </row>
    <row r="11" spans="1:46">
      <c r="A11" t="s">
        <v>1925</v>
      </c>
      <c r="B11" s="202" t="str">
        <f>VLOOKUP(A11,databases!$A$2:$B$7, 2, FALSE)</f>
        <v>ChuXiong</v>
      </c>
      <c r="C11" s="165" t="str">
        <f>楚雄!B35</f>
        <v>王太如</v>
      </c>
      <c r="D11" s="281" t="str">
        <f>VLOOKUP(C11,databases!$D$2:$E$145, 2, FALSE)</f>
        <v>R83</v>
      </c>
      <c r="E11" s="282">
        <f>INDEX(sample_database!$B$2:$B$506,MATCH(F11,sample_database!$L$2:$L$506,0))</f>
        <v>37</v>
      </c>
      <c r="F11" s="202" t="str">
        <f>楚雄!A35</f>
        <v>CX34</v>
      </c>
      <c r="G11" s="257">
        <f>楚雄!C35</f>
        <v>5</v>
      </c>
      <c r="H11" s="257">
        <f>楚雄!D35</f>
        <v>0</v>
      </c>
      <c r="I11" s="202">
        <f>楚雄!E35</f>
        <v>10</v>
      </c>
      <c r="J11" s="202">
        <f>楚雄!F35</f>
        <v>2</v>
      </c>
      <c r="K11" s="202">
        <f>楚雄!G35</f>
        <v>2</v>
      </c>
      <c r="L11" s="202">
        <f>楚雄!H35</f>
        <v>2</v>
      </c>
      <c r="M11" s="202">
        <f>楚雄!I35</f>
        <v>2</v>
      </c>
      <c r="N11" s="202">
        <f>楚雄!J35</f>
        <v>2</v>
      </c>
      <c r="O11" s="202">
        <f>楚雄!K35</f>
        <v>0</v>
      </c>
      <c r="P11" s="202">
        <f>楚雄!L35</f>
        <v>0</v>
      </c>
      <c r="Q11" s="202">
        <f>楚雄!M35</f>
        <v>0</v>
      </c>
      <c r="R11" s="202">
        <f>楚雄!N35</f>
        <v>0</v>
      </c>
      <c r="S11" s="202">
        <f>楚雄!O35</f>
        <v>0</v>
      </c>
      <c r="T11" s="202">
        <f>楚雄!P35</f>
        <v>0</v>
      </c>
      <c r="U11" s="202">
        <f>楚雄!Q35</f>
        <v>0</v>
      </c>
      <c r="V11" s="202">
        <f>楚雄!R35</f>
        <v>0</v>
      </c>
      <c r="W11" s="202">
        <f>楚雄!S35</f>
        <v>0</v>
      </c>
      <c r="X11" s="202">
        <f>楚雄!T35</f>
        <v>0</v>
      </c>
      <c r="Y11" s="202">
        <f>楚雄!U35</f>
        <v>0</v>
      </c>
      <c r="Z11" s="202">
        <f>楚雄!V35</f>
        <v>0</v>
      </c>
      <c r="AA11" s="202">
        <f>楚雄!W35</f>
        <v>0</v>
      </c>
      <c r="AB11" s="202">
        <f>楚雄!X35</f>
        <v>0</v>
      </c>
      <c r="AC11" s="202">
        <f>楚雄!Y35</f>
        <v>0</v>
      </c>
      <c r="AD11" s="202">
        <f>楚雄!Z35</f>
        <v>0</v>
      </c>
      <c r="AE11" s="202">
        <f>楚雄!AA35</f>
        <v>0</v>
      </c>
      <c r="AF11" s="202">
        <f>楚雄!AB35</f>
        <v>0</v>
      </c>
      <c r="AG11" s="202">
        <f>楚雄!AC35</f>
        <v>0</v>
      </c>
      <c r="AH11" s="202">
        <f>楚雄!AD35</f>
        <v>0</v>
      </c>
      <c r="AI11" s="202">
        <f>楚雄!AE35</f>
        <v>0</v>
      </c>
      <c r="AJ11" s="202">
        <f>楚雄!AF35</f>
        <v>0</v>
      </c>
      <c r="AK11" s="165" t="str">
        <f>楚雄!AG35</f>
        <v>楚雄西舍路闸上村委会苍铺塘村</v>
      </c>
      <c r="AL11" s="165" t="str">
        <f>楚雄!AH35</f>
        <v>20160703</v>
      </c>
      <c r="AM11" s="165">
        <f>楚雄!AI35</f>
        <v>0</v>
      </c>
      <c r="AN11" s="165">
        <f>楚雄!AJ35</f>
        <v>0</v>
      </c>
      <c r="AO11" s="165" t="str">
        <f>楚雄!AK35</f>
        <v>海拔2621，N24°38′16.74″ E101°00′04.53″</v>
      </c>
      <c r="AP11" s="263">
        <v>0.5</v>
      </c>
      <c r="AQ11" s="209" t="str">
        <f>楚雄!AM35</f>
        <v>PCR FAILED</v>
      </c>
      <c r="AR11" s="295" t="str">
        <f>楚雄!AN35</f>
        <v>NA</v>
      </c>
      <c r="AS11" s="199" t="str">
        <f>楚雄!AO35</f>
        <v>532301198610053113</v>
      </c>
      <c r="AT11" s="199" t="str">
        <f>楚雄!AP35</f>
        <v>15891821981</v>
      </c>
    </row>
    <row r="12" spans="1:46">
      <c r="A12" t="s">
        <v>1925</v>
      </c>
      <c r="B12" s="202" t="str">
        <f>VLOOKUP(A12,databases!$A$2:$B$7, 2, FALSE)</f>
        <v>ChuXiong</v>
      </c>
      <c r="C12" s="165" t="str">
        <f>楚雄!B32</f>
        <v>王太如</v>
      </c>
      <c r="D12" s="283" t="str">
        <f>VLOOKUP(C12,databases!$D$2:$E$145, 2, FALSE)</f>
        <v>R83</v>
      </c>
      <c r="E12" s="284">
        <f>INDEX(sample_database!$B$2:$B$506,MATCH(F12,sample_database!$L$2:$L$506,0))</f>
        <v>77</v>
      </c>
      <c r="F12" s="202" t="str">
        <f>楚雄!A32</f>
        <v>CX31</v>
      </c>
      <c r="G12" s="257">
        <f>楚雄!C32</f>
        <v>5</v>
      </c>
      <c r="H12" s="257">
        <f>楚雄!D32</f>
        <v>0</v>
      </c>
      <c r="I12" s="202">
        <f>楚雄!E32</f>
        <v>13</v>
      </c>
      <c r="J12" s="202">
        <f>楚雄!F32</f>
        <v>2</v>
      </c>
      <c r="K12" s="202">
        <f>楚雄!G32</f>
        <v>2</v>
      </c>
      <c r="L12" s="202">
        <f>楚雄!H32</f>
        <v>2</v>
      </c>
      <c r="M12" s="202">
        <f>楚雄!I32</f>
        <v>3</v>
      </c>
      <c r="N12" s="202">
        <f>楚雄!J32</f>
        <v>4</v>
      </c>
      <c r="O12" s="202">
        <f>楚雄!K32</f>
        <v>0</v>
      </c>
      <c r="P12" s="202">
        <f>楚雄!L32</f>
        <v>0</v>
      </c>
      <c r="Q12" s="202">
        <f>楚雄!M32</f>
        <v>0</v>
      </c>
      <c r="R12" s="202">
        <f>楚雄!N32</f>
        <v>0</v>
      </c>
      <c r="S12" s="202">
        <f>楚雄!O32</f>
        <v>0</v>
      </c>
      <c r="T12" s="202">
        <f>楚雄!P32</f>
        <v>0</v>
      </c>
      <c r="U12" s="202">
        <f>楚雄!Q32</f>
        <v>0</v>
      </c>
      <c r="V12" s="202">
        <f>楚雄!R32</f>
        <v>0</v>
      </c>
      <c r="W12" s="202">
        <f>楚雄!S32</f>
        <v>0</v>
      </c>
      <c r="X12" s="202">
        <f>楚雄!T32</f>
        <v>0</v>
      </c>
      <c r="Y12" s="202">
        <f>楚雄!U32</f>
        <v>0</v>
      </c>
      <c r="Z12" s="202">
        <f>楚雄!V32</f>
        <v>0</v>
      </c>
      <c r="AA12" s="202">
        <f>楚雄!W32</f>
        <v>0</v>
      </c>
      <c r="AB12" s="202">
        <f>楚雄!X32</f>
        <v>0</v>
      </c>
      <c r="AC12" s="202">
        <f>楚雄!Y32</f>
        <v>0</v>
      </c>
      <c r="AD12" s="202">
        <f>楚雄!Z32</f>
        <v>0</v>
      </c>
      <c r="AE12" s="202">
        <f>楚雄!AA32</f>
        <v>0</v>
      </c>
      <c r="AF12" s="202">
        <f>楚雄!AB32</f>
        <v>0</v>
      </c>
      <c r="AG12" s="202">
        <f>楚雄!AC32</f>
        <v>0</v>
      </c>
      <c r="AH12" s="202">
        <f>楚雄!AD32</f>
        <v>0</v>
      </c>
      <c r="AI12" s="202">
        <f>楚雄!AE32</f>
        <v>0</v>
      </c>
      <c r="AJ12" s="202">
        <f>楚雄!AF32</f>
        <v>0</v>
      </c>
      <c r="AK12" s="165" t="str">
        <f>楚雄!AG32</f>
        <v>楚雄西舍路闸上村委会苍铺塘村</v>
      </c>
      <c r="AL12" s="165" t="str">
        <f>楚雄!AH32</f>
        <v>20160710</v>
      </c>
      <c r="AM12" s="165">
        <f>楚雄!AI32</f>
        <v>0</v>
      </c>
      <c r="AN12" s="165">
        <f>楚雄!AJ32</f>
        <v>0</v>
      </c>
      <c r="AO12" s="165" t="str">
        <f>楚雄!AK32</f>
        <v>海拔2610，N24°38′24.31″ E100°59′95.96″</v>
      </c>
      <c r="AP12" s="263">
        <v>0.5</v>
      </c>
      <c r="AQ12" s="209" t="str">
        <f>楚雄!AM32</f>
        <v>PCR FAILED</v>
      </c>
      <c r="AR12" s="295" t="str">
        <f>楚雄!AN32</f>
        <v>NA</v>
      </c>
      <c r="AS12" s="199" t="str">
        <f>楚雄!AO32</f>
        <v>532301198610053113</v>
      </c>
      <c r="AT12" s="199" t="str">
        <f>楚雄!AP32</f>
        <v>15891821981</v>
      </c>
    </row>
    <row r="13" spans="1:46">
      <c r="A13" t="s">
        <v>1925</v>
      </c>
      <c r="B13" s="202" t="str">
        <f>VLOOKUP(A13,databases!$A$2:$B$7, 2, FALSE)</f>
        <v>ChuXiong</v>
      </c>
      <c r="C13" s="165" t="str">
        <f>楚雄!B33</f>
        <v>王太如</v>
      </c>
      <c r="D13" s="283" t="str">
        <f>VLOOKUP(C13,databases!$D$2:$E$145, 2, FALSE)</f>
        <v>R83</v>
      </c>
      <c r="E13" s="284">
        <f>INDEX(sample_database!$B$2:$B$506,MATCH(F13,sample_database!$L$2:$L$506,0))</f>
        <v>77</v>
      </c>
      <c r="F13" s="202" t="str">
        <f>楚雄!A33</f>
        <v>CX32</v>
      </c>
      <c r="G13" s="257">
        <f>楚雄!C33</f>
        <v>4</v>
      </c>
      <c r="H13" s="257">
        <f>楚雄!D33</f>
        <v>0</v>
      </c>
      <c r="I13" s="202">
        <f>楚雄!E33</f>
        <v>11</v>
      </c>
      <c r="J13" s="202">
        <f>楚雄!F33</f>
        <v>2</v>
      </c>
      <c r="K13" s="202">
        <f>楚雄!G33</f>
        <v>2</v>
      </c>
      <c r="L13" s="202">
        <f>楚雄!H33</f>
        <v>2</v>
      </c>
      <c r="M13" s="202">
        <f>楚雄!I33</f>
        <v>5</v>
      </c>
      <c r="N13" s="202">
        <f>楚雄!J33</f>
        <v>0</v>
      </c>
      <c r="O13" s="202">
        <f>楚雄!K33</f>
        <v>0</v>
      </c>
      <c r="P13" s="202">
        <f>楚雄!L33</f>
        <v>0</v>
      </c>
      <c r="Q13" s="202">
        <f>楚雄!M33</f>
        <v>0</v>
      </c>
      <c r="R13" s="202">
        <f>楚雄!N33</f>
        <v>0</v>
      </c>
      <c r="S13" s="202">
        <f>楚雄!O33</f>
        <v>0</v>
      </c>
      <c r="T13" s="202">
        <f>楚雄!P33</f>
        <v>0</v>
      </c>
      <c r="U13" s="202">
        <f>楚雄!Q33</f>
        <v>0</v>
      </c>
      <c r="V13" s="202">
        <f>楚雄!R33</f>
        <v>0</v>
      </c>
      <c r="W13" s="202">
        <f>楚雄!S33</f>
        <v>0</v>
      </c>
      <c r="X13" s="202">
        <f>楚雄!T33</f>
        <v>0</v>
      </c>
      <c r="Y13" s="202">
        <f>楚雄!U33</f>
        <v>0</v>
      </c>
      <c r="Z13" s="202">
        <f>楚雄!V33</f>
        <v>0</v>
      </c>
      <c r="AA13" s="202">
        <f>楚雄!W33</f>
        <v>0</v>
      </c>
      <c r="AB13" s="202">
        <f>楚雄!X33</f>
        <v>0</v>
      </c>
      <c r="AC13" s="202">
        <f>楚雄!Y33</f>
        <v>0</v>
      </c>
      <c r="AD13" s="202">
        <f>楚雄!Z33</f>
        <v>0</v>
      </c>
      <c r="AE13" s="202">
        <f>楚雄!AA33</f>
        <v>0</v>
      </c>
      <c r="AF13" s="202">
        <f>楚雄!AB33</f>
        <v>0</v>
      </c>
      <c r="AG13" s="202">
        <f>楚雄!AC33</f>
        <v>0</v>
      </c>
      <c r="AH13" s="202">
        <f>楚雄!AD33</f>
        <v>0</v>
      </c>
      <c r="AI13" s="202">
        <f>楚雄!AE33</f>
        <v>0</v>
      </c>
      <c r="AJ13" s="202">
        <f>楚雄!AF33</f>
        <v>0</v>
      </c>
      <c r="AK13" s="165" t="str">
        <f>楚雄!AG33</f>
        <v>楚雄西舍路闸上村委会苍铺塘村</v>
      </c>
      <c r="AL13" s="165" t="str">
        <f>楚雄!AH33</f>
        <v>20160713</v>
      </c>
      <c r="AM13" s="165">
        <f>楚雄!AI33</f>
        <v>0</v>
      </c>
      <c r="AN13" s="165">
        <f>楚雄!AJ33</f>
        <v>0</v>
      </c>
      <c r="AO13" s="165" t="str">
        <f>楚雄!AK33</f>
        <v>海拔2612，N24°38′28.66″ E100°59′95.17″</v>
      </c>
      <c r="AP13" s="263">
        <v>0.5</v>
      </c>
      <c r="AQ13" s="209" t="str">
        <f>楚雄!AM33</f>
        <v>PCR FAILED</v>
      </c>
      <c r="AR13" s="295" t="str">
        <f>楚雄!AN33</f>
        <v>NA</v>
      </c>
      <c r="AS13" s="199" t="str">
        <f>楚雄!AO33</f>
        <v>532301198610053113</v>
      </c>
      <c r="AT13" s="199" t="str">
        <f>楚雄!AP33</f>
        <v>15891821981</v>
      </c>
    </row>
    <row r="14" spans="1:46">
      <c r="A14" t="s">
        <v>1925</v>
      </c>
      <c r="B14" s="202" t="str">
        <f>VLOOKUP(A14,databases!$A$2:$B$7, 2, FALSE)</f>
        <v>ChuXiong</v>
      </c>
      <c r="C14" s="165" t="str">
        <f>楚雄!B34</f>
        <v>王太如</v>
      </c>
      <c r="D14" s="283" t="str">
        <f>VLOOKUP(C14,databases!$D$2:$E$145, 2, FALSE)</f>
        <v>R83</v>
      </c>
      <c r="E14" s="284">
        <f>INDEX(sample_database!$B$2:$B$506,MATCH(F14,sample_database!$L$2:$L$506,0))</f>
        <v>77</v>
      </c>
      <c r="F14" s="202" t="str">
        <f>楚雄!A34</f>
        <v>CX33</v>
      </c>
      <c r="G14" s="257">
        <f>楚雄!C34</f>
        <v>5</v>
      </c>
      <c r="H14" s="257">
        <f>楚雄!D34</f>
        <v>0</v>
      </c>
      <c r="I14" s="202">
        <f>楚雄!E34</f>
        <v>11</v>
      </c>
      <c r="J14" s="202">
        <f>楚雄!F34</f>
        <v>2</v>
      </c>
      <c r="K14" s="202">
        <f>楚雄!G34</f>
        <v>2</v>
      </c>
      <c r="L14" s="202">
        <f>楚雄!H34</f>
        <v>2</v>
      </c>
      <c r="M14" s="202">
        <f>楚雄!I34</f>
        <v>3</v>
      </c>
      <c r="N14" s="202">
        <f>楚雄!J34</f>
        <v>2</v>
      </c>
      <c r="O14" s="202">
        <f>楚雄!K34</f>
        <v>0</v>
      </c>
      <c r="P14" s="202">
        <f>楚雄!L34</f>
        <v>0</v>
      </c>
      <c r="Q14" s="202">
        <f>楚雄!M34</f>
        <v>0</v>
      </c>
      <c r="R14" s="202">
        <f>楚雄!N34</f>
        <v>0</v>
      </c>
      <c r="S14" s="202">
        <f>楚雄!O34</f>
        <v>0</v>
      </c>
      <c r="T14" s="202">
        <f>楚雄!P34</f>
        <v>0</v>
      </c>
      <c r="U14" s="202">
        <f>楚雄!Q34</f>
        <v>0</v>
      </c>
      <c r="V14" s="202">
        <f>楚雄!R34</f>
        <v>0</v>
      </c>
      <c r="W14" s="202">
        <f>楚雄!S34</f>
        <v>0</v>
      </c>
      <c r="X14" s="202">
        <f>楚雄!T34</f>
        <v>0</v>
      </c>
      <c r="Y14" s="202">
        <f>楚雄!U34</f>
        <v>0</v>
      </c>
      <c r="Z14" s="202">
        <f>楚雄!V34</f>
        <v>0</v>
      </c>
      <c r="AA14" s="202">
        <f>楚雄!W34</f>
        <v>0</v>
      </c>
      <c r="AB14" s="202">
        <f>楚雄!X34</f>
        <v>0</v>
      </c>
      <c r="AC14" s="202">
        <f>楚雄!Y34</f>
        <v>0</v>
      </c>
      <c r="AD14" s="202">
        <f>楚雄!Z34</f>
        <v>0</v>
      </c>
      <c r="AE14" s="202">
        <f>楚雄!AA34</f>
        <v>0</v>
      </c>
      <c r="AF14" s="202">
        <f>楚雄!AB34</f>
        <v>0</v>
      </c>
      <c r="AG14" s="202">
        <f>楚雄!AC34</f>
        <v>0</v>
      </c>
      <c r="AH14" s="202">
        <f>楚雄!AD34</f>
        <v>0</v>
      </c>
      <c r="AI14" s="202">
        <f>楚雄!AE34</f>
        <v>0</v>
      </c>
      <c r="AJ14" s="202">
        <f>楚雄!AF34</f>
        <v>0</v>
      </c>
      <c r="AK14" s="165" t="str">
        <f>楚雄!AG34</f>
        <v>楚雄西舍路闸上村委会苍铺塘村</v>
      </c>
      <c r="AL14" s="165" t="str">
        <f>楚雄!AH34</f>
        <v>20160706</v>
      </c>
      <c r="AM14" s="165">
        <f>楚雄!AI34</f>
        <v>0</v>
      </c>
      <c r="AN14" s="165">
        <f>楚雄!AJ34</f>
        <v>0</v>
      </c>
      <c r="AO14" s="165" t="str">
        <f>楚雄!AK34</f>
        <v>海拔2617，N24°38′18.68″ E100°59′97.10″</v>
      </c>
      <c r="AP14" s="263">
        <v>0.5</v>
      </c>
      <c r="AQ14" s="209" t="str">
        <f>楚雄!AM34</f>
        <v>PCR FAILED</v>
      </c>
      <c r="AR14" s="295" t="str">
        <f>楚雄!AN34</f>
        <v>NA</v>
      </c>
      <c r="AS14" s="199" t="str">
        <f>楚雄!AO34</f>
        <v>532301198610053113</v>
      </c>
      <c r="AT14" s="199" t="str">
        <f>楚雄!AP34</f>
        <v>15891821981</v>
      </c>
    </row>
    <row r="15" spans="1:46">
      <c r="A15" t="s">
        <v>1925</v>
      </c>
      <c r="B15" s="202" t="str">
        <f>VLOOKUP(A15,databases!$A$2:$B$7, 2, FALSE)</f>
        <v>ChuXiong</v>
      </c>
      <c r="C15" s="165" t="str">
        <f>楚雄!B31</f>
        <v>王太如</v>
      </c>
      <c r="D15" s="285" t="str">
        <f>VLOOKUP(C15,databases!$D$2:$E$145, 2, FALSE)</f>
        <v>R83</v>
      </c>
      <c r="E15" s="286" t="str">
        <f>INDEX(sample_database!$B$2:$B$506,MATCH(F15,sample_database!$L$2:$L$506,0))</f>
        <v>NA</v>
      </c>
      <c r="F15" s="202" t="str">
        <f>楚雄!A31</f>
        <v>CX30</v>
      </c>
      <c r="G15" s="257">
        <f>楚雄!C31</f>
        <v>0</v>
      </c>
      <c r="H15" s="257">
        <f>楚雄!D31</f>
        <v>7</v>
      </c>
      <c r="I15" s="202">
        <f>楚雄!E31</f>
        <v>20</v>
      </c>
      <c r="J15" s="202">
        <f>楚雄!F31</f>
        <v>2</v>
      </c>
      <c r="K15" s="202">
        <f>楚雄!G31</f>
        <v>2</v>
      </c>
      <c r="L15" s="202">
        <f>楚雄!H31</f>
        <v>2</v>
      </c>
      <c r="M15" s="202">
        <f>楚雄!I31</f>
        <v>2</v>
      </c>
      <c r="N15" s="202">
        <f>楚雄!J31</f>
        <v>3</v>
      </c>
      <c r="O15" s="202">
        <f>楚雄!K31</f>
        <v>4</v>
      </c>
      <c r="P15" s="202">
        <f>楚雄!L31</f>
        <v>5</v>
      </c>
      <c r="Q15" s="202">
        <f>楚雄!M31</f>
        <v>0</v>
      </c>
      <c r="R15" s="202">
        <f>楚雄!N31</f>
        <v>0</v>
      </c>
      <c r="S15" s="202">
        <f>楚雄!O31</f>
        <v>0</v>
      </c>
      <c r="T15" s="202">
        <f>楚雄!P31</f>
        <v>0</v>
      </c>
      <c r="U15" s="202">
        <f>楚雄!Q31</f>
        <v>0</v>
      </c>
      <c r="V15" s="202">
        <f>楚雄!R31</f>
        <v>0</v>
      </c>
      <c r="W15" s="202">
        <f>楚雄!S31</f>
        <v>0</v>
      </c>
      <c r="X15" s="202">
        <f>楚雄!T31</f>
        <v>0</v>
      </c>
      <c r="Y15" s="202">
        <f>楚雄!U31</f>
        <v>0</v>
      </c>
      <c r="Z15" s="202">
        <f>楚雄!V31</f>
        <v>0</v>
      </c>
      <c r="AA15" s="202">
        <f>楚雄!W31</f>
        <v>0</v>
      </c>
      <c r="AB15" s="202">
        <f>楚雄!X31</f>
        <v>0</v>
      </c>
      <c r="AC15" s="202">
        <f>楚雄!Y31</f>
        <v>0</v>
      </c>
      <c r="AD15" s="202">
        <f>楚雄!Z31</f>
        <v>0</v>
      </c>
      <c r="AE15" s="202">
        <f>楚雄!AA31</f>
        <v>0</v>
      </c>
      <c r="AF15" s="202">
        <f>楚雄!AB31</f>
        <v>0</v>
      </c>
      <c r="AG15" s="202">
        <f>楚雄!AC31</f>
        <v>0</v>
      </c>
      <c r="AH15" s="202">
        <f>楚雄!AD31</f>
        <v>0</v>
      </c>
      <c r="AI15" s="202">
        <f>楚雄!AE31</f>
        <v>0</v>
      </c>
      <c r="AJ15" s="202">
        <f>楚雄!AF31</f>
        <v>0</v>
      </c>
      <c r="AK15" s="165" t="str">
        <f>楚雄!AG31</f>
        <v>楚雄西舍路闸上村委会苍铺塘村</v>
      </c>
      <c r="AL15" s="165" t="str">
        <f>楚雄!AH31</f>
        <v>20160716</v>
      </c>
      <c r="AM15" s="165">
        <f>楚雄!AI31</f>
        <v>0</v>
      </c>
      <c r="AN15" s="165">
        <f>楚雄!AJ31</f>
        <v>0</v>
      </c>
      <c r="AO15" s="165" t="str">
        <f>楚雄!AK31</f>
        <v>海拔2319，N24°38′53.58″ E101°00′59.66″</v>
      </c>
      <c r="AP15" s="263">
        <v>0.5</v>
      </c>
      <c r="AQ15" s="209" t="str">
        <f>楚雄!AM31</f>
        <v>PCR FAILED</v>
      </c>
      <c r="AR15" s="295" t="str">
        <f>楚雄!AN31</f>
        <v>NA</v>
      </c>
      <c r="AS15" s="199" t="str">
        <f>楚雄!AO31</f>
        <v>532301198610053113</v>
      </c>
      <c r="AT15" s="199" t="str">
        <f>楚雄!AP31</f>
        <v>15891821981</v>
      </c>
    </row>
    <row r="16" spans="1:46">
      <c r="A16" t="s">
        <v>1925</v>
      </c>
      <c r="B16" s="202" t="str">
        <f>VLOOKUP(A16,databases!$A$2:$B$7, 2, FALSE)</f>
        <v>ChuXiong</v>
      </c>
      <c r="C16" s="165" t="str">
        <f>楚雄!B7</f>
        <v>王平昌</v>
      </c>
      <c r="D16" s="202" t="str">
        <f>VLOOKUP(C16,databases!$D$2:$E$145, 2, FALSE)</f>
        <v>R85</v>
      </c>
      <c r="E16" s="259">
        <f>INDEX(sample_database!$B$2:$B$506,MATCH(F16,sample_database!$L$2:$L$506,0))</f>
        <v>40</v>
      </c>
      <c r="F16" s="202" t="str">
        <f>楚雄!A7</f>
        <v>CX06</v>
      </c>
      <c r="G16" s="257">
        <f>楚雄!C7</f>
        <v>0</v>
      </c>
      <c r="H16" s="257">
        <f>楚雄!D7</f>
        <v>15</v>
      </c>
      <c r="I16" s="202">
        <f>楚雄!E7</f>
        <v>20</v>
      </c>
      <c r="J16" s="202">
        <f>楚雄!F7</f>
        <v>1</v>
      </c>
      <c r="K16" s="202">
        <f>楚雄!G7</f>
        <v>1</v>
      </c>
      <c r="L16" s="202">
        <f>楚雄!H7</f>
        <v>1</v>
      </c>
      <c r="M16" s="202">
        <f>楚雄!I7</f>
        <v>1</v>
      </c>
      <c r="N16" s="202">
        <f>楚雄!J7</f>
        <v>1</v>
      </c>
      <c r="O16" s="202">
        <f>楚雄!K7</f>
        <v>1</v>
      </c>
      <c r="P16" s="202">
        <f>楚雄!L7</f>
        <v>1</v>
      </c>
      <c r="Q16" s="202">
        <f>楚雄!M7</f>
        <v>1</v>
      </c>
      <c r="R16" s="202">
        <f>楚雄!N7</f>
        <v>1</v>
      </c>
      <c r="S16" s="202">
        <f>楚雄!O7</f>
        <v>1</v>
      </c>
      <c r="T16" s="202">
        <f>楚雄!P7</f>
        <v>2</v>
      </c>
      <c r="U16" s="202">
        <f>楚雄!Q7</f>
        <v>2</v>
      </c>
      <c r="V16" s="202">
        <f>楚雄!R7</f>
        <v>2</v>
      </c>
      <c r="W16" s="202">
        <f>楚雄!S7</f>
        <v>2</v>
      </c>
      <c r="X16" s="202">
        <f>楚雄!T7</f>
        <v>2</v>
      </c>
      <c r="Y16" s="202">
        <f>楚雄!U7</f>
        <v>0</v>
      </c>
      <c r="Z16" s="202">
        <f>楚雄!V7</f>
        <v>0</v>
      </c>
      <c r="AA16" s="202">
        <f>楚雄!W7</f>
        <v>0</v>
      </c>
      <c r="AB16" s="202">
        <f>楚雄!X7</f>
        <v>0</v>
      </c>
      <c r="AC16" s="202">
        <f>楚雄!Y7</f>
        <v>0</v>
      </c>
      <c r="AD16" s="202">
        <f>楚雄!Z7</f>
        <v>0</v>
      </c>
      <c r="AE16" s="202">
        <f>楚雄!AA7</f>
        <v>0</v>
      </c>
      <c r="AF16" s="202">
        <f>楚雄!AB7</f>
        <v>0</v>
      </c>
      <c r="AG16" s="202">
        <f>楚雄!AC7</f>
        <v>0</v>
      </c>
      <c r="AH16" s="202">
        <f>楚雄!AD7</f>
        <v>0</v>
      </c>
      <c r="AI16" s="202">
        <f>楚雄!AE7</f>
        <v>0</v>
      </c>
      <c r="AJ16" s="202">
        <f>楚雄!AF7</f>
        <v>0</v>
      </c>
      <c r="AK16" s="165" t="str">
        <f>楚雄!AG7</f>
        <v>德波箐大中山村</v>
      </c>
      <c r="AL16" s="165" t="str">
        <f>楚雄!AH7</f>
        <v>20160701-0704</v>
      </c>
      <c r="AM16" s="165">
        <f>楚雄!AI7</f>
        <v>0</v>
      </c>
      <c r="AN16" s="165">
        <f>楚雄!AJ7</f>
        <v>0</v>
      </c>
      <c r="AO16" s="165" t="str">
        <f>楚雄!AK7</f>
        <v>海拔2372，N24°33′38.95″ E101°05′16.50″</v>
      </c>
      <c r="AP16" s="263">
        <v>15</v>
      </c>
      <c r="AQ16" s="209">
        <f>楚雄!AM7</f>
        <v>0</v>
      </c>
      <c r="AR16" s="295" t="str">
        <f>楚雄!AN7</f>
        <v>NA</v>
      </c>
      <c r="AS16" s="199" t="str">
        <f>楚雄!AO7</f>
        <v>532301197308203112</v>
      </c>
      <c r="AT16" s="199" t="str">
        <f>楚雄!AP7</f>
        <v>13987884167</v>
      </c>
    </row>
    <row r="17" spans="1:46">
      <c r="A17" t="s">
        <v>1925</v>
      </c>
      <c r="B17" s="202" t="str">
        <f>VLOOKUP(A17,databases!$A$2:$B$7, 2, FALSE)</f>
        <v>ChuXiong</v>
      </c>
      <c r="C17" s="165" t="str">
        <f>楚雄!B8</f>
        <v>王平昌</v>
      </c>
      <c r="D17" s="202" t="str">
        <f>VLOOKUP(C17,databases!$D$2:$E$145, 2, FALSE)</f>
        <v>R85</v>
      </c>
      <c r="E17" s="259">
        <f>INDEX(sample_database!$B$2:$B$506,MATCH(F17,sample_database!$L$2:$L$506,0))</f>
        <v>40</v>
      </c>
      <c r="F17" s="202" t="str">
        <f>楚雄!A8</f>
        <v>CX07</v>
      </c>
      <c r="G17" s="257">
        <f>楚雄!C8</f>
        <v>10</v>
      </c>
      <c r="H17" s="257">
        <f>楚雄!D8</f>
        <v>0</v>
      </c>
      <c r="I17" s="202">
        <f>楚雄!E8</f>
        <v>41</v>
      </c>
      <c r="J17" s="202">
        <f>楚雄!F8</f>
        <v>5</v>
      </c>
      <c r="K17" s="202">
        <f>楚雄!G8</f>
        <v>3</v>
      </c>
      <c r="L17" s="202">
        <f>楚雄!H8</f>
        <v>3</v>
      </c>
      <c r="M17" s="202">
        <f>楚雄!I8</f>
        <v>5</v>
      </c>
      <c r="N17" s="202">
        <f>楚雄!J8</f>
        <v>5</v>
      </c>
      <c r="O17" s="202">
        <f>楚雄!K8</f>
        <v>3</v>
      </c>
      <c r="P17" s="202">
        <f>楚雄!L8</f>
        <v>5</v>
      </c>
      <c r="Q17" s="202">
        <f>楚雄!M8</f>
        <v>5</v>
      </c>
      <c r="R17" s="202">
        <f>楚雄!N8</f>
        <v>2</v>
      </c>
      <c r="S17" s="202">
        <f>楚雄!O8</f>
        <v>5</v>
      </c>
      <c r="T17" s="202">
        <f>楚雄!P8</f>
        <v>0</v>
      </c>
      <c r="U17" s="202">
        <f>楚雄!Q8</f>
        <v>0</v>
      </c>
      <c r="V17" s="202">
        <f>楚雄!R8</f>
        <v>0</v>
      </c>
      <c r="W17" s="202">
        <f>楚雄!S8</f>
        <v>0</v>
      </c>
      <c r="X17" s="202">
        <f>楚雄!T8</f>
        <v>0</v>
      </c>
      <c r="Y17" s="202">
        <f>楚雄!U8</f>
        <v>0</v>
      </c>
      <c r="Z17" s="202">
        <f>楚雄!V8</f>
        <v>0</v>
      </c>
      <c r="AA17" s="202">
        <f>楚雄!W8</f>
        <v>0</v>
      </c>
      <c r="AB17" s="202">
        <f>楚雄!X8</f>
        <v>0</v>
      </c>
      <c r="AC17" s="202">
        <f>楚雄!Y8</f>
        <v>0</v>
      </c>
      <c r="AD17" s="202">
        <f>楚雄!Z8</f>
        <v>0</v>
      </c>
      <c r="AE17" s="202">
        <f>楚雄!AA8</f>
        <v>0</v>
      </c>
      <c r="AF17" s="202">
        <f>楚雄!AB8</f>
        <v>0</v>
      </c>
      <c r="AG17" s="202">
        <f>楚雄!AC8</f>
        <v>0</v>
      </c>
      <c r="AH17" s="202">
        <f>楚雄!AD8</f>
        <v>0</v>
      </c>
      <c r="AI17" s="202">
        <f>楚雄!AE8</f>
        <v>0</v>
      </c>
      <c r="AJ17" s="202">
        <f>楚雄!AF8</f>
        <v>0</v>
      </c>
      <c r="AK17" s="165" t="str">
        <f>楚雄!AG8</f>
        <v>德波箐大中山村</v>
      </c>
      <c r="AL17" s="165" t="str">
        <f>楚雄!AH8</f>
        <v>20160706-0709</v>
      </c>
      <c r="AM17" s="165">
        <f>楚雄!AI8</f>
        <v>0</v>
      </c>
      <c r="AN17" s="165">
        <f>楚雄!AJ8</f>
        <v>0</v>
      </c>
      <c r="AO17" s="165" t="str">
        <f>楚雄!AK8</f>
        <v>海拔2486，N24°32′06.91″ E101°03′58.49″</v>
      </c>
      <c r="AP17" s="263">
        <v>25</v>
      </c>
      <c r="AQ17" s="209">
        <f>楚雄!AM8</f>
        <v>0</v>
      </c>
      <c r="AR17" s="295" t="str">
        <f>楚雄!AN8</f>
        <v>NA</v>
      </c>
      <c r="AS17" s="199" t="str">
        <f>楚雄!AO8</f>
        <v>532301197308203112</v>
      </c>
      <c r="AT17" s="199" t="str">
        <f>楚雄!AP8</f>
        <v>13987884167</v>
      </c>
    </row>
    <row r="18" spans="1:46">
      <c r="A18" t="s">
        <v>1925</v>
      </c>
      <c r="B18" s="202" t="str">
        <f>VLOOKUP(A18,databases!$A$2:$B$7, 2, FALSE)</f>
        <v>ChuXiong</v>
      </c>
      <c r="C18" s="165" t="str">
        <f>楚雄!B9</f>
        <v>王平昌</v>
      </c>
      <c r="D18" s="202" t="str">
        <f>VLOOKUP(C18,databases!$D$2:$E$145, 2, FALSE)</f>
        <v>R85</v>
      </c>
      <c r="E18" s="259">
        <f>INDEX(sample_database!$B$2:$B$506,MATCH(F18,sample_database!$L$2:$L$506,0))</f>
        <v>40</v>
      </c>
      <c r="F18" s="202" t="str">
        <f>楚雄!A9</f>
        <v>CX08</v>
      </c>
      <c r="G18" s="257">
        <f>楚雄!C9</f>
        <v>9</v>
      </c>
      <c r="H18" s="257">
        <f>楚雄!D9</f>
        <v>0</v>
      </c>
      <c r="I18" s="202">
        <f>楚雄!E9</f>
        <v>25</v>
      </c>
      <c r="J18" s="202">
        <f>楚雄!F9</f>
        <v>3</v>
      </c>
      <c r="K18" s="202">
        <f>楚雄!G9</f>
        <v>3</v>
      </c>
      <c r="L18" s="202">
        <f>楚雄!H9</f>
        <v>3</v>
      </c>
      <c r="M18" s="202">
        <f>楚雄!I9</f>
        <v>3</v>
      </c>
      <c r="N18" s="202">
        <f>楚雄!J9</f>
        <v>2</v>
      </c>
      <c r="O18" s="202">
        <f>楚雄!K9</f>
        <v>2</v>
      </c>
      <c r="P18" s="202">
        <f>楚雄!L9</f>
        <v>3</v>
      </c>
      <c r="Q18" s="202">
        <f>楚雄!M9</f>
        <v>3</v>
      </c>
      <c r="R18" s="202">
        <f>楚雄!N9</f>
        <v>3</v>
      </c>
      <c r="S18" s="202">
        <f>楚雄!O9</f>
        <v>0</v>
      </c>
      <c r="T18" s="202">
        <f>楚雄!P9</f>
        <v>0</v>
      </c>
      <c r="U18" s="202">
        <f>楚雄!Q9</f>
        <v>0</v>
      </c>
      <c r="V18" s="202">
        <f>楚雄!R9</f>
        <v>0</v>
      </c>
      <c r="W18" s="202">
        <f>楚雄!S9</f>
        <v>0</v>
      </c>
      <c r="X18" s="202">
        <f>楚雄!T9</f>
        <v>0</v>
      </c>
      <c r="Y18" s="202">
        <f>楚雄!U9</f>
        <v>0</v>
      </c>
      <c r="Z18" s="202">
        <f>楚雄!V9</f>
        <v>0</v>
      </c>
      <c r="AA18" s="202">
        <f>楚雄!W9</f>
        <v>0</v>
      </c>
      <c r="AB18" s="202">
        <f>楚雄!X9</f>
        <v>0</v>
      </c>
      <c r="AC18" s="202">
        <f>楚雄!Y9</f>
        <v>0</v>
      </c>
      <c r="AD18" s="202">
        <f>楚雄!Z9</f>
        <v>0</v>
      </c>
      <c r="AE18" s="202">
        <f>楚雄!AA9</f>
        <v>0</v>
      </c>
      <c r="AF18" s="202">
        <f>楚雄!AB9</f>
        <v>0</v>
      </c>
      <c r="AG18" s="202">
        <f>楚雄!AC9</f>
        <v>0</v>
      </c>
      <c r="AH18" s="202">
        <f>楚雄!AD9</f>
        <v>0</v>
      </c>
      <c r="AI18" s="202">
        <f>楚雄!AE9</f>
        <v>0</v>
      </c>
      <c r="AJ18" s="202">
        <f>楚雄!AF9</f>
        <v>0</v>
      </c>
      <c r="AK18" s="165" t="str">
        <f>楚雄!AG9</f>
        <v>德波箐大中山村</v>
      </c>
      <c r="AL18" s="165" t="str">
        <f>楚雄!AH9</f>
        <v>20160710-0714</v>
      </c>
      <c r="AM18" s="165">
        <f>楚雄!AI9</f>
        <v>0</v>
      </c>
      <c r="AN18" s="165">
        <f>楚雄!AJ9</f>
        <v>0</v>
      </c>
      <c r="AO18" s="165" t="str">
        <f>楚雄!AK9</f>
        <v>海拔2415，N24°32′07.08″ E101°03′58.43″</v>
      </c>
      <c r="AP18" s="263">
        <v>15</v>
      </c>
      <c r="AQ18" s="209">
        <f>楚雄!AM9</f>
        <v>0</v>
      </c>
      <c r="AR18" s="295" t="str">
        <f>楚雄!AN9</f>
        <v>NA</v>
      </c>
      <c r="AS18" s="199" t="str">
        <f>楚雄!AO9</f>
        <v>532301197308203112</v>
      </c>
      <c r="AT18" s="199" t="str">
        <f>楚雄!AP9</f>
        <v>13987884167</v>
      </c>
    </row>
    <row r="19" spans="1:46">
      <c r="A19" t="s">
        <v>1925</v>
      </c>
      <c r="B19" s="202" t="str">
        <f>VLOOKUP(A19,databases!$A$2:$B$7, 2, FALSE)</f>
        <v>ChuXiong</v>
      </c>
      <c r="C19" s="165" t="str">
        <f>楚雄!B10</f>
        <v>王平昌</v>
      </c>
      <c r="D19" s="202" t="str">
        <f>VLOOKUP(C19,databases!$D$2:$E$145, 2, FALSE)</f>
        <v>R85</v>
      </c>
      <c r="E19" s="259">
        <f>INDEX(sample_database!$B$2:$B$506,MATCH(F19,sample_database!$L$2:$L$506,0))</f>
        <v>40</v>
      </c>
      <c r="F19" s="202" t="str">
        <f>楚雄!A10</f>
        <v>CX09</v>
      </c>
      <c r="G19" s="257">
        <f>楚雄!C10</f>
        <v>8</v>
      </c>
      <c r="H19" s="257">
        <f>楚雄!D10</f>
        <v>0</v>
      </c>
      <c r="I19" s="202">
        <f>楚雄!E10</f>
        <v>21</v>
      </c>
      <c r="J19" s="202">
        <f>楚雄!F10</f>
        <v>3</v>
      </c>
      <c r="K19" s="202">
        <f>楚雄!G10</f>
        <v>2</v>
      </c>
      <c r="L19" s="202">
        <f>楚雄!H10</f>
        <v>5</v>
      </c>
      <c r="M19" s="202">
        <f>楚雄!I10</f>
        <v>2</v>
      </c>
      <c r="N19" s="202">
        <f>楚雄!J10</f>
        <v>2</v>
      </c>
      <c r="O19" s="202">
        <f>楚雄!K10</f>
        <v>3</v>
      </c>
      <c r="P19" s="202">
        <f>楚雄!L10</f>
        <v>3</v>
      </c>
      <c r="Q19" s="202">
        <f>楚雄!M10</f>
        <v>1</v>
      </c>
      <c r="R19" s="202">
        <f>楚雄!N10</f>
        <v>0</v>
      </c>
      <c r="S19" s="202">
        <f>楚雄!O10</f>
        <v>0</v>
      </c>
      <c r="T19" s="202">
        <f>楚雄!P10</f>
        <v>0</v>
      </c>
      <c r="U19" s="202">
        <f>楚雄!Q10</f>
        <v>0</v>
      </c>
      <c r="V19" s="202">
        <f>楚雄!R10</f>
        <v>0</v>
      </c>
      <c r="W19" s="202">
        <f>楚雄!S10</f>
        <v>0</v>
      </c>
      <c r="X19" s="202">
        <f>楚雄!T10</f>
        <v>0</v>
      </c>
      <c r="Y19" s="202">
        <f>楚雄!U10</f>
        <v>0</v>
      </c>
      <c r="Z19" s="202">
        <f>楚雄!V10</f>
        <v>0</v>
      </c>
      <c r="AA19" s="202">
        <f>楚雄!W10</f>
        <v>0</v>
      </c>
      <c r="AB19" s="202">
        <f>楚雄!X10</f>
        <v>0</v>
      </c>
      <c r="AC19" s="202">
        <f>楚雄!Y10</f>
        <v>0</v>
      </c>
      <c r="AD19" s="202">
        <f>楚雄!Z10</f>
        <v>0</v>
      </c>
      <c r="AE19" s="202">
        <f>楚雄!AA10</f>
        <v>0</v>
      </c>
      <c r="AF19" s="202">
        <f>楚雄!AB10</f>
        <v>0</v>
      </c>
      <c r="AG19" s="202">
        <f>楚雄!AC10</f>
        <v>0</v>
      </c>
      <c r="AH19" s="202">
        <f>楚雄!AD10</f>
        <v>0</v>
      </c>
      <c r="AI19" s="202">
        <f>楚雄!AE10</f>
        <v>0</v>
      </c>
      <c r="AJ19" s="202">
        <f>楚雄!AF10</f>
        <v>0</v>
      </c>
      <c r="AK19" s="165" t="str">
        <f>楚雄!AG10</f>
        <v>德波箐大中山村</v>
      </c>
      <c r="AL19" s="165" t="str">
        <f>楚雄!AH10</f>
        <v>20160717-0721</v>
      </c>
      <c r="AM19" s="165">
        <f>楚雄!AI10</f>
        <v>0</v>
      </c>
      <c r="AN19" s="165">
        <f>楚雄!AJ10</f>
        <v>0</v>
      </c>
      <c r="AO19" s="165" t="str">
        <f>楚雄!AK10</f>
        <v>海拔2381，N24°31′64.48″ E101°04′07.50″</v>
      </c>
      <c r="AP19" s="263">
        <v>20</v>
      </c>
      <c r="AQ19" s="209">
        <f>楚雄!AM10</f>
        <v>0</v>
      </c>
      <c r="AR19" s="295" t="str">
        <f>楚雄!AN10</f>
        <v>NA</v>
      </c>
      <c r="AS19" s="199" t="str">
        <f>楚雄!AO10</f>
        <v>532301197308203112</v>
      </c>
      <c r="AT19" s="199" t="str">
        <f>楚雄!AP10</f>
        <v>13987884167</v>
      </c>
    </row>
    <row r="20" spans="1:46">
      <c r="A20" t="s">
        <v>1925</v>
      </c>
      <c r="B20" s="202" t="str">
        <f>VLOOKUP(A20,databases!$A$2:$B$7, 2, FALSE)</f>
        <v>ChuXiong</v>
      </c>
      <c r="C20" s="165" t="str">
        <f>楚雄!B11</f>
        <v>王平昌</v>
      </c>
      <c r="D20" s="202" t="str">
        <f>VLOOKUP(C20,databases!$D$2:$E$145, 2, FALSE)</f>
        <v>R85</v>
      </c>
      <c r="E20" s="259">
        <f>INDEX(sample_database!$B$2:$B$506,MATCH(F20,sample_database!$L$2:$L$506,0))</f>
        <v>40</v>
      </c>
      <c r="F20" s="202" t="str">
        <f>楚雄!A11</f>
        <v>CX10</v>
      </c>
      <c r="G20" s="257">
        <f>楚雄!C11</f>
        <v>7</v>
      </c>
      <c r="H20" s="257">
        <f>楚雄!D11</f>
        <v>0</v>
      </c>
      <c r="I20" s="202">
        <f>楚雄!E11</f>
        <v>18</v>
      </c>
      <c r="J20" s="202">
        <f>楚雄!F11</f>
        <v>4</v>
      </c>
      <c r="K20" s="202">
        <f>楚雄!G11</f>
        <v>2</v>
      </c>
      <c r="L20" s="202">
        <f>楚雄!H11</f>
        <v>3</v>
      </c>
      <c r="M20" s="202">
        <f>楚雄!I11</f>
        <v>2</v>
      </c>
      <c r="N20" s="202">
        <f>楚雄!J11</f>
        <v>3</v>
      </c>
      <c r="O20" s="202">
        <f>楚雄!K11</f>
        <v>2</v>
      </c>
      <c r="P20" s="202">
        <f>楚雄!L11</f>
        <v>2</v>
      </c>
      <c r="Q20" s="202">
        <f>楚雄!M11</f>
        <v>0</v>
      </c>
      <c r="R20" s="202">
        <f>楚雄!N11</f>
        <v>0</v>
      </c>
      <c r="S20" s="202">
        <f>楚雄!O11</f>
        <v>0</v>
      </c>
      <c r="T20" s="202">
        <f>楚雄!P11</f>
        <v>0</v>
      </c>
      <c r="U20" s="202">
        <f>楚雄!Q11</f>
        <v>0</v>
      </c>
      <c r="V20" s="202">
        <f>楚雄!R11</f>
        <v>0</v>
      </c>
      <c r="W20" s="202">
        <f>楚雄!S11</f>
        <v>0</v>
      </c>
      <c r="X20" s="202">
        <f>楚雄!T11</f>
        <v>0</v>
      </c>
      <c r="Y20" s="202">
        <f>楚雄!U11</f>
        <v>0</v>
      </c>
      <c r="Z20" s="202">
        <f>楚雄!V11</f>
        <v>0</v>
      </c>
      <c r="AA20" s="202">
        <f>楚雄!W11</f>
        <v>0</v>
      </c>
      <c r="AB20" s="202">
        <f>楚雄!X11</f>
        <v>0</v>
      </c>
      <c r="AC20" s="202">
        <f>楚雄!Y11</f>
        <v>0</v>
      </c>
      <c r="AD20" s="202">
        <f>楚雄!Z11</f>
        <v>0</v>
      </c>
      <c r="AE20" s="202">
        <f>楚雄!AA11</f>
        <v>0</v>
      </c>
      <c r="AF20" s="202">
        <f>楚雄!AB11</f>
        <v>0</v>
      </c>
      <c r="AG20" s="202">
        <f>楚雄!AC11</f>
        <v>0</v>
      </c>
      <c r="AH20" s="202">
        <f>楚雄!AD11</f>
        <v>0</v>
      </c>
      <c r="AI20" s="202">
        <f>楚雄!AE11</f>
        <v>0</v>
      </c>
      <c r="AJ20" s="202">
        <f>楚雄!AF11</f>
        <v>0</v>
      </c>
      <c r="AK20" s="165" t="str">
        <f>楚雄!AG11</f>
        <v>德波箐大中山村</v>
      </c>
      <c r="AL20" s="165" t="str">
        <f>楚雄!AH11</f>
        <v>20160726-0731</v>
      </c>
      <c r="AM20" s="165">
        <f>楚雄!AI11</f>
        <v>0</v>
      </c>
      <c r="AN20" s="165">
        <f>楚雄!AJ11</f>
        <v>0</v>
      </c>
      <c r="AO20" s="165" t="str">
        <f>楚雄!AK11</f>
        <v>海拔2400，N24°33′44.62″ E101°03′32.68″</v>
      </c>
      <c r="AP20" s="263">
        <v>15</v>
      </c>
      <c r="AQ20" s="209">
        <f>楚雄!AM11</f>
        <v>0</v>
      </c>
      <c r="AR20" s="295" t="str">
        <f>楚雄!AN11</f>
        <v>NA</v>
      </c>
      <c r="AS20" s="199" t="str">
        <f>楚雄!AO11</f>
        <v>532301197308203112</v>
      </c>
      <c r="AT20" s="199" t="str">
        <f>楚雄!AP11</f>
        <v>13987884167</v>
      </c>
    </row>
    <row r="21" spans="1:46">
      <c r="A21" t="s">
        <v>1925</v>
      </c>
      <c r="B21" s="202" t="str">
        <f>VLOOKUP(A21,databases!$A$2:$B$7, 2, FALSE)</f>
        <v>ChuXiong</v>
      </c>
      <c r="C21" s="165" t="str">
        <f>楚雄!B17</f>
        <v>罗荣</v>
      </c>
      <c r="D21" s="202" t="str">
        <f>VLOOKUP(C21,databases!$D$2:$E$145, 2, FALSE)</f>
        <v>R113</v>
      </c>
      <c r="E21" s="259">
        <f>INDEX(sample_database!$B$2:$B$506,MATCH(F21,sample_database!$L$2:$L$506,0))</f>
        <v>39</v>
      </c>
      <c r="F21" s="202" t="str">
        <f>楚雄!A17</f>
        <v>CX16</v>
      </c>
      <c r="G21" s="257">
        <f>楚雄!C17</f>
        <v>0</v>
      </c>
      <c r="H21" s="257">
        <f>楚雄!D17</f>
        <v>7</v>
      </c>
      <c r="I21" s="202">
        <f>楚雄!E17</f>
        <v>14</v>
      </c>
      <c r="J21" s="202">
        <f>楚雄!F17</f>
        <v>1</v>
      </c>
      <c r="K21" s="202">
        <f>楚雄!G17</f>
        <v>1</v>
      </c>
      <c r="L21" s="202">
        <f>楚雄!H17</f>
        <v>1</v>
      </c>
      <c r="M21" s="202">
        <f>楚雄!I17</f>
        <v>1</v>
      </c>
      <c r="N21" s="202">
        <f>楚雄!J17</f>
        <v>3</v>
      </c>
      <c r="O21" s="202">
        <f>楚雄!K17</f>
        <v>3</v>
      </c>
      <c r="P21" s="202">
        <f>楚雄!L17</f>
        <v>4</v>
      </c>
      <c r="Q21" s="202">
        <f>楚雄!M17</f>
        <v>0</v>
      </c>
      <c r="R21" s="202">
        <f>楚雄!N17</f>
        <v>0</v>
      </c>
      <c r="S21" s="202">
        <f>楚雄!O17</f>
        <v>0</v>
      </c>
      <c r="T21" s="202">
        <f>楚雄!P17</f>
        <v>0</v>
      </c>
      <c r="U21" s="202">
        <f>楚雄!Q17</f>
        <v>0</v>
      </c>
      <c r="V21" s="202">
        <f>楚雄!R17</f>
        <v>0</v>
      </c>
      <c r="W21" s="202">
        <f>楚雄!S17</f>
        <v>0</v>
      </c>
      <c r="X21" s="202">
        <f>楚雄!T17</f>
        <v>0</v>
      </c>
      <c r="Y21" s="202">
        <f>楚雄!U17</f>
        <v>0</v>
      </c>
      <c r="Z21" s="202">
        <f>楚雄!V17</f>
        <v>0</v>
      </c>
      <c r="AA21" s="202">
        <f>楚雄!W17</f>
        <v>0</v>
      </c>
      <c r="AB21" s="202">
        <f>楚雄!X17</f>
        <v>0</v>
      </c>
      <c r="AC21" s="202">
        <f>楚雄!Y17</f>
        <v>0</v>
      </c>
      <c r="AD21" s="202">
        <f>楚雄!Z17</f>
        <v>0</v>
      </c>
      <c r="AE21" s="202">
        <f>楚雄!AA17</f>
        <v>0</v>
      </c>
      <c r="AF21" s="202">
        <f>楚雄!AB17</f>
        <v>0</v>
      </c>
      <c r="AG21" s="202">
        <f>楚雄!AC17</f>
        <v>0</v>
      </c>
      <c r="AH21" s="202">
        <f>楚雄!AD17</f>
        <v>0</v>
      </c>
      <c r="AI21" s="202">
        <f>楚雄!AE17</f>
        <v>0</v>
      </c>
      <c r="AJ21" s="202">
        <f>楚雄!AF17</f>
        <v>0</v>
      </c>
      <c r="AK21" s="165" t="str">
        <f>楚雄!AG17</f>
        <v>楚雄西舍路朵苴村</v>
      </c>
      <c r="AL21" s="165" t="str">
        <f>楚雄!AH17</f>
        <v>20160703</v>
      </c>
      <c r="AM21" s="165">
        <f>楚雄!AI17</f>
        <v>0</v>
      </c>
      <c r="AN21" s="165">
        <f>楚雄!AJ17</f>
        <v>0</v>
      </c>
      <c r="AO21" s="165" t="str">
        <f>楚雄!AK17</f>
        <v>N24°35′79.37″ E101°04′65.37″</v>
      </c>
      <c r="AP21" s="263">
        <v>3</v>
      </c>
      <c r="AQ21" s="209">
        <f>楚雄!AM17</f>
        <v>0</v>
      </c>
      <c r="AR21" s="295" t="str">
        <f>楚雄!AN17</f>
        <v>NA</v>
      </c>
      <c r="AS21" s="199" t="str">
        <f>楚雄!AO17</f>
        <v>532301198403063132</v>
      </c>
      <c r="AT21" s="199" t="str">
        <f>楚雄!AP17</f>
        <v>18287842698</v>
      </c>
    </row>
    <row r="22" spans="1:46">
      <c r="A22" t="s">
        <v>1925</v>
      </c>
      <c r="B22" s="202" t="str">
        <f>VLOOKUP(A22,databases!$A$2:$B$7, 2, FALSE)</f>
        <v>ChuXiong</v>
      </c>
      <c r="C22" s="165" t="str">
        <f>楚雄!B18</f>
        <v>罗荣</v>
      </c>
      <c r="D22" s="202" t="str">
        <f>VLOOKUP(C22,databases!$D$2:$E$145, 2, FALSE)</f>
        <v>R113</v>
      </c>
      <c r="E22" s="259">
        <f>INDEX(sample_database!$B$2:$B$506,MATCH(F22,sample_database!$L$2:$L$506,0))</f>
        <v>39</v>
      </c>
      <c r="F22" s="202" t="str">
        <f>楚雄!A18</f>
        <v>CX17</v>
      </c>
      <c r="G22" s="257">
        <f>楚雄!C18</f>
        <v>7</v>
      </c>
      <c r="H22" s="257">
        <f>楚雄!D18</f>
        <v>0</v>
      </c>
      <c r="I22" s="202">
        <f>楚雄!E18</f>
        <v>32</v>
      </c>
      <c r="J22" s="202">
        <f>楚雄!F18</f>
        <v>2</v>
      </c>
      <c r="K22" s="202">
        <f>楚雄!G18</f>
        <v>3</v>
      </c>
      <c r="L22" s="202">
        <f>楚雄!H18</f>
        <v>2</v>
      </c>
      <c r="M22" s="202">
        <f>楚雄!I18</f>
        <v>3</v>
      </c>
      <c r="N22" s="202">
        <f>楚雄!J18</f>
        <v>8</v>
      </c>
      <c r="O22" s="202">
        <f>楚雄!K18</f>
        <v>4</v>
      </c>
      <c r="P22" s="202">
        <f>楚雄!L18</f>
        <v>10</v>
      </c>
      <c r="Q22" s="202">
        <f>楚雄!M18</f>
        <v>0</v>
      </c>
      <c r="R22" s="202">
        <f>楚雄!N18</f>
        <v>0</v>
      </c>
      <c r="S22" s="202">
        <f>楚雄!O18</f>
        <v>0</v>
      </c>
      <c r="T22" s="202">
        <f>楚雄!P18</f>
        <v>0</v>
      </c>
      <c r="U22" s="202">
        <f>楚雄!Q18</f>
        <v>0</v>
      </c>
      <c r="V22" s="202">
        <f>楚雄!R18</f>
        <v>0</v>
      </c>
      <c r="W22" s="202">
        <f>楚雄!S18</f>
        <v>0</v>
      </c>
      <c r="X22" s="202">
        <f>楚雄!T18</f>
        <v>0</v>
      </c>
      <c r="Y22" s="202">
        <f>楚雄!U18</f>
        <v>0</v>
      </c>
      <c r="Z22" s="202">
        <f>楚雄!V18</f>
        <v>0</v>
      </c>
      <c r="AA22" s="202">
        <f>楚雄!W18</f>
        <v>0</v>
      </c>
      <c r="AB22" s="202">
        <f>楚雄!X18</f>
        <v>0</v>
      </c>
      <c r="AC22" s="202">
        <f>楚雄!Y18</f>
        <v>0</v>
      </c>
      <c r="AD22" s="202">
        <f>楚雄!Z18</f>
        <v>0</v>
      </c>
      <c r="AE22" s="202">
        <f>楚雄!AA18</f>
        <v>0</v>
      </c>
      <c r="AF22" s="202">
        <f>楚雄!AB18</f>
        <v>0</v>
      </c>
      <c r="AG22" s="202">
        <f>楚雄!AC18</f>
        <v>0</v>
      </c>
      <c r="AH22" s="202">
        <f>楚雄!AD18</f>
        <v>0</v>
      </c>
      <c r="AI22" s="202">
        <f>楚雄!AE18</f>
        <v>0</v>
      </c>
      <c r="AJ22" s="202">
        <f>楚雄!AF18</f>
        <v>0</v>
      </c>
      <c r="AK22" s="165" t="str">
        <f>楚雄!AG18</f>
        <v>楚雄西舍路朵苴村</v>
      </c>
      <c r="AL22" s="165" t="str">
        <f>楚雄!AH18</f>
        <v>20160703</v>
      </c>
      <c r="AM22" s="165">
        <f>楚雄!AI18</f>
        <v>0</v>
      </c>
      <c r="AN22" s="165">
        <f>楚雄!AJ18</f>
        <v>0</v>
      </c>
      <c r="AO22" s="165" t="str">
        <f>楚雄!AK18</f>
        <v>海拔2548，N24°34′75.27″ E101°02′32.26″</v>
      </c>
      <c r="AP22" s="263">
        <v>5</v>
      </c>
      <c r="AQ22" s="209">
        <f>楚雄!AM18</f>
        <v>0</v>
      </c>
      <c r="AR22" s="295" t="str">
        <f>楚雄!AN18</f>
        <v>NA</v>
      </c>
      <c r="AS22" s="199" t="str">
        <f>楚雄!AO18</f>
        <v>532301198403063132</v>
      </c>
      <c r="AT22" s="199" t="str">
        <f>楚雄!AP18</f>
        <v>18287842698</v>
      </c>
    </row>
    <row r="23" spans="1:46">
      <c r="A23" t="s">
        <v>1925</v>
      </c>
      <c r="B23" s="202" t="str">
        <f>VLOOKUP(A23,databases!$A$2:$B$7, 2, FALSE)</f>
        <v>ChuXiong</v>
      </c>
      <c r="C23" s="165" t="str">
        <f>楚雄!B19</f>
        <v>罗荣</v>
      </c>
      <c r="D23" s="202" t="str">
        <f>VLOOKUP(C23,databases!$D$2:$E$145, 2, FALSE)</f>
        <v>R113</v>
      </c>
      <c r="E23" s="259">
        <f>INDEX(sample_database!$B$2:$B$506,MATCH(F23,sample_database!$L$2:$L$506,0))</f>
        <v>39</v>
      </c>
      <c r="F23" s="202" t="str">
        <f>楚雄!A19</f>
        <v>CX18</v>
      </c>
      <c r="G23" s="257">
        <f>楚雄!C19</f>
        <v>8</v>
      </c>
      <c r="H23" s="257">
        <f>楚雄!D19</f>
        <v>0</v>
      </c>
      <c r="I23" s="202">
        <f>楚雄!E19</f>
        <v>19</v>
      </c>
      <c r="J23" s="202">
        <f>楚雄!F19</f>
        <v>1</v>
      </c>
      <c r="K23" s="202">
        <f>楚雄!G19</f>
        <v>1</v>
      </c>
      <c r="L23" s="202">
        <f>楚雄!H19</f>
        <v>1</v>
      </c>
      <c r="M23" s="202">
        <f>楚雄!I19</f>
        <v>2</v>
      </c>
      <c r="N23" s="202">
        <f>楚雄!J19</f>
        <v>2</v>
      </c>
      <c r="O23" s="202">
        <f>楚雄!K19</f>
        <v>3</v>
      </c>
      <c r="P23" s="202">
        <f>楚雄!L19</f>
        <v>4</v>
      </c>
      <c r="Q23" s="202">
        <f>楚雄!M19</f>
        <v>5</v>
      </c>
      <c r="R23" s="202">
        <f>楚雄!N19</f>
        <v>0</v>
      </c>
      <c r="S23" s="202">
        <f>楚雄!O19</f>
        <v>0</v>
      </c>
      <c r="T23" s="202">
        <f>楚雄!P19</f>
        <v>0</v>
      </c>
      <c r="U23" s="202">
        <f>楚雄!Q19</f>
        <v>0</v>
      </c>
      <c r="V23" s="202">
        <f>楚雄!R19</f>
        <v>0</v>
      </c>
      <c r="W23" s="202">
        <f>楚雄!S19</f>
        <v>0</v>
      </c>
      <c r="X23" s="202">
        <f>楚雄!T19</f>
        <v>0</v>
      </c>
      <c r="Y23" s="202">
        <f>楚雄!U19</f>
        <v>0</v>
      </c>
      <c r="Z23" s="202">
        <f>楚雄!V19</f>
        <v>0</v>
      </c>
      <c r="AA23" s="202">
        <f>楚雄!W19</f>
        <v>0</v>
      </c>
      <c r="AB23" s="202">
        <f>楚雄!X19</f>
        <v>0</v>
      </c>
      <c r="AC23" s="202">
        <f>楚雄!Y19</f>
        <v>0</v>
      </c>
      <c r="AD23" s="202">
        <f>楚雄!Z19</f>
        <v>0</v>
      </c>
      <c r="AE23" s="202">
        <f>楚雄!AA19</f>
        <v>0</v>
      </c>
      <c r="AF23" s="202">
        <f>楚雄!AB19</f>
        <v>0</v>
      </c>
      <c r="AG23" s="202">
        <f>楚雄!AC19</f>
        <v>0</v>
      </c>
      <c r="AH23" s="202">
        <f>楚雄!AD19</f>
        <v>0</v>
      </c>
      <c r="AI23" s="202">
        <f>楚雄!AE19</f>
        <v>0</v>
      </c>
      <c r="AJ23" s="202">
        <f>楚雄!AF19</f>
        <v>0</v>
      </c>
      <c r="AK23" s="165" t="str">
        <f>楚雄!AG19</f>
        <v>楚雄西舍路朵苴村</v>
      </c>
      <c r="AL23" s="165" t="str">
        <f>楚雄!AH19</f>
        <v>20160703</v>
      </c>
      <c r="AM23" s="165">
        <f>楚雄!AI19</f>
        <v>0</v>
      </c>
      <c r="AN23" s="165">
        <f>楚雄!AJ19</f>
        <v>0</v>
      </c>
      <c r="AO23" s="165" t="str">
        <f>楚雄!AK19</f>
        <v>海拔2534，N24°34′70.14″ E101°02′22.92″</v>
      </c>
      <c r="AP23" s="263">
        <v>4</v>
      </c>
      <c r="AQ23" s="209">
        <f>楚雄!AM19</f>
        <v>0</v>
      </c>
      <c r="AR23" s="295" t="str">
        <f>楚雄!AN19</f>
        <v>NA</v>
      </c>
      <c r="AS23" s="199" t="str">
        <f>楚雄!AO19</f>
        <v>532301198403063132</v>
      </c>
      <c r="AT23" s="199" t="str">
        <f>楚雄!AP19</f>
        <v>18287842698</v>
      </c>
    </row>
    <row r="24" spans="1:46">
      <c r="A24" t="s">
        <v>1925</v>
      </c>
      <c r="B24" s="202" t="str">
        <f>VLOOKUP(A24,databases!$A$2:$B$7, 2, FALSE)</f>
        <v>ChuXiong</v>
      </c>
      <c r="C24" s="165" t="str">
        <f>楚雄!B20</f>
        <v>罗荣</v>
      </c>
      <c r="D24" s="202" t="str">
        <f>VLOOKUP(C24,databases!$D$2:$E$145, 2, FALSE)</f>
        <v>R113</v>
      </c>
      <c r="E24" s="259">
        <f>INDEX(sample_database!$B$2:$B$506,MATCH(F24,sample_database!$L$2:$L$506,0))</f>
        <v>39</v>
      </c>
      <c r="F24" s="202" t="str">
        <f>楚雄!A20</f>
        <v>CX19</v>
      </c>
      <c r="G24" s="257">
        <f>楚雄!C20</f>
        <v>6</v>
      </c>
      <c r="H24" s="257">
        <f>楚雄!D20</f>
        <v>0</v>
      </c>
      <c r="I24" s="202">
        <f>楚雄!E20</f>
        <v>31</v>
      </c>
      <c r="J24" s="202">
        <f>楚雄!F20</f>
        <v>6</v>
      </c>
      <c r="K24" s="202">
        <f>楚雄!G20</f>
        <v>4</v>
      </c>
      <c r="L24" s="202">
        <f>楚雄!H20</f>
        <v>2</v>
      </c>
      <c r="M24" s="202">
        <f>楚雄!I20</f>
        <v>3</v>
      </c>
      <c r="N24" s="202">
        <f>楚雄!J20</f>
        <v>7</v>
      </c>
      <c r="O24" s="202">
        <f>楚雄!K20</f>
        <v>9</v>
      </c>
      <c r="P24" s="202">
        <f>楚雄!L20</f>
        <v>0</v>
      </c>
      <c r="Q24" s="202">
        <f>楚雄!M20</f>
        <v>0</v>
      </c>
      <c r="R24" s="202">
        <f>楚雄!N20</f>
        <v>0</v>
      </c>
      <c r="S24" s="202">
        <f>楚雄!O20</f>
        <v>0</v>
      </c>
      <c r="T24" s="202">
        <f>楚雄!P20</f>
        <v>0</v>
      </c>
      <c r="U24" s="202">
        <f>楚雄!Q20</f>
        <v>0</v>
      </c>
      <c r="V24" s="202">
        <f>楚雄!R20</f>
        <v>0</v>
      </c>
      <c r="W24" s="202">
        <f>楚雄!S20</f>
        <v>0</v>
      </c>
      <c r="X24" s="202">
        <f>楚雄!T20</f>
        <v>0</v>
      </c>
      <c r="Y24" s="202">
        <f>楚雄!U20</f>
        <v>0</v>
      </c>
      <c r="Z24" s="202">
        <f>楚雄!V20</f>
        <v>0</v>
      </c>
      <c r="AA24" s="202">
        <f>楚雄!W20</f>
        <v>0</v>
      </c>
      <c r="AB24" s="202">
        <f>楚雄!X20</f>
        <v>0</v>
      </c>
      <c r="AC24" s="202">
        <f>楚雄!Y20</f>
        <v>0</v>
      </c>
      <c r="AD24" s="202">
        <f>楚雄!Z20</f>
        <v>0</v>
      </c>
      <c r="AE24" s="202">
        <f>楚雄!AA20</f>
        <v>0</v>
      </c>
      <c r="AF24" s="202">
        <f>楚雄!AB20</f>
        <v>0</v>
      </c>
      <c r="AG24" s="202">
        <f>楚雄!AC20</f>
        <v>0</v>
      </c>
      <c r="AH24" s="202">
        <f>楚雄!AD20</f>
        <v>0</v>
      </c>
      <c r="AI24" s="202">
        <f>楚雄!AE20</f>
        <v>0</v>
      </c>
      <c r="AJ24" s="202">
        <f>楚雄!AF20</f>
        <v>0</v>
      </c>
      <c r="AK24" s="165" t="str">
        <f>楚雄!AG20</f>
        <v>楚雄西舍路朵苴村</v>
      </c>
      <c r="AL24" s="165" t="str">
        <f>楚雄!AH20</f>
        <v>20160703</v>
      </c>
      <c r="AM24" s="165">
        <f>楚雄!AI20</f>
        <v>0</v>
      </c>
      <c r="AN24" s="165">
        <f>楚雄!AJ20</f>
        <v>0</v>
      </c>
      <c r="AO24" s="165" t="str">
        <f>楚雄!AK20</f>
        <v>海拔2541，N24°34′77.04″ E101°02′38.27″</v>
      </c>
      <c r="AP24" s="263">
        <v>6</v>
      </c>
      <c r="AQ24" s="209">
        <f>楚雄!AM20</f>
        <v>0</v>
      </c>
      <c r="AR24" s="295" t="str">
        <f>楚雄!AN20</f>
        <v>NA</v>
      </c>
      <c r="AS24" s="199" t="str">
        <f>楚雄!AO20</f>
        <v>532301198403063132</v>
      </c>
      <c r="AT24" s="199" t="str">
        <f>楚雄!AP20</f>
        <v>18287842698</v>
      </c>
    </row>
    <row r="25" spans="1:46">
      <c r="A25" t="s">
        <v>1925</v>
      </c>
      <c r="B25" s="202" t="str">
        <f>VLOOKUP(A25,databases!$A$2:$B$7, 2, FALSE)</f>
        <v>ChuXiong</v>
      </c>
      <c r="C25" s="165" t="str">
        <f>楚雄!B21</f>
        <v>罗荣</v>
      </c>
      <c r="D25" s="202" t="str">
        <f>VLOOKUP(C25,databases!$D$2:$E$145, 2, FALSE)</f>
        <v>R113</v>
      </c>
      <c r="E25" s="259">
        <f>INDEX(sample_database!$B$2:$B$506,MATCH(F25,sample_database!$L$2:$L$506,0))</f>
        <v>39</v>
      </c>
      <c r="F25" s="202" t="str">
        <f>楚雄!A21</f>
        <v>CX20</v>
      </c>
      <c r="G25" s="257">
        <f>楚雄!C21</f>
        <v>5</v>
      </c>
      <c r="H25" s="257">
        <f>楚雄!D21</f>
        <v>0</v>
      </c>
      <c r="I25" s="202">
        <f>楚雄!E21</f>
        <v>13</v>
      </c>
      <c r="J25" s="202">
        <f>楚雄!F21</f>
        <v>2</v>
      </c>
      <c r="K25" s="202">
        <f>楚雄!G21</f>
        <v>2</v>
      </c>
      <c r="L25" s="202">
        <f>楚雄!H21</f>
        <v>3</v>
      </c>
      <c r="M25" s="202">
        <f>楚雄!I21</f>
        <v>3</v>
      </c>
      <c r="N25" s="202">
        <f>楚雄!J21</f>
        <v>3</v>
      </c>
      <c r="O25" s="202">
        <f>楚雄!K21</f>
        <v>0</v>
      </c>
      <c r="P25" s="202">
        <f>楚雄!L21</f>
        <v>0</v>
      </c>
      <c r="Q25" s="202">
        <f>楚雄!M21</f>
        <v>0</v>
      </c>
      <c r="R25" s="202">
        <f>楚雄!N21</f>
        <v>0</v>
      </c>
      <c r="S25" s="202">
        <f>楚雄!O21</f>
        <v>0</v>
      </c>
      <c r="T25" s="202">
        <f>楚雄!P21</f>
        <v>0</v>
      </c>
      <c r="U25" s="202">
        <f>楚雄!Q21</f>
        <v>0</v>
      </c>
      <c r="V25" s="202">
        <f>楚雄!R21</f>
        <v>0</v>
      </c>
      <c r="W25" s="202">
        <f>楚雄!S21</f>
        <v>0</v>
      </c>
      <c r="X25" s="202">
        <f>楚雄!T21</f>
        <v>0</v>
      </c>
      <c r="Y25" s="202">
        <f>楚雄!U21</f>
        <v>0</v>
      </c>
      <c r="Z25" s="202">
        <f>楚雄!V21</f>
        <v>0</v>
      </c>
      <c r="AA25" s="202">
        <f>楚雄!W21</f>
        <v>0</v>
      </c>
      <c r="AB25" s="202">
        <f>楚雄!X21</f>
        <v>0</v>
      </c>
      <c r="AC25" s="202">
        <f>楚雄!Y21</f>
        <v>0</v>
      </c>
      <c r="AD25" s="202">
        <f>楚雄!Z21</f>
        <v>0</v>
      </c>
      <c r="AE25" s="202">
        <f>楚雄!AA21</f>
        <v>0</v>
      </c>
      <c r="AF25" s="202">
        <f>楚雄!AB21</f>
        <v>0</v>
      </c>
      <c r="AG25" s="202">
        <f>楚雄!AC21</f>
        <v>0</v>
      </c>
      <c r="AH25" s="202">
        <f>楚雄!AD21</f>
        <v>0</v>
      </c>
      <c r="AI25" s="202">
        <f>楚雄!AE21</f>
        <v>0</v>
      </c>
      <c r="AJ25" s="202">
        <f>楚雄!AF21</f>
        <v>0</v>
      </c>
      <c r="AK25" s="165" t="str">
        <f>楚雄!AG21</f>
        <v>楚雄西舍路朵苴村</v>
      </c>
      <c r="AL25" s="165" t="str">
        <f>楚雄!AH21</f>
        <v>20160703</v>
      </c>
      <c r="AM25" s="165">
        <f>楚雄!AI21</f>
        <v>0</v>
      </c>
      <c r="AN25" s="165">
        <f>楚雄!AJ21</f>
        <v>0</v>
      </c>
      <c r="AO25" s="165" t="str">
        <f>楚雄!AK21</f>
        <v>海拔2542，N24°34′73.75″ E101°02′14.18″</v>
      </c>
      <c r="AP25" s="263">
        <v>4</v>
      </c>
      <c r="AQ25" s="209">
        <f>楚雄!AM21</f>
        <v>0</v>
      </c>
      <c r="AR25" s="295" t="str">
        <f>楚雄!AN21</f>
        <v>NA</v>
      </c>
      <c r="AS25" s="199" t="str">
        <f>楚雄!AO21</f>
        <v>532301198403063132</v>
      </c>
      <c r="AT25" s="199" t="str">
        <f>楚雄!AP21</f>
        <v>18287842698</v>
      </c>
    </row>
    <row r="26" spans="1:46">
      <c r="A26" t="s">
        <v>1925</v>
      </c>
      <c r="B26" s="202" t="str">
        <f>VLOOKUP(A26,databases!$A$2:$B$7, 2, FALSE)</f>
        <v>ChuXiong</v>
      </c>
      <c r="C26" s="165" t="str">
        <f>楚雄!B36</f>
        <v>茶建成</v>
      </c>
      <c r="D26" s="202" t="str">
        <f>VLOOKUP(C26,databases!$D$2:$E$145, 2, FALSE)</f>
        <v>R119</v>
      </c>
      <c r="E26" s="259">
        <f>INDEX(sample_database!$B$2:$B$506,MATCH(F26,sample_database!$L$2:$L$506,0))</f>
        <v>37</v>
      </c>
      <c r="F26" s="202" t="str">
        <f>楚雄!A36</f>
        <v>CX35</v>
      </c>
      <c r="G26" s="257">
        <f>楚雄!C36</f>
        <v>0</v>
      </c>
      <c r="H26" s="257">
        <f>楚雄!D36</f>
        <v>8</v>
      </c>
      <c r="I26" s="202">
        <f>楚雄!E36</f>
        <v>22</v>
      </c>
      <c r="J26" s="202">
        <f>楚雄!F36</f>
        <v>2</v>
      </c>
      <c r="K26" s="202">
        <f>楚雄!G36</f>
        <v>2</v>
      </c>
      <c r="L26" s="202">
        <f>楚雄!H36</f>
        <v>3</v>
      </c>
      <c r="M26" s="202">
        <f>楚雄!I36</f>
        <v>3</v>
      </c>
      <c r="N26" s="202">
        <f>楚雄!J36</f>
        <v>3</v>
      </c>
      <c r="O26" s="202">
        <f>楚雄!K36</f>
        <v>3</v>
      </c>
      <c r="P26" s="202">
        <f>楚雄!L36</f>
        <v>3</v>
      </c>
      <c r="Q26" s="202">
        <f>楚雄!M36</f>
        <v>3</v>
      </c>
      <c r="R26" s="202">
        <f>楚雄!N36</f>
        <v>0</v>
      </c>
      <c r="S26" s="202">
        <f>楚雄!O36</f>
        <v>0</v>
      </c>
      <c r="T26" s="202">
        <f>楚雄!P36</f>
        <v>0</v>
      </c>
      <c r="U26" s="202">
        <f>楚雄!Q36</f>
        <v>0</v>
      </c>
      <c r="V26" s="202">
        <f>楚雄!R36</f>
        <v>0</v>
      </c>
      <c r="W26" s="202">
        <f>楚雄!S36</f>
        <v>0</v>
      </c>
      <c r="X26" s="202">
        <f>楚雄!T36</f>
        <v>0</v>
      </c>
      <c r="Y26" s="202">
        <f>楚雄!U36</f>
        <v>0</v>
      </c>
      <c r="Z26" s="202">
        <f>楚雄!V36</f>
        <v>0</v>
      </c>
      <c r="AA26" s="202">
        <f>楚雄!W36</f>
        <v>0</v>
      </c>
      <c r="AB26" s="202">
        <f>楚雄!X36</f>
        <v>0</v>
      </c>
      <c r="AC26" s="202">
        <f>楚雄!Y36</f>
        <v>0</v>
      </c>
      <c r="AD26" s="202">
        <f>楚雄!Z36</f>
        <v>0</v>
      </c>
      <c r="AE26" s="202">
        <f>楚雄!AA36</f>
        <v>0</v>
      </c>
      <c r="AF26" s="202">
        <f>楚雄!AB36</f>
        <v>0</v>
      </c>
      <c r="AG26" s="202">
        <f>楚雄!AC36</f>
        <v>0</v>
      </c>
      <c r="AH26" s="202">
        <f>楚雄!AD36</f>
        <v>0</v>
      </c>
      <c r="AI26" s="202">
        <f>楚雄!AE36</f>
        <v>0</v>
      </c>
      <c r="AJ26" s="202">
        <f>楚雄!AF36</f>
        <v>0</v>
      </c>
      <c r="AK26" s="165" t="str">
        <f>楚雄!AG36</f>
        <v>楚雄西舍路闸上村</v>
      </c>
      <c r="AL26" s="165" t="str">
        <f>楚雄!AH36</f>
        <v>20160705</v>
      </c>
      <c r="AM26" s="165">
        <f>楚雄!AI36</f>
        <v>0</v>
      </c>
      <c r="AN26" s="165">
        <f>楚雄!AJ36</f>
        <v>0</v>
      </c>
      <c r="AO26" s="165" t="str">
        <f>楚雄!AK36</f>
        <v>海拔2612，N24°38′15.00″ E101°00′06.86″</v>
      </c>
      <c r="AP26" s="263">
        <v>0.5</v>
      </c>
      <c r="AQ26" s="209" t="str">
        <f>楚雄!AM36</f>
        <v>PCR FAILED</v>
      </c>
      <c r="AR26" s="295" t="str">
        <f>楚雄!AN36</f>
        <v>NA</v>
      </c>
      <c r="AS26" s="199" t="str">
        <f>楚雄!AO36</f>
        <v>532301198510293110</v>
      </c>
      <c r="AT26" s="199" t="str">
        <f>楚雄!AP36</f>
        <v>15125865578</v>
      </c>
    </row>
    <row r="27" spans="1:46">
      <c r="A27" t="s">
        <v>1925</v>
      </c>
      <c r="B27" s="202" t="str">
        <f>VLOOKUP(A27,databases!$A$2:$B$7, 2, FALSE)</f>
        <v>ChuXiong</v>
      </c>
      <c r="C27" s="165" t="str">
        <f>楚雄!B37</f>
        <v>茶建成</v>
      </c>
      <c r="D27" s="202" t="str">
        <f>VLOOKUP(C27,databases!$D$2:$E$145, 2, FALSE)</f>
        <v>R119</v>
      </c>
      <c r="E27" s="259">
        <f>INDEX(sample_database!$B$2:$B$506,MATCH(F27,sample_database!$L$2:$L$506,0))</f>
        <v>37</v>
      </c>
      <c r="F27" s="202" t="str">
        <f>楚雄!A37</f>
        <v>CX36</v>
      </c>
      <c r="G27" s="257">
        <f>楚雄!C37</f>
        <v>5</v>
      </c>
      <c r="H27" s="257">
        <f>楚雄!D37</f>
        <v>0</v>
      </c>
      <c r="I27" s="202">
        <f>楚雄!E37</f>
        <v>10</v>
      </c>
      <c r="J27" s="202">
        <f>楚雄!F37</f>
        <v>1</v>
      </c>
      <c r="K27" s="202">
        <f>楚雄!G37</f>
        <v>1</v>
      </c>
      <c r="L27" s="202">
        <f>楚雄!H37</f>
        <v>2</v>
      </c>
      <c r="M27" s="202">
        <f>楚雄!I37</f>
        <v>2</v>
      </c>
      <c r="N27" s="202">
        <f>楚雄!J37</f>
        <v>4</v>
      </c>
      <c r="O27" s="202">
        <f>楚雄!K37</f>
        <v>0</v>
      </c>
      <c r="P27" s="202">
        <f>楚雄!L37</f>
        <v>0</v>
      </c>
      <c r="Q27" s="202">
        <f>楚雄!M37</f>
        <v>0</v>
      </c>
      <c r="R27" s="202">
        <f>楚雄!N37</f>
        <v>0</v>
      </c>
      <c r="S27" s="202">
        <f>楚雄!O37</f>
        <v>0</v>
      </c>
      <c r="T27" s="202">
        <f>楚雄!P37</f>
        <v>0</v>
      </c>
      <c r="U27" s="202">
        <f>楚雄!Q37</f>
        <v>0</v>
      </c>
      <c r="V27" s="202">
        <f>楚雄!R37</f>
        <v>0</v>
      </c>
      <c r="W27" s="202">
        <f>楚雄!S37</f>
        <v>0</v>
      </c>
      <c r="X27" s="202">
        <f>楚雄!T37</f>
        <v>0</v>
      </c>
      <c r="Y27" s="202">
        <f>楚雄!U37</f>
        <v>0</v>
      </c>
      <c r="Z27" s="202">
        <f>楚雄!V37</f>
        <v>0</v>
      </c>
      <c r="AA27" s="202">
        <f>楚雄!W37</f>
        <v>0</v>
      </c>
      <c r="AB27" s="202">
        <f>楚雄!X37</f>
        <v>0</v>
      </c>
      <c r="AC27" s="202">
        <f>楚雄!Y37</f>
        <v>0</v>
      </c>
      <c r="AD27" s="202">
        <f>楚雄!Z37</f>
        <v>0</v>
      </c>
      <c r="AE27" s="202">
        <f>楚雄!AA37</f>
        <v>0</v>
      </c>
      <c r="AF27" s="202">
        <f>楚雄!AB37</f>
        <v>0</v>
      </c>
      <c r="AG27" s="202">
        <f>楚雄!AC37</f>
        <v>0</v>
      </c>
      <c r="AH27" s="202">
        <f>楚雄!AD37</f>
        <v>0</v>
      </c>
      <c r="AI27" s="202">
        <f>楚雄!AE37</f>
        <v>0</v>
      </c>
      <c r="AJ27" s="202">
        <f>楚雄!AF37</f>
        <v>0</v>
      </c>
      <c r="AK27" s="165" t="str">
        <f>楚雄!AG37</f>
        <v>楚雄西舍路闸上村</v>
      </c>
      <c r="AL27" s="165" t="str">
        <f>楚雄!AH37</f>
        <v>20160705</v>
      </c>
      <c r="AM27" s="165">
        <f>楚雄!AI37</f>
        <v>0</v>
      </c>
      <c r="AN27" s="165">
        <f>楚雄!AJ37</f>
        <v>0</v>
      </c>
      <c r="AO27" s="165" t="str">
        <f>楚雄!AK37</f>
        <v>海拔2360，N24°39′06.07″ E101°02′82.27″</v>
      </c>
      <c r="AP27" s="263">
        <v>0.5</v>
      </c>
      <c r="AQ27" s="209" t="str">
        <f>楚雄!AM37</f>
        <v>PCR FAILED</v>
      </c>
      <c r="AR27" s="295" t="str">
        <f>楚雄!AN37</f>
        <v>NA</v>
      </c>
      <c r="AS27" s="199" t="str">
        <f>楚雄!AO37</f>
        <v>532301198510293110</v>
      </c>
      <c r="AT27" s="199" t="str">
        <f>楚雄!AP37</f>
        <v>15125865578</v>
      </c>
    </row>
    <row r="28" spans="1:46">
      <c r="A28" t="s">
        <v>1925</v>
      </c>
      <c r="B28" s="202" t="str">
        <f>VLOOKUP(A28,databases!$A$2:$B$7, 2, FALSE)</f>
        <v>ChuXiong</v>
      </c>
      <c r="C28" s="165" t="str">
        <f>楚雄!B38</f>
        <v>茶建成</v>
      </c>
      <c r="D28" s="202" t="str">
        <f>VLOOKUP(C28,databases!$D$2:$E$145, 2, FALSE)</f>
        <v>R119</v>
      </c>
      <c r="E28" s="259">
        <f>INDEX(sample_database!$B$2:$B$506,MATCH(F28,sample_database!$L$2:$L$506,0))</f>
        <v>37</v>
      </c>
      <c r="F28" s="202" t="str">
        <f>楚雄!A38</f>
        <v>CX37</v>
      </c>
      <c r="G28" s="257">
        <f>楚雄!C38</f>
        <v>5</v>
      </c>
      <c r="H28" s="257">
        <f>楚雄!D38</f>
        <v>0</v>
      </c>
      <c r="I28" s="202">
        <f>楚雄!E38</f>
        <v>12</v>
      </c>
      <c r="J28" s="202">
        <f>楚雄!F38</f>
        <v>1</v>
      </c>
      <c r="K28" s="202">
        <f>楚雄!G38</f>
        <v>2</v>
      </c>
      <c r="L28" s="202">
        <f>楚雄!H38</f>
        <v>2</v>
      </c>
      <c r="M28" s="202">
        <f>楚雄!I38</f>
        <v>3</v>
      </c>
      <c r="N28" s="202">
        <f>楚雄!J38</f>
        <v>4</v>
      </c>
      <c r="O28" s="202">
        <f>楚雄!K38</f>
        <v>0</v>
      </c>
      <c r="P28" s="202">
        <f>楚雄!L38</f>
        <v>0</v>
      </c>
      <c r="Q28" s="202">
        <f>楚雄!M38</f>
        <v>0</v>
      </c>
      <c r="R28" s="202">
        <f>楚雄!N38</f>
        <v>0</v>
      </c>
      <c r="S28" s="202">
        <f>楚雄!O38</f>
        <v>0</v>
      </c>
      <c r="T28" s="202">
        <f>楚雄!P38</f>
        <v>0</v>
      </c>
      <c r="U28" s="202">
        <f>楚雄!Q38</f>
        <v>0</v>
      </c>
      <c r="V28" s="202">
        <f>楚雄!R38</f>
        <v>0</v>
      </c>
      <c r="W28" s="202">
        <f>楚雄!S38</f>
        <v>0</v>
      </c>
      <c r="X28" s="202">
        <f>楚雄!T38</f>
        <v>0</v>
      </c>
      <c r="Y28" s="202">
        <f>楚雄!U38</f>
        <v>0</v>
      </c>
      <c r="Z28" s="202">
        <f>楚雄!V38</f>
        <v>0</v>
      </c>
      <c r="AA28" s="202">
        <f>楚雄!W38</f>
        <v>0</v>
      </c>
      <c r="AB28" s="202">
        <f>楚雄!X38</f>
        <v>0</v>
      </c>
      <c r="AC28" s="202">
        <f>楚雄!Y38</f>
        <v>0</v>
      </c>
      <c r="AD28" s="202">
        <f>楚雄!Z38</f>
        <v>0</v>
      </c>
      <c r="AE28" s="202">
        <f>楚雄!AA38</f>
        <v>0</v>
      </c>
      <c r="AF28" s="202">
        <f>楚雄!AB38</f>
        <v>0</v>
      </c>
      <c r="AG28" s="202">
        <f>楚雄!AC38</f>
        <v>0</v>
      </c>
      <c r="AH28" s="202">
        <f>楚雄!AD38</f>
        <v>0</v>
      </c>
      <c r="AI28" s="202">
        <f>楚雄!AE38</f>
        <v>0</v>
      </c>
      <c r="AJ28" s="202">
        <f>楚雄!AF38</f>
        <v>0</v>
      </c>
      <c r="AK28" s="165" t="str">
        <f>楚雄!AG38</f>
        <v>楚雄西舍路闸上村</v>
      </c>
      <c r="AL28" s="165" t="str">
        <f>楚雄!AH38</f>
        <v>20160710</v>
      </c>
      <c r="AM28" s="165">
        <f>楚雄!AI38</f>
        <v>0</v>
      </c>
      <c r="AN28" s="165">
        <f>楚雄!AJ38</f>
        <v>0</v>
      </c>
      <c r="AO28" s="165" t="str">
        <f>楚雄!AK38</f>
        <v>海拔2631，N24°38′15.14″ E101°00′13.71″</v>
      </c>
      <c r="AP28" s="263">
        <v>7.5</v>
      </c>
      <c r="AQ28" s="209">
        <f>楚雄!AM38</f>
        <v>0</v>
      </c>
      <c r="AR28" s="295" t="str">
        <f>楚雄!AN38</f>
        <v>NA</v>
      </c>
      <c r="AS28" s="199" t="str">
        <f>楚雄!AO38</f>
        <v>532301198510293110</v>
      </c>
      <c r="AT28" s="199" t="str">
        <f>楚雄!AP38</f>
        <v>15125865578</v>
      </c>
    </row>
    <row r="29" spans="1:46">
      <c r="A29" t="s">
        <v>1925</v>
      </c>
      <c r="B29" s="202" t="str">
        <f>VLOOKUP(A29,databases!$A$2:$B$7, 2, FALSE)</f>
        <v>ChuXiong</v>
      </c>
      <c r="C29" s="165" t="str">
        <f>楚雄!B39</f>
        <v>茶建成</v>
      </c>
      <c r="D29" s="202" t="str">
        <f>VLOOKUP(C29,databases!$D$2:$E$145, 2, FALSE)</f>
        <v>R119</v>
      </c>
      <c r="E29" s="259">
        <f>INDEX(sample_database!$B$2:$B$506,MATCH(F29,sample_database!$L$2:$L$506,0))</f>
        <v>37</v>
      </c>
      <c r="F29" s="202" t="str">
        <f>楚雄!A39</f>
        <v>CX38</v>
      </c>
      <c r="G29" s="257">
        <f>楚雄!C39</f>
        <v>5</v>
      </c>
      <c r="H29" s="257">
        <f>楚雄!D39</f>
        <v>0</v>
      </c>
      <c r="I29" s="202">
        <f>楚雄!E39</f>
        <v>9</v>
      </c>
      <c r="J29" s="202">
        <f>楚雄!F39</f>
        <v>1</v>
      </c>
      <c r="K29" s="202">
        <f>楚雄!G39</f>
        <v>1</v>
      </c>
      <c r="L29" s="202">
        <f>楚雄!H39</f>
        <v>2</v>
      </c>
      <c r="M29" s="202">
        <f>楚雄!I39</f>
        <v>2</v>
      </c>
      <c r="N29" s="202">
        <f>楚雄!J39</f>
        <v>3</v>
      </c>
      <c r="O29" s="202">
        <f>楚雄!K39</f>
        <v>0</v>
      </c>
      <c r="P29" s="202">
        <f>楚雄!L39</f>
        <v>0</v>
      </c>
      <c r="Q29" s="202">
        <f>楚雄!M39</f>
        <v>0</v>
      </c>
      <c r="R29" s="202">
        <f>楚雄!N39</f>
        <v>0</v>
      </c>
      <c r="S29" s="202">
        <f>楚雄!O39</f>
        <v>0</v>
      </c>
      <c r="T29" s="202">
        <f>楚雄!P39</f>
        <v>0</v>
      </c>
      <c r="U29" s="202">
        <f>楚雄!Q39</f>
        <v>0</v>
      </c>
      <c r="V29" s="202">
        <f>楚雄!R39</f>
        <v>0</v>
      </c>
      <c r="W29" s="202">
        <f>楚雄!S39</f>
        <v>0</v>
      </c>
      <c r="X29" s="202">
        <f>楚雄!T39</f>
        <v>0</v>
      </c>
      <c r="Y29" s="202">
        <f>楚雄!U39</f>
        <v>0</v>
      </c>
      <c r="Z29" s="202">
        <f>楚雄!V39</f>
        <v>0</v>
      </c>
      <c r="AA29" s="202">
        <f>楚雄!W39</f>
        <v>0</v>
      </c>
      <c r="AB29" s="202">
        <f>楚雄!X39</f>
        <v>0</v>
      </c>
      <c r="AC29" s="202">
        <f>楚雄!Y39</f>
        <v>0</v>
      </c>
      <c r="AD29" s="202">
        <f>楚雄!Z39</f>
        <v>0</v>
      </c>
      <c r="AE29" s="202">
        <f>楚雄!AA39</f>
        <v>0</v>
      </c>
      <c r="AF29" s="202">
        <f>楚雄!AB39</f>
        <v>0</v>
      </c>
      <c r="AG29" s="202">
        <f>楚雄!AC39</f>
        <v>0</v>
      </c>
      <c r="AH29" s="202">
        <f>楚雄!AD39</f>
        <v>0</v>
      </c>
      <c r="AI29" s="202">
        <f>楚雄!AE39</f>
        <v>0</v>
      </c>
      <c r="AJ29" s="202">
        <f>楚雄!AF39</f>
        <v>0</v>
      </c>
      <c r="AK29" s="165" t="str">
        <f>楚雄!AG39</f>
        <v>楚雄西舍路闸上村</v>
      </c>
      <c r="AL29" s="165" t="str">
        <f>楚雄!AH39</f>
        <v>20160714</v>
      </c>
      <c r="AM29" s="165">
        <f>楚雄!AI39</f>
        <v>0</v>
      </c>
      <c r="AN29" s="165">
        <f>楚雄!AJ39</f>
        <v>0</v>
      </c>
      <c r="AO29" s="165" t="str">
        <f>楚雄!AK39</f>
        <v>海拔2642，N24°38′15.46″ E101°00′13.73″</v>
      </c>
      <c r="AP29" s="263">
        <v>0.5</v>
      </c>
      <c r="AQ29" s="209" t="str">
        <f>楚雄!AM39</f>
        <v>PCR FAILED</v>
      </c>
      <c r="AR29" s="295" t="str">
        <f>楚雄!AN39</f>
        <v>NA</v>
      </c>
      <c r="AS29" s="199" t="str">
        <f>楚雄!AO39</f>
        <v>532301198510293110</v>
      </c>
      <c r="AT29" s="199" t="str">
        <f>楚雄!AP39</f>
        <v>15125865578</v>
      </c>
    </row>
    <row r="30" spans="1:46">
      <c r="A30" t="s">
        <v>1925</v>
      </c>
      <c r="B30" s="202" t="str">
        <f>VLOOKUP(A30,databases!$A$2:$B$7, 2, FALSE)</f>
        <v>ChuXiong</v>
      </c>
      <c r="C30" s="165" t="str">
        <f>楚雄!B40</f>
        <v>茶建成</v>
      </c>
      <c r="D30" s="202" t="str">
        <f>VLOOKUP(C30,databases!$D$2:$E$145, 2, FALSE)</f>
        <v>R119</v>
      </c>
      <c r="E30" s="259">
        <f>INDEX(sample_database!$B$2:$B$506,MATCH(F30,sample_database!$L$2:$L$506,0))</f>
        <v>37</v>
      </c>
      <c r="F30" s="202" t="str">
        <f>楚雄!A40</f>
        <v>CX39</v>
      </c>
      <c r="G30" s="257">
        <f>楚雄!C40</f>
        <v>5</v>
      </c>
      <c r="H30" s="257">
        <f>楚雄!D40</f>
        <v>0</v>
      </c>
      <c r="I30" s="202">
        <f>楚雄!E40</f>
        <v>8</v>
      </c>
      <c r="J30" s="202">
        <f>楚雄!F40</f>
        <v>1</v>
      </c>
      <c r="K30" s="202">
        <f>楚雄!G40</f>
        <v>1</v>
      </c>
      <c r="L30" s="202">
        <f>楚雄!H40</f>
        <v>1</v>
      </c>
      <c r="M30" s="202">
        <f>楚雄!I40</f>
        <v>2</v>
      </c>
      <c r="N30" s="202">
        <f>楚雄!J40</f>
        <v>3</v>
      </c>
      <c r="O30" s="202">
        <f>楚雄!K40</f>
        <v>0</v>
      </c>
      <c r="P30" s="202">
        <f>楚雄!L40</f>
        <v>0</v>
      </c>
      <c r="Q30" s="202">
        <f>楚雄!M40</f>
        <v>0</v>
      </c>
      <c r="R30" s="202">
        <f>楚雄!N40</f>
        <v>0</v>
      </c>
      <c r="S30" s="202">
        <f>楚雄!O40</f>
        <v>0</v>
      </c>
      <c r="T30" s="202">
        <f>楚雄!P40</f>
        <v>0</v>
      </c>
      <c r="U30" s="202">
        <f>楚雄!Q40</f>
        <v>0</v>
      </c>
      <c r="V30" s="202">
        <f>楚雄!R40</f>
        <v>0</v>
      </c>
      <c r="W30" s="202">
        <f>楚雄!S40</f>
        <v>0</v>
      </c>
      <c r="X30" s="202">
        <f>楚雄!T40</f>
        <v>0</v>
      </c>
      <c r="Y30" s="202">
        <f>楚雄!U40</f>
        <v>0</v>
      </c>
      <c r="Z30" s="202">
        <f>楚雄!V40</f>
        <v>0</v>
      </c>
      <c r="AA30" s="202">
        <f>楚雄!W40</f>
        <v>0</v>
      </c>
      <c r="AB30" s="202">
        <f>楚雄!X40</f>
        <v>0</v>
      </c>
      <c r="AC30" s="202">
        <f>楚雄!Y40</f>
        <v>0</v>
      </c>
      <c r="AD30" s="202">
        <f>楚雄!Z40</f>
        <v>0</v>
      </c>
      <c r="AE30" s="202">
        <f>楚雄!AA40</f>
        <v>0</v>
      </c>
      <c r="AF30" s="202">
        <f>楚雄!AB40</f>
        <v>0</v>
      </c>
      <c r="AG30" s="202">
        <f>楚雄!AC40</f>
        <v>0</v>
      </c>
      <c r="AH30" s="202">
        <f>楚雄!AD40</f>
        <v>0</v>
      </c>
      <c r="AI30" s="202">
        <f>楚雄!AE40</f>
        <v>0</v>
      </c>
      <c r="AJ30" s="202">
        <f>楚雄!AF40</f>
        <v>0</v>
      </c>
      <c r="AK30" s="165" t="str">
        <f>楚雄!AG40</f>
        <v>楚雄西舍路闸上村</v>
      </c>
      <c r="AL30" s="165" t="str">
        <f>楚雄!AH40</f>
        <v>20160718</v>
      </c>
      <c r="AM30" s="165">
        <f>楚雄!AI40</f>
        <v>0</v>
      </c>
      <c r="AN30" s="165">
        <f>楚雄!AJ40</f>
        <v>0</v>
      </c>
      <c r="AO30" s="165" t="str">
        <f>楚雄!AK40</f>
        <v>海拔2680，N24°38′21.54″ E101°00′15.70″</v>
      </c>
      <c r="AP30" s="263">
        <v>0.5</v>
      </c>
      <c r="AQ30" s="209" t="str">
        <f>楚雄!AM40</f>
        <v>PCR FAILED</v>
      </c>
      <c r="AR30" s="295" t="str">
        <f>楚雄!AN40</f>
        <v>NA</v>
      </c>
      <c r="AS30" s="199" t="str">
        <f>楚雄!AO40</f>
        <v>532301198510293110</v>
      </c>
      <c r="AT30" s="199" t="str">
        <f>楚雄!AP40</f>
        <v>15125865578</v>
      </c>
    </row>
    <row r="31" spans="1:46">
      <c r="A31" t="s">
        <v>1925</v>
      </c>
      <c r="B31" s="202" t="str">
        <f>VLOOKUP(A31,databases!$A$2:$B$7, 2, FALSE)</f>
        <v>ChuXiong</v>
      </c>
      <c r="C31" s="165" t="str">
        <f>楚雄!B2</f>
        <v>郭洪富</v>
      </c>
      <c r="D31" s="202" t="str">
        <f>VLOOKUP(C31,databases!$D$2:$E$145, 2, FALSE)</f>
        <v>R127</v>
      </c>
      <c r="E31" s="259">
        <f>INDEX(sample_database!$B$2:$B$506,MATCH(F31,sample_database!$L$2:$L$506,0))</f>
        <v>77</v>
      </c>
      <c r="F31" s="202" t="str">
        <f>楚雄!A2</f>
        <v>CX01</v>
      </c>
      <c r="G31" s="257">
        <f>楚雄!C2</f>
        <v>0</v>
      </c>
      <c r="H31" s="257">
        <f>楚雄!D2</f>
        <v>4</v>
      </c>
      <c r="I31" s="202">
        <f>楚雄!E2</f>
        <v>6</v>
      </c>
      <c r="J31" s="202">
        <f>楚雄!F2</f>
        <v>1</v>
      </c>
      <c r="K31" s="202">
        <f>楚雄!G2</f>
        <v>1</v>
      </c>
      <c r="L31" s="202">
        <f>楚雄!H2</f>
        <v>2</v>
      </c>
      <c r="M31" s="202">
        <f>楚雄!I2</f>
        <v>2</v>
      </c>
      <c r="N31" s="202">
        <f>楚雄!J2</f>
        <v>0</v>
      </c>
      <c r="O31" s="202">
        <f>楚雄!K2</f>
        <v>0</v>
      </c>
      <c r="P31" s="202">
        <f>楚雄!L2</f>
        <v>0</v>
      </c>
      <c r="Q31" s="202">
        <f>楚雄!M2</f>
        <v>0</v>
      </c>
      <c r="R31" s="202">
        <f>楚雄!N2</f>
        <v>0</v>
      </c>
      <c r="S31" s="202">
        <f>楚雄!O2</f>
        <v>0</v>
      </c>
      <c r="T31" s="202">
        <f>楚雄!P2</f>
        <v>0</v>
      </c>
      <c r="U31" s="202">
        <f>楚雄!Q2</f>
        <v>0</v>
      </c>
      <c r="V31" s="202">
        <f>楚雄!R2</f>
        <v>0</v>
      </c>
      <c r="W31" s="202">
        <f>楚雄!S2</f>
        <v>0</v>
      </c>
      <c r="X31" s="202">
        <f>楚雄!T2</f>
        <v>0</v>
      </c>
      <c r="Y31" s="202">
        <f>楚雄!U2</f>
        <v>0</v>
      </c>
      <c r="Z31" s="202">
        <f>楚雄!V2</f>
        <v>0</v>
      </c>
      <c r="AA31" s="202">
        <f>楚雄!W2</f>
        <v>0</v>
      </c>
      <c r="AB31" s="202">
        <f>楚雄!X2</f>
        <v>0</v>
      </c>
      <c r="AC31" s="202">
        <f>楚雄!Y2</f>
        <v>0</v>
      </c>
      <c r="AD31" s="202">
        <f>楚雄!Z2</f>
        <v>0</v>
      </c>
      <c r="AE31" s="202">
        <f>楚雄!AA2</f>
        <v>0</v>
      </c>
      <c r="AF31" s="202">
        <f>楚雄!AB2</f>
        <v>0</v>
      </c>
      <c r="AG31" s="202">
        <f>楚雄!AC2</f>
        <v>0</v>
      </c>
      <c r="AH31" s="202">
        <f>楚雄!AD2</f>
        <v>0</v>
      </c>
      <c r="AI31" s="202">
        <f>楚雄!AE2</f>
        <v>0</v>
      </c>
      <c r="AJ31" s="202">
        <f>楚雄!AF2</f>
        <v>0</v>
      </c>
      <c r="AK31" s="165" t="str">
        <f>楚雄!AG2</f>
        <v>哀牢山国家级自然保护区楚雄管理局保甸管护点</v>
      </c>
      <c r="AL31" s="165" t="str">
        <f>楚雄!AH2</f>
        <v>20160712</v>
      </c>
      <c r="AM31" s="165">
        <f>楚雄!AI2</f>
        <v>0</v>
      </c>
      <c r="AN31" s="165">
        <f>楚雄!AJ2</f>
        <v>0</v>
      </c>
      <c r="AO31" s="165" t="str">
        <f>楚雄!AK2</f>
        <v>N24°40′69.30″ E100°57′16.87″</v>
      </c>
      <c r="AP31" s="263">
        <v>2</v>
      </c>
      <c r="AQ31" s="209">
        <f>楚雄!AM2</f>
        <v>0</v>
      </c>
      <c r="AR31" s="295" t="str">
        <f>楚雄!AN2</f>
        <v>NA</v>
      </c>
      <c r="AS31" s="199" t="str">
        <f>楚雄!AO2</f>
        <v>532301197402203135</v>
      </c>
      <c r="AT31" s="199" t="str">
        <f>楚雄!AP2</f>
        <v>13638744286</v>
      </c>
    </row>
    <row r="32" spans="1:46">
      <c r="A32" t="s">
        <v>1925</v>
      </c>
      <c r="B32" s="202" t="str">
        <f>VLOOKUP(A32,databases!$A$2:$B$7, 2, FALSE)</f>
        <v>ChuXiong</v>
      </c>
      <c r="C32" s="165" t="str">
        <f>楚雄!B3</f>
        <v>郭洪富</v>
      </c>
      <c r="D32" s="202" t="str">
        <f>VLOOKUP(C32,databases!$D$2:$E$145, 2, FALSE)</f>
        <v>R127</v>
      </c>
      <c r="E32" s="259">
        <f>INDEX(sample_database!$B$2:$B$506,MATCH(F32,sample_database!$L$2:$L$506,0))</f>
        <v>77</v>
      </c>
      <c r="F32" s="202" t="str">
        <f>楚雄!A3</f>
        <v>CX02</v>
      </c>
      <c r="G32" s="257">
        <f>楚雄!C3</f>
        <v>3</v>
      </c>
      <c r="H32" s="257">
        <f>楚雄!D3</f>
        <v>0</v>
      </c>
      <c r="I32" s="202">
        <f>楚雄!E3</f>
        <v>7</v>
      </c>
      <c r="J32" s="202">
        <f>楚雄!F3</f>
        <v>4</v>
      </c>
      <c r="K32" s="202">
        <f>楚雄!G3</f>
        <v>1</v>
      </c>
      <c r="L32" s="202">
        <f>楚雄!H3</f>
        <v>2</v>
      </c>
      <c r="M32" s="202">
        <f>楚雄!I3</f>
        <v>0</v>
      </c>
      <c r="N32" s="202">
        <f>楚雄!J3</f>
        <v>0</v>
      </c>
      <c r="O32" s="202">
        <f>楚雄!K3</f>
        <v>0</v>
      </c>
      <c r="P32" s="202">
        <f>楚雄!L3</f>
        <v>0</v>
      </c>
      <c r="Q32" s="202">
        <f>楚雄!M3</f>
        <v>0</v>
      </c>
      <c r="R32" s="202">
        <f>楚雄!N3</f>
        <v>0</v>
      </c>
      <c r="S32" s="202">
        <f>楚雄!O3</f>
        <v>0</v>
      </c>
      <c r="T32" s="202">
        <f>楚雄!P3</f>
        <v>0</v>
      </c>
      <c r="U32" s="202">
        <f>楚雄!Q3</f>
        <v>0</v>
      </c>
      <c r="V32" s="202">
        <f>楚雄!R3</f>
        <v>0</v>
      </c>
      <c r="W32" s="202">
        <f>楚雄!S3</f>
        <v>0</v>
      </c>
      <c r="X32" s="202">
        <f>楚雄!T3</f>
        <v>0</v>
      </c>
      <c r="Y32" s="202">
        <f>楚雄!U3</f>
        <v>0</v>
      </c>
      <c r="Z32" s="202">
        <f>楚雄!V3</f>
        <v>0</v>
      </c>
      <c r="AA32" s="202">
        <f>楚雄!W3</f>
        <v>0</v>
      </c>
      <c r="AB32" s="202">
        <f>楚雄!X3</f>
        <v>0</v>
      </c>
      <c r="AC32" s="202">
        <f>楚雄!Y3</f>
        <v>0</v>
      </c>
      <c r="AD32" s="202">
        <f>楚雄!Z3</f>
        <v>0</v>
      </c>
      <c r="AE32" s="202">
        <f>楚雄!AA3</f>
        <v>0</v>
      </c>
      <c r="AF32" s="202">
        <f>楚雄!AB3</f>
        <v>0</v>
      </c>
      <c r="AG32" s="202">
        <f>楚雄!AC3</f>
        <v>0</v>
      </c>
      <c r="AH32" s="202">
        <f>楚雄!AD3</f>
        <v>0</v>
      </c>
      <c r="AI32" s="202">
        <f>楚雄!AE3</f>
        <v>0</v>
      </c>
      <c r="AJ32" s="202">
        <f>楚雄!AF3</f>
        <v>0</v>
      </c>
      <c r="AK32" s="165" t="str">
        <f>楚雄!AG3</f>
        <v>哀牢山国家级自然保护区楚雄管理局保甸管护点</v>
      </c>
      <c r="AL32" s="165" t="str">
        <f>楚雄!AH3</f>
        <v>20160717</v>
      </c>
      <c r="AM32" s="165">
        <f>楚雄!AI3</f>
        <v>0</v>
      </c>
      <c r="AN32" s="165">
        <f>楚雄!AJ3</f>
        <v>0</v>
      </c>
      <c r="AO32" s="165" t="str">
        <f>楚雄!AK3</f>
        <v>N24°40′24.84″ E100°57′24.07″</v>
      </c>
      <c r="AP32" s="263">
        <v>2</v>
      </c>
      <c r="AQ32" s="209">
        <f>楚雄!AM3</f>
        <v>0</v>
      </c>
      <c r="AR32" s="295" t="str">
        <f>楚雄!AN3</f>
        <v>NA</v>
      </c>
      <c r="AS32" s="199" t="str">
        <f>楚雄!AO3</f>
        <v>532301197402203135</v>
      </c>
      <c r="AT32" s="199" t="str">
        <f>楚雄!AP3</f>
        <v>13638744286</v>
      </c>
    </row>
    <row r="33" spans="1:46">
      <c r="A33" t="s">
        <v>1925</v>
      </c>
      <c r="B33" s="202" t="str">
        <f>VLOOKUP(A33,databases!$A$2:$B$7, 2, FALSE)</f>
        <v>ChuXiong</v>
      </c>
      <c r="C33" s="165" t="str">
        <f>楚雄!B4</f>
        <v>郭洪富</v>
      </c>
      <c r="D33" s="202" t="str">
        <f>VLOOKUP(C33,databases!$D$2:$E$145, 2, FALSE)</f>
        <v>R127</v>
      </c>
      <c r="E33" s="259">
        <f>INDEX(sample_database!$B$2:$B$506,MATCH(F33,sample_database!$L$2:$L$506,0))</f>
        <v>77</v>
      </c>
      <c r="F33" s="202" t="str">
        <f>楚雄!A4</f>
        <v>CX03</v>
      </c>
      <c r="G33" s="257">
        <f>楚雄!C4</f>
        <v>2</v>
      </c>
      <c r="H33" s="257">
        <f>楚雄!D4</f>
        <v>0</v>
      </c>
      <c r="I33" s="202">
        <f>楚雄!E4</f>
        <v>3</v>
      </c>
      <c r="J33" s="202">
        <f>楚雄!F4</f>
        <v>1</v>
      </c>
      <c r="K33" s="202">
        <f>楚雄!G4</f>
        <v>2</v>
      </c>
      <c r="L33" s="202">
        <f>楚雄!H4</f>
        <v>0</v>
      </c>
      <c r="M33" s="202">
        <f>楚雄!I4</f>
        <v>0</v>
      </c>
      <c r="N33" s="202">
        <f>楚雄!J4</f>
        <v>0</v>
      </c>
      <c r="O33" s="202">
        <f>楚雄!K4</f>
        <v>0</v>
      </c>
      <c r="P33" s="202">
        <f>楚雄!L4</f>
        <v>0</v>
      </c>
      <c r="Q33" s="202">
        <f>楚雄!M4</f>
        <v>0</v>
      </c>
      <c r="R33" s="202">
        <f>楚雄!N4</f>
        <v>0</v>
      </c>
      <c r="S33" s="202">
        <f>楚雄!O4</f>
        <v>0</v>
      </c>
      <c r="T33" s="202">
        <f>楚雄!P4</f>
        <v>0</v>
      </c>
      <c r="U33" s="202">
        <f>楚雄!Q4</f>
        <v>0</v>
      </c>
      <c r="V33" s="202">
        <f>楚雄!R4</f>
        <v>0</v>
      </c>
      <c r="W33" s="202">
        <f>楚雄!S4</f>
        <v>0</v>
      </c>
      <c r="X33" s="202">
        <f>楚雄!T4</f>
        <v>0</v>
      </c>
      <c r="Y33" s="202">
        <f>楚雄!U4</f>
        <v>0</v>
      </c>
      <c r="Z33" s="202">
        <f>楚雄!V4</f>
        <v>0</v>
      </c>
      <c r="AA33" s="202">
        <f>楚雄!W4</f>
        <v>0</v>
      </c>
      <c r="AB33" s="202">
        <f>楚雄!X4</f>
        <v>0</v>
      </c>
      <c r="AC33" s="202">
        <f>楚雄!Y4</f>
        <v>0</v>
      </c>
      <c r="AD33" s="202">
        <f>楚雄!Z4</f>
        <v>0</v>
      </c>
      <c r="AE33" s="202">
        <f>楚雄!AA4</f>
        <v>0</v>
      </c>
      <c r="AF33" s="202">
        <f>楚雄!AB4</f>
        <v>0</v>
      </c>
      <c r="AG33" s="202">
        <f>楚雄!AC4</f>
        <v>0</v>
      </c>
      <c r="AH33" s="202">
        <f>楚雄!AD4</f>
        <v>0</v>
      </c>
      <c r="AI33" s="202">
        <f>楚雄!AE4</f>
        <v>0</v>
      </c>
      <c r="AJ33" s="202">
        <f>楚雄!AF4</f>
        <v>0</v>
      </c>
      <c r="AK33" s="165" t="str">
        <f>楚雄!AG4</f>
        <v>哀牢山国家级自然保护区楚雄管理局保甸管护点</v>
      </c>
      <c r="AL33" s="165" t="str">
        <f>楚雄!AH4</f>
        <v>20160719</v>
      </c>
      <c r="AM33" s="165">
        <f>楚雄!AI4</f>
        <v>0</v>
      </c>
      <c r="AN33" s="165">
        <f>楚雄!AJ4</f>
        <v>0</v>
      </c>
      <c r="AO33" s="165" t="str">
        <f>楚雄!AK4</f>
        <v>N24°40′09.39″ E100°57′79.54″</v>
      </c>
      <c r="AP33" s="263">
        <v>1</v>
      </c>
      <c r="AQ33" s="209">
        <f>楚雄!AM4</f>
        <v>0</v>
      </c>
      <c r="AR33" s="295" t="str">
        <f>楚雄!AN4</f>
        <v>NA</v>
      </c>
      <c r="AS33" s="199" t="str">
        <f>楚雄!AO4</f>
        <v>532301197402203135</v>
      </c>
      <c r="AT33" s="199" t="str">
        <f>楚雄!AP4</f>
        <v>13638744286</v>
      </c>
    </row>
    <row r="34" spans="1:46">
      <c r="A34" t="s">
        <v>1925</v>
      </c>
      <c r="B34" s="202" t="str">
        <f>VLOOKUP(A34,databases!$A$2:$B$7, 2, FALSE)</f>
        <v>ChuXiong</v>
      </c>
      <c r="C34" s="165" t="str">
        <f>楚雄!B5</f>
        <v>郭洪富</v>
      </c>
      <c r="D34" s="202" t="str">
        <f>VLOOKUP(C34,databases!$D$2:$E$145, 2, FALSE)</f>
        <v>R127</v>
      </c>
      <c r="E34" s="259">
        <f>INDEX(sample_database!$B$2:$B$506,MATCH(F34,sample_database!$L$2:$L$506,0))</f>
        <v>77</v>
      </c>
      <c r="F34" s="202" t="str">
        <f>楚雄!A5</f>
        <v>CX04</v>
      </c>
      <c r="G34" s="257">
        <f>楚雄!C5</f>
        <v>6</v>
      </c>
      <c r="H34" s="257">
        <f>楚雄!D5</f>
        <v>0</v>
      </c>
      <c r="I34" s="202">
        <f>楚雄!E5</f>
        <v>14</v>
      </c>
      <c r="J34" s="202">
        <f>楚雄!F5</f>
        <v>2</v>
      </c>
      <c r="K34" s="202">
        <f>楚雄!G5</f>
        <v>2</v>
      </c>
      <c r="L34" s="202">
        <f>楚雄!H5</f>
        <v>2</v>
      </c>
      <c r="M34" s="202">
        <f>楚雄!I5</f>
        <v>2</v>
      </c>
      <c r="N34" s="202">
        <f>楚雄!J5</f>
        <v>2</v>
      </c>
      <c r="O34" s="202">
        <f>楚雄!K5</f>
        <v>4</v>
      </c>
      <c r="P34" s="202">
        <f>楚雄!L5</f>
        <v>0</v>
      </c>
      <c r="Q34" s="202">
        <f>楚雄!M5</f>
        <v>0</v>
      </c>
      <c r="R34" s="202">
        <f>楚雄!N5</f>
        <v>0</v>
      </c>
      <c r="S34" s="202">
        <f>楚雄!O5</f>
        <v>0</v>
      </c>
      <c r="T34" s="202">
        <f>楚雄!P5</f>
        <v>0</v>
      </c>
      <c r="U34" s="202">
        <f>楚雄!Q5</f>
        <v>0</v>
      </c>
      <c r="V34" s="202">
        <f>楚雄!R5</f>
        <v>0</v>
      </c>
      <c r="W34" s="202">
        <f>楚雄!S5</f>
        <v>0</v>
      </c>
      <c r="X34" s="202">
        <f>楚雄!T5</f>
        <v>0</v>
      </c>
      <c r="Y34" s="202">
        <f>楚雄!U5</f>
        <v>0</v>
      </c>
      <c r="Z34" s="202">
        <f>楚雄!V5</f>
        <v>0</v>
      </c>
      <c r="AA34" s="202">
        <f>楚雄!W5</f>
        <v>0</v>
      </c>
      <c r="AB34" s="202">
        <f>楚雄!X5</f>
        <v>0</v>
      </c>
      <c r="AC34" s="202">
        <f>楚雄!Y5</f>
        <v>0</v>
      </c>
      <c r="AD34" s="202">
        <f>楚雄!Z5</f>
        <v>0</v>
      </c>
      <c r="AE34" s="202">
        <f>楚雄!AA5</f>
        <v>0</v>
      </c>
      <c r="AF34" s="202">
        <f>楚雄!AB5</f>
        <v>0</v>
      </c>
      <c r="AG34" s="202">
        <f>楚雄!AC5</f>
        <v>0</v>
      </c>
      <c r="AH34" s="202">
        <f>楚雄!AD5</f>
        <v>0</v>
      </c>
      <c r="AI34" s="202">
        <f>楚雄!AE5</f>
        <v>0</v>
      </c>
      <c r="AJ34" s="202">
        <f>楚雄!AF5</f>
        <v>0</v>
      </c>
      <c r="AK34" s="165" t="str">
        <f>楚雄!AG5</f>
        <v>哀牢山国家级自然保护区楚雄管理局保甸管护点</v>
      </c>
      <c r="AL34" s="165" t="str">
        <f>楚雄!AH5</f>
        <v>20160720</v>
      </c>
      <c r="AM34" s="165">
        <f>楚雄!AI5</f>
        <v>0</v>
      </c>
      <c r="AN34" s="165">
        <f>楚雄!AJ5</f>
        <v>0</v>
      </c>
      <c r="AO34" s="165" t="str">
        <f>楚雄!AK5</f>
        <v>N24°38′59.97″ E100°57′81.70″</v>
      </c>
      <c r="AP34" s="263">
        <v>3</v>
      </c>
      <c r="AQ34" s="209">
        <f>楚雄!AM5</f>
        <v>0</v>
      </c>
      <c r="AR34" s="295" t="str">
        <f>楚雄!AN5</f>
        <v>NA</v>
      </c>
      <c r="AS34" s="199" t="str">
        <f>楚雄!AO5</f>
        <v>532301197402203135</v>
      </c>
      <c r="AT34" s="199" t="str">
        <f>楚雄!AP5</f>
        <v>13638744286</v>
      </c>
    </row>
    <row r="35" spans="1:46">
      <c r="A35" t="s">
        <v>1925</v>
      </c>
      <c r="B35" s="202" t="str">
        <f>VLOOKUP(A35,databases!$A$2:$B$7, 2, FALSE)</f>
        <v>ChuXiong</v>
      </c>
      <c r="C35" s="165" t="str">
        <f>楚雄!B6</f>
        <v>郭洪富</v>
      </c>
      <c r="D35" s="202" t="str">
        <f>VLOOKUP(C35,databases!$D$2:$E$145, 2, FALSE)</f>
        <v>R127</v>
      </c>
      <c r="E35" s="259">
        <f>INDEX(sample_database!$B$2:$B$506,MATCH(F35,sample_database!$L$2:$L$506,0))</f>
        <v>77</v>
      </c>
      <c r="F35" s="202" t="str">
        <f>楚雄!A6</f>
        <v>CX05</v>
      </c>
      <c r="G35" s="257">
        <f>楚雄!C6</f>
        <v>4</v>
      </c>
      <c r="H35" s="257">
        <f>楚雄!D6</f>
        <v>0</v>
      </c>
      <c r="I35" s="202">
        <f>楚雄!E6</f>
        <v>10</v>
      </c>
      <c r="J35" s="202">
        <f>楚雄!F6</f>
        <v>2</v>
      </c>
      <c r="K35" s="202">
        <f>楚雄!G6</f>
        <v>2</v>
      </c>
      <c r="L35" s="202">
        <f>楚雄!H6</f>
        <v>3</v>
      </c>
      <c r="M35" s="202">
        <f>楚雄!I6</f>
        <v>3</v>
      </c>
      <c r="N35" s="202">
        <f>楚雄!J6</f>
        <v>0</v>
      </c>
      <c r="O35" s="202">
        <f>楚雄!K6</f>
        <v>0</v>
      </c>
      <c r="P35" s="202">
        <f>楚雄!L6</f>
        <v>0</v>
      </c>
      <c r="Q35" s="202">
        <f>楚雄!M6</f>
        <v>0</v>
      </c>
      <c r="R35" s="202">
        <f>楚雄!N6</f>
        <v>0</v>
      </c>
      <c r="S35" s="202">
        <f>楚雄!O6</f>
        <v>0</v>
      </c>
      <c r="T35" s="202">
        <f>楚雄!P6</f>
        <v>0</v>
      </c>
      <c r="U35" s="202">
        <f>楚雄!Q6</f>
        <v>0</v>
      </c>
      <c r="V35" s="202">
        <f>楚雄!R6</f>
        <v>0</v>
      </c>
      <c r="W35" s="202">
        <f>楚雄!S6</f>
        <v>0</v>
      </c>
      <c r="X35" s="202">
        <f>楚雄!T6</f>
        <v>0</v>
      </c>
      <c r="Y35" s="202">
        <f>楚雄!U6</f>
        <v>0</v>
      </c>
      <c r="Z35" s="202">
        <f>楚雄!V6</f>
        <v>0</v>
      </c>
      <c r="AA35" s="202">
        <f>楚雄!W6</f>
        <v>0</v>
      </c>
      <c r="AB35" s="202">
        <f>楚雄!X6</f>
        <v>0</v>
      </c>
      <c r="AC35" s="202">
        <f>楚雄!Y6</f>
        <v>0</v>
      </c>
      <c r="AD35" s="202">
        <f>楚雄!Z6</f>
        <v>0</v>
      </c>
      <c r="AE35" s="202">
        <f>楚雄!AA6</f>
        <v>0</v>
      </c>
      <c r="AF35" s="202">
        <f>楚雄!AB6</f>
        <v>0</v>
      </c>
      <c r="AG35" s="202">
        <f>楚雄!AC6</f>
        <v>0</v>
      </c>
      <c r="AH35" s="202">
        <f>楚雄!AD6</f>
        <v>0</v>
      </c>
      <c r="AI35" s="202">
        <f>楚雄!AE6</f>
        <v>0</v>
      </c>
      <c r="AJ35" s="202">
        <f>楚雄!AF6</f>
        <v>0</v>
      </c>
      <c r="AK35" s="165" t="str">
        <f>楚雄!AG6</f>
        <v>哀牢山国家级自然保护区楚雄管理局保甸管护点</v>
      </c>
      <c r="AL35" s="165" t="str">
        <f>楚雄!AH6</f>
        <v>20160724</v>
      </c>
      <c r="AM35" s="165">
        <f>楚雄!AI6</f>
        <v>0</v>
      </c>
      <c r="AN35" s="165">
        <f>楚雄!AJ6</f>
        <v>0</v>
      </c>
      <c r="AO35" s="165" t="str">
        <f>楚雄!AK6</f>
        <v>N24°40′07.56″ E100°57′77.48″</v>
      </c>
      <c r="AP35" s="263">
        <v>3</v>
      </c>
      <c r="AQ35" s="209">
        <f>楚雄!AM6</f>
        <v>0</v>
      </c>
      <c r="AR35" s="295" t="str">
        <f>楚雄!AN6</f>
        <v>NA</v>
      </c>
      <c r="AS35" s="199" t="str">
        <f>楚雄!AO6</f>
        <v>532301197402203135</v>
      </c>
      <c r="AT35" s="199" t="str">
        <f>楚雄!AP6</f>
        <v>13638744286</v>
      </c>
    </row>
    <row r="36" spans="1:46">
      <c r="A36" t="s">
        <v>1925</v>
      </c>
      <c r="B36" s="202" t="str">
        <f>VLOOKUP(A36,databases!$A$2:$B$7, 2, FALSE)</f>
        <v>ChuXiong</v>
      </c>
      <c r="C36" s="165" t="str">
        <f>楚雄!B12</f>
        <v>龙存发</v>
      </c>
      <c r="D36" s="202" t="str">
        <f>VLOOKUP(C36,databases!$D$2:$E$145, 2, FALSE)</f>
        <v>R144</v>
      </c>
      <c r="E36" s="259">
        <f>INDEX(sample_database!$B$2:$B$506,MATCH(F36,sample_database!$L$2:$L$506,0))</f>
        <v>76</v>
      </c>
      <c r="F36" s="202" t="str">
        <f>楚雄!A12</f>
        <v>CX11</v>
      </c>
      <c r="G36" s="257">
        <f>楚雄!C12</f>
        <v>0</v>
      </c>
      <c r="H36" s="257">
        <f>楚雄!D12</f>
        <v>6</v>
      </c>
      <c r="I36" s="202">
        <f>楚雄!E12</f>
        <v>13</v>
      </c>
      <c r="J36" s="202">
        <f>楚雄!F12</f>
        <v>1</v>
      </c>
      <c r="K36" s="202">
        <f>楚雄!G12</f>
        <v>2</v>
      </c>
      <c r="L36" s="202">
        <f>楚雄!H12</f>
        <v>2</v>
      </c>
      <c r="M36" s="202">
        <f>楚雄!I12</f>
        <v>2</v>
      </c>
      <c r="N36" s="202">
        <f>楚雄!J12</f>
        <v>3</v>
      </c>
      <c r="O36" s="202">
        <f>楚雄!K12</f>
        <v>3</v>
      </c>
      <c r="P36" s="202">
        <f>楚雄!L12</f>
        <v>0</v>
      </c>
      <c r="Q36" s="202">
        <f>楚雄!M12</f>
        <v>0</v>
      </c>
      <c r="R36" s="202">
        <f>楚雄!N12</f>
        <v>0</v>
      </c>
      <c r="S36" s="202">
        <f>楚雄!O12</f>
        <v>0</v>
      </c>
      <c r="T36" s="202">
        <f>楚雄!P12</f>
        <v>0</v>
      </c>
      <c r="U36" s="202">
        <f>楚雄!Q12</f>
        <v>0</v>
      </c>
      <c r="V36" s="202">
        <f>楚雄!R12</f>
        <v>0</v>
      </c>
      <c r="W36" s="202">
        <f>楚雄!S12</f>
        <v>0</v>
      </c>
      <c r="X36" s="202">
        <f>楚雄!T12</f>
        <v>0</v>
      </c>
      <c r="Y36" s="202">
        <f>楚雄!U12</f>
        <v>0</v>
      </c>
      <c r="Z36" s="202">
        <f>楚雄!V12</f>
        <v>0</v>
      </c>
      <c r="AA36" s="202">
        <f>楚雄!W12</f>
        <v>0</v>
      </c>
      <c r="AB36" s="202">
        <f>楚雄!X12</f>
        <v>0</v>
      </c>
      <c r="AC36" s="202">
        <f>楚雄!Y12</f>
        <v>0</v>
      </c>
      <c r="AD36" s="202">
        <f>楚雄!Z12</f>
        <v>0</v>
      </c>
      <c r="AE36" s="202">
        <f>楚雄!AA12</f>
        <v>0</v>
      </c>
      <c r="AF36" s="202">
        <f>楚雄!AB12</f>
        <v>0</v>
      </c>
      <c r="AG36" s="202">
        <f>楚雄!AC12</f>
        <v>0</v>
      </c>
      <c r="AH36" s="202">
        <f>楚雄!AD12</f>
        <v>0</v>
      </c>
      <c r="AI36" s="202">
        <f>楚雄!AE12</f>
        <v>0</v>
      </c>
      <c r="AJ36" s="202">
        <f>楚雄!AF12</f>
        <v>0</v>
      </c>
      <c r="AK36" s="165" t="str">
        <f>楚雄!AG12</f>
        <v>楚雄管理局朵苴村委会</v>
      </c>
      <c r="AL36" s="165" t="str">
        <f>楚雄!AH12</f>
        <v>20160704</v>
      </c>
      <c r="AM36" s="165">
        <f>楚雄!AI12</f>
        <v>0</v>
      </c>
      <c r="AN36" s="165">
        <f>楚雄!AJ12</f>
        <v>0</v>
      </c>
      <c r="AO36" s="165" t="str">
        <f>楚雄!AK12</f>
        <v>N24°34′0.52″ E101°02′02.66″</v>
      </c>
      <c r="AP36" s="263">
        <v>5</v>
      </c>
      <c r="AQ36" s="209">
        <f>楚雄!AM12</f>
        <v>0</v>
      </c>
      <c r="AR36" s="295" t="str">
        <f>楚雄!AN12</f>
        <v>NA</v>
      </c>
      <c r="AS36" s="199" t="str">
        <f>楚雄!AO12</f>
        <v>532301197512173133</v>
      </c>
      <c r="AT36" s="199" t="str">
        <f>楚雄!AP12</f>
        <v>13987878719</v>
      </c>
    </row>
    <row r="37" spans="1:46">
      <c r="A37" t="s">
        <v>1925</v>
      </c>
      <c r="B37" s="202" t="str">
        <f>VLOOKUP(A37,databases!$A$2:$B$7, 2, FALSE)</f>
        <v>ChuXiong</v>
      </c>
      <c r="C37" s="165" t="str">
        <f>楚雄!B13</f>
        <v>龙存发</v>
      </c>
      <c r="D37" s="202" t="str">
        <f>VLOOKUP(C37,databases!$D$2:$E$145, 2, FALSE)</f>
        <v>R144</v>
      </c>
      <c r="E37" s="259">
        <f>INDEX(sample_database!$B$2:$B$506,MATCH(F37,sample_database!$L$2:$L$506,0))</f>
        <v>76</v>
      </c>
      <c r="F37" s="202" t="str">
        <f>楚雄!A13</f>
        <v>CX12</v>
      </c>
      <c r="G37" s="257">
        <f>楚雄!C13</f>
        <v>7</v>
      </c>
      <c r="H37" s="257">
        <f>楚雄!D13</f>
        <v>0</v>
      </c>
      <c r="I37" s="202">
        <f>楚雄!E13</f>
        <v>22</v>
      </c>
      <c r="J37" s="202">
        <f>楚雄!F13</f>
        <v>1</v>
      </c>
      <c r="K37" s="202">
        <f>楚雄!G13</f>
        <v>2</v>
      </c>
      <c r="L37" s="202">
        <f>楚雄!H13</f>
        <v>2</v>
      </c>
      <c r="M37" s="202">
        <f>楚雄!I13</f>
        <v>2</v>
      </c>
      <c r="N37" s="202">
        <f>楚雄!J13</f>
        <v>4</v>
      </c>
      <c r="O37" s="202">
        <f>楚雄!K13</f>
        <v>5</v>
      </c>
      <c r="P37" s="202">
        <f>楚雄!L13</f>
        <v>6</v>
      </c>
      <c r="Q37" s="202">
        <f>楚雄!M13</f>
        <v>0</v>
      </c>
      <c r="R37" s="202">
        <f>楚雄!N13</f>
        <v>0</v>
      </c>
      <c r="S37" s="202">
        <f>楚雄!O13</f>
        <v>0</v>
      </c>
      <c r="T37" s="202">
        <f>楚雄!P13</f>
        <v>0</v>
      </c>
      <c r="U37" s="202">
        <f>楚雄!Q13</f>
        <v>0</v>
      </c>
      <c r="V37" s="202">
        <f>楚雄!R13</f>
        <v>0</v>
      </c>
      <c r="W37" s="202">
        <f>楚雄!S13</f>
        <v>0</v>
      </c>
      <c r="X37" s="202">
        <f>楚雄!T13</f>
        <v>0</v>
      </c>
      <c r="Y37" s="202">
        <f>楚雄!U13</f>
        <v>0</v>
      </c>
      <c r="Z37" s="202">
        <f>楚雄!V13</f>
        <v>0</v>
      </c>
      <c r="AA37" s="202">
        <f>楚雄!W13</f>
        <v>0</v>
      </c>
      <c r="AB37" s="202">
        <f>楚雄!X13</f>
        <v>0</v>
      </c>
      <c r="AC37" s="202">
        <f>楚雄!Y13</f>
        <v>0</v>
      </c>
      <c r="AD37" s="202">
        <f>楚雄!Z13</f>
        <v>0</v>
      </c>
      <c r="AE37" s="202">
        <f>楚雄!AA13</f>
        <v>0</v>
      </c>
      <c r="AF37" s="202">
        <f>楚雄!AB13</f>
        <v>0</v>
      </c>
      <c r="AG37" s="202">
        <f>楚雄!AC13</f>
        <v>0</v>
      </c>
      <c r="AH37" s="202">
        <f>楚雄!AD13</f>
        <v>0</v>
      </c>
      <c r="AI37" s="202">
        <f>楚雄!AE13</f>
        <v>0</v>
      </c>
      <c r="AJ37" s="202">
        <f>楚雄!AF13</f>
        <v>0</v>
      </c>
      <c r="AK37" s="165" t="str">
        <f>楚雄!AG13</f>
        <v>楚雄管理局朵苴村委会</v>
      </c>
      <c r="AL37" s="165" t="str">
        <f>楚雄!AH13</f>
        <v>20160706</v>
      </c>
      <c r="AM37" s="165">
        <f>楚雄!AI13</f>
        <v>0</v>
      </c>
      <c r="AN37" s="165">
        <f>楚雄!AJ13</f>
        <v>0</v>
      </c>
      <c r="AO37" s="165" t="str">
        <f>楚雄!AK13</f>
        <v>海拔2586，N24°34′0.98″ E101°02′01.85″</v>
      </c>
      <c r="AP37" s="263">
        <v>5</v>
      </c>
      <c r="AQ37" s="209">
        <f>楚雄!AM13</f>
        <v>0</v>
      </c>
      <c r="AR37" s="295" t="str">
        <f>楚雄!AN13</f>
        <v>NA</v>
      </c>
      <c r="AS37" s="199" t="str">
        <f>楚雄!AO13</f>
        <v>532301197512173133</v>
      </c>
      <c r="AT37" s="199" t="str">
        <f>楚雄!AP13</f>
        <v>13987878719</v>
      </c>
    </row>
    <row r="38" spans="1:46">
      <c r="A38" t="s">
        <v>1925</v>
      </c>
      <c r="B38" s="202" t="str">
        <f>VLOOKUP(A38,databases!$A$2:$B$7, 2, FALSE)</f>
        <v>ChuXiong</v>
      </c>
      <c r="C38" s="165" t="str">
        <f>楚雄!B14</f>
        <v>龙存发</v>
      </c>
      <c r="D38" s="202" t="str">
        <f>VLOOKUP(C38,databases!$D$2:$E$145, 2, FALSE)</f>
        <v>R144</v>
      </c>
      <c r="E38" s="259">
        <f>INDEX(sample_database!$B$2:$B$506,MATCH(F38,sample_database!$L$2:$L$506,0))</f>
        <v>76</v>
      </c>
      <c r="F38" s="202" t="str">
        <f>楚雄!A14</f>
        <v>CX13</v>
      </c>
      <c r="G38" s="257">
        <f>楚雄!C14</f>
        <v>5</v>
      </c>
      <c r="H38" s="257">
        <f>楚雄!D14</f>
        <v>0</v>
      </c>
      <c r="I38" s="202">
        <f>楚雄!E14</f>
        <v>16</v>
      </c>
      <c r="J38" s="202">
        <f>楚雄!F14</f>
        <v>2</v>
      </c>
      <c r="K38" s="202">
        <f>楚雄!G14</f>
        <v>2</v>
      </c>
      <c r="L38" s="202">
        <f>楚雄!H14</f>
        <v>4</v>
      </c>
      <c r="M38" s="202">
        <f>楚雄!I14</f>
        <v>4</v>
      </c>
      <c r="N38" s="202">
        <f>楚雄!J14</f>
        <v>4</v>
      </c>
      <c r="O38" s="202">
        <f>楚雄!K14</f>
        <v>0</v>
      </c>
      <c r="P38" s="202">
        <f>楚雄!L14</f>
        <v>0</v>
      </c>
      <c r="Q38" s="202">
        <f>楚雄!M14</f>
        <v>0</v>
      </c>
      <c r="R38" s="202">
        <f>楚雄!N14</f>
        <v>0</v>
      </c>
      <c r="S38" s="202">
        <f>楚雄!O14</f>
        <v>0</v>
      </c>
      <c r="T38" s="202">
        <f>楚雄!P14</f>
        <v>0</v>
      </c>
      <c r="U38" s="202">
        <f>楚雄!Q14</f>
        <v>0</v>
      </c>
      <c r="V38" s="202">
        <f>楚雄!R14</f>
        <v>0</v>
      </c>
      <c r="W38" s="202">
        <f>楚雄!S14</f>
        <v>0</v>
      </c>
      <c r="X38" s="202">
        <f>楚雄!T14</f>
        <v>0</v>
      </c>
      <c r="Y38" s="202">
        <f>楚雄!U14</f>
        <v>0</v>
      </c>
      <c r="Z38" s="202">
        <f>楚雄!V14</f>
        <v>0</v>
      </c>
      <c r="AA38" s="202">
        <f>楚雄!W14</f>
        <v>0</v>
      </c>
      <c r="AB38" s="202">
        <f>楚雄!X14</f>
        <v>0</v>
      </c>
      <c r="AC38" s="202">
        <f>楚雄!Y14</f>
        <v>0</v>
      </c>
      <c r="AD38" s="202">
        <f>楚雄!Z14</f>
        <v>0</v>
      </c>
      <c r="AE38" s="202">
        <f>楚雄!AA14</f>
        <v>0</v>
      </c>
      <c r="AF38" s="202">
        <f>楚雄!AB14</f>
        <v>0</v>
      </c>
      <c r="AG38" s="202">
        <f>楚雄!AC14</f>
        <v>0</v>
      </c>
      <c r="AH38" s="202">
        <f>楚雄!AD14</f>
        <v>0</v>
      </c>
      <c r="AI38" s="202">
        <f>楚雄!AE14</f>
        <v>0</v>
      </c>
      <c r="AJ38" s="202">
        <f>楚雄!AF14</f>
        <v>0</v>
      </c>
      <c r="AK38" s="165" t="str">
        <f>楚雄!AG14</f>
        <v>楚雄管理局朵苴村委会</v>
      </c>
      <c r="AL38" s="165" t="str">
        <f>楚雄!AH14</f>
        <v>20160706</v>
      </c>
      <c r="AM38" s="165">
        <f>楚雄!AI14</f>
        <v>0</v>
      </c>
      <c r="AN38" s="165">
        <f>楚雄!AJ14</f>
        <v>0</v>
      </c>
      <c r="AO38" s="165" t="str">
        <f>楚雄!AK14</f>
        <v>N24°34′01.08″ E101°02′04.58″</v>
      </c>
      <c r="AP38" s="263">
        <v>4</v>
      </c>
      <c r="AQ38" s="209">
        <f>楚雄!AM14</f>
        <v>0</v>
      </c>
      <c r="AR38" s="295" t="str">
        <f>楚雄!AN14</f>
        <v>NA</v>
      </c>
      <c r="AS38" s="199" t="str">
        <f>楚雄!AO14</f>
        <v>532301197512173133</v>
      </c>
      <c r="AT38" s="199" t="str">
        <f>楚雄!AP14</f>
        <v>13987878719</v>
      </c>
    </row>
    <row r="39" spans="1:46">
      <c r="A39" t="s">
        <v>1925</v>
      </c>
      <c r="B39" s="202" t="str">
        <f>VLOOKUP(A39,databases!$A$2:$B$7, 2, FALSE)</f>
        <v>ChuXiong</v>
      </c>
      <c r="C39" s="165" t="str">
        <f>楚雄!B15</f>
        <v>龙存发</v>
      </c>
      <c r="D39" s="202" t="str">
        <f>VLOOKUP(C39,databases!$D$2:$E$145, 2, FALSE)</f>
        <v>R144</v>
      </c>
      <c r="E39" s="259">
        <f>INDEX(sample_database!$B$2:$B$506,MATCH(F39,sample_database!$L$2:$L$506,0))</f>
        <v>76</v>
      </c>
      <c r="F39" s="202" t="str">
        <f>楚雄!A15</f>
        <v>CX14</v>
      </c>
      <c r="G39" s="257">
        <f>楚雄!C15</f>
        <v>7</v>
      </c>
      <c r="H39" s="257">
        <f>楚雄!D15</f>
        <v>0</v>
      </c>
      <c r="I39" s="202">
        <f>楚雄!E15</f>
        <v>51</v>
      </c>
      <c r="J39" s="202">
        <f>楚雄!F15</f>
        <v>4</v>
      </c>
      <c r="K39" s="202">
        <f>楚雄!G15</f>
        <v>7</v>
      </c>
      <c r="L39" s="202">
        <f>楚雄!H15</f>
        <v>3</v>
      </c>
      <c r="M39" s="202">
        <f>楚雄!I15</f>
        <v>5</v>
      </c>
      <c r="N39" s="202">
        <f>楚雄!J15</f>
        <v>4</v>
      </c>
      <c r="O39" s="202">
        <f>楚雄!K15</f>
        <v>9</v>
      </c>
      <c r="P39" s="202">
        <f>楚雄!L15</f>
        <v>19</v>
      </c>
      <c r="Q39" s="202">
        <f>楚雄!M15</f>
        <v>0</v>
      </c>
      <c r="R39" s="202">
        <f>楚雄!N15</f>
        <v>0</v>
      </c>
      <c r="S39" s="202">
        <f>楚雄!O15</f>
        <v>0</v>
      </c>
      <c r="T39" s="202">
        <f>楚雄!P15</f>
        <v>0</v>
      </c>
      <c r="U39" s="202">
        <f>楚雄!Q15</f>
        <v>0</v>
      </c>
      <c r="V39" s="202">
        <f>楚雄!R15</f>
        <v>0</v>
      </c>
      <c r="W39" s="202">
        <f>楚雄!S15</f>
        <v>0</v>
      </c>
      <c r="X39" s="202">
        <f>楚雄!T15</f>
        <v>0</v>
      </c>
      <c r="Y39" s="202">
        <f>楚雄!U15</f>
        <v>0</v>
      </c>
      <c r="Z39" s="202">
        <f>楚雄!V15</f>
        <v>0</v>
      </c>
      <c r="AA39" s="202">
        <f>楚雄!W15</f>
        <v>0</v>
      </c>
      <c r="AB39" s="202">
        <f>楚雄!X15</f>
        <v>0</v>
      </c>
      <c r="AC39" s="202">
        <f>楚雄!Y15</f>
        <v>0</v>
      </c>
      <c r="AD39" s="202">
        <f>楚雄!Z15</f>
        <v>0</v>
      </c>
      <c r="AE39" s="202">
        <f>楚雄!AA15</f>
        <v>0</v>
      </c>
      <c r="AF39" s="202">
        <f>楚雄!AB15</f>
        <v>0</v>
      </c>
      <c r="AG39" s="202">
        <f>楚雄!AC15</f>
        <v>0</v>
      </c>
      <c r="AH39" s="202">
        <f>楚雄!AD15</f>
        <v>0</v>
      </c>
      <c r="AI39" s="202">
        <f>楚雄!AE15</f>
        <v>0</v>
      </c>
      <c r="AJ39" s="202">
        <f>楚雄!AF15</f>
        <v>0</v>
      </c>
      <c r="AK39" s="165" t="str">
        <f>楚雄!AG15</f>
        <v>楚雄管理局朵苴村委会</v>
      </c>
      <c r="AL39" s="165" t="str">
        <f>楚雄!AH15</f>
        <v>20160710</v>
      </c>
      <c r="AM39" s="165">
        <f>楚雄!AI15</f>
        <v>0</v>
      </c>
      <c r="AN39" s="165">
        <f>楚雄!AJ15</f>
        <v>0</v>
      </c>
      <c r="AO39" s="165" t="str">
        <f>楚雄!AK15</f>
        <v>海拔2510，N24°33′02.13″ E101°02′07.42″</v>
      </c>
      <c r="AP39" s="263">
        <v>7.5</v>
      </c>
      <c r="AQ39" s="209">
        <f>楚雄!AM15</f>
        <v>0</v>
      </c>
      <c r="AR39" s="295" t="str">
        <f>楚雄!AN15</f>
        <v>NA</v>
      </c>
      <c r="AS39" s="199" t="str">
        <f>楚雄!AO15</f>
        <v>532301197512173133</v>
      </c>
      <c r="AT39" s="199" t="str">
        <f>楚雄!AP15</f>
        <v>13987878719</v>
      </c>
    </row>
    <row r="40" spans="1:46">
      <c r="A40" t="s">
        <v>1925</v>
      </c>
      <c r="B40" s="202" t="str">
        <f>VLOOKUP(A40,databases!$A$2:$B$7, 2, FALSE)</f>
        <v>ChuXiong</v>
      </c>
      <c r="C40" s="165" t="str">
        <f>楚雄!B16</f>
        <v>龙存发</v>
      </c>
      <c r="D40" s="202" t="str">
        <f>VLOOKUP(C40,databases!$D$2:$E$145, 2, FALSE)</f>
        <v>R144</v>
      </c>
      <c r="E40" s="259">
        <f>INDEX(sample_database!$B$2:$B$506,MATCH(F40,sample_database!$L$2:$L$506,0))</f>
        <v>76</v>
      </c>
      <c r="F40" s="202" t="str">
        <f>楚雄!A16</f>
        <v>CX15</v>
      </c>
      <c r="G40" s="257">
        <f>楚雄!C16</f>
        <v>7</v>
      </c>
      <c r="H40" s="257">
        <f>楚雄!D16</f>
        <v>0</v>
      </c>
      <c r="I40" s="202">
        <f>楚雄!E16</f>
        <v>31</v>
      </c>
      <c r="J40" s="202">
        <f>楚雄!F16</f>
        <v>3</v>
      </c>
      <c r="K40" s="202">
        <f>楚雄!G16</f>
        <v>6</v>
      </c>
      <c r="L40" s="202">
        <f>楚雄!H16</f>
        <v>5</v>
      </c>
      <c r="M40" s="202">
        <f>楚雄!I16</f>
        <v>5</v>
      </c>
      <c r="N40" s="202">
        <f>楚雄!J16</f>
        <v>6</v>
      </c>
      <c r="O40" s="202">
        <f>楚雄!K16</f>
        <v>2</v>
      </c>
      <c r="P40" s="202">
        <f>楚雄!L16</f>
        <v>4</v>
      </c>
      <c r="Q40" s="202">
        <f>楚雄!M16</f>
        <v>0</v>
      </c>
      <c r="R40" s="202">
        <f>楚雄!N16</f>
        <v>0</v>
      </c>
      <c r="S40" s="202">
        <f>楚雄!O16</f>
        <v>0</v>
      </c>
      <c r="T40" s="202">
        <f>楚雄!P16</f>
        <v>0</v>
      </c>
      <c r="U40" s="202">
        <f>楚雄!Q16</f>
        <v>0</v>
      </c>
      <c r="V40" s="202">
        <f>楚雄!R16</f>
        <v>0</v>
      </c>
      <c r="W40" s="202">
        <f>楚雄!S16</f>
        <v>0</v>
      </c>
      <c r="X40" s="202">
        <f>楚雄!T16</f>
        <v>0</v>
      </c>
      <c r="Y40" s="202">
        <f>楚雄!U16</f>
        <v>0</v>
      </c>
      <c r="Z40" s="202">
        <f>楚雄!V16</f>
        <v>0</v>
      </c>
      <c r="AA40" s="202">
        <f>楚雄!W16</f>
        <v>0</v>
      </c>
      <c r="AB40" s="202">
        <f>楚雄!X16</f>
        <v>0</v>
      </c>
      <c r="AC40" s="202">
        <f>楚雄!Y16</f>
        <v>0</v>
      </c>
      <c r="AD40" s="202">
        <f>楚雄!Z16</f>
        <v>0</v>
      </c>
      <c r="AE40" s="202">
        <f>楚雄!AA16</f>
        <v>0</v>
      </c>
      <c r="AF40" s="202">
        <f>楚雄!AB16</f>
        <v>0</v>
      </c>
      <c r="AG40" s="202">
        <f>楚雄!AC16</f>
        <v>0</v>
      </c>
      <c r="AH40" s="202">
        <f>楚雄!AD16</f>
        <v>0</v>
      </c>
      <c r="AI40" s="202">
        <f>楚雄!AE16</f>
        <v>0</v>
      </c>
      <c r="AJ40" s="202">
        <f>楚雄!AF16</f>
        <v>0</v>
      </c>
      <c r="AK40" s="165" t="str">
        <f>楚雄!AG16</f>
        <v>楚雄管理局朵苴村委会</v>
      </c>
      <c r="AL40" s="165" t="str">
        <f>楚雄!AH16</f>
        <v>20160710</v>
      </c>
      <c r="AM40" s="165">
        <f>楚雄!AI16</f>
        <v>0</v>
      </c>
      <c r="AN40" s="165">
        <f>楚雄!AJ16</f>
        <v>0</v>
      </c>
      <c r="AO40" s="165" t="str">
        <f>楚雄!AK16</f>
        <v>N24°33′9.70″ E101°02′01.90″</v>
      </c>
      <c r="AP40" s="263">
        <v>5</v>
      </c>
      <c r="AQ40" s="209">
        <f>楚雄!AM16</f>
        <v>0</v>
      </c>
      <c r="AR40" s="295" t="str">
        <f>楚雄!AN16</f>
        <v>NA</v>
      </c>
      <c r="AS40" s="199" t="str">
        <f>楚雄!AO16</f>
        <v>532301197512173133</v>
      </c>
      <c r="AT40" s="199" t="str">
        <f>楚雄!AP16</f>
        <v>13987878719</v>
      </c>
    </row>
    <row r="41" spans="1:46">
      <c r="A41" t="s">
        <v>1923</v>
      </c>
      <c r="B41" s="202" t="str">
        <f>VLOOKUP(A41,databases!$A$2:$B$7, 2, FALSE)</f>
        <v>JingDong</v>
      </c>
      <c r="C41" s="165" t="str">
        <f>景东!B35</f>
        <v>吴丙华</v>
      </c>
      <c r="D41" s="273" t="str">
        <f>VLOOKUP(C41,databases!$D$2:$E$145, 2, FALSE)</f>
        <v>R7</v>
      </c>
      <c r="E41" s="274" t="str">
        <f>INDEX(sample_database!$B$2:$B$506,MATCH(F41,sample_database!$L$2:$L$506,0))</f>
        <v>NA</v>
      </c>
      <c r="F41" s="202" t="str">
        <f>景东!A35</f>
        <v>JD34</v>
      </c>
      <c r="G41" s="257">
        <f>景东!C35</f>
        <v>1</v>
      </c>
      <c r="H41" s="257">
        <f>景东!D35</f>
        <v>0</v>
      </c>
      <c r="I41" s="202">
        <f>景东!E35</f>
        <v>22</v>
      </c>
      <c r="J41" s="202">
        <f>景东!F35</f>
        <v>22</v>
      </c>
      <c r="K41" s="202">
        <f>景东!G35</f>
        <v>0</v>
      </c>
      <c r="L41" s="202">
        <f>景东!H35</f>
        <v>0</v>
      </c>
      <c r="M41" s="202">
        <f>景东!I35</f>
        <v>0</v>
      </c>
      <c r="N41" s="202">
        <f>景东!J35</f>
        <v>0</v>
      </c>
      <c r="O41" s="202">
        <f>景东!K35</f>
        <v>0</v>
      </c>
      <c r="P41" s="202">
        <f>景东!L35</f>
        <v>0</v>
      </c>
      <c r="Q41" s="202">
        <f>景东!M35</f>
        <v>0</v>
      </c>
      <c r="R41" s="202">
        <f>景东!N35</f>
        <v>0</v>
      </c>
      <c r="S41" s="202">
        <f>景东!O35</f>
        <v>0</v>
      </c>
      <c r="T41" s="202">
        <f>景东!P35</f>
        <v>0</v>
      </c>
      <c r="U41" s="202">
        <f>景东!Q35</f>
        <v>0</v>
      </c>
      <c r="V41" s="202">
        <f>景东!R35</f>
        <v>0</v>
      </c>
      <c r="W41" s="202">
        <f>景东!S35</f>
        <v>0</v>
      </c>
      <c r="X41" s="202">
        <f>景东!T35</f>
        <v>0</v>
      </c>
      <c r="Y41" s="202">
        <f>景东!U35</f>
        <v>0</v>
      </c>
      <c r="Z41" s="202">
        <f>景东!V35</f>
        <v>0</v>
      </c>
      <c r="AA41" s="202">
        <f>景东!W35</f>
        <v>0</v>
      </c>
      <c r="AB41" s="202">
        <f>景东!X35</f>
        <v>0</v>
      </c>
      <c r="AC41" s="202">
        <f>景东!Y35</f>
        <v>0</v>
      </c>
      <c r="AD41" s="202">
        <f>景东!Z35</f>
        <v>0</v>
      </c>
      <c r="AE41" s="202">
        <f>景东!AA35</f>
        <v>0</v>
      </c>
      <c r="AF41" s="202">
        <f>景东!AB35</f>
        <v>0</v>
      </c>
      <c r="AG41" s="202">
        <f>景东!AC35</f>
        <v>0</v>
      </c>
      <c r="AH41" s="202">
        <f>景东!AD35</f>
        <v>0</v>
      </c>
      <c r="AI41" s="202">
        <f>景东!AE35</f>
        <v>0</v>
      </c>
      <c r="AJ41" s="202">
        <f>景东!AF35</f>
        <v>0</v>
      </c>
      <c r="AK41" s="165" t="str">
        <f>景东!AG35</f>
        <v>景东花山秀龙大山组苦桥地洞</v>
      </c>
      <c r="AL41" s="165" t="str">
        <f>景东!AH35</f>
        <v>20160803</v>
      </c>
      <c r="AM41" s="165">
        <f>景东!AI35</f>
        <v>0</v>
      </c>
      <c r="AN41" s="165">
        <f>景东!AJ35</f>
        <v>0</v>
      </c>
      <c r="AO41" s="165">
        <f>景东!AK35</f>
        <v>0</v>
      </c>
      <c r="AP41" s="263">
        <v>7.5</v>
      </c>
      <c r="AQ41" s="209">
        <f>景东!AM35</f>
        <v>0</v>
      </c>
      <c r="AR41" s="295">
        <f>景东!AN35</f>
        <v>1.5</v>
      </c>
      <c r="AS41" s="199" t="str">
        <f>景东!AO35</f>
        <v>532724197507121212</v>
      </c>
      <c r="AT41" s="199" t="str">
        <f>景东!AP35</f>
        <v>15925295292</v>
      </c>
    </row>
    <row r="42" spans="1:46">
      <c r="A42" t="s">
        <v>1923</v>
      </c>
      <c r="B42" s="202" t="str">
        <f>VLOOKUP(A42,databases!$A$2:$B$7, 2, FALSE)</f>
        <v>JingDong</v>
      </c>
      <c r="C42" s="165" t="str">
        <f>景东!B36</f>
        <v>吴丙华</v>
      </c>
      <c r="D42" s="275" t="str">
        <f>VLOOKUP(C42,databases!$D$2:$E$145, 2, FALSE)</f>
        <v>R7</v>
      </c>
      <c r="E42" s="276" t="str">
        <f>INDEX(sample_database!$B$2:$B$506,MATCH(F42,sample_database!$L$2:$L$506,0))</f>
        <v>NA</v>
      </c>
      <c r="F42" s="202" t="str">
        <f>景东!A36</f>
        <v>JD35</v>
      </c>
      <c r="G42" s="257">
        <f>景东!C36</f>
        <v>1</v>
      </c>
      <c r="H42" s="257">
        <f>景东!D36</f>
        <v>0</v>
      </c>
      <c r="I42" s="202">
        <f>景东!E36</f>
        <v>6</v>
      </c>
      <c r="J42" s="202">
        <f>景东!F36</f>
        <v>6</v>
      </c>
      <c r="K42" s="202">
        <f>景东!G36</f>
        <v>0</v>
      </c>
      <c r="L42" s="202">
        <f>景东!H36</f>
        <v>0</v>
      </c>
      <c r="M42" s="202">
        <f>景东!I36</f>
        <v>0</v>
      </c>
      <c r="N42" s="202">
        <f>景东!J36</f>
        <v>0</v>
      </c>
      <c r="O42" s="202">
        <f>景东!K36</f>
        <v>0</v>
      </c>
      <c r="P42" s="202">
        <f>景东!L36</f>
        <v>0</v>
      </c>
      <c r="Q42" s="202">
        <f>景东!M36</f>
        <v>0</v>
      </c>
      <c r="R42" s="202">
        <f>景东!N36</f>
        <v>0</v>
      </c>
      <c r="S42" s="202">
        <f>景东!O36</f>
        <v>0</v>
      </c>
      <c r="T42" s="202">
        <f>景东!P36</f>
        <v>0</v>
      </c>
      <c r="U42" s="202">
        <f>景东!Q36</f>
        <v>0</v>
      </c>
      <c r="V42" s="202">
        <f>景东!R36</f>
        <v>0</v>
      </c>
      <c r="W42" s="202">
        <f>景东!S36</f>
        <v>0</v>
      </c>
      <c r="X42" s="202">
        <f>景东!T36</f>
        <v>0</v>
      </c>
      <c r="Y42" s="202">
        <f>景东!U36</f>
        <v>0</v>
      </c>
      <c r="Z42" s="202">
        <f>景东!V36</f>
        <v>0</v>
      </c>
      <c r="AA42" s="202">
        <f>景东!W36</f>
        <v>0</v>
      </c>
      <c r="AB42" s="202">
        <f>景东!X36</f>
        <v>0</v>
      </c>
      <c r="AC42" s="202">
        <f>景东!Y36</f>
        <v>0</v>
      </c>
      <c r="AD42" s="202">
        <f>景东!Z36</f>
        <v>0</v>
      </c>
      <c r="AE42" s="202">
        <f>景东!AA36</f>
        <v>0</v>
      </c>
      <c r="AF42" s="202">
        <f>景东!AB36</f>
        <v>0</v>
      </c>
      <c r="AG42" s="202">
        <f>景东!AC36</f>
        <v>0</v>
      </c>
      <c r="AH42" s="202">
        <f>景东!AD36</f>
        <v>0</v>
      </c>
      <c r="AI42" s="202">
        <f>景东!AE36</f>
        <v>0</v>
      </c>
      <c r="AJ42" s="202">
        <f>景东!AF36</f>
        <v>0</v>
      </c>
      <c r="AK42" s="165" t="str">
        <f>景东!AG36</f>
        <v>景东花山秀龙大山组猴子蜗尿箐</v>
      </c>
      <c r="AL42" s="165" t="str">
        <f>景东!AH36</f>
        <v>20160710</v>
      </c>
      <c r="AM42" s="165">
        <f>景东!AI36</f>
        <v>0</v>
      </c>
      <c r="AN42" s="165">
        <f>景东!AJ36</f>
        <v>0</v>
      </c>
      <c r="AO42" s="165">
        <f>景东!AK36</f>
        <v>0</v>
      </c>
      <c r="AP42" s="263">
        <v>2</v>
      </c>
      <c r="AQ42" s="209">
        <f>景东!AM36</f>
        <v>0</v>
      </c>
      <c r="AR42" s="295">
        <f>景东!AN36</f>
        <v>0.4</v>
      </c>
      <c r="AS42" s="199" t="str">
        <f>景东!AO36</f>
        <v>532724197507121212</v>
      </c>
      <c r="AT42" s="199" t="str">
        <f>景东!AP36</f>
        <v>15925295292</v>
      </c>
    </row>
    <row r="43" spans="1:46">
      <c r="A43" t="s">
        <v>1923</v>
      </c>
      <c r="B43" s="202" t="str">
        <f>VLOOKUP(A43,databases!$A$2:$B$7, 2, FALSE)</f>
        <v>JingDong</v>
      </c>
      <c r="C43" s="165" t="str">
        <f>景东!B37</f>
        <v>吴丙华</v>
      </c>
      <c r="D43" s="277" t="str">
        <f>VLOOKUP(C43,databases!$D$2:$E$145, 2, FALSE)</f>
        <v>R7</v>
      </c>
      <c r="E43" s="278" t="str">
        <f>INDEX(sample_database!$B$2:$B$506,MATCH(F43,sample_database!$L$2:$L$506,0))</f>
        <v>NA</v>
      </c>
      <c r="F43" s="202" t="str">
        <f>景东!A37</f>
        <v>JD36</v>
      </c>
      <c r="G43" s="257">
        <f>景东!C37</f>
        <v>0</v>
      </c>
      <c r="H43" s="257">
        <f>景东!D37</f>
        <v>4</v>
      </c>
      <c r="I43" s="202">
        <f>景东!E37</f>
        <v>44</v>
      </c>
      <c r="J43" s="202">
        <f>景东!F37</f>
        <v>25</v>
      </c>
      <c r="K43" s="202">
        <f>景东!G37</f>
        <v>15</v>
      </c>
      <c r="L43" s="202">
        <f>景东!H37</f>
        <v>3</v>
      </c>
      <c r="M43" s="202">
        <f>景东!I37</f>
        <v>1</v>
      </c>
      <c r="N43" s="202">
        <f>景东!J37</f>
        <v>0</v>
      </c>
      <c r="O43" s="202">
        <f>景东!K37</f>
        <v>0</v>
      </c>
      <c r="P43" s="202">
        <f>景东!L37</f>
        <v>0</v>
      </c>
      <c r="Q43" s="202">
        <f>景东!M37</f>
        <v>0</v>
      </c>
      <c r="R43" s="202">
        <f>景东!N37</f>
        <v>0</v>
      </c>
      <c r="S43" s="202">
        <f>景东!O37</f>
        <v>0</v>
      </c>
      <c r="T43" s="202">
        <f>景东!P37</f>
        <v>0</v>
      </c>
      <c r="U43" s="202">
        <f>景东!Q37</f>
        <v>0</v>
      </c>
      <c r="V43" s="202">
        <f>景东!R37</f>
        <v>0</v>
      </c>
      <c r="W43" s="202">
        <f>景东!S37</f>
        <v>0</v>
      </c>
      <c r="X43" s="202">
        <f>景东!T37</f>
        <v>0</v>
      </c>
      <c r="Y43" s="202">
        <f>景东!U37</f>
        <v>0</v>
      </c>
      <c r="Z43" s="202">
        <f>景东!V37</f>
        <v>0</v>
      </c>
      <c r="AA43" s="202">
        <f>景东!W37</f>
        <v>0</v>
      </c>
      <c r="AB43" s="202">
        <f>景东!X37</f>
        <v>0</v>
      </c>
      <c r="AC43" s="202">
        <f>景东!Y37</f>
        <v>0</v>
      </c>
      <c r="AD43" s="202">
        <f>景东!Z37</f>
        <v>0</v>
      </c>
      <c r="AE43" s="202">
        <f>景东!AA37</f>
        <v>0</v>
      </c>
      <c r="AF43" s="202">
        <f>景东!AB37</f>
        <v>0</v>
      </c>
      <c r="AG43" s="202">
        <f>景东!AC37</f>
        <v>0</v>
      </c>
      <c r="AH43" s="202">
        <f>景东!AD37</f>
        <v>0</v>
      </c>
      <c r="AI43" s="202">
        <f>景东!AE37</f>
        <v>0</v>
      </c>
      <c r="AJ43" s="202">
        <f>景东!AF37</f>
        <v>0</v>
      </c>
      <c r="AK43" s="165" t="str">
        <f>景东!AG37</f>
        <v>景东花山秀龙大山组新草子打洞处</v>
      </c>
      <c r="AL43" s="165" t="str">
        <f>景东!AH37</f>
        <v>20160709&amp;0804</v>
      </c>
      <c r="AM43" s="165">
        <f>景东!AI37</f>
        <v>0</v>
      </c>
      <c r="AN43" s="165">
        <f>景东!AJ37</f>
        <v>0</v>
      </c>
      <c r="AO43" s="165">
        <f>景东!AK37</f>
        <v>0</v>
      </c>
      <c r="AP43" s="263">
        <v>10</v>
      </c>
      <c r="AQ43" s="209">
        <f>景东!AM37</f>
        <v>0</v>
      </c>
      <c r="AR43" s="295">
        <f>景东!AN37</f>
        <v>2</v>
      </c>
      <c r="AS43" s="199" t="str">
        <f>景东!AO37</f>
        <v>532724197507121212</v>
      </c>
      <c r="AT43" s="199" t="str">
        <f>景东!AP37</f>
        <v>15925295292</v>
      </c>
    </row>
    <row r="44" spans="1:46">
      <c r="A44" t="s">
        <v>1923</v>
      </c>
      <c r="B44" s="202" t="str">
        <f>VLOOKUP(A44,databases!$A$2:$B$7, 2, FALSE)</f>
        <v>JingDong</v>
      </c>
      <c r="C44" s="165" t="str">
        <f>景东!B2</f>
        <v>周开伸</v>
      </c>
      <c r="D44" s="202" t="str">
        <f>VLOOKUP(C44,databases!$D$2:$E$145, 2, FALSE)</f>
        <v>R9</v>
      </c>
      <c r="E44" s="259">
        <f>INDEX(sample_database!$B$2:$B$506,MATCH(F44,sample_database!$L$2:$L$506,0))</f>
        <v>101</v>
      </c>
      <c r="F44" s="202" t="str">
        <f>景东!A2</f>
        <v>JD01</v>
      </c>
      <c r="G44" s="257">
        <f>景东!C2</f>
        <v>8</v>
      </c>
      <c r="H44" s="257">
        <f>景东!D2</f>
        <v>0</v>
      </c>
      <c r="I44" s="202">
        <f>景东!E2</f>
        <v>36</v>
      </c>
      <c r="J44" s="202">
        <f>景东!F2</f>
        <v>3</v>
      </c>
      <c r="K44" s="202">
        <f>景东!G2</f>
        <v>6</v>
      </c>
      <c r="L44" s="202">
        <f>景东!H2</f>
        <v>5</v>
      </c>
      <c r="M44" s="202">
        <f>景东!I2</f>
        <v>3</v>
      </c>
      <c r="N44" s="202">
        <f>景东!J2</f>
        <v>7</v>
      </c>
      <c r="O44" s="202">
        <f>景东!K2</f>
        <v>4</v>
      </c>
      <c r="P44" s="202">
        <f>景东!L2</f>
        <v>6</v>
      </c>
      <c r="Q44" s="202">
        <f>景东!M2</f>
        <v>2</v>
      </c>
      <c r="R44" s="202">
        <f>景东!N2</f>
        <v>0</v>
      </c>
      <c r="S44" s="202">
        <f>景东!O2</f>
        <v>0</v>
      </c>
      <c r="T44" s="202">
        <f>景东!P2</f>
        <v>0</v>
      </c>
      <c r="U44" s="202">
        <f>景东!Q2</f>
        <v>0</v>
      </c>
      <c r="V44" s="202">
        <f>景东!R2</f>
        <v>0</v>
      </c>
      <c r="W44" s="202">
        <f>景东!S2</f>
        <v>0</v>
      </c>
      <c r="X44" s="202">
        <f>景东!T2</f>
        <v>0</v>
      </c>
      <c r="Y44" s="202">
        <f>景东!U2</f>
        <v>0</v>
      </c>
      <c r="Z44" s="202">
        <f>景东!V2</f>
        <v>0</v>
      </c>
      <c r="AA44" s="202">
        <f>景东!W2</f>
        <v>0</v>
      </c>
      <c r="AB44" s="202">
        <f>景东!X2</f>
        <v>0</v>
      </c>
      <c r="AC44" s="202">
        <f>景东!Y2</f>
        <v>0</v>
      </c>
      <c r="AD44" s="202">
        <f>景东!Z2</f>
        <v>0</v>
      </c>
      <c r="AE44" s="202">
        <f>景东!AA2</f>
        <v>0</v>
      </c>
      <c r="AF44" s="202">
        <f>景东!AB2</f>
        <v>0</v>
      </c>
      <c r="AG44" s="202">
        <f>景东!AC2</f>
        <v>0</v>
      </c>
      <c r="AH44" s="202">
        <f>景东!AD2</f>
        <v>0</v>
      </c>
      <c r="AI44" s="202">
        <f>景东!AE2</f>
        <v>0</v>
      </c>
      <c r="AJ44" s="202">
        <f>景东!AF2</f>
        <v>0</v>
      </c>
      <c r="AK44" s="165" t="str">
        <f>景东!AG2</f>
        <v>景东县小龙街多依树村二组</v>
      </c>
      <c r="AL44" s="165" t="str">
        <f>景东!AH2</f>
        <v>20160710</v>
      </c>
      <c r="AM44" s="165">
        <f>景东!AI2</f>
        <v>0</v>
      </c>
      <c r="AN44" s="165">
        <f>景东!AJ2</f>
        <v>0</v>
      </c>
      <c r="AO44" s="165">
        <f>景东!AK2</f>
        <v>0</v>
      </c>
      <c r="AP44" s="263">
        <v>7.5</v>
      </c>
      <c r="AQ44" s="209">
        <f>景东!AM2</f>
        <v>0</v>
      </c>
      <c r="AR44" s="295">
        <f>景东!AN2</f>
        <v>1.5</v>
      </c>
      <c r="AS44" s="199" t="str">
        <f>景东!AO2</f>
        <v>532724196406222116</v>
      </c>
      <c r="AT44" s="199" t="str">
        <f>景东!AP2</f>
        <v>13987924932</v>
      </c>
    </row>
    <row r="45" spans="1:46">
      <c r="A45" t="s">
        <v>1923</v>
      </c>
      <c r="B45" s="202" t="str">
        <f>VLOOKUP(A45,databases!$A$2:$B$7, 2, FALSE)</f>
        <v>JingDong</v>
      </c>
      <c r="C45" s="165" t="str">
        <f>景东!B3</f>
        <v>周开伸</v>
      </c>
      <c r="D45" s="202" t="str">
        <f>VLOOKUP(C45,databases!$D$2:$E$145, 2, FALSE)</f>
        <v>R9</v>
      </c>
      <c r="E45" s="259">
        <f>INDEX(sample_database!$B$2:$B$506,MATCH(F45,sample_database!$L$2:$L$506,0))</f>
        <v>101</v>
      </c>
      <c r="F45" s="202" t="str">
        <f>景东!A3</f>
        <v>JD02</v>
      </c>
      <c r="G45" s="257">
        <f>景东!C3</f>
        <v>8</v>
      </c>
      <c r="H45" s="257">
        <f>景东!D3</f>
        <v>0</v>
      </c>
      <c r="I45" s="202">
        <f>景东!E3</f>
        <v>47</v>
      </c>
      <c r="J45" s="202">
        <f>景东!F3</f>
        <v>5</v>
      </c>
      <c r="K45" s="202">
        <f>景东!G3</f>
        <v>6</v>
      </c>
      <c r="L45" s="202">
        <f>景东!H3</f>
        <v>5</v>
      </c>
      <c r="M45" s="202">
        <f>景东!I3</f>
        <v>5</v>
      </c>
      <c r="N45" s="202">
        <f>景东!J3</f>
        <v>5</v>
      </c>
      <c r="O45" s="202">
        <f>景东!K3</f>
        <v>8</v>
      </c>
      <c r="P45" s="202">
        <f>景东!L3</f>
        <v>4</v>
      </c>
      <c r="Q45" s="202">
        <f>景东!M3</f>
        <v>9</v>
      </c>
      <c r="R45" s="202">
        <f>景东!N3</f>
        <v>0</v>
      </c>
      <c r="S45" s="202">
        <f>景东!O3</f>
        <v>0</v>
      </c>
      <c r="T45" s="202">
        <f>景东!P3</f>
        <v>0</v>
      </c>
      <c r="U45" s="202">
        <f>景东!Q3</f>
        <v>0</v>
      </c>
      <c r="V45" s="202">
        <f>景东!R3</f>
        <v>0</v>
      </c>
      <c r="W45" s="202">
        <f>景东!S3</f>
        <v>0</v>
      </c>
      <c r="X45" s="202">
        <f>景东!T3</f>
        <v>0</v>
      </c>
      <c r="Y45" s="202">
        <f>景东!U3</f>
        <v>0</v>
      </c>
      <c r="Z45" s="202">
        <f>景东!V3</f>
        <v>0</v>
      </c>
      <c r="AA45" s="202">
        <f>景东!W3</f>
        <v>0</v>
      </c>
      <c r="AB45" s="202">
        <f>景东!X3</f>
        <v>0</v>
      </c>
      <c r="AC45" s="202">
        <f>景东!Y3</f>
        <v>0</v>
      </c>
      <c r="AD45" s="202">
        <f>景东!Z3</f>
        <v>0</v>
      </c>
      <c r="AE45" s="202">
        <f>景东!AA3</f>
        <v>0</v>
      </c>
      <c r="AF45" s="202">
        <f>景东!AB3</f>
        <v>0</v>
      </c>
      <c r="AG45" s="202">
        <f>景东!AC3</f>
        <v>0</v>
      </c>
      <c r="AH45" s="202">
        <f>景东!AD3</f>
        <v>0</v>
      </c>
      <c r="AI45" s="202">
        <f>景东!AE3</f>
        <v>0</v>
      </c>
      <c r="AJ45" s="202">
        <f>景东!AF3</f>
        <v>0</v>
      </c>
      <c r="AK45" s="165" t="str">
        <f>景东!AG3</f>
        <v>景东县小龙街多依树村二组</v>
      </c>
      <c r="AL45" s="165" t="str">
        <f>景东!AH3</f>
        <v>20160720</v>
      </c>
      <c r="AM45" s="165">
        <f>景东!AI3</f>
        <v>0</v>
      </c>
      <c r="AN45" s="165">
        <f>景东!AJ3</f>
        <v>0</v>
      </c>
      <c r="AO45" s="165">
        <f>景东!AK3</f>
        <v>0</v>
      </c>
      <c r="AP45" s="263">
        <v>7.5</v>
      </c>
      <c r="AQ45" s="209">
        <f>景东!AM3</f>
        <v>0</v>
      </c>
      <c r="AR45" s="295">
        <f>景东!AN3</f>
        <v>1.5</v>
      </c>
      <c r="AS45" s="199" t="str">
        <f>景东!AO3</f>
        <v>532724196406222116</v>
      </c>
      <c r="AT45" s="199" t="str">
        <f>景东!AP3</f>
        <v>13987924932</v>
      </c>
    </row>
    <row r="46" spans="1:46">
      <c r="A46" t="s">
        <v>1923</v>
      </c>
      <c r="B46" s="202" t="str">
        <f>VLOOKUP(A46,databases!$A$2:$B$7, 2, FALSE)</f>
        <v>JingDong</v>
      </c>
      <c r="C46" s="165" t="str">
        <f>景东!B4</f>
        <v>周开伸</v>
      </c>
      <c r="D46" s="202" t="str">
        <f>VLOOKUP(C46,databases!$D$2:$E$145, 2, FALSE)</f>
        <v>R9</v>
      </c>
      <c r="E46" s="259">
        <f>INDEX(sample_database!$B$2:$B$506,MATCH(F46,sample_database!$L$2:$L$506,0))</f>
        <v>101</v>
      </c>
      <c r="F46" s="202" t="str">
        <f>景东!A4</f>
        <v>JD03</v>
      </c>
      <c r="G46" s="257">
        <f>景东!C4</f>
        <v>4</v>
      </c>
      <c r="H46" s="257">
        <f>景东!D4</f>
        <v>0</v>
      </c>
      <c r="I46" s="202">
        <f>景东!E4</f>
        <v>54</v>
      </c>
      <c r="J46" s="202">
        <f>景东!F4</f>
        <v>10</v>
      </c>
      <c r="K46" s="202">
        <f>景东!G4</f>
        <v>19</v>
      </c>
      <c r="L46" s="202">
        <f>景东!H4</f>
        <v>5</v>
      </c>
      <c r="M46" s="202">
        <f>景东!I4</f>
        <v>20</v>
      </c>
      <c r="N46" s="202">
        <f>景东!J4</f>
        <v>0</v>
      </c>
      <c r="O46" s="202">
        <f>景东!K4</f>
        <v>0</v>
      </c>
      <c r="P46" s="202">
        <f>景东!L4</f>
        <v>0</v>
      </c>
      <c r="Q46" s="202">
        <f>景东!M4</f>
        <v>0</v>
      </c>
      <c r="R46" s="202">
        <f>景东!N4</f>
        <v>0</v>
      </c>
      <c r="S46" s="202">
        <f>景东!O4</f>
        <v>0</v>
      </c>
      <c r="T46" s="202">
        <f>景东!P4</f>
        <v>0</v>
      </c>
      <c r="U46" s="202">
        <f>景东!Q4</f>
        <v>0</v>
      </c>
      <c r="V46" s="202">
        <f>景东!R4</f>
        <v>0</v>
      </c>
      <c r="W46" s="202">
        <f>景东!S4</f>
        <v>0</v>
      </c>
      <c r="X46" s="202">
        <f>景东!T4</f>
        <v>0</v>
      </c>
      <c r="Y46" s="202">
        <f>景东!U4</f>
        <v>0</v>
      </c>
      <c r="Z46" s="202">
        <f>景东!V4</f>
        <v>0</v>
      </c>
      <c r="AA46" s="202">
        <f>景东!W4</f>
        <v>0</v>
      </c>
      <c r="AB46" s="202">
        <f>景东!X4</f>
        <v>0</v>
      </c>
      <c r="AC46" s="202">
        <f>景东!Y4</f>
        <v>0</v>
      </c>
      <c r="AD46" s="202">
        <f>景东!Z4</f>
        <v>0</v>
      </c>
      <c r="AE46" s="202">
        <f>景东!AA4</f>
        <v>0</v>
      </c>
      <c r="AF46" s="202">
        <f>景东!AB4</f>
        <v>0</v>
      </c>
      <c r="AG46" s="202">
        <f>景东!AC4</f>
        <v>0</v>
      </c>
      <c r="AH46" s="202">
        <f>景东!AD4</f>
        <v>0</v>
      </c>
      <c r="AI46" s="202">
        <f>景东!AE4</f>
        <v>0</v>
      </c>
      <c r="AJ46" s="202">
        <f>景东!AF4</f>
        <v>0</v>
      </c>
      <c r="AK46" s="165" t="str">
        <f>景东!AG4</f>
        <v>景东县小龙街多依树村百竹林二组</v>
      </c>
      <c r="AL46" s="165" t="str">
        <f>景东!AH4</f>
        <v>20160821</v>
      </c>
      <c r="AM46" s="165">
        <f>景东!AI4</f>
        <v>0</v>
      </c>
      <c r="AN46" s="165">
        <f>景东!AJ4</f>
        <v>0</v>
      </c>
      <c r="AO46" s="165">
        <f>景东!AK4</f>
        <v>0</v>
      </c>
      <c r="AP46" s="263">
        <v>7.5</v>
      </c>
      <c r="AQ46" s="209">
        <f>景东!AM4</f>
        <v>0</v>
      </c>
      <c r="AR46" s="295">
        <f>景东!AN4</f>
        <v>1.5</v>
      </c>
      <c r="AS46" s="199" t="str">
        <f>景东!AO4</f>
        <v>532724196406222116</v>
      </c>
      <c r="AT46" s="199" t="str">
        <f>景东!AP4</f>
        <v>13987924932</v>
      </c>
    </row>
    <row r="47" spans="1:46">
      <c r="A47" t="s">
        <v>1923</v>
      </c>
      <c r="B47" s="202" t="str">
        <f>VLOOKUP(A47,databases!$A$2:$B$7, 2, FALSE)</f>
        <v>JingDong</v>
      </c>
      <c r="C47" s="165" t="str">
        <f>景东!B5</f>
        <v>周开伸</v>
      </c>
      <c r="D47" s="202" t="str">
        <f>VLOOKUP(C47,databases!$D$2:$E$145, 2, FALSE)</f>
        <v>R9</v>
      </c>
      <c r="E47" s="259">
        <f>INDEX(sample_database!$B$2:$B$506,MATCH(F47,sample_database!$L$2:$L$506,0))</f>
        <v>101</v>
      </c>
      <c r="F47" s="202" t="str">
        <f>景东!A5</f>
        <v>JD04</v>
      </c>
      <c r="G47" s="257">
        <f>景东!C5</f>
        <v>2</v>
      </c>
      <c r="H47" s="257">
        <f>景东!D5</f>
        <v>0</v>
      </c>
      <c r="I47" s="202">
        <f>景东!E5</f>
        <v>19</v>
      </c>
      <c r="J47" s="202">
        <f>景东!F5</f>
        <v>10</v>
      </c>
      <c r="K47" s="202">
        <f>景东!G5</f>
        <v>9</v>
      </c>
      <c r="L47" s="202">
        <f>景东!H5</f>
        <v>0</v>
      </c>
      <c r="M47" s="202">
        <f>景东!I5</f>
        <v>0</v>
      </c>
      <c r="N47" s="202">
        <f>景东!J5</f>
        <v>0</v>
      </c>
      <c r="O47" s="202">
        <f>景东!K5</f>
        <v>0</v>
      </c>
      <c r="P47" s="202">
        <f>景东!L5</f>
        <v>0</v>
      </c>
      <c r="Q47" s="202">
        <f>景东!M5</f>
        <v>0</v>
      </c>
      <c r="R47" s="202">
        <f>景东!N5</f>
        <v>0</v>
      </c>
      <c r="S47" s="202">
        <f>景东!O5</f>
        <v>0</v>
      </c>
      <c r="T47" s="202">
        <f>景东!P5</f>
        <v>0</v>
      </c>
      <c r="U47" s="202">
        <f>景东!Q5</f>
        <v>0</v>
      </c>
      <c r="V47" s="202">
        <f>景东!R5</f>
        <v>0</v>
      </c>
      <c r="W47" s="202">
        <f>景东!S5</f>
        <v>0</v>
      </c>
      <c r="X47" s="202">
        <f>景东!T5</f>
        <v>0</v>
      </c>
      <c r="Y47" s="202">
        <f>景东!U5</f>
        <v>0</v>
      </c>
      <c r="Z47" s="202">
        <f>景东!V5</f>
        <v>0</v>
      </c>
      <c r="AA47" s="202">
        <f>景东!W5</f>
        <v>0</v>
      </c>
      <c r="AB47" s="202">
        <f>景东!X5</f>
        <v>0</v>
      </c>
      <c r="AC47" s="202">
        <f>景东!Y5</f>
        <v>0</v>
      </c>
      <c r="AD47" s="202">
        <f>景东!Z5</f>
        <v>0</v>
      </c>
      <c r="AE47" s="202">
        <f>景东!AA5</f>
        <v>0</v>
      </c>
      <c r="AF47" s="202">
        <f>景东!AB5</f>
        <v>0</v>
      </c>
      <c r="AG47" s="202">
        <f>景东!AC5</f>
        <v>0</v>
      </c>
      <c r="AH47" s="202">
        <f>景东!AD5</f>
        <v>0</v>
      </c>
      <c r="AI47" s="202">
        <f>景东!AE5</f>
        <v>0</v>
      </c>
      <c r="AJ47" s="202">
        <f>景东!AF5</f>
        <v>0</v>
      </c>
      <c r="AK47" s="165" t="str">
        <f>景东!AG5</f>
        <v>景东县小龙街多依树村百竹林二组</v>
      </c>
      <c r="AL47" s="165" t="str">
        <f>景东!AH5</f>
        <v>20161015</v>
      </c>
      <c r="AM47" s="165">
        <f>景东!AI5</f>
        <v>0</v>
      </c>
      <c r="AN47" s="165">
        <f>景东!AJ5</f>
        <v>0</v>
      </c>
      <c r="AO47" s="165">
        <f>景东!AK5</f>
        <v>0</v>
      </c>
      <c r="AP47" s="263">
        <v>3</v>
      </c>
      <c r="AQ47" s="209">
        <f>景东!AM5</f>
        <v>0</v>
      </c>
      <c r="AR47" s="295">
        <f>景东!AN5</f>
        <v>0.6</v>
      </c>
      <c r="AS47" s="199" t="str">
        <f>景东!AO5</f>
        <v>532724196406222116</v>
      </c>
      <c r="AT47" s="199" t="str">
        <f>景东!AP5</f>
        <v>13987924932</v>
      </c>
    </row>
    <row r="48" spans="1:46">
      <c r="A48" t="s">
        <v>1923</v>
      </c>
      <c r="B48" s="202" t="str">
        <f>VLOOKUP(A48,databases!$A$2:$B$7, 2, FALSE)</f>
        <v>JingDong</v>
      </c>
      <c r="C48" s="165" t="str">
        <f>景东!B18</f>
        <v>张开堂</v>
      </c>
      <c r="D48" s="202" t="str">
        <f>VLOOKUP(C48,databases!$D$2:$E$145, 2, FALSE)</f>
        <v>R20</v>
      </c>
      <c r="E48" s="259">
        <f>INDEX(sample_database!$B$2:$B$506,MATCH(F48,sample_database!$L$2:$L$506,0))</f>
        <v>102</v>
      </c>
      <c r="F48" s="202" t="str">
        <f>景东!A18</f>
        <v>JD17</v>
      </c>
      <c r="G48" s="257">
        <f>景东!C18</f>
        <v>10</v>
      </c>
      <c r="H48" s="257">
        <f>景东!D18</f>
        <v>0</v>
      </c>
      <c r="I48" s="202">
        <f>景东!E18</f>
        <v>29</v>
      </c>
      <c r="J48" s="202">
        <f>景东!F18</f>
        <v>1</v>
      </c>
      <c r="K48" s="202">
        <f>景东!G18</f>
        <v>2</v>
      </c>
      <c r="L48" s="202">
        <f>景东!H18</f>
        <v>2</v>
      </c>
      <c r="M48" s="202">
        <f>景东!I18</f>
        <v>2</v>
      </c>
      <c r="N48" s="202">
        <f>景东!J18</f>
        <v>2</v>
      </c>
      <c r="O48" s="202">
        <f>景东!K18</f>
        <v>2</v>
      </c>
      <c r="P48" s="202">
        <f>景东!L18</f>
        <v>3</v>
      </c>
      <c r="Q48" s="202">
        <f>景东!M18</f>
        <v>4</v>
      </c>
      <c r="R48" s="202">
        <f>景东!N18</f>
        <v>5</v>
      </c>
      <c r="S48" s="202">
        <f>景东!O18</f>
        <v>6</v>
      </c>
      <c r="T48" s="202">
        <f>景东!P18</f>
        <v>0</v>
      </c>
      <c r="U48" s="202">
        <f>景东!Q18</f>
        <v>0</v>
      </c>
      <c r="V48" s="202">
        <f>景东!R18</f>
        <v>0</v>
      </c>
      <c r="W48" s="202">
        <f>景东!S18</f>
        <v>0</v>
      </c>
      <c r="X48" s="202">
        <f>景东!T18</f>
        <v>0</v>
      </c>
      <c r="Y48" s="202">
        <f>景东!U18</f>
        <v>0</v>
      </c>
      <c r="Z48" s="202">
        <f>景东!V18</f>
        <v>0</v>
      </c>
      <c r="AA48" s="202">
        <f>景东!W18</f>
        <v>0</v>
      </c>
      <c r="AB48" s="202">
        <f>景东!X18</f>
        <v>0</v>
      </c>
      <c r="AC48" s="202">
        <f>景东!Y18</f>
        <v>0</v>
      </c>
      <c r="AD48" s="202">
        <f>景东!Z18</f>
        <v>0</v>
      </c>
      <c r="AE48" s="202">
        <f>景东!AA18</f>
        <v>0</v>
      </c>
      <c r="AF48" s="202">
        <f>景东!AB18</f>
        <v>0</v>
      </c>
      <c r="AG48" s="202">
        <f>景东!AC18</f>
        <v>0</v>
      </c>
      <c r="AH48" s="202">
        <f>景东!AD18</f>
        <v>0</v>
      </c>
      <c r="AI48" s="202">
        <f>景东!AE18</f>
        <v>0</v>
      </c>
      <c r="AJ48" s="202">
        <f>景东!AF18</f>
        <v>0</v>
      </c>
      <c r="AK48" s="165" t="str">
        <f>景东!AG18</f>
        <v>景东县小龙乡锅瓦张家组</v>
      </c>
      <c r="AL48" s="165" t="str">
        <f>景东!AH18</f>
        <v>20160711</v>
      </c>
      <c r="AM48" s="165">
        <f>景东!AI18</f>
        <v>0</v>
      </c>
      <c r="AN48" s="165">
        <f>景东!AJ18</f>
        <v>0</v>
      </c>
      <c r="AO48" s="165">
        <f>景东!AK18</f>
        <v>0</v>
      </c>
      <c r="AP48" s="263">
        <v>4</v>
      </c>
      <c r="AQ48" s="209">
        <f>景东!AM18</f>
        <v>0</v>
      </c>
      <c r="AR48" s="295">
        <f>景东!AN18</f>
        <v>0.8</v>
      </c>
      <c r="AS48" s="199" t="str">
        <f>景东!AO18</f>
        <v>532724196901172136</v>
      </c>
      <c r="AT48" s="199" t="str">
        <f>景东!AP18</f>
        <v>138887949236</v>
      </c>
    </row>
    <row r="49" spans="1:46">
      <c r="A49" t="s">
        <v>1923</v>
      </c>
      <c r="B49" s="202" t="str">
        <f>VLOOKUP(A49,databases!$A$2:$B$7, 2, FALSE)</f>
        <v>JingDong</v>
      </c>
      <c r="C49" s="165" t="str">
        <f>景东!B73</f>
        <v>张汝志</v>
      </c>
      <c r="D49" s="202" t="str">
        <f>VLOOKUP(C49,databases!$D$2:$E$145, 2, FALSE)</f>
        <v>R23</v>
      </c>
      <c r="E49" s="259">
        <f>INDEX(sample_database!$B$2:$B$506,MATCH(F49,sample_database!$L$2:$L$506,0))</f>
        <v>98</v>
      </c>
      <c r="F49" s="202" t="str">
        <f>景东!A73</f>
        <v>JD72</v>
      </c>
      <c r="G49" s="257">
        <f>景东!C73</f>
        <v>2</v>
      </c>
      <c r="H49" s="257">
        <f>景东!D73</f>
        <v>0</v>
      </c>
      <c r="I49" s="202">
        <f>景东!E73</f>
        <v>14</v>
      </c>
      <c r="J49" s="202">
        <f>景东!F73</f>
        <v>6</v>
      </c>
      <c r="K49" s="202">
        <f>景东!G73</f>
        <v>8</v>
      </c>
      <c r="L49" s="202">
        <f>景东!H73</f>
        <v>0</v>
      </c>
      <c r="M49" s="202">
        <f>景东!I73</f>
        <v>0</v>
      </c>
      <c r="N49" s="202">
        <f>景东!J73</f>
        <v>0</v>
      </c>
      <c r="O49" s="202">
        <f>景东!K73</f>
        <v>0</v>
      </c>
      <c r="P49" s="202">
        <f>景东!L73</f>
        <v>0</v>
      </c>
      <c r="Q49" s="202">
        <f>景东!M73</f>
        <v>0</v>
      </c>
      <c r="R49" s="202">
        <f>景东!N73</f>
        <v>0</v>
      </c>
      <c r="S49" s="202">
        <f>景东!O73</f>
        <v>0</v>
      </c>
      <c r="T49" s="202">
        <f>景东!P73</f>
        <v>0</v>
      </c>
      <c r="U49" s="202">
        <f>景东!Q73</f>
        <v>0</v>
      </c>
      <c r="V49" s="202">
        <f>景东!R73</f>
        <v>0</v>
      </c>
      <c r="W49" s="202">
        <f>景东!S73</f>
        <v>0</v>
      </c>
      <c r="X49" s="202">
        <f>景东!T73</f>
        <v>0</v>
      </c>
      <c r="Y49" s="202">
        <f>景东!U73</f>
        <v>0</v>
      </c>
      <c r="Z49" s="202">
        <f>景东!V73</f>
        <v>0</v>
      </c>
      <c r="AA49" s="202">
        <f>景东!W73</f>
        <v>0</v>
      </c>
      <c r="AB49" s="202">
        <f>景东!X73</f>
        <v>0</v>
      </c>
      <c r="AC49" s="202">
        <f>景东!Y73</f>
        <v>0</v>
      </c>
      <c r="AD49" s="202">
        <f>景东!Z73</f>
        <v>0</v>
      </c>
      <c r="AE49" s="202">
        <f>景东!AA73</f>
        <v>0</v>
      </c>
      <c r="AF49" s="202">
        <f>景东!AB73</f>
        <v>0</v>
      </c>
      <c r="AG49" s="202">
        <f>景东!AC73</f>
        <v>0</v>
      </c>
      <c r="AH49" s="202">
        <f>景东!AD73</f>
        <v>0</v>
      </c>
      <c r="AI49" s="202">
        <f>景东!AE73</f>
        <v>0</v>
      </c>
      <c r="AJ49" s="202">
        <f>景东!AF73</f>
        <v>0</v>
      </c>
      <c r="AK49" s="165" t="str">
        <f>景东!AG73</f>
        <v>景东县龙街乡竹者村</v>
      </c>
      <c r="AL49" s="165" t="str">
        <f>景东!AH73</f>
        <v>20160818</v>
      </c>
      <c r="AM49" s="165">
        <f>景东!AI73</f>
        <v>0</v>
      </c>
      <c r="AN49" s="165">
        <f>景东!AJ73</f>
        <v>0</v>
      </c>
      <c r="AO49" s="165">
        <f>景东!AK73</f>
        <v>0</v>
      </c>
      <c r="AP49" s="263">
        <v>3</v>
      </c>
      <c r="AQ49" s="209">
        <f>景东!AM73</f>
        <v>0</v>
      </c>
      <c r="AR49" s="295">
        <f>景东!AN73</f>
        <v>0.6</v>
      </c>
      <c r="AS49" s="199" t="str">
        <f>景东!AO73</f>
        <v>532724196583872113？</v>
      </c>
      <c r="AT49" s="199" t="str">
        <f>景东!AP73</f>
        <v>13577959513</v>
      </c>
    </row>
    <row r="50" spans="1:46">
      <c r="A50" t="s">
        <v>1923</v>
      </c>
      <c r="B50" s="202" t="str">
        <f>VLOOKUP(A50,databases!$A$2:$B$7, 2, FALSE)</f>
        <v>JingDong</v>
      </c>
      <c r="C50" s="165" t="str">
        <f>景东!B96</f>
        <v>李发文</v>
      </c>
      <c r="D50" s="202" t="str">
        <f>VLOOKUP(C50,databases!$D$2:$E$145, 2, FALSE)</f>
        <v>R39</v>
      </c>
      <c r="E50" s="259">
        <f>INDEX(sample_database!$B$2:$B$506,MATCH(F50,sample_database!$L$2:$L$506,0))</f>
        <v>111</v>
      </c>
      <c r="F50" s="202" t="str">
        <f>景东!A96</f>
        <v>JD95</v>
      </c>
      <c r="G50" s="257">
        <f>景东!C96</f>
        <v>10</v>
      </c>
      <c r="H50" s="257">
        <f>景东!D96</f>
        <v>0</v>
      </c>
      <c r="I50" s="202">
        <f>景东!E96</f>
        <v>92</v>
      </c>
      <c r="J50" s="202">
        <f>景东!F96</f>
        <v>7</v>
      </c>
      <c r="K50" s="202">
        <f>景东!G96</f>
        <v>3</v>
      </c>
      <c r="L50" s="202">
        <f>景东!H96</f>
        <v>6</v>
      </c>
      <c r="M50" s="202">
        <f>景东!I96</f>
        <v>6</v>
      </c>
      <c r="N50" s="202">
        <f>景东!J96</f>
        <v>6</v>
      </c>
      <c r="O50" s="202">
        <f>景东!K96</f>
        <v>8</v>
      </c>
      <c r="P50" s="202">
        <f>景东!L96</f>
        <v>14</v>
      </c>
      <c r="Q50" s="202">
        <f>景东!M96</f>
        <v>15</v>
      </c>
      <c r="R50" s="202">
        <f>景东!N96</f>
        <v>10</v>
      </c>
      <c r="S50" s="202">
        <f>景东!O96</f>
        <v>17</v>
      </c>
      <c r="T50" s="202">
        <f>景东!P96</f>
        <v>0</v>
      </c>
      <c r="U50" s="202">
        <f>景东!Q96</f>
        <v>0</v>
      </c>
      <c r="V50" s="202">
        <f>景东!R96</f>
        <v>0</v>
      </c>
      <c r="W50" s="202">
        <f>景东!S96</f>
        <v>0</v>
      </c>
      <c r="X50" s="202">
        <f>景东!T96</f>
        <v>0</v>
      </c>
      <c r="Y50" s="202">
        <f>景东!U96</f>
        <v>0</v>
      </c>
      <c r="Z50" s="202">
        <f>景东!V96</f>
        <v>0</v>
      </c>
      <c r="AA50" s="202">
        <f>景东!W96</f>
        <v>0</v>
      </c>
      <c r="AB50" s="202">
        <f>景东!X96</f>
        <v>0</v>
      </c>
      <c r="AC50" s="202">
        <f>景东!Y96</f>
        <v>0</v>
      </c>
      <c r="AD50" s="202">
        <f>景东!Z96</f>
        <v>0</v>
      </c>
      <c r="AE50" s="202">
        <f>景东!AA96</f>
        <v>0</v>
      </c>
      <c r="AF50" s="202">
        <f>景东!AB96</f>
        <v>0</v>
      </c>
      <c r="AG50" s="202">
        <f>景东!AC96</f>
        <v>0</v>
      </c>
      <c r="AH50" s="202">
        <f>景东!AD96</f>
        <v>0</v>
      </c>
      <c r="AI50" s="202">
        <f>景东!AE96</f>
        <v>0</v>
      </c>
      <c r="AJ50" s="202">
        <f>景东!AF96</f>
        <v>0</v>
      </c>
      <c r="AK50" s="165" t="str">
        <f>景东!AG96</f>
        <v>景东县太忠镇麦地村委会大村小组</v>
      </c>
      <c r="AL50" s="165" t="str">
        <f>景东!AH96</f>
        <v>20160708</v>
      </c>
      <c r="AM50" s="165">
        <f>景东!AI96</f>
        <v>0</v>
      </c>
      <c r="AN50" s="165">
        <f>景东!AJ96</f>
        <v>0</v>
      </c>
      <c r="AO50" s="165">
        <f>景东!AK96</f>
        <v>0</v>
      </c>
      <c r="AP50" s="263">
        <v>20</v>
      </c>
      <c r="AQ50" s="209">
        <f>景东!AM96</f>
        <v>0</v>
      </c>
      <c r="AR50" s="295">
        <f>景东!AN96</f>
        <v>4</v>
      </c>
      <c r="AS50" s="199" t="str">
        <f>景东!AO96</f>
        <v>532724197201141835</v>
      </c>
      <c r="AT50" s="199" t="str">
        <f>景东!AP96</f>
        <v>15925267413</v>
      </c>
    </row>
    <row r="51" spans="1:46">
      <c r="A51" t="s">
        <v>1923</v>
      </c>
      <c r="B51" s="202" t="str">
        <f>VLOOKUP(A51,databases!$A$2:$B$7, 2, FALSE)</f>
        <v>JingDong</v>
      </c>
      <c r="C51" s="165" t="str">
        <f>景东!B97</f>
        <v>李发文</v>
      </c>
      <c r="D51" s="202" t="str">
        <f>VLOOKUP(C51,databases!$D$2:$E$145, 2, FALSE)</f>
        <v>R39</v>
      </c>
      <c r="E51" s="259">
        <f>INDEX(sample_database!$B$2:$B$506,MATCH(F51,sample_database!$L$2:$L$506,0))</f>
        <v>111</v>
      </c>
      <c r="F51" s="202" t="str">
        <f>景东!A97</f>
        <v>JD96</v>
      </c>
      <c r="G51" s="257">
        <f>景东!C97</f>
        <v>10</v>
      </c>
      <c r="H51" s="257">
        <f>景东!D97</f>
        <v>0</v>
      </c>
      <c r="I51" s="202">
        <f>景东!E97</f>
        <v>139</v>
      </c>
      <c r="J51" s="202">
        <f>景东!F97</f>
        <v>25</v>
      </c>
      <c r="K51" s="202">
        <f>景东!G97</f>
        <v>17</v>
      </c>
      <c r="L51" s="202">
        <f>景东!H97</f>
        <v>15</v>
      </c>
      <c r="M51" s="202">
        <f>景东!I97</f>
        <v>21</v>
      </c>
      <c r="N51" s="202">
        <f>景东!J97</f>
        <v>8</v>
      </c>
      <c r="O51" s="202">
        <f>景东!K97</f>
        <v>15</v>
      </c>
      <c r="P51" s="202">
        <f>景东!L97</f>
        <v>15</v>
      </c>
      <c r="Q51" s="202">
        <f>景东!M97</f>
        <v>11</v>
      </c>
      <c r="R51" s="202">
        <f>景东!N97</f>
        <v>8</v>
      </c>
      <c r="S51" s="202">
        <f>景东!O97</f>
        <v>4</v>
      </c>
      <c r="T51" s="202">
        <f>景东!P97</f>
        <v>0</v>
      </c>
      <c r="U51" s="202">
        <f>景东!Q97</f>
        <v>0</v>
      </c>
      <c r="V51" s="202">
        <f>景东!R97</f>
        <v>0</v>
      </c>
      <c r="W51" s="202">
        <f>景东!S97</f>
        <v>0</v>
      </c>
      <c r="X51" s="202">
        <f>景东!T97</f>
        <v>0</v>
      </c>
      <c r="Y51" s="202">
        <f>景东!U97</f>
        <v>0</v>
      </c>
      <c r="Z51" s="202">
        <f>景东!V97</f>
        <v>0</v>
      </c>
      <c r="AA51" s="202">
        <f>景东!W97</f>
        <v>0</v>
      </c>
      <c r="AB51" s="202">
        <f>景东!X97</f>
        <v>0</v>
      </c>
      <c r="AC51" s="202">
        <f>景东!Y97</f>
        <v>0</v>
      </c>
      <c r="AD51" s="202">
        <f>景东!Z97</f>
        <v>0</v>
      </c>
      <c r="AE51" s="202">
        <f>景东!AA97</f>
        <v>0</v>
      </c>
      <c r="AF51" s="202">
        <f>景东!AB97</f>
        <v>0</v>
      </c>
      <c r="AG51" s="202">
        <f>景东!AC97</f>
        <v>0</v>
      </c>
      <c r="AH51" s="202">
        <f>景东!AD97</f>
        <v>0</v>
      </c>
      <c r="AI51" s="202">
        <f>景东!AE97</f>
        <v>0</v>
      </c>
      <c r="AJ51" s="202">
        <f>景东!AF97</f>
        <v>0</v>
      </c>
      <c r="AK51" s="165" t="str">
        <f>景东!AG97</f>
        <v>景东县太忠镇麦地村委会大村小组</v>
      </c>
      <c r="AL51" s="165" t="str">
        <f>景东!AH97</f>
        <v>201607</v>
      </c>
      <c r="AM51" s="165">
        <f>景东!AI97</f>
        <v>0</v>
      </c>
      <c r="AN51" s="165">
        <f>景东!AJ97</f>
        <v>0</v>
      </c>
      <c r="AO51" s="165">
        <f>景东!AK97</f>
        <v>0</v>
      </c>
      <c r="AP51" s="263">
        <v>48</v>
      </c>
      <c r="AQ51" s="209" t="str">
        <f>景东!AM97</f>
        <v>2+2.5+2+2+1.1</v>
      </c>
      <c r="AR51" s="295">
        <f>景东!AN97</f>
        <v>9.6</v>
      </c>
      <c r="AS51" s="199" t="str">
        <f>景东!AO97</f>
        <v>532724197201141835</v>
      </c>
      <c r="AT51" s="199" t="str">
        <f>景东!AP97</f>
        <v>15925267413</v>
      </c>
    </row>
    <row r="52" spans="1:46">
      <c r="A52" t="s">
        <v>1923</v>
      </c>
      <c r="B52" s="202" t="str">
        <f>VLOOKUP(A52,databases!$A$2:$B$7, 2, FALSE)</f>
        <v>JingDong</v>
      </c>
      <c r="C52" s="165" t="str">
        <f>景东!B98</f>
        <v>李发文</v>
      </c>
      <c r="D52" s="202" t="str">
        <f>VLOOKUP(C52,databases!$D$2:$E$145, 2, FALSE)</f>
        <v>R39</v>
      </c>
      <c r="E52" s="259">
        <f>INDEX(sample_database!$B$2:$B$506,MATCH(F52,sample_database!$L$2:$L$506,0))</f>
        <v>111</v>
      </c>
      <c r="F52" s="202" t="str">
        <f>景东!A98</f>
        <v>JD97</v>
      </c>
      <c r="G52" s="257">
        <f>景东!C98</f>
        <v>10</v>
      </c>
      <c r="H52" s="257">
        <f>景东!D98</f>
        <v>0</v>
      </c>
      <c r="I52" s="202">
        <f>景东!E98</f>
        <v>63</v>
      </c>
      <c r="J52" s="202">
        <f>景东!F98</f>
        <v>6</v>
      </c>
      <c r="K52" s="202">
        <f>景东!G98</f>
        <v>4</v>
      </c>
      <c r="L52" s="202">
        <f>景东!H98</f>
        <v>4</v>
      </c>
      <c r="M52" s="202">
        <f>景东!I98</f>
        <v>6</v>
      </c>
      <c r="N52" s="202">
        <f>景东!J98</f>
        <v>5</v>
      </c>
      <c r="O52" s="202">
        <f>景东!K98</f>
        <v>4</v>
      </c>
      <c r="P52" s="202">
        <f>景东!L98</f>
        <v>10</v>
      </c>
      <c r="Q52" s="202">
        <f>景东!M98</f>
        <v>12</v>
      </c>
      <c r="R52" s="202">
        <f>景东!N98</f>
        <v>3</v>
      </c>
      <c r="S52" s="202">
        <f>景东!O98</f>
        <v>9</v>
      </c>
      <c r="T52" s="202">
        <f>景东!P98</f>
        <v>0</v>
      </c>
      <c r="U52" s="202">
        <f>景东!Q98</f>
        <v>0</v>
      </c>
      <c r="V52" s="202">
        <f>景东!R98</f>
        <v>0</v>
      </c>
      <c r="W52" s="202">
        <f>景东!S98</f>
        <v>0</v>
      </c>
      <c r="X52" s="202">
        <f>景东!T98</f>
        <v>0</v>
      </c>
      <c r="Y52" s="202">
        <f>景东!U98</f>
        <v>0</v>
      </c>
      <c r="Z52" s="202">
        <f>景东!V98</f>
        <v>0</v>
      </c>
      <c r="AA52" s="202">
        <f>景东!W98</f>
        <v>0</v>
      </c>
      <c r="AB52" s="202">
        <f>景东!X98</f>
        <v>0</v>
      </c>
      <c r="AC52" s="202">
        <f>景东!Y98</f>
        <v>0</v>
      </c>
      <c r="AD52" s="202">
        <f>景东!Z98</f>
        <v>0</v>
      </c>
      <c r="AE52" s="202">
        <f>景东!AA98</f>
        <v>0</v>
      </c>
      <c r="AF52" s="202">
        <f>景东!AB98</f>
        <v>0</v>
      </c>
      <c r="AG52" s="202">
        <f>景东!AC98</f>
        <v>0</v>
      </c>
      <c r="AH52" s="202">
        <f>景东!AD98</f>
        <v>0</v>
      </c>
      <c r="AI52" s="202">
        <f>景东!AE98</f>
        <v>0</v>
      </c>
      <c r="AJ52" s="202">
        <f>景东!AF98</f>
        <v>0</v>
      </c>
      <c r="AK52" s="165" t="str">
        <f>景东!AG98</f>
        <v>景东县太忠镇麦地村委会大村小组</v>
      </c>
      <c r="AL52" s="165" t="str">
        <f>景东!AH98</f>
        <v>201607</v>
      </c>
      <c r="AM52" s="165">
        <f>景东!AI98</f>
        <v>0</v>
      </c>
      <c r="AN52" s="165">
        <f>景东!AJ98</f>
        <v>0</v>
      </c>
      <c r="AO52" s="165">
        <f>景东!AK98</f>
        <v>0</v>
      </c>
      <c r="AP52" s="263">
        <v>17.5</v>
      </c>
      <c r="AQ52" s="209">
        <f>景东!AM98</f>
        <v>0</v>
      </c>
      <c r="AR52" s="295">
        <f>景东!AN98</f>
        <v>3.5</v>
      </c>
      <c r="AS52" s="199" t="str">
        <f>景东!AO98</f>
        <v>532724197201141835</v>
      </c>
      <c r="AT52" s="199" t="str">
        <f>景东!AP98</f>
        <v>15925267413</v>
      </c>
    </row>
    <row r="53" spans="1:46">
      <c r="A53" t="s">
        <v>1923</v>
      </c>
      <c r="B53" s="202" t="str">
        <f>VLOOKUP(A53,databases!$A$2:$B$7, 2, FALSE)</f>
        <v>JingDong</v>
      </c>
      <c r="C53" s="165" t="str">
        <f>景东!B99</f>
        <v>李发文</v>
      </c>
      <c r="D53" s="202" t="str">
        <f>VLOOKUP(C53,databases!$D$2:$E$145, 2, FALSE)</f>
        <v>R39</v>
      </c>
      <c r="E53" s="259">
        <f>INDEX(sample_database!$B$2:$B$506,MATCH(F53,sample_database!$L$2:$L$506,0))</f>
        <v>111</v>
      </c>
      <c r="F53" s="202" t="str">
        <f>景东!A99</f>
        <v>JD98</v>
      </c>
      <c r="G53" s="257">
        <f>景东!C99</f>
        <v>7</v>
      </c>
      <c r="H53" s="257">
        <f>景东!D99</f>
        <v>0</v>
      </c>
      <c r="I53" s="202">
        <f>景东!E99</f>
        <v>105</v>
      </c>
      <c r="J53" s="202">
        <f>景东!F99</f>
        <v>18</v>
      </c>
      <c r="K53" s="202">
        <f>景东!G99</f>
        <v>18</v>
      </c>
      <c r="L53" s="202">
        <f>景东!H99</f>
        <v>16</v>
      </c>
      <c r="M53" s="202">
        <f>景东!I99</f>
        <v>8</v>
      </c>
      <c r="N53" s="202">
        <f>景东!J99</f>
        <v>23</v>
      </c>
      <c r="O53" s="202">
        <f>景东!K99</f>
        <v>12</v>
      </c>
      <c r="P53" s="202">
        <f>景东!L99</f>
        <v>10</v>
      </c>
      <c r="Q53" s="202">
        <f>景东!M99</f>
        <v>0</v>
      </c>
      <c r="R53" s="202">
        <f>景东!N99</f>
        <v>0</v>
      </c>
      <c r="S53" s="202">
        <f>景东!O99</f>
        <v>0</v>
      </c>
      <c r="T53" s="202">
        <f>景东!P99</f>
        <v>0</v>
      </c>
      <c r="U53" s="202">
        <f>景东!Q99</f>
        <v>0</v>
      </c>
      <c r="V53" s="202">
        <f>景东!R99</f>
        <v>0</v>
      </c>
      <c r="W53" s="202">
        <f>景东!S99</f>
        <v>0</v>
      </c>
      <c r="X53" s="202">
        <f>景东!T99</f>
        <v>0</v>
      </c>
      <c r="Y53" s="202">
        <f>景东!U99</f>
        <v>0</v>
      </c>
      <c r="Z53" s="202">
        <f>景东!V99</f>
        <v>0</v>
      </c>
      <c r="AA53" s="202">
        <f>景东!W99</f>
        <v>0</v>
      </c>
      <c r="AB53" s="202">
        <f>景东!X99</f>
        <v>0</v>
      </c>
      <c r="AC53" s="202">
        <f>景东!Y99</f>
        <v>0</v>
      </c>
      <c r="AD53" s="202">
        <f>景东!Z99</f>
        <v>0</v>
      </c>
      <c r="AE53" s="202">
        <f>景东!AA99</f>
        <v>0</v>
      </c>
      <c r="AF53" s="202">
        <f>景东!AB99</f>
        <v>0</v>
      </c>
      <c r="AG53" s="202">
        <f>景东!AC99</f>
        <v>0</v>
      </c>
      <c r="AH53" s="202">
        <f>景东!AD99</f>
        <v>0</v>
      </c>
      <c r="AI53" s="202">
        <f>景东!AE99</f>
        <v>0</v>
      </c>
      <c r="AJ53" s="202">
        <f>景东!AF99</f>
        <v>0</v>
      </c>
      <c r="AK53" s="165" t="str">
        <f>景东!AG99</f>
        <v>景东县太忠镇麦地村委会大村小组</v>
      </c>
      <c r="AL53" s="165" t="str">
        <f>景东!AH99</f>
        <v>201608</v>
      </c>
      <c r="AM53" s="165">
        <f>景东!AI99</f>
        <v>0</v>
      </c>
      <c r="AN53" s="165">
        <f>景东!AJ99</f>
        <v>0</v>
      </c>
      <c r="AO53" s="165">
        <f>景东!AK99</f>
        <v>0</v>
      </c>
      <c r="AP53" s="263">
        <v>24.5</v>
      </c>
      <c r="AQ53" s="209" t="str">
        <f>景东!AM99</f>
        <v>1.1+0.7+1.1+1.1+0.9</v>
      </c>
      <c r="AR53" s="295">
        <f>景东!AN99</f>
        <v>4.9000000000000004</v>
      </c>
      <c r="AS53" s="199" t="str">
        <f>景东!AO99</f>
        <v>532724197201141835</v>
      </c>
      <c r="AT53" s="199" t="str">
        <f>景东!AP99</f>
        <v>15925267413</v>
      </c>
    </row>
    <row r="54" spans="1:46">
      <c r="A54" t="s">
        <v>1923</v>
      </c>
      <c r="B54" s="202" t="str">
        <f>VLOOKUP(A54,databases!$A$2:$B$7, 2, FALSE)</f>
        <v>JingDong</v>
      </c>
      <c r="C54" s="165" t="str">
        <f>景东!B10</f>
        <v>李富平</v>
      </c>
      <c r="D54" s="202" t="str">
        <f>VLOOKUP(C54,databases!$D$2:$E$145, 2, FALSE)</f>
        <v>R45</v>
      </c>
      <c r="E54" s="259">
        <f>INDEX(sample_database!$B$2:$B$506,MATCH(F54,sample_database!$L$2:$L$506,0))</f>
        <v>171</v>
      </c>
      <c r="F54" s="202" t="str">
        <f>景东!A10</f>
        <v>JD09</v>
      </c>
      <c r="G54" s="257">
        <f>景东!C10</f>
        <v>10</v>
      </c>
      <c r="H54" s="257">
        <f>景东!D10</f>
        <v>0</v>
      </c>
      <c r="I54" s="202">
        <f>景东!E10</f>
        <v>111</v>
      </c>
      <c r="J54" s="202">
        <f>景东!F10</f>
        <v>11</v>
      </c>
      <c r="K54" s="202">
        <f>景东!G10</f>
        <v>8</v>
      </c>
      <c r="L54" s="202">
        <f>景东!H10</f>
        <v>8</v>
      </c>
      <c r="M54" s="202">
        <f>景东!I10</f>
        <v>8</v>
      </c>
      <c r="N54" s="202">
        <f>景东!J10</f>
        <v>8</v>
      </c>
      <c r="O54" s="202">
        <f>景东!K10</f>
        <v>13</v>
      </c>
      <c r="P54" s="202">
        <f>景东!L10</f>
        <v>10</v>
      </c>
      <c r="Q54" s="202">
        <f>景东!M10</f>
        <v>12</v>
      </c>
      <c r="R54" s="202">
        <f>景东!N10</f>
        <v>18</v>
      </c>
      <c r="S54" s="202">
        <f>景东!O10</f>
        <v>15</v>
      </c>
      <c r="T54" s="202">
        <f>景东!P10</f>
        <v>0</v>
      </c>
      <c r="U54" s="202">
        <f>景东!Q10</f>
        <v>0</v>
      </c>
      <c r="V54" s="202">
        <f>景东!R10</f>
        <v>0</v>
      </c>
      <c r="W54" s="202">
        <f>景东!S10</f>
        <v>0</v>
      </c>
      <c r="X54" s="202">
        <f>景东!T10</f>
        <v>0</v>
      </c>
      <c r="Y54" s="202">
        <f>景东!U10</f>
        <v>0</v>
      </c>
      <c r="Z54" s="202">
        <f>景东!V10</f>
        <v>0</v>
      </c>
      <c r="AA54" s="202">
        <f>景东!W10</f>
        <v>0</v>
      </c>
      <c r="AB54" s="202">
        <f>景东!X10</f>
        <v>0</v>
      </c>
      <c r="AC54" s="202">
        <f>景东!Y10</f>
        <v>0</v>
      </c>
      <c r="AD54" s="202">
        <f>景东!Z10</f>
        <v>0</v>
      </c>
      <c r="AE54" s="202">
        <f>景东!AA10</f>
        <v>0</v>
      </c>
      <c r="AF54" s="202">
        <f>景东!AB10</f>
        <v>0</v>
      </c>
      <c r="AG54" s="202">
        <f>景东!AC10</f>
        <v>0</v>
      </c>
      <c r="AH54" s="202">
        <f>景东!AD10</f>
        <v>0</v>
      </c>
      <c r="AI54" s="202">
        <f>景东!AE10</f>
        <v>0</v>
      </c>
      <c r="AJ54" s="202">
        <f>景东!AF10</f>
        <v>0</v>
      </c>
      <c r="AK54" s="165" t="str">
        <f>景东!AG10</f>
        <v>景东县太忠镇嘎仰村民委员会明子山村民小组</v>
      </c>
      <c r="AL54" s="165" t="str">
        <f>景东!AH10</f>
        <v>20160909</v>
      </c>
      <c r="AM54" s="165">
        <f>景东!AI10</f>
        <v>0</v>
      </c>
      <c r="AN54" s="165">
        <f>景东!AJ10</f>
        <v>0</v>
      </c>
      <c r="AO54" s="165" t="str">
        <f>景东!AK10</f>
        <v>海拔2381，N24°33′20.37″ E101°0′21.01″</v>
      </c>
      <c r="AP54" s="263">
        <v>21.5</v>
      </c>
      <c r="AQ54" s="209" t="str">
        <f>景东!AM10</f>
        <v>0.9+0.9+0.7+0.9+0.9</v>
      </c>
      <c r="AR54" s="295">
        <f>景东!AN10</f>
        <v>4.3</v>
      </c>
      <c r="AS54" s="199" t="str">
        <f>景东!AO10</f>
        <v>532724197001221830</v>
      </c>
      <c r="AT54" s="199" t="str">
        <f>景东!AP10</f>
        <v>13577946258</v>
      </c>
    </row>
    <row r="55" spans="1:46">
      <c r="A55" t="s">
        <v>1923</v>
      </c>
      <c r="B55" s="202" t="str">
        <f>VLOOKUP(A55,databases!$A$2:$B$7, 2, FALSE)</f>
        <v>JingDong</v>
      </c>
      <c r="C55" s="165" t="str">
        <f>景东!B11</f>
        <v>李富平</v>
      </c>
      <c r="D55" s="202" t="str">
        <f>VLOOKUP(C55,databases!$D$2:$E$145, 2, FALSE)</f>
        <v>R45</v>
      </c>
      <c r="E55" s="259">
        <f>INDEX(sample_database!$B$2:$B$506,MATCH(F55,sample_database!$L$2:$L$506,0))</f>
        <v>171</v>
      </c>
      <c r="F55" s="202" t="str">
        <f>景东!A11</f>
        <v>JD10</v>
      </c>
      <c r="G55" s="257">
        <f>景东!C11</f>
        <v>10</v>
      </c>
      <c r="H55" s="257">
        <f>景东!D11</f>
        <v>0</v>
      </c>
      <c r="I55" s="202">
        <f>景东!E11</f>
        <v>90</v>
      </c>
      <c r="J55" s="202">
        <f>景东!F11</f>
        <v>7</v>
      </c>
      <c r="K55" s="202">
        <f>景东!G11</f>
        <v>5</v>
      </c>
      <c r="L55" s="202">
        <f>景东!H11</f>
        <v>3</v>
      </c>
      <c r="M55" s="202">
        <f>景东!I11</f>
        <v>11</v>
      </c>
      <c r="N55" s="202">
        <f>景东!J11</f>
        <v>9</v>
      </c>
      <c r="O55" s="202">
        <f>景东!K11</f>
        <v>9</v>
      </c>
      <c r="P55" s="202">
        <f>景东!L11</f>
        <v>9</v>
      </c>
      <c r="Q55" s="202">
        <f>景东!M11</f>
        <v>8</v>
      </c>
      <c r="R55" s="202">
        <f>景东!N11</f>
        <v>18</v>
      </c>
      <c r="S55" s="202">
        <f>景东!O11</f>
        <v>11</v>
      </c>
      <c r="T55" s="202">
        <f>景东!P11</f>
        <v>0</v>
      </c>
      <c r="U55" s="202">
        <f>景东!Q11</f>
        <v>0</v>
      </c>
      <c r="V55" s="202">
        <f>景东!R11</f>
        <v>0</v>
      </c>
      <c r="W55" s="202">
        <f>景东!S11</f>
        <v>0</v>
      </c>
      <c r="X55" s="202">
        <f>景东!T11</f>
        <v>0</v>
      </c>
      <c r="Y55" s="202">
        <f>景东!U11</f>
        <v>0</v>
      </c>
      <c r="Z55" s="202">
        <f>景东!V11</f>
        <v>0</v>
      </c>
      <c r="AA55" s="202">
        <f>景东!W11</f>
        <v>0</v>
      </c>
      <c r="AB55" s="202">
        <f>景东!X11</f>
        <v>0</v>
      </c>
      <c r="AC55" s="202">
        <f>景东!Y11</f>
        <v>0</v>
      </c>
      <c r="AD55" s="202">
        <f>景东!Z11</f>
        <v>0</v>
      </c>
      <c r="AE55" s="202">
        <f>景东!AA11</f>
        <v>0</v>
      </c>
      <c r="AF55" s="202">
        <f>景东!AB11</f>
        <v>0</v>
      </c>
      <c r="AG55" s="202">
        <f>景东!AC11</f>
        <v>0</v>
      </c>
      <c r="AH55" s="202">
        <f>景东!AD11</f>
        <v>0</v>
      </c>
      <c r="AI55" s="202">
        <f>景东!AE11</f>
        <v>0</v>
      </c>
      <c r="AJ55" s="202">
        <f>景东!AF11</f>
        <v>0</v>
      </c>
      <c r="AK55" s="165" t="str">
        <f>景东!AG11</f>
        <v>景东县太忠镇嘎仰村民委员会明子山村民小组</v>
      </c>
      <c r="AL55" s="165" t="str">
        <f>景东!AH11</f>
        <v>20160913</v>
      </c>
      <c r="AM55" s="165">
        <f>景东!AI11</f>
        <v>0</v>
      </c>
      <c r="AN55" s="165">
        <f>景东!AJ11</f>
        <v>0</v>
      </c>
      <c r="AO55" s="165" t="str">
        <f>景东!AK11</f>
        <v>海拔2366，N24°33′15.91″ E101°0′22.02″</v>
      </c>
      <c r="AP55" s="263">
        <v>17.5</v>
      </c>
      <c r="AQ55" s="209">
        <f>景东!AM11</f>
        <v>0</v>
      </c>
      <c r="AR55" s="295">
        <f>景东!AN11</f>
        <v>3.5</v>
      </c>
      <c r="AS55" s="199" t="str">
        <f>景东!AO11</f>
        <v>532724197001221830</v>
      </c>
      <c r="AT55" s="199" t="str">
        <f>景东!AP11</f>
        <v>13577946258</v>
      </c>
    </row>
    <row r="56" spans="1:46">
      <c r="A56" t="s">
        <v>1923</v>
      </c>
      <c r="B56" s="202" t="str">
        <f>VLOOKUP(A56,databases!$A$2:$B$7, 2, FALSE)</f>
        <v>JingDong</v>
      </c>
      <c r="C56" s="165" t="str">
        <f>景东!B12</f>
        <v>李富平</v>
      </c>
      <c r="D56" s="202" t="str">
        <f>VLOOKUP(C56,databases!$D$2:$E$145, 2, FALSE)</f>
        <v>R45</v>
      </c>
      <c r="E56" s="259">
        <f>INDEX(sample_database!$B$2:$B$506,MATCH(F56,sample_database!$L$2:$L$506,0))</f>
        <v>171</v>
      </c>
      <c r="F56" s="202" t="str">
        <f>景东!A12</f>
        <v>JD11</v>
      </c>
      <c r="G56" s="257">
        <f>景东!C12</f>
        <v>5</v>
      </c>
      <c r="H56" s="257">
        <f>景东!D12</f>
        <v>0</v>
      </c>
      <c r="I56" s="202">
        <f>景东!E12</f>
        <v>66</v>
      </c>
      <c r="J56" s="202">
        <f>景东!F12</f>
        <v>15</v>
      </c>
      <c r="K56" s="202">
        <f>景东!G12</f>
        <v>13</v>
      </c>
      <c r="L56" s="202">
        <f>景东!H12</f>
        <v>17</v>
      </c>
      <c r="M56" s="202">
        <f>景东!I12</f>
        <v>12</v>
      </c>
      <c r="N56" s="202">
        <f>景东!J12</f>
        <v>9</v>
      </c>
      <c r="O56" s="202">
        <f>景东!K12</f>
        <v>0</v>
      </c>
      <c r="P56" s="202">
        <f>景东!L12</f>
        <v>0</v>
      </c>
      <c r="Q56" s="202">
        <f>景东!M12</f>
        <v>0</v>
      </c>
      <c r="R56" s="202">
        <f>景东!N12</f>
        <v>0</v>
      </c>
      <c r="S56" s="202">
        <f>景东!O12</f>
        <v>0</v>
      </c>
      <c r="T56" s="202">
        <f>景东!P12</f>
        <v>0</v>
      </c>
      <c r="U56" s="202">
        <f>景东!Q12</f>
        <v>0</v>
      </c>
      <c r="V56" s="202">
        <f>景东!R12</f>
        <v>0</v>
      </c>
      <c r="W56" s="202">
        <f>景东!S12</f>
        <v>0</v>
      </c>
      <c r="X56" s="202">
        <f>景东!T12</f>
        <v>0</v>
      </c>
      <c r="Y56" s="202">
        <f>景东!U12</f>
        <v>0</v>
      </c>
      <c r="Z56" s="202">
        <f>景东!V12</f>
        <v>0</v>
      </c>
      <c r="AA56" s="202">
        <f>景东!W12</f>
        <v>0</v>
      </c>
      <c r="AB56" s="202">
        <f>景东!X12</f>
        <v>0</v>
      </c>
      <c r="AC56" s="202">
        <f>景东!Y12</f>
        <v>0</v>
      </c>
      <c r="AD56" s="202">
        <f>景东!Z12</f>
        <v>0</v>
      </c>
      <c r="AE56" s="202">
        <f>景东!AA12</f>
        <v>0</v>
      </c>
      <c r="AF56" s="202">
        <f>景东!AB12</f>
        <v>0</v>
      </c>
      <c r="AG56" s="202">
        <f>景东!AC12</f>
        <v>0</v>
      </c>
      <c r="AH56" s="202">
        <f>景东!AD12</f>
        <v>0</v>
      </c>
      <c r="AI56" s="202">
        <f>景东!AE12</f>
        <v>0</v>
      </c>
      <c r="AJ56" s="202">
        <f>景东!AF12</f>
        <v>0</v>
      </c>
      <c r="AK56" s="165" t="str">
        <f>景东!AG12</f>
        <v>景东县太忠镇嘎仰村民委员会明子山村民小组</v>
      </c>
      <c r="AL56" s="165" t="str">
        <f>景东!AH12</f>
        <v>20160923</v>
      </c>
      <c r="AM56" s="165">
        <f>景东!AI12</f>
        <v>0</v>
      </c>
      <c r="AN56" s="165">
        <f>景东!AJ12</f>
        <v>0</v>
      </c>
      <c r="AO56" s="165" t="str">
        <f>景东!AK12</f>
        <v>N24°33′23.75″ E101°59′13.35″</v>
      </c>
      <c r="AP56" s="263">
        <v>10</v>
      </c>
      <c r="AQ56" s="209">
        <f>景东!AM12</f>
        <v>0</v>
      </c>
      <c r="AR56" s="295">
        <f>景东!AN12</f>
        <v>2</v>
      </c>
      <c r="AS56" s="199" t="str">
        <f>景东!AO12</f>
        <v>532724197001221830</v>
      </c>
      <c r="AT56" s="199" t="str">
        <f>景东!AP12</f>
        <v>13577946258</v>
      </c>
    </row>
    <row r="57" spans="1:46">
      <c r="A57" t="s">
        <v>1923</v>
      </c>
      <c r="B57" s="202" t="str">
        <f>VLOOKUP(A57,databases!$A$2:$B$7, 2, FALSE)</f>
        <v>JingDong</v>
      </c>
      <c r="C57" s="165" t="str">
        <f>景东!B13</f>
        <v>李富平</v>
      </c>
      <c r="D57" s="202" t="str">
        <f>VLOOKUP(C57,databases!$D$2:$E$145, 2, FALSE)</f>
        <v>R45</v>
      </c>
      <c r="E57" s="259">
        <f>INDEX(sample_database!$B$2:$B$506,MATCH(F57,sample_database!$L$2:$L$506,0))</f>
        <v>171</v>
      </c>
      <c r="F57" s="202" t="str">
        <f>景东!A13</f>
        <v>JD12</v>
      </c>
      <c r="G57" s="257">
        <f>景东!C13</f>
        <v>10</v>
      </c>
      <c r="H57" s="257">
        <f>景东!D13</f>
        <v>0</v>
      </c>
      <c r="I57" s="202">
        <f>景东!E13</f>
        <v>122</v>
      </c>
      <c r="J57" s="202">
        <f>景东!F13</f>
        <v>12</v>
      </c>
      <c r="K57" s="202">
        <f>景东!G13</f>
        <v>22</v>
      </c>
      <c r="L57" s="202">
        <f>景东!H13</f>
        <v>15</v>
      </c>
      <c r="M57" s="202">
        <f>景东!I13</f>
        <v>17</v>
      </c>
      <c r="N57" s="202">
        <f>景东!J13</f>
        <v>9</v>
      </c>
      <c r="O57" s="202">
        <f>景东!K13</f>
        <v>10</v>
      </c>
      <c r="P57" s="202">
        <f>景东!L13</f>
        <v>16</v>
      </c>
      <c r="Q57" s="202">
        <f>景东!M13</f>
        <v>7</v>
      </c>
      <c r="R57" s="202">
        <f>景东!N13</f>
        <v>7</v>
      </c>
      <c r="S57" s="202">
        <f>景东!O13</f>
        <v>7</v>
      </c>
      <c r="T57" s="202">
        <f>景东!P13</f>
        <v>0</v>
      </c>
      <c r="U57" s="202">
        <f>景东!Q13</f>
        <v>0</v>
      </c>
      <c r="V57" s="202">
        <f>景东!R13</f>
        <v>0</v>
      </c>
      <c r="W57" s="202">
        <f>景东!S13</f>
        <v>0</v>
      </c>
      <c r="X57" s="202">
        <f>景东!T13</f>
        <v>0</v>
      </c>
      <c r="Y57" s="202">
        <f>景东!U13</f>
        <v>0</v>
      </c>
      <c r="Z57" s="202">
        <f>景东!V13</f>
        <v>0</v>
      </c>
      <c r="AA57" s="202">
        <f>景东!W13</f>
        <v>0</v>
      </c>
      <c r="AB57" s="202">
        <f>景东!X13</f>
        <v>0</v>
      </c>
      <c r="AC57" s="202">
        <f>景东!Y13</f>
        <v>0</v>
      </c>
      <c r="AD57" s="202">
        <f>景东!Z13</f>
        <v>0</v>
      </c>
      <c r="AE57" s="202">
        <f>景东!AA13</f>
        <v>0</v>
      </c>
      <c r="AF57" s="202">
        <f>景东!AB13</f>
        <v>0</v>
      </c>
      <c r="AG57" s="202">
        <f>景东!AC13</f>
        <v>0</v>
      </c>
      <c r="AH57" s="202">
        <f>景东!AD13</f>
        <v>0</v>
      </c>
      <c r="AI57" s="202">
        <f>景东!AE13</f>
        <v>0</v>
      </c>
      <c r="AJ57" s="202">
        <f>景东!AF13</f>
        <v>0</v>
      </c>
      <c r="AK57" s="165" t="str">
        <f>景东!AG13</f>
        <v>景东县太忠镇嘎仰村民委员会明子山村民小组</v>
      </c>
      <c r="AL57" s="165" t="str">
        <f>景东!AH13</f>
        <v>20161013</v>
      </c>
      <c r="AM57" s="165">
        <f>景东!AI13</f>
        <v>0</v>
      </c>
      <c r="AN57" s="165">
        <f>景东!AJ13</f>
        <v>0</v>
      </c>
      <c r="AO57" s="165" t="str">
        <f>景东!AK13</f>
        <v>N24°33′25.82″ E101°59′14.34″</v>
      </c>
      <c r="AP57" s="263">
        <v>23.5</v>
      </c>
      <c r="AQ57" s="209" t="str">
        <f>景东!AM13</f>
        <v>1.1+0.7+0.7+1.1+1.1</v>
      </c>
      <c r="AR57" s="295">
        <f>景东!AN13</f>
        <v>4.7</v>
      </c>
      <c r="AS57" s="199" t="str">
        <f>景东!AO13</f>
        <v>532724197001221830</v>
      </c>
      <c r="AT57" s="199" t="str">
        <f>景东!AP13</f>
        <v>13577946258</v>
      </c>
    </row>
    <row r="58" spans="1:46">
      <c r="A58" t="s">
        <v>1923</v>
      </c>
      <c r="B58" s="202" t="str">
        <f>VLOOKUP(A58,databases!$A$2:$B$7, 2, FALSE)</f>
        <v>JingDong</v>
      </c>
      <c r="C58" s="165" t="str">
        <f>景东!B14</f>
        <v>李富平</v>
      </c>
      <c r="D58" s="202" t="str">
        <f>VLOOKUP(C58,databases!$D$2:$E$145, 2, FALSE)</f>
        <v>R45</v>
      </c>
      <c r="E58" s="259">
        <f>INDEX(sample_database!$B$2:$B$506,MATCH(F58,sample_database!$L$2:$L$506,0))</f>
        <v>171</v>
      </c>
      <c r="F58" s="202" t="str">
        <f>景东!A14</f>
        <v>JD13</v>
      </c>
      <c r="G58" s="257">
        <f>景东!C14</f>
        <v>5</v>
      </c>
      <c r="H58" s="257">
        <f>景东!D14</f>
        <v>0</v>
      </c>
      <c r="I58" s="202">
        <f>景东!E14</f>
        <v>20</v>
      </c>
      <c r="J58" s="202">
        <f>景东!F14</f>
        <v>5</v>
      </c>
      <c r="K58" s="202">
        <f>景东!G14</f>
        <v>8</v>
      </c>
      <c r="L58" s="202">
        <f>景东!H14</f>
        <v>2</v>
      </c>
      <c r="M58" s="202">
        <f>景东!I14</f>
        <v>5</v>
      </c>
      <c r="N58" s="202">
        <f>景东!J14</f>
        <v>0</v>
      </c>
      <c r="O58" s="202">
        <f>景东!K14</f>
        <v>0</v>
      </c>
      <c r="P58" s="202">
        <f>景东!L14</f>
        <v>0</v>
      </c>
      <c r="Q58" s="202">
        <f>景东!M14</f>
        <v>0</v>
      </c>
      <c r="R58" s="202">
        <f>景东!N14</f>
        <v>0</v>
      </c>
      <c r="S58" s="202">
        <f>景东!O14</f>
        <v>0</v>
      </c>
      <c r="T58" s="202">
        <f>景东!P14</f>
        <v>0</v>
      </c>
      <c r="U58" s="202">
        <f>景东!Q14</f>
        <v>0</v>
      </c>
      <c r="V58" s="202">
        <f>景东!R14</f>
        <v>0</v>
      </c>
      <c r="W58" s="202">
        <f>景东!S14</f>
        <v>0</v>
      </c>
      <c r="X58" s="202">
        <f>景东!T14</f>
        <v>0</v>
      </c>
      <c r="Y58" s="202">
        <f>景东!U14</f>
        <v>0</v>
      </c>
      <c r="Z58" s="202">
        <f>景东!V14</f>
        <v>0</v>
      </c>
      <c r="AA58" s="202">
        <f>景东!W14</f>
        <v>0</v>
      </c>
      <c r="AB58" s="202">
        <f>景东!X14</f>
        <v>0</v>
      </c>
      <c r="AC58" s="202">
        <f>景东!Y14</f>
        <v>0</v>
      </c>
      <c r="AD58" s="202">
        <f>景东!Z14</f>
        <v>0</v>
      </c>
      <c r="AE58" s="202">
        <f>景东!AA14</f>
        <v>0</v>
      </c>
      <c r="AF58" s="202">
        <f>景东!AB14</f>
        <v>0</v>
      </c>
      <c r="AG58" s="202">
        <f>景东!AC14</f>
        <v>0</v>
      </c>
      <c r="AH58" s="202">
        <f>景东!AD14</f>
        <v>0</v>
      </c>
      <c r="AI58" s="202">
        <f>景东!AE14</f>
        <v>0</v>
      </c>
      <c r="AJ58" s="202">
        <f>景东!AF14</f>
        <v>0</v>
      </c>
      <c r="AK58" s="165" t="str">
        <f>景东!AG14</f>
        <v>景东县太忠镇嘎仰村民委员会明子山村民小组</v>
      </c>
      <c r="AL58" s="165" t="str">
        <f>景东!AH14</f>
        <v>20161013</v>
      </c>
      <c r="AM58" s="165">
        <f>景东!AI14</f>
        <v>0</v>
      </c>
      <c r="AN58" s="165">
        <f>景东!AJ14</f>
        <v>0</v>
      </c>
      <c r="AO58" s="165" t="str">
        <f>景东!AK14</f>
        <v>海拔2423，N24°32′51.66″ E100°59′46.58″</v>
      </c>
      <c r="AP58" s="263">
        <v>5</v>
      </c>
      <c r="AQ58" s="209">
        <f>景东!AM14</f>
        <v>0</v>
      </c>
      <c r="AR58" s="295">
        <f>景东!AN14</f>
        <v>1</v>
      </c>
      <c r="AS58" s="199" t="str">
        <f>景东!AO14</f>
        <v>532724197001221830</v>
      </c>
      <c r="AT58" s="199" t="str">
        <f>景东!AP14</f>
        <v>13577946258</v>
      </c>
    </row>
    <row r="59" spans="1:46">
      <c r="A59" t="s">
        <v>1923</v>
      </c>
      <c r="B59" s="202" t="str">
        <f>VLOOKUP(A59,databases!$A$2:$B$7, 2, FALSE)</f>
        <v>JingDong</v>
      </c>
      <c r="C59" s="165" t="str">
        <f>景东!B15</f>
        <v>李富平</v>
      </c>
      <c r="D59" s="202" t="str">
        <f>VLOOKUP(C59,databases!$D$2:$E$145, 2, FALSE)</f>
        <v>R45</v>
      </c>
      <c r="E59" s="259">
        <f>INDEX(sample_database!$B$2:$B$506,MATCH(F59,sample_database!$L$2:$L$506,0))</f>
        <v>171</v>
      </c>
      <c r="F59" s="202" t="str">
        <f>景东!A15</f>
        <v>JD14</v>
      </c>
      <c r="G59" s="257">
        <f>景东!C15</f>
        <v>0</v>
      </c>
      <c r="H59" s="257">
        <f>景东!D15</f>
        <v>8</v>
      </c>
      <c r="I59" s="202">
        <f>景东!E15</f>
        <v>50</v>
      </c>
      <c r="J59" s="202">
        <f>景东!F15</f>
        <v>6</v>
      </c>
      <c r="K59" s="202">
        <f>景东!G15</f>
        <v>2</v>
      </c>
      <c r="L59" s="202">
        <f>景东!H15</f>
        <v>5</v>
      </c>
      <c r="M59" s="202">
        <f>景东!I15</f>
        <v>7</v>
      </c>
      <c r="N59" s="202">
        <f>景东!J15</f>
        <v>7</v>
      </c>
      <c r="O59" s="202">
        <f>景东!K15</f>
        <v>7</v>
      </c>
      <c r="P59" s="202">
        <f>景东!L15</f>
        <v>7</v>
      </c>
      <c r="Q59" s="202">
        <f>景东!M15</f>
        <v>9</v>
      </c>
      <c r="R59" s="202">
        <f>景东!N15</f>
        <v>0</v>
      </c>
      <c r="S59" s="202">
        <f>景东!O15</f>
        <v>0</v>
      </c>
      <c r="T59" s="202">
        <f>景东!P15</f>
        <v>0</v>
      </c>
      <c r="U59" s="202">
        <f>景东!Q15</f>
        <v>0</v>
      </c>
      <c r="V59" s="202">
        <f>景东!R15</f>
        <v>0</v>
      </c>
      <c r="W59" s="202">
        <f>景东!S15</f>
        <v>0</v>
      </c>
      <c r="X59" s="202">
        <f>景东!T15</f>
        <v>0</v>
      </c>
      <c r="Y59" s="202">
        <f>景东!U15</f>
        <v>0</v>
      </c>
      <c r="Z59" s="202">
        <f>景东!V15</f>
        <v>0</v>
      </c>
      <c r="AA59" s="202">
        <f>景东!W15</f>
        <v>0</v>
      </c>
      <c r="AB59" s="202">
        <f>景东!X15</f>
        <v>0</v>
      </c>
      <c r="AC59" s="202">
        <f>景东!Y15</f>
        <v>0</v>
      </c>
      <c r="AD59" s="202">
        <f>景东!Z15</f>
        <v>0</v>
      </c>
      <c r="AE59" s="202">
        <f>景东!AA15</f>
        <v>0</v>
      </c>
      <c r="AF59" s="202">
        <f>景东!AB15</f>
        <v>0</v>
      </c>
      <c r="AG59" s="202">
        <f>景东!AC15</f>
        <v>0</v>
      </c>
      <c r="AH59" s="202">
        <f>景东!AD15</f>
        <v>0</v>
      </c>
      <c r="AI59" s="202">
        <f>景东!AE15</f>
        <v>0</v>
      </c>
      <c r="AJ59" s="202">
        <f>景东!AF15</f>
        <v>0</v>
      </c>
      <c r="AK59" s="165" t="str">
        <f>景东!AG15</f>
        <v>景东县太忠镇嘎仰村民委员会明子山村民小组</v>
      </c>
      <c r="AL59" s="165" t="str">
        <f>景东!AH15</f>
        <v>20160908</v>
      </c>
      <c r="AM59" s="165">
        <f>景东!AI15</f>
        <v>0</v>
      </c>
      <c r="AN59" s="165">
        <f>景东!AJ15</f>
        <v>0</v>
      </c>
      <c r="AO59" s="165" t="str">
        <f>景东!AK15</f>
        <v>海拔2362，06:38:00,91.56km</v>
      </c>
      <c r="AP59" s="263">
        <v>12.5</v>
      </c>
      <c r="AQ59" s="209">
        <f>景东!AM15</f>
        <v>0</v>
      </c>
      <c r="AR59" s="295">
        <f>景东!AN15</f>
        <v>2.5</v>
      </c>
      <c r="AS59" s="199" t="str">
        <f>景东!AO15</f>
        <v>532724197001221830</v>
      </c>
      <c r="AT59" s="199" t="str">
        <f>景东!AP15</f>
        <v>13577946258</v>
      </c>
    </row>
    <row r="60" spans="1:46">
      <c r="A60" t="s">
        <v>1923</v>
      </c>
      <c r="B60" s="202" t="str">
        <f>VLOOKUP(A60,databases!$A$2:$B$7, 2, FALSE)</f>
        <v>JingDong</v>
      </c>
      <c r="C60" s="165" t="str">
        <f>景东!B16</f>
        <v>李富平</v>
      </c>
      <c r="D60" s="202" t="str">
        <f>VLOOKUP(C60,databases!$D$2:$E$145, 2, FALSE)</f>
        <v>R45</v>
      </c>
      <c r="E60" s="259">
        <f>INDEX(sample_database!$B$2:$B$506,MATCH(F60,sample_database!$L$2:$L$506,0))</f>
        <v>171</v>
      </c>
      <c r="F60" s="202" t="str">
        <f>景东!A16</f>
        <v>JD15</v>
      </c>
      <c r="G60" s="257">
        <f>景东!C16</f>
        <v>0</v>
      </c>
      <c r="H60" s="257">
        <f>景东!D16</f>
        <v>4</v>
      </c>
      <c r="I60" s="202">
        <f>景东!E16</f>
        <v>14</v>
      </c>
      <c r="J60" s="202">
        <f>景东!F16</f>
        <v>2</v>
      </c>
      <c r="K60" s="202">
        <f>景东!G16</f>
        <v>4</v>
      </c>
      <c r="L60" s="202">
        <f>景东!H16</f>
        <v>4</v>
      </c>
      <c r="M60" s="202">
        <f>景东!I16</f>
        <v>4</v>
      </c>
      <c r="N60" s="202">
        <f>景东!J16</f>
        <v>0</v>
      </c>
      <c r="O60" s="202">
        <f>景东!K16</f>
        <v>0</v>
      </c>
      <c r="P60" s="202">
        <f>景东!L16</f>
        <v>0</v>
      </c>
      <c r="Q60" s="202">
        <f>景东!M16</f>
        <v>0</v>
      </c>
      <c r="R60" s="202">
        <f>景东!N16</f>
        <v>0</v>
      </c>
      <c r="S60" s="202">
        <f>景东!O16</f>
        <v>0</v>
      </c>
      <c r="T60" s="202">
        <f>景东!P16</f>
        <v>0</v>
      </c>
      <c r="U60" s="202">
        <f>景东!Q16</f>
        <v>0</v>
      </c>
      <c r="V60" s="202">
        <f>景东!R16</f>
        <v>0</v>
      </c>
      <c r="W60" s="202">
        <f>景东!S16</f>
        <v>0</v>
      </c>
      <c r="X60" s="202">
        <f>景东!T16</f>
        <v>0</v>
      </c>
      <c r="Y60" s="202">
        <f>景东!U16</f>
        <v>0</v>
      </c>
      <c r="Z60" s="202">
        <f>景东!V16</f>
        <v>0</v>
      </c>
      <c r="AA60" s="202">
        <f>景东!W16</f>
        <v>0</v>
      </c>
      <c r="AB60" s="202">
        <f>景东!X16</f>
        <v>0</v>
      </c>
      <c r="AC60" s="202">
        <f>景东!Y16</f>
        <v>0</v>
      </c>
      <c r="AD60" s="202">
        <f>景东!Z16</f>
        <v>0</v>
      </c>
      <c r="AE60" s="202">
        <f>景东!AA16</f>
        <v>0</v>
      </c>
      <c r="AF60" s="202">
        <f>景东!AB16</f>
        <v>0</v>
      </c>
      <c r="AG60" s="202">
        <f>景东!AC16</f>
        <v>0</v>
      </c>
      <c r="AH60" s="202">
        <f>景东!AD16</f>
        <v>0</v>
      </c>
      <c r="AI60" s="202">
        <f>景东!AE16</f>
        <v>0</v>
      </c>
      <c r="AJ60" s="202">
        <f>景东!AF16</f>
        <v>0</v>
      </c>
      <c r="AK60" s="165" t="str">
        <f>景东!AG16</f>
        <v>景东县太忠镇嘎仰村民委员会明子山村民小组</v>
      </c>
      <c r="AL60" s="165" t="str">
        <f>景东!AH16</f>
        <v>20160919</v>
      </c>
      <c r="AM60" s="165">
        <f>景东!AI16</f>
        <v>0</v>
      </c>
      <c r="AN60" s="165">
        <f>景东!AJ16</f>
        <v>0</v>
      </c>
      <c r="AO60" s="165" t="str">
        <f>景东!AK16</f>
        <v>N24°33′11.81″ E101°59′30.02″</v>
      </c>
      <c r="AP60" s="263">
        <v>5</v>
      </c>
      <c r="AQ60" s="209">
        <f>景东!AM16</f>
        <v>0</v>
      </c>
      <c r="AR60" s="295">
        <f>景东!AN16</f>
        <v>1</v>
      </c>
      <c r="AS60" s="199" t="str">
        <f>景东!AO16</f>
        <v>532724197001221830</v>
      </c>
      <c r="AT60" s="199" t="str">
        <f>景东!AP16</f>
        <v>13577946258</v>
      </c>
    </row>
    <row r="61" spans="1:46">
      <c r="A61" t="s">
        <v>1923</v>
      </c>
      <c r="B61" s="202" t="str">
        <f>VLOOKUP(A61,databases!$A$2:$B$7, 2, FALSE)</f>
        <v>JingDong</v>
      </c>
      <c r="C61" s="165" t="str">
        <f>景东!B17</f>
        <v>李富平</v>
      </c>
      <c r="D61" s="202" t="str">
        <f>VLOOKUP(C61,databases!$D$2:$E$145, 2, FALSE)</f>
        <v>R45</v>
      </c>
      <c r="E61" s="259">
        <f>INDEX(sample_database!$B$2:$B$506,MATCH(F61,sample_database!$L$2:$L$506,0))</f>
        <v>171</v>
      </c>
      <c r="F61" s="202" t="str">
        <f>景东!A17</f>
        <v>JD16</v>
      </c>
      <c r="G61" s="257">
        <f>景东!C17</f>
        <v>0</v>
      </c>
      <c r="H61" s="257">
        <f>景东!D17</f>
        <v>6</v>
      </c>
      <c r="I61" s="202">
        <f>景东!E17</f>
        <v>32</v>
      </c>
      <c r="J61" s="202">
        <f>景东!F17</f>
        <v>2</v>
      </c>
      <c r="K61" s="202">
        <f>景东!G17</f>
        <v>6</v>
      </c>
      <c r="L61" s="202">
        <f>景东!H17</f>
        <v>4</v>
      </c>
      <c r="M61" s="202">
        <f>景东!I17</f>
        <v>5</v>
      </c>
      <c r="N61" s="202">
        <f>景东!J17</f>
        <v>6</v>
      </c>
      <c r="O61" s="202">
        <f>景东!K17</f>
        <v>9</v>
      </c>
      <c r="P61" s="202">
        <f>景东!L17</f>
        <v>0</v>
      </c>
      <c r="Q61" s="202">
        <f>景东!M17</f>
        <v>0</v>
      </c>
      <c r="R61" s="202">
        <f>景东!N17</f>
        <v>0</v>
      </c>
      <c r="S61" s="202">
        <f>景东!O17</f>
        <v>0</v>
      </c>
      <c r="T61" s="202">
        <f>景东!P17</f>
        <v>0</v>
      </c>
      <c r="U61" s="202">
        <f>景东!Q17</f>
        <v>0</v>
      </c>
      <c r="V61" s="202">
        <f>景东!R17</f>
        <v>0</v>
      </c>
      <c r="W61" s="202">
        <f>景东!S17</f>
        <v>0</v>
      </c>
      <c r="X61" s="202">
        <f>景东!T17</f>
        <v>0</v>
      </c>
      <c r="Y61" s="202">
        <f>景东!U17</f>
        <v>0</v>
      </c>
      <c r="Z61" s="202">
        <f>景东!V17</f>
        <v>0</v>
      </c>
      <c r="AA61" s="202">
        <f>景东!W17</f>
        <v>0</v>
      </c>
      <c r="AB61" s="202">
        <f>景东!X17</f>
        <v>0</v>
      </c>
      <c r="AC61" s="202">
        <f>景东!Y17</f>
        <v>0</v>
      </c>
      <c r="AD61" s="202">
        <f>景东!Z17</f>
        <v>0</v>
      </c>
      <c r="AE61" s="202">
        <f>景东!AA17</f>
        <v>0</v>
      </c>
      <c r="AF61" s="202">
        <f>景东!AB17</f>
        <v>0</v>
      </c>
      <c r="AG61" s="202">
        <f>景东!AC17</f>
        <v>0</v>
      </c>
      <c r="AH61" s="202">
        <f>景东!AD17</f>
        <v>0</v>
      </c>
      <c r="AI61" s="202">
        <f>景东!AE17</f>
        <v>0</v>
      </c>
      <c r="AJ61" s="202">
        <f>景东!AF17</f>
        <v>0</v>
      </c>
      <c r="AK61" s="165" t="str">
        <f>景东!AG17</f>
        <v>景东县太忠镇嘎仰村民委员会明子山村民小组</v>
      </c>
      <c r="AL61" s="165" t="str">
        <f>景东!AH17</f>
        <v>？</v>
      </c>
      <c r="AM61" s="165">
        <f>景东!AI17</f>
        <v>0</v>
      </c>
      <c r="AN61" s="165">
        <f>景东!AJ17</f>
        <v>0</v>
      </c>
      <c r="AO61" s="165" t="str">
        <f>景东!AK17</f>
        <v>海拔2316，N24°33′23.34″ E101°59′59.82″</v>
      </c>
      <c r="AP61" s="263">
        <v>7.5</v>
      </c>
      <c r="AQ61" s="209">
        <f>景东!AM17</f>
        <v>0</v>
      </c>
      <c r="AR61" s="295">
        <f>景东!AN17</f>
        <v>1.5</v>
      </c>
      <c r="AS61" s="199" t="str">
        <f>景东!AO17</f>
        <v>532724197001221830</v>
      </c>
      <c r="AT61" s="199" t="str">
        <f>景东!AP17</f>
        <v>13577946258</v>
      </c>
    </row>
    <row r="62" spans="1:46">
      <c r="A62" t="s">
        <v>1923</v>
      </c>
      <c r="B62" s="202" t="str">
        <f>VLOOKUP(A62,databases!$A$2:$B$7, 2, FALSE)</f>
        <v>JingDong</v>
      </c>
      <c r="C62" s="165" t="str">
        <f>景东!B64</f>
        <v>李应付</v>
      </c>
      <c r="D62" s="202" t="str">
        <f>VLOOKUP(C62,databases!$D$2:$E$145, 2, FALSE)</f>
        <v>R46</v>
      </c>
      <c r="E62" s="259">
        <f>INDEX(sample_database!$B$2:$B$506,MATCH(F62,sample_database!$L$2:$L$506,0))</f>
        <v>109</v>
      </c>
      <c r="F62" s="202" t="str">
        <f>景东!A64</f>
        <v>JD63</v>
      </c>
      <c r="G62" s="257">
        <f>景东!C64</f>
        <v>0</v>
      </c>
      <c r="H62" s="257">
        <f>景东!D64</f>
        <v>16</v>
      </c>
      <c r="I62" s="202">
        <f>景东!E64</f>
        <v>53</v>
      </c>
      <c r="J62" s="202">
        <f>景东!F64</f>
        <v>3</v>
      </c>
      <c r="K62" s="202">
        <f>景东!G64</f>
        <v>3</v>
      </c>
      <c r="L62" s="202">
        <f>景东!H64</f>
        <v>3</v>
      </c>
      <c r="M62" s="202">
        <f>景东!I64</f>
        <v>3</v>
      </c>
      <c r="N62" s="202">
        <f>景东!J64</f>
        <v>3</v>
      </c>
      <c r="O62" s="202">
        <f>景东!K64</f>
        <v>3</v>
      </c>
      <c r="P62" s="202">
        <f>景东!L64</f>
        <v>3</v>
      </c>
      <c r="Q62" s="202">
        <f>景东!M64</f>
        <v>3</v>
      </c>
      <c r="R62" s="202">
        <f>景东!N64</f>
        <v>3</v>
      </c>
      <c r="S62" s="202">
        <f>景东!O64</f>
        <v>3</v>
      </c>
      <c r="T62" s="202">
        <f>景东!P64</f>
        <v>3</v>
      </c>
      <c r="U62" s="202">
        <f>景东!Q64</f>
        <v>3</v>
      </c>
      <c r="V62" s="202">
        <f>景东!R64</f>
        <v>4</v>
      </c>
      <c r="W62" s="202">
        <f>景东!S64</f>
        <v>4</v>
      </c>
      <c r="X62" s="202">
        <f>景东!T64</f>
        <v>4</v>
      </c>
      <c r="Y62" s="202">
        <f>景东!U64</f>
        <v>5</v>
      </c>
      <c r="Z62" s="202">
        <f>景东!V64</f>
        <v>0</v>
      </c>
      <c r="AA62" s="202">
        <f>景东!W64</f>
        <v>0</v>
      </c>
      <c r="AB62" s="202">
        <f>景东!X64</f>
        <v>0</v>
      </c>
      <c r="AC62" s="202">
        <f>景东!Y64</f>
        <v>0</v>
      </c>
      <c r="AD62" s="202">
        <f>景东!Z64</f>
        <v>0</v>
      </c>
      <c r="AE62" s="202">
        <f>景东!AA64</f>
        <v>0</v>
      </c>
      <c r="AF62" s="202">
        <f>景东!AB64</f>
        <v>0</v>
      </c>
      <c r="AG62" s="202">
        <f>景东!AC64</f>
        <v>0</v>
      </c>
      <c r="AH62" s="202">
        <f>景东!AD64</f>
        <v>0</v>
      </c>
      <c r="AI62" s="202">
        <f>景东!AE64</f>
        <v>0</v>
      </c>
      <c r="AJ62" s="202">
        <f>景东!AF64</f>
        <v>0</v>
      </c>
      <c r="AK62" s="165" t="str">
        <f>景东!AG64</f>
        <v>景东县太忠镇麦地村</v>
      </c>
      <c r="AL62" s="165" t="str">
        <f>景东!AH64</f>
        <v>20160713</v>
      </c>
      <c r="AM62" s="165">
        <f>景东!AI64</f>
        <v>0</v>
      </c>
      <c r="AN62" s="165">
        <f>景东!AJ64</f>
        <v>0</v>
      </c>
      <c r="AO62" s="165" t="str">
        <f>景东!AK64</f>
        <v>N24°30′19.3″ E101°02′13.03″</v>
      </c>
      <c r="AP62" s="263">
        <v>7.5</v>
      </c>
      <c r="AQ62" s="209">
        <f>景东!AM64</f>
        <v>0</v>
      </c>
      <c r="AR62" s="295">
        <f>景东!AN64</f>
        <v>1.5</v>
      </c>
      <c r="AS62" s="199" t="str">
        <f>景东!AO64</f>
        <v>532724198309201814</v>
      </c>
      <c r="AT62" s="199" t="str">
        <f>景东!AP64</f>
        <v>15891987207</v>
      </c>
    </row>
    <row r="63" spans="1:46">
      <c r="A63" t="s">
        <v>1923</v>
      </c>
      <c r="B63" s="202" t="str">
        <f>VLOOKUP(A63,databases!$A$2:$B$7, 2, FALSE)</f>
        <v>JingDong</v>
      </c>
      <c r="C63" s="165" t="str">
        <f>景东!B65</f>
        <v>李应付</v>
      </c>
      <c r="D63" s="202" t="str">
        <f>VLOOKUP(C63,databases!$D$2:$E$145, 2, FALSE)</f>
        <v>R46</v>
      </c>
      <c r="E63" s="259">
        <f>INDEX(sample_database!$B$2:$B$506,MATCH(F63,sample_database!$L$2:$L$506,0))</f>
        <v>109</v>
      </c>
      <c r="F63" s="202" t="str">
        <f>景东!A65</f>
        <v>JD64</v>
      </c>
      <c r="G63" s="257">
        <f>景东!C65</f>
        <v>9</v>
      </c>
      <c r="H63" s="257">
        <f>景东!D65</f>
        <v>0</v>
      </c>
      <c r="I63" s="202">
        <f>景东!E65</f>
        <v>26</v>
      </c>
      <c r="J63" s="202">
        <f>景东!F65</f>
        <v>1</v>
      </c>
      <c r="K63" s="202">
        <f>景东!G65</f>
        <v>2</v>
      </c>
      <c r="L63" s="202">
        <f>景东!H65</f>
        <v>3</v>
      </c>
      <c r="M63" s="202">
        <f>景东!I65</f>
        <v>3</v>
      </c>
      <c r="N63" s="202">
        <f>景东!J65</f>
        <v>3</v>
      </c>
      <c r="O63" s="202">
        <f>景东!K65</f>
        <v>3</v>
      </c>
      <c r="P63" s="202">
        <f>景东!L65</f>
        <v>3</v>
      </c>
      <c r="Q63" s="202">
        <f>景东!M65</f>
        <v>3</v>
      </c>
      <c r="R63" s="202">
        <f>景东!N65</f>
        <v>5</v>
      </c>
      <c r="S63" s="202">
        <f>景东!O65</f>
        <v>0</v>
      </c>
      <c r="T63" s="202">
        <f>景东!P65</f>
        <v>0</v>
      </c>
      <c r="U63" s="202">
        <f>景东!Q65</f>
        <v>0</v>
      </c>
      <c r="V63" s="202">
        <f>景东!R65</f>
        <v>0</v>
      </c>
      <c r="W63" s="202">
        <f>景东!S65</f>
        <v>0</v>
      </c>
      <c r="X63" s="202">
        <f>景东!T65</f>
        <v>0</v>
      </c>
      <c r="Y63" s="202">
        <f>景东!U65</f>
        <v>0</v>
      </c>
      <c r="Z63" s="202">
        <f>景东!V65</f>
        <v>0</v>
      </c>
      <c r="AA63" s="202">
        <f>景东!W65</f>
        <v>0</v>
      </c>
      <c r="AB63" s="202">
        <f>景东!X65</f>
        <v>0</v>
      </c>
      <c r="AC63" s="202">
        <f>景东!Y65</f>
        <v>0</v>
      </c>
      <c r="AD63" s="202">
        <f>景东!Z65</f>
        <v>0</v>
      </c>
      <c r="AE63" s="202">
        <f>景东!AA65</f>
        <v>0</v>
      </c>
      <c r="AF63" s="202">
        <f>景东!AB65</f>
        <v>0</v>
      </c>
      <c r="AG63" s="202">
        <f>景东!AC65</f>
        <v>0</v>
      </c>
      <c r="AH63" s="202">
        <f>景东!AD65</f>
        <v>0</v>
      </c>
      <c r="AI63" s="202">
        <f>景东!AE65</f>
        <v>0</v>
      </c>
      <c r="AJ63" s="202">
        <f>景东!AF65</f>
        <v>0</v>
      </c>
      <c r="AK63" s="165" t="str">
        <f>景东!AG65</f>
        <v>景东县太忠镇麦地村外中山组</v>
      </c>
      <c r="AL63" s="165" t="str">
        <f>景东!AH65</f>
        <v>2016718</v>
      </c>
      <c r="AM63" s="165">
        <f>景东!AI65</f>
        <v>0</v>
      </c>
      <c r="AN63" s="165">
        <f>景东!AJ65</f>
        <v>0</v>
      </c>
      <c r="AO63" s="165" t="str">
        <f>景东!AK65</f>
        <v>N24°30′29.79″ E101°01′53.14″</v>
      </c>
      <c r="AP63" s="263">
        <v>7.5</v>
      </c>
      <c r="AQ63" s="209">
        <f>景东!AM65</f>
        <v>0</v>
      </c>
      <c r="AR63" s="295">
        <f>景东!AN65</f>
        <v>1.5</v>
      </c>
      <c r="AS63" s="199" t="str">
        <f>景东!AO65</f>
        <v>532724198309201814</v>
      </c>
      <c r="AT63" s="199" t="str">
        <f>景东!AP65</f>
        <v>15891987207</v>
      </c>
    </row>
    <row r="64" spans="1:46">
      <c r="A64" t="s">
        <v>1923</v>
      </c>
      <c r="B64" s="202" t="str">
        <f>VLOOKUP(A64,databases!$A$2:$B$7, 2, FALSE)</f>
        <v>JingDong</v>
      </c>
      <c r="C64" s="165" t="str">
        <f>景东!B66</f>
        <v>李应付</v>
      </c>
      <c r="D64" s="202" t="str">
        <f>VLOOKUP(C64,databases!$D$2:$E$145, 2, FALSE)</f>
        <v>R46</v>
      </c>
      <c r="E64" s="259">
        <f>INDEX(sample_database!$B$2:$B$506,MATCH(F64,sample_database!$L$2:$L$506,0))</f>
        <v>109</v>
      </c>
      <c r="F64" s="202" t="str">
        <f>景东!A66</f>
        <v>JD65</v>
      </c>
      <c r="G64" s="257">
        <f>景东!C66</f>
        <v>10</v>
      </c>
      <c r="H64" s="257">
        <f>景东!D66</f>
        <v>0</v>
      </c>
      <c r="I64" s="202">
        <f>景东!E66</f>
        <v>44</v>
      </c>
      <c r="J64" s="202">
        <f>景东!F66</f>
        <v>3</v>
      </c>
      <c r="K64" s="202">
        <f>景东!G66</f>
        <v>3</v>
      </c>
      <c r="L64" s="202">
        <f>景东!H66</f>
        <v>3</v>
      </c>
      <c r="M64" s="202">
        <f>景东!I66</f>
        <v>3</v>
      </c>
      <c r="N64" s="202">
        <f>景东!J66</f>
        <v>4</v>
      </c>
      <c r="O64" s="202">
        <f>景东!K66</f>
        <v>4</v>
      </c>
      <c r="P64" s="202">
        <f>景东!L66</f>
        <v>5</v>
      </c>
      <c r="Q64" s="202">
        <f>景东!M66</f>
        <v>5</v>
      </c>
      <c r="R64" s="202">
        <f>景东!N66</f>
        <v>7</v>
      </c>
      <c r="S64" s="202">
        <f>景东!O66</f>
        <v>7</v>
      </c>
      <c r="T64" s="202">
        <f>景东!P66</f>
        <v>0</v>
      </c>
      <c r="U64" s="202">
        <f>景东!Q66</f>
        <v>0</v>
      </c>
      <c r="V64" s="202">
        <f>景东!R66</f>
        <v>0</v>
      </c>
      <c r="W64" s="202">
        <f>景东!S66</f>
        <v>0</v>
      </c>
      <c r="X64" s="202">
        <f>景东!T66</f>
        <v>0</v>
      </c>
      <c r="Y64" s="202">
        <f>景东!U66</f>
        <v>0</v>
      </c>
      <c r="Z64" s="202">
        <f>景东!V66</f>
        <v>0</v>
      </c>
      <c r="AA64" s="202">
        <f>景东!W66</f>
        <v>0</v>
      </c>
      <c r="AB64" s="202">
        <f>景东!X66</f>
        <v>0</v>
      </c>
      <c r="AC64" s="202">
        <f>景东!Y66</f>
        <v>0</v>
      </c>
      <c r="AD64" s="202">
        <f>景东!Z66</f>
        <v>0</v>
      </c>
      <c r="AE64" s="202">
        <f>景东!AA66</f>
        <v>0</v>
      </c>
      <c r="AF64" s="202">
        <f>景东!AB66</f>
        <v>0</v>
      </c>
      <c r="AG64" s="202">
        <f>景东!AC66</f>
        <v>0</v>
      </c>
      <c r="AH64" s="202">
        <f>景东!AD66</f>
        <v>0</v>
      </c>
      <c r="AI64" s="202">
        <f>景东!AE66</f>
        <v>0</v>
      </c>
      <c r="AJ64" s="202">
        <f>景东!AF66</f>
        <v>0</v>
      </c>
      <c r="AK64" s="165" t="str">
        <f>景东!AG66</f>
        <v>景东县太忠镇麦地村外中山组</v>
      </c>
      <c r="AL64" s="165" t="str">
        <f>景东!AH66</f>
        <v>20160725</v>
      </c>
      <c r="AM64" s="165">
        <f>景东!AI66</f>
        <v>0</v>
      </c>
      <c r="AN64" s="165">
        <f>景东!AJ66</f>
        <v>0</v>
      </c>
      <c r="AO64" s="165" t="str">
        <f>景东!AK66</f>
        <v>N24°30′25.77″ E101°02′10.83″</v>
      </c>
      <c r="AP64" s="263">
        <v>10</v>
      </c>
      <c r="AQ64" s="209">
        <f>景东!AM66</f>
        <v>0</v>
      </c>
      <c r="AR64" s="295">
        <f>景东!AN66</f>
        <v>2</v>
      </c>
      <c r="AS64" s="199" t="str">
        <f>景东!AO66</f>
        <v>532724198309201814</v>
      </c>
      <c r="AT64" s="199" t="str">
        <f>景东!AP66</f>
        <v>15891987207</v>
      </c>
    </row>
    <row r="65" spans="1:46">
      <c r="A65" t="s">
        <v>1923</v>
      </c>
      <c r="B65" s="202" t="str">
        <f>VLOOKUP(A65,databases!$A$2:$B$7, 2, FALSE)</f>
        <v>JingDong</v>
      </c>
      <c r="C65" s="165" t="str">
        <f>景东!B67</f>
        <v>李应付</v>
      </c>
      <c r="D65" s="202" t="str">
        <f>VLOOKUP(C65,databases!$D$2:$E$145, 2, FALSE)</f>
        <v>R46</v>
      </c>
      <c r="E65" s="259">
        <f>INDEX(sample_database!$B$2:$B$506,MATCH(F65,sample_database!$L$2:$L$506,0))</f>
        <v>109</v>
      </c>
      <c r="F65" s="202" t="str">
        <f>景东!A67</f>
        <v>JD66</v>
      </c>
      <c r="G65" s="257">
        <f>景东!C67</f>
        <v>10</v>
      </c>
      <c r="H65" s="257">
        <f>景东!D67</f>
        <v>0</v>
      </c>
      <c r="I65" s="202">
        <f>景东!E67</f>
        <v>38</v>
      </c>
      <c r="J65" s="202">
        <f>景东!F67</f>
        <v>2</v>
      </c>
      <c r="K65" s="202">
        <f>景东!G67</f>
        <v>2</v>
      </c>
      <c r="L65" s="202">
        <f>景东!H67</f>
        <v>3</v>
      </c>
      <c r="M65" s="202">
        <f>景东!I67</f>
        <v>3</v>
      </c>
      <c r="N65" s="202">
        <f>景东!J67</f>
        <v>4</v>
      </c>
      <c r="O65" s="202">
        <f>景东!K67</f>
        <v>4</v>
      </c>
      <c r="P65" s="202">
        <f>景东!L67</f>
        <v>4</v>
      </c>
      <c r="Q65" s="202">
        <f>景东!M67</f>
        <v>4</v>
      </c>
      <c r="R65" s="202">
        <f>景东!N67</f>
        <v>5</v>
      </c>
      <c r="S65" s="202">
        <f>景东!O67</f>
        <v>7</v>
      </c>
      <c r="T65" s="202">
        <f>景东!P67</f>
        <v>0</v>
      </c>
      <c r="U65" s="202">
        <f>景东!Q67</f>
        <v>0</v>
      </c>
      <c r="V65" s="202">
        <f>景东!R67</f>
        <v>0</v>
      </c>
      <c r="W65" s="202">
        <f>景东!S67</f>
        <v>0</v>
      </c>
      <c r="X65" s="202">
        <f>景东!T67</f>
        <v>0</v>
      </c>
      <c r="Y65" s="202">
        <f>景东!U67</f>
        <v>0</v>
      </c>
      <c r="Z65" s="202">
        <f>景东!V67</f>
        <v>0</v>
      </c>
      <c r="AA65" s="202">
        <f>景东!W67</f>
        <v>0</v>
      </c>
      <c r="AB65" s="202">
        <f>景东!X67</f>
        <v>0</v>
      </c>
      <c r="AC65" s="202">
        <f>景东!Y67</f>
        <v>0</v>
      </c>
      <c r="AD65" s="202">
        <f>景东!Z67</f>
        <v>0</v>
      </c>
      <c r="AE65" s="202">
        <f>景东!AA67</f>
        <v>0</v>
      </c>
      <c r="AF65" s="202">
        <f>景东!AB67</f>
        <v>0</v>
      </c>
      <c r="AG65" s="202">
        <f>景东!AC67</f>
        <v>0</v>
      </c>
      <c r="AH65" s="202">
        <f>景东!AD67</f>
        <v>0</v>
      </c>
      <c r="AI65" s="202">
        <f>景东!AE67</f>
        <v>0</v>
      </c>
      <c r="AJ65" s="202">
        <f>景东!AF67</f>
        <v>0</v>
      </c>
      <c r="AK65" s="165" t="str">
        <f>景东!AG67</f>
        <v>景东县太忠镇麦地村外中山组</v>
      </c>
      <c r="AL65" s="165" t="str">
        <f>景东!AH67</f>
        <v>20160801</v>
      </c>
      <c r="AM65" s="165">
        <f>景东!AI67</f>
        <v>0</v>
      </c>
      <c r="AN65" s="165">
        <f>景东!AJ67</f>
        <v>0</v>
      </c>
      <c r="AO65" s="165" t="str">
        <f>景东!AK67</f>
        <v>N24°30′35.53″ E101°01′14.44″</v>
      </c>
      <c r="AP65" s="263">
        <v>7.5</v>
      </c>
      <c r="AQ65" s="209">
        <f>景东!AM67</f>
        <v>0</v>
      </c>
      <c r="AR65" s="295">
        <f>景东!AN67</f>
        <v>1.5</v>
      </c>
      <c r="AS65" s="199" t="str">
        <f>景东!AO67</f>
        <v>532724198309201814</v>
      </c>
      <c r="AT65" s="199" t="str">
        <f>景东!AP67</f>
        <v>15891987207</v>
      </c>
    </row>
    <row r="66" spans="1:46">
      <c r="A66" t="s">
        <v>1923</v>
      </c>
      <c r="B66" s="202" t="str">
        <f>VLOOKUP(A66,databases!$A$2:$B$7, 2, FALSE)</f>
        <v>JingDong</v>
      </c>
      <c r="C66" s="165" t="str">
        <f>景东!B68</f>
        <v>李应付</v>
      </c>
      <c r="D66" s="202" t="str">
        <f>VLOOKUP(C66,databases!$D$2:$E$145, 2, FALSE)</f>
        <v>R46</v>
      </c>
      <c r="E66" s="259">
        <f>INDEX(sample_database!$B$2:$B$506,MATCH(F66,sample_database!$L$2:$L$506,0))</f>
        <v>109</v>
      </c>
      <c r="F66" s="202" t="str">
        <f>景东!A68</f>
        <v>JD67</v>
      </c>
      <c r="G66" s="257">
        <f>景东!C68</f>
        <v>10</v>
      </c>
      <c r="H66" s="257">
        <f>景东!D68</f>
        <v>0</v>
      </c>
      <c r="I66" s="202">
        <f>景东!E68</f>
        <v>33</v>
      </c>
      <c r="J66" s="202">
        <f>景东!F68</f>
        <v>2</v>
      </c>
      <c r="K66" s="202">
        <f>景东!G68</f>
        <v>3</v>
      </c>
      <c r="L66" s="202">
        <f>景东!H68</f>
        <v>3</v>
      </c>
      <c r="M66" s="202">
        <f>景东!I68</f>
        <v>3</v>
      </c>
      <c r="N66" s="202">
        <f>景东!J68</f>
        <v>3</v>
      </c>
      <c r="O66" s="202">
        <f>景东!K68</f>
        <v>3</v>
      </c>
      <c r="P66" s="202">
        <f>景东!L68</f>
        <v>3</v>
      </c>
      <c r="Q66" s="202">
        <f>景东!M68</f>
        <v>4</v>
      </c>
      <c r="R66" s="202">
        <f>景东!N68</f>
        <v>4</v>
      </c>
      <c r="S66" s="202">
        <f>景东!O68</f>
        <v>5</v>
      </c>
      <c r="T66" s="202">
        <f>景东!P68</f>
        <v>0</v>
      </c>
      <c r="U66" s="202">
        <f>景东!Q68</f>
        <v>0</v>
      </c>
      <c r="V66" s="202">
        <f>景东!R68</f>
        <v>0</v>
      </c>
      <c r="W66" s="202">
        <f>景东!S68</f>
        <v>0</v>
      </c>
      <c r="X66" s="202">
        <f>景东!T68</f>
        <v>0</v>
      </c>
      <c r="Y66" s="202">
        <f>景东!U68</f>
        <v>0</v>
      </c>
      <c r="Z66" s="202">
        <f>景东!V68</f>
        <v>0</v>
      </c>
      <c r="AA66" s="202">
        <f>景东!W68</f>
        <v>0</v>
      </c>
      <c r="AB66" s="202">
        <f>景东!X68</f>
        <v>0</v>
      </c>
      <c r="AC66" s="202">
        <f>景东!Y68</f>
        <v>0</v>
      </c>
      <c r="AD66" s="202">
        <f>景东!Z68</f>
        <v>0</v>
      </c>
      <c r="AE66" s="202">
        <f>景东!AA68</f>
        <v>0</v>
      </c>
      <c r="AF66" s="202">
        <f>景东!AB68</f>
        <v>0</v>
      </c>
      <c r="AG66" s="202">
        <f>景东!AC68</f>
        <v>0</v>
      </c>
      <c r="AH66" s="202">
        <f>景东!AD68</f>
        <v>0</v>
      </c>
      <c r="AI66" s="202">
        <f>景东!AE68</f>
        <v>0</v>
      </c>
      <c r="AJ66" s="202">
        <f>景东!AF68</f>
        <v>0</v>
      </c>
      <c r="AK66" s="165" t="str">
        <f>景东!AG68</f>
        <v>景东县太忠镇麦地村外中山组</v>
      </c>
      <c r="AL66" s="165" t="str">
        <f>景东!AH68</f>
        <v>20160828</v>
      </c>
      <c r="AM66" s="165">
        <f>景东!AI68</f>
        <v>0</v>
      </c>
      <c r="AN66" s="165">
        <f>景东!AJ68</f>
        <v>0</v>
      </c>
      <c r="AO66" s="165" t="str">
        <f>景东!AK68</f>
        <v>N24°30′32.65″ E101°01′20.14″</v>
      </c>
      <c r="AP66" s="263">
        <v>10</v>
      </c>
      <c r="AQ66" s="209">
        <f>景东!AM68</f>
        <v>0</v>
      </c>
      <c r="AR66" s="295">
        <f>景东!AN68</f>
        <v>2</v>
      </c>
      <c r="AS66" s="199" t="str">
        <f>景东!AO68</f>
        <v>532724198309201814</v>
      </c>
      <c r="AT66" s="199" t="str">
        <f>景东!AP68</f>
        <v>15891987207</v>
      </c>
    </row>
    <row r="67" spans="1:46">
      <c r="A67" t="s">
        <v>1923</v>
      </c>
      <c r="B67" s="202" t="str">
        <f>VLOOKUP(A67,databases!$A$2:$B$7, 2, FALSE)</f>
        <v>JingDong</v>
      </c>
      <c r="C67" s="165" t="str">
        <f>景东!B88</f>
        <v>李廷万</v>
      </c>
      <c r="D67" s="202" t="str">
        <f>VLOOKUP(C67,databases!$D$2:$E$145, 2, FALSE)</f>
        <v>R47</v>
      </c>
      <c r="E67" s="259">
        <f>INDEX(sample_database!$B$2:$B$506,MATCH(F67,sample_database!$L$2:$L$506,0))</f>
        <v>125</v>
      </c>
      <c r="F67" s="202" t="str">
        <f>景东!A88</f>
        <v>JD87</v>
      </c>
      <c r="G67" s="257">
        <f>景东!C88</f>
        <v>0</v>
      </c>
      <c r="H67" s="257">
        <f>景东!D88</f>
        <v>10</v>
      </c>
      <c r="I67" s="202">
        <f>景东!E88</f>
        <v>36</v>
      </c>
      <c r="J67" s="202">
        <f>景东!F88</f>
        <v>6</v>
      </c>
      <c r="K67" s="202">
        <f>景东!G88</f>
        <v>4</v>
      </c>
      <c r="L67" s="202">
        <f>景东!H88</f>
        <v>4</v>
      </c>
      <c r="M67" s="202">
        <f>景东!I88</f>
        <v>4</v>
      </c>
      <c r="N67" s="202">
        <f>景东!J88</f>
        <v>5</v>
      </c>
      <c r="O67" s="202">
        <f>景东!K88</f>
        <v>4</v>
      </c>
      <c r="P67" s="202">
        <f>景东!L88</f>
        <v>1</v>
      </c>
      <c r="Q67" s="202">
        <f>景东!M88</f>
        <v>2</v>
      </c>
      <c r="R67" s="202">
        <f>景东!N88</f>
        <v>4</v>
      </c>
      <c r="S67" s="202">
        <f>景东!O88</f>
        <v>2</v>
      </c>
      <c r="T67" s="202">
        <f>景东!P88</f>
        <v>0</v>
      </c>
      <c r="U67" s="202">
        <f>景东!Q88</f>
        <v>0</v>
      </c>
      <c r="V67" s="202">
        <f>景东!R88</f>
        <v>0</v>
      </c>
      <c r="W67" s="202">
        <f>景东!S88</f>
        <v>0</v>
      </c>
      <c r="X67" s="202">
        <f>景东!T88</f>
        <v>0</v>
      </c>
      <c r="Y67" s="202">
        <f>景东!U88</f>
        <v>0</v>
      </c>
      <c r="Z67" s="202">
        <f>景东!V88</f>
        <v>0</v>
      </c>
      <c r="AA67" s="202">
        <f>景东!W88</f>
        <v>0</v>
      </c>
      <c r="AB67" s="202">
        <f>景东!X88</f>
        <v>0</v>
      </c>
      <c r="AC67" s="202">
        <f>景东!Y88</f>
        <v>0</v>
      </c>
      <c r="AD67" s="202">
        <f>景东!Z88</f>
        <v>0</v>
      </c>
      <c r="AE67" s="202">
        <f>景东!AA88</f>
        <v>0</v>
      </c>
      <c r="AF67" s="202">
        <f>景东!AB88</f>
        <v>0</v>
      </c>
      <c r="AG67" s="202">
        <f>景东!AC88</f>
        <v>0</v>
      </c>
      <c r="AH67" s="202">
        <f>景东!AD88</f>
        <v>0</v>
      </c>
      <c r="AI67" s="202">
        <f>景东!AE88</f>
        <v>0</v>
      </c>
      <c r="AJ67" s="202">
        <f>景东!AF88</f>
        <v>0</v>
      </c>
      <c r="AK67" s="165" t="str">
        <f>景东!AG88</f>
        <v>景东县花山乡芦山村碱水组</v>
      </c>
      <c r="AL67" s="165" t="str">
        <f>景东!AH88</f>
        <v>20160725-0825</v>
      </c>
      <c r="AM67" s="165">
        <f>景东!AI88</f>
        <v>0</v>
      </c>
      <c r="AN67" s="165">
        <f>景东!AJ88</f>
        <v>0</v>
      </c>
      <c r="AO67" s="165" t="str">
        <f>景东!AK88</f>
        <v>N24°17′31.01″ E101°13′40.67″</v>
      </c>
      <c r="AP67" s="263">
        <v>12.5</v>
      </c>
      <c r="AQ67" s="209">
        <f>景东!AM88</f>
        <v>0</v>
      </c>
      <c r="AR67" s="295">
        <f>景东!AN88</f>
        <v>2.5</v>
      </c>
      <c r="AS67" s="199" t="str">
        <f>景东!AO88</f>
        <v>532724196401021219</v>
      </c>
      <c r="AT67" s="199" t="str">
        <f>景东!AP88</f>
        <v>15287665605</v>
      </c>
    </row>
    <row r="68" spans="1:46">
      <c r="A68" t="s">
        <v>1923</v>
      </c>
      <c r="B68" s="202" t="str">
        <f>VLOOKUP(A68,databases!$A$2:$B$7, 2, FALSE)</f>
        <v>JingDong</v>
      </c>
      <c r="C68" s="165" t="str">
        <f>景东!B89</f>
        <v>李廷万</v>
      </c>
      <c r="D68" s="202" t="str">
        <f>VLOOKUP(C68,databases!$D$2:$E$145, 2, FALSE)</f>
        <v>R47</v>
      </c>
      <c r="E68" s="259">
        <f>INDEX(sample_database!$B$2:$B$506,MATCH(F68,sample_database!$L$2:$L$506,0))</f>
        <v>125</v>
      </c>
      <c r="F68" s="202" t="str">
        <f>景东!A89</f>
        <v>JD88</v>
      </c>
      <c r="G68" s="257">
        <f>景东!C89</f>
        <v>9</v>
      </c>
      <c r="H68" s="257">
        <f>景东!D89</f>
        <v>0</v>
      </c>
      <c r="I68" s="202">
        <f>景东!E89</f>
        <v>68</v>
      </c>
      <c r="J68" s="202">
        <f>景东!F89</f>
        <v>9</v>
      </c>
      <c r="K68" s="202">
        <f>景东!G89</f>
        <v>10</v>
      </c>
      <c r="L68" s="202">
        <f>景东!H89</f>
        <v>9</v>
      </c>
      <c r="M68" s="202">
        <f>景东!I89</f>
        <v>9</v>
      </c>
      <c r="N68" s="202">
        <f>景东!J89</f>
        <v>7</v>
      </c>
      <c r="O68" s="202">
        <f>景东!K89</f>
        <v>8</v>
      </c>
      <c r="P68" s="202">
        <f>景东!L89</f>
        <v>7</v>
      </c>
      <c r="Q68" s="202">
        <f>景东!M89</f>
        <v>4</v>
      </c>
      <c r="R68" s="202">
        <f>景东!N89</f>
        <v>5</v>
      </c>
      <c r="S68" s="202">
        <f>景东!O89</f>
        <v>0</v>
      </c>
      <c r="T68" s="202">
        <f>景东!P89</f>
        <v>0</v>
      </c>
      <c r="U68" s="202">
        <f>景东!Q89</f>
        <v>0</v>
      </c>
      <c r="V68" s="202">
        <f>景东!R89</f>
        <v>0</v>
      </c>
      <c r="W68" s="202">
        <f>景东!S89</f>
        <v>0</v>
      </c>
      <c r="X68" s="202">
        <f>景东!T89</f>
        <v>0</v>
      </c>
      <c r="Y68" s="202">
        <f>景东!U89</f>
        <v>0</v>
      </c>
      <c r="Z68" s="202">
        <f>景东!V89</f>
        <v>0</v>
      </c>
      <c r="AA68" s="202">
        <f>景东!W89</f>
        <v>0</v>
      </c>
      <c r="AB68" s="202">
        <f>景东!X89</f>
        <v>0</v>
      </c>
      <c r="AC68" s="202">
        <f>景东!Y89</f>
        <v>0</v>
      </c>
      <c r="AD68" s="202">
        <f>景东!Z89</f>
        <v>0</v>
      </c>
      <c r="AE68" s="202">
        <f>景东!AA89</f>
        <v>0</v>
      </c>
      <c r="AF68" s="202">
        <f>景东!AB89</f>
        <v>0</v>
      </c>
      <c r="AG68" s="202">
        <f>景东!AC89</f>
        <v>0</v>
      </c>
      <c r="AH68" s="202">
        <f>景东!AD89</f>
        <v>0</v>
      </c>
      <c r="AI68" s="202">
        <f>景东!AE89</f>
        <v>0</v>
      </c>
      <c r="AJ68" s="202">
        <f>景东!AF89</f>
        <v>0</v>
      </c>
      <c r="AK68" s="165" t="str">
        <f>景东!AG89</f>
        <v>景东县花山乡芦山村碱水组</v>
      </c>
      <c r="AL68" s="165" t="str">
        <f>景东!AH89</f>
        <v>201607-08</v>
      </c>
      <c r="AM68" s="165">
        <f>景东!AI89</f>
        <v>0</v>
      </c>
      <c r="AN68" s="165">
        <f>景东!AJ89</f>
        <v>0</v>
      </c>
      <c r="AO68" s="165" t="str">
        <f>景东!AK89</f>
        <v>N24°17′306144″？ E101°13′39.63″</v>
      </c>
      <c r="AP68" s="263">
        <v>25</v>
      </c>
      <c r="AQ68" s="209">
        <f>景东!AM89</f>
        <v>0</v>
      </c>
      <c r="AR68" s="295">
        <f>景东!AN89</f>
        <v>5</v>
      </c>
      <c r="AS68" s="199" t="str">
        <f>景东!AO89</f>
        <v>532724196401021219</v>
      </c>
      <c r="AT68" s="199" t="str">
        <f>景东!AP89</f>
        <v>15287665605</v>
      </c>
    </row>
    <row r="69" spans="1:46">
      <c r="A69" t="s">
        <v>1923</v>
      </c>
      <c r="B69" s="202" t="str">
        <f>VLOOKUP(A69,databases!$A$2:$B$7, 2, FALSE)</f>
        <v>JingDong</v>
      </c>
      <c r="C69" s="165" t="str">
        <f>景东!B48</f>
        <v>李廷峰</v>
      </c>
      <c r="D69" s="202" t="str">
        <f>VLOOKUP(C69,databases!$D$2:$E$145, 2, FALSE)</f>
        <v>R48</v>
      </c>
      <c r="E69" s="259">
        <f>INDEX(sample_database!$B$2:$B$506,MATCH(F69,sample_database!$L$2:$L$506,0))</f>
        <v>97</v>
      </c>
      <c r="F69" s="202" t="str">
        <f>景东!A48</f>
        <v>JD47</v>
      </c>
      <c r="G69" s="257">
        <f>景东!C48</f>
        <v>0</v>
      </c>
      <c r="H69" s="257">
        <f>景东!D48</f>
        <v>3</v>
      </c>
      <c r="I69" s="202">
        <f>景东!E48</f>
        <v>6</v>
      </c>
      <c r="J69" s="202">
        <f>景东!F48</f>
        <v>2</v>
      </c>
      <c r="K69" s="202">
        <f>景东!G48</f>
        <v>2</v>
      </c>
      <c r="L69" s="202">
        <f>景东!H48</f>
        <v>2</v>
      </c>
      <c r="M69" s="202">
        <f>景东!I48</f>
        <v>0</v>
      </c>
      <c r="N69" s="202">
        <f>景东!J48</f>
        <v>0</v>
      </c>
      <c r="O69" s="202">
        <f>景东!K48</f>
        <v>0</v>
      </c>
      <c r="P69" s="202">
        <f>景东!L48</f>
        <v>0</v>
      </c>
      <c r="Q69" s="202">
        <f>景东!M48</f>
        <v>0</v>
      </c>
      <c r="R69" s="202">
        <f>景东!N48</f>
        <v>0</v>
      </c>
      <c r="S69" s="202">
        <f>景东!O48</f>
        <v>0</v>
      </c>
      <c r="T69" s="202">
        <f>景东!P48</f>
        <v>0</v>
      </c>
      <c r="U69" s="202">
        <f>景东!Q48</f>
        <v>0</v>
      </c>
      <c r="V69" s="202">
        <f>景东!R48</f>
        <v>0</v>
      </c>
      <c r="W69" s="202">
        <f>景东!S48</f>
        <v>0</v>
      </c>
      <c r="X69" s="202">
        <f>景东!T48</f>
        <v>0</v>
      </c>
      <c r="Y69" s="202">
        <f>景东!U48</f>
        <v>0</v>
      </c>
      <c r="Z69" s="202">
        <f>景东!V48</f>
        <v>0</v>
      </c>
      <c r="AA69" s="202">
        <f>景东!W48</f>
        <v>0</v>
      </c>
      <c r="AB69" s="202">
        <f>景东!X48</f>
        <v>0</v>
      </c>
      <c r="AC69" s="202">
        <f>景东!Y48</f>
        <v>0</v>
      </c>
      <c r="AD69" s="202">
        <f>景东!Z48</f>
        <v>0</v>
      </c>
      <c r="AE69" s="202">
        <f>景东!AA48</f>
        <v>0</v>
      </c>
      <c r="AF69" s="202">
        <f>景东!AB48</f>
        <v>0</v>
      </c>
      <c r="AG69" s="202">
        <f>景东!AC48</f>
        <v>0</v>
      </c>
      <c r="AH69" s="202">
        <f>景东!AD48</f>
        <v>0</v>
      </c>
      <c r="AI69" s="202">
        <f>景东!AE48</f>
        <v>0</v>
      </c>
      <c r="AJ69" s="202">
        <f>景东!AF48</f>
        <v>0</v>
      </c>
      <c r="AK69" s="165" t="str">
        <f>景东!AG48</f>
        <v>景东县龙街乡东山村民委员会</v>
      </c>
      <c r="AL69" s="165" t="str">
        <f>景东!AH48</f>
        <v>20160803</v>
      </c>
      <c r="AM69" s="165">
        <f>景东!AI48</f>
        <v>0</v>
      </c>
      <c r="AN69" s="165">
        <f>景东!AJ48</f>
        <v>0</v>
      </c>
      <c r="AO69" s="165">
        <f>景东!AK48</f>
        <v>0</v>
      </c>
      <c r="AP69" s="263">
        <v>1</v>
      </c>
      <c r="AQ69" s="209">
        <f>景东!AM48</f>
        <v>0</v>
      </c>
      <c r="AR69" s="295">
        <f>景东!AN48</f>
        <v>0.2</v>
      </c>
      <c r="AS69" s="199" t="str">
        <f>景东!AO48</f>
        <v>532724197806192117</v>
      </c>
      <c r="AT69" s="199" t="str">
        <f>景东!AP48</f>
        <v>13608799334</v>
      </c>
    </row>
    <row r="70" spans="1:46">
      <c r="A70" t="s">
        <v>1923</v>
      </c>
      <c r="B70" s="202" t="str">
        <f>VLOOKUP(A70,databases!$A$2:$B$7, 2, FALSE)</f>
        <v>JingDong</v>
      </c>
      <c r="C70" s="165" t="str">
        <f>景东!B49</f>
        <v>李廷峰</v>
      </c>
      <c r="D70" s="202" t="str">
        <f>VLOOKUP(C70,databases!$D$2:$E$145, 2, FALSE)</f>
        <v>R48</v>
      </c>
      <c r="E70" s="259">
        <f>INDEX(sample_database!$B$2:$B$506,MATCH(F70,sample_database!$L$2:$L$506,0))</f>
        <v>97</v>
      </c>
      <c r="F70" s="202" t="str">
        <f>景东!A49</f>
        <v>JD48</v>
      </c>
      <c r="G70" s="257">
        <f>景东!C49</f>
        <v>4</v>
      </c>
      <c r="H70" s="257">
        <f>景东!D49</f>
        <v>0</v>
      </c>
      <c r="I70" s="202">
        <f>景东!E49</f>
        <v>9</v>
      </c>
      <c r="J70" s="202">
        <f>景东!F49</f>
        <v>2</v>
      </c>
      <c r="K70" s="202">
        <f>景东!G49</f>
        <v>2</v>
      </c>
      <c r="L70" s="202">
        <f>景东!H49</f>
        <v>2</v>
      </c>
      <c r="M70" s="202">
        <f>景东!I49</f>
        <v>3</v>
      </c>
      <c r="N70" s="202">
        <f>景东!J49</f>
        <v>0</v>
      </c>
      <c r="O70" s="202">
        <f>景东!K49</f>
        <v>0</v>
      </c>
      <c r="P70" s="202">
        <f>景东!L49</f>
        <v>0</v>
      </c>
      <c r="Q70" s="202">
        <f>景东!M49</f>
        <v>0</v>
      </c>
      <c r="R70" s="202">
        <f>景东!N49</f>
        <v>0</v>
      </c>
      <c r="S70" s="202">
        <f>景东!O49</f>
        <v>0</v>
      </c>
      <c r="T70" s="202">
        <f>景东!P49</f>
        <v>0</v>
      </c>
      <c r="U70" s="202">
        <f>景东!Q49</f>
        <v>0</v>
      </c>
      <c r="V70" s="202">
        <f>景东!R49</f>
        <v>0</v>
      </c>
      <c r="W70" s="202">
        <f>景东!S49</f>
        <v>0</v>
      </c>
      <c r="X70" s="202">
        <f>景东!T49</f>
        <v>0</v>
      </c>
      <c r="Y70" s="202">
        <f>景东!U49</f>
        <v>0</v>
      </c>
      <c r="Z70" s="202">
        <f>景东!V49</f>
        <v>0</v>
      </c>
      <c r="AA70" s="202">
        <f>景东!W49</f>
        <v>0</v>
      </c>
      <c r="AB70" s="202">
        <f>景东!X49</f>
        <v>0</v>
      </c>
      <c r="AC70" s="202">
        <f>景东!Y49</f>
        <v>0</v>
      </c>
      <c r="AD70" s="202">
        <f>景东!Z49</f>
        <v>0</v>
      </c>
      <c r="AE70" s="202">
        <f>景东!AA49</f>
        <v>0</v>
      </c>
      <c r="AF70" s="202">
        <f>景东!AB49</f>
        <v>0</v>
      </c>
      <c r="AG70" s="202">
        <f>景东!AC49</f>
        <v>0</v>
      </c>
      <c r="AH70" s="202">
        <f>景东!AD49</f>
        <v>0</v>
      </c>
      <c r="AI70" s="202">
        <f>景东!AE49</f>
        <v>0</v>
      </c>
      <c r="AJ70" s="202">
        <f>景东!AF49</f>
        <v>0</v>
      </c>
      <c r="AK70" s="165" t="str">
        <f>景东!AG49</f>
        <v>景东县龙街乡东山村民委员会</v>
      </c>
      <c r="AL70" s="165" t="str">
        <f>景东!AH49</f>
        <v>20160806</v>
      </c>
      <c r="AM70" s="165">
        <f>景东!AI49</f>
        <v>0</v>
      </c>
      <c r="AN70" s="165">
        <f>景东!AJ49</f>
        <v>0</v>
      </c>
      <c r="AO70" s="165">
        <f>景东!AK49</f>
        <v>0</v>
      </c>
      <c r="AP70" s="263">
        <v>1.5</v>
      </c>
      <c r="AQ70" s="209">
        <f>景东!AM49</f>
        <v>0</v>
      </c>
      <c r="AR70" s="295">
        <f>景东!AN49</f>
        <v>0.3</v>
      </c>
      <c r="AS70" s="199" t="str">
        <f>景东!AO49</f>
        <v>532724197806192117</v>
      </c>
      <c r="AT70" s="199" t="str">
        <f>景东!AP49</f>
        <v>13608799334</v>
      </c>
    </row>
    <row r="71" spans="1:46">
      <c r="A71" t="s">
        <v>1923</v>
      </c>
      <c r="B71" s="202" t="str">
        <f>VLOOKUP(A71,databases!$A$2:$B$7, 2, FALSE)</f>
        <v>JingDong</v>
      </c>
      <c r="C71" s="165" t="str">
        <f>景东!B50</f>
        <v>李廷峰</v>
      </c>
      <c r="D71" s="202" t="str">
        <f>VLOOKUP(C71,databases!$D$2:$E$145, 2, FALSE)</f>
        <v>R48</v>
      </c>
      <c r="E71" s="259">
        <f>INDEX(sample_database!$B$2:$B$506,MATCH(F71,sample_database!$L$2:$L$506,0))</f>
        <v>97</v>
      </c>
      <c r="F71" s="202" t="str">
        <f>景东!A50</f>
        <v>JD49</v>
      </c>
      <c r="G71" s="257">
        <f>景东!C50</f>
        <v>4</v>
      </c>
      <c r="H71" s="257">
        <f>景东!D50</f>
        <v>0</v>
      </c>
      <c r="I71" s="202">
        <f>景东!E50</f>
        <v>8</v>
      </c>
      <c r="J71" s="202">
        <f>景东!F50</f>
        <v>2</v>
      </c>
      <c r="K71" s="202">
        <f>景东!G50</f>
        <v>2</v>
      </c>
      <c r="L71" s="202">
        <f>景东!H50</f>
        <v>2</v>
      </c>
      <c r="M71" s="202">
        <f>景东!I50</f>
        <v>2</v>
      </c>
      <c r="N71" s="202">
        <f>景东!J50</f>
        <v>0</v>
      </c>
      <c r="O71" s="202">
        <f>景东!K50</f>
        <v>0</v>
      </c>
      <c r="P71" s="202">
        <f>景东!L50</f>
        <v>0</v>
      </c>
      <c r="Q71" s="202">
        <f>景东!M50</f>
        <v>0</v>
      </c>
      <c r="R71" s="202">
        <f>景东!N50</f>
        <v>0</v>
      </c>
      <c r="S71" s="202">
        <f>景东!O50</f>
        <v>0</v>
      </c>
      <c r="T71" s="202">
        <f>景东!P50</f>
        <v>0</v>
      </c>
      <c r="U71" s="202">
        <f>景东!Q50</f>
        <v>0</v>
      </c>
      <c r="V71" s="202">
        <f>景东!R50</f>
        <v>0</v>
      </c>
      <c r="W71" s="202">
        <f>景东!S50</f>
        <v>0</v>
      </c>
      <c r="X71" s="202">
        <f>景东!T50</f>
        <v>0</v>
      </c>
      <c r="Y71" s="202">
        <f>景东!U50</f>
        <v>0</v>
      </c>
      <c r="Z71" s="202">
        <f>景东!V50</f>
        <v>0</v>
      </c>
      <c r="AA71" s="202">
        <f>景东!W50</f>
        <v>0</v>
      </c>
      <c r="AB71" s="202">
        <f>景东!X50</f>
        <v>0</v>
      </c>
      <c r="AC71" s="202">
        <f>景东!Y50</f>
        <v>0</v>
      </c>
      <c r="AD71" s="202">
        <f>景东!Z50</f>
        <v>0</v>
      </c>
      <c r="AE71" s="202">
        <f>景东!AA50</f>
        <v>0</v>
      </c>
      <c r="AF71" s="202">
        <f>景东!AB50</f>
        <v>0</v>
      </c>
      <c r="AG71" s="202">
        <f>景东!AC50</f>
        <v>0</v>
      </c>
      <c r="AH71" s="202">
        <f>景东!AD50</f>
        <v>0</v>
      </c>
      <c r="AI71" s="202">
        <f>景东!AE50</f>
        <v>0</v>
      </c>
      <c r="AJ71" s="202">
        <f>景东!AF50</f>
        <v>0</v>
      </c>
      <c r="AK71" s="165" t="str">
        <f>景东!AG50</f>
        <v>景东县龙街乡东山村民委员会</v>
      </c>
      <c r="AL71" s="165" t="str">
        <f>景东!AH50</f>
        <v>20160811</v>
      </c>
      <c r="AM71" s="165">
        <f>景东!AI50</f>
        <v>0</v>
      </c>
      <c r="AN71" s="165">
        <f>景东!AJ50</f>
        <v>0</v>
      </c>
      <c r="AO71" s="165">
        <f>景东!AK50</f>
        <v>0</v>
      </c>
      <c r="AP71" s="263">
        <v>1.5</v>
      </c>
      <c r="AQ71" s="209">
        <f>景东!AM50</f>
        <v>0</v>
      </c>
      <c r="AR71" s="295">
        <f>景东!AN50</f>
        <v>0.3</v>
      </c>
      <c r="AS71" s="199" t="str">
        <f>景东!AO50</f>
        <v>532724197806192117</v>
      </c>
      <c r="AT71" s="199" t="str">
        <f>景东!AP50</f>
        <v>13608799334</v>
      </c>
    </row>
    <row r="72" spans="1:46">
      <c r="A72" t="s">
        <v>1923</v>
      </c>
      <c r="B72" s="202" t="str">
        <f>VLOOKUP(A72,databases!$A$2:$B$7, 2, FALSE)</f>
        <v>JingDong</v>
      </c>
      <c r="C72" s="165" t="str">
        <f>景东!B51</f>
        <v>李廷峰</v>
      </c>
      <c r="D72" s="202" t="str">
        <f>VLOOKUP(C72,databases!$D$2:$E$145, 2, FALSE)</f>
        <v>R48</v>
      </c>
      <c r="E72" s="259">
        <f>INDEX(sample_database!$B$2:$B$506,MATCH(F72,sample_database!$L$2:$L$506,0))</f>
        <v>97</v>
      </c>
      <c r="F72" s="202" t="str">
        <f>景东!A51</f>
        <v>JD50</v>
      </c>
      <c r="G72" s="257">
        <f>景东!C51</f>
        <v>3</v>
      </c>
      <c r="H72" s="257">
        <f>景东!D51</f>
        <v>0</v>
      </c>
      <c r="I72" s="202">
        <f>景东!E51</f>
        <v>13</v>
      </c>
      <c r="J72" s="202">
        <f>景东!F51</f>
        <v>3</v>
      </c>
      <c r="K72" s="202">
        <f>景东!G51</f>
        <v>5</v>
      </c>
      <c r="L72" s="202">
        <f>景东!H51</f>
        <v>5</v>
      </c>
      <c r="M72" s="202">
        <f>景东!I51</f>
        <v>0</v>
      </c>
      <c r="N72" s="202">
        <f>景东!J51</f>
        <v>0</v>
      </c>
      <c r="O72" s="202">
        <f>景东!K51</f>
        <v>0</v>
      </c>
      <c r="P72" s="202">
        <f>景东!L51</f>
        <v>0</v>
      </c>
      <c r="Q72" s="202">
        <f>景东!M51</f>
        <v>0</v>
      </c>
      <c r="R72" s="202">
        <f>景东!N51</f>
        <v>0</v>
      </c>
      <c r="S72" s="202">
        <f>景东!O51</f>
        <v>0</v>
      </c>
      <c r="T72" s="202">
        <f>景东!P51</f>
        <v>0</v>
      </c>
      <c r="U72" s="202">
        <f>景东!Q51</f>
        <v>0</v>
      </c>
      <c r="V72" s="202">
        <f>景东!R51</f>
        <v>0</v>
      </c>
      <c r="W72" s="202">
        <f>景东!S51</f>
        <v>0</v>
      </c>
      <c r="X72" s="202">
        <f>景东!T51</f>
        <v>0</v>
      </c>
      <c r="Y72" s="202">
        <f>景东!U51</f>
        <v>0</v>
      </c>
      <c r="Z72" s="202">
        <f>景东!V51</f>
        <v>0</v>
      </c>
      <c r="AA72" s="202">
        <f>景东!W51</f>
        <v>0</v>
      </c>
      <c r="AB72" s="202">
        <f>景东!X51</f>
        <v>0</v>
      </c>
      <c r="AC72" s="202">
        <f>景东!Y51</f>
        <v>0</v>
      </c>
      <c r="AD72" s="202">
        <f>景东!Z51</f>
        <v>0</v>
      </c>
      <c r="AE72" s="202">
        <f>景东!AA51</f>
        <v>0</v>
      </c>
      <c r="AF72" s="202">
        <f>景东!AB51</f>
        <v>0</v>
      </c>
      <c r="AG72" s="202">
        <f>景东!AC51</f>
        <v>0</v>
      </c>
      <c r="AH72" s="202">
        <f>景东!AD51</f>
        <v>0</v>
      </c>
      <c r="AI72" s="202">
        <f>景东!AE51</f>
        <v>0</v>
      </c>
      <c r="AJ72" s="202">
        <f>景东!AF51</f>
        <v>0</v>
      </c>
      <c r="AK72" s="165" t="str">
        <f>景东!AG51</f>
        <v>景东县龙街乡东山村民委员会</v>
      </c>
      <c r="AL72" s="165" t="str">
        <f>景东!AH51</f>
        <v>20160821</v>
      </c>
      <c r="AM72" s="165">
        <f>景东!AI51</f>
        <v>0</v>
      </c>
      <c r="AN72" s="165">
        <f>景东!AJ51</f>
        <v>0</v>
      </c>
      <c r="AO72" s="165">
        <f>景东!AK51</f>
        <v>0</v>
      </c>
      <c r="AP72" s="263">
        <v>2</v>
      </c>
      <c r="AQ72" s="209">
        <f>景东!AM51</f>
        <v>0</v>
      </c>
      <c r="AR72" s="295">
        <f>景东!AN51</f>
        <v>0.4</v>
      </c>
      <c r="AS72" s="199" t="str">
        <f>景东!AO51</f>
        <v>532724197806192117</v>
      </c>
      <c r="AT72" s="199" t="str">
        <f>景东!AP51</f>
        <v>13608799334</v>
      </c>
    </row>
    <row r="73" spans="1:46">
      <c r="A73" t="s">
        <v>1923</v>
      </c>
      <c r="B73" s="202" t="str">
        <f>VLOOKUP(A73,databases!$A$2:$B$7, 2, FALSE)</f>
        <v>JingDong</v>
      </c>
      <c r="C73" s="165" t="str">
        <f>景东!B52</f>
        <v>李廷峰</v>
      </c>
      <c r="D73" s="202" t="str">
        <f>VLOOKUP(C73,databases!$D$2:$E$145, 2, FALSE)</f>
        <v>R48</v>
      </c>
      <c r="E73" s="259">
        <f>INDEX(sample_database!$B$2:$B$506,MATCH(F73,sample_database!$L$2:$L$506,0))</f>
        <v>97</v>
      </c>
      <c r="F73" s="202" t="str">
        <f>景东!A52</f>
        <v>JD51</v>
      </c>
      <c r="G73" s="257">
        <f>景东!C52</f>
        <v>5</v>
      </c>
      <c r="H73" s="257">
        <f>景东!D52</f>
        <v>0</v>
      </c>
      <c r="I73" s="202">
        <f>景东!E52</f>
        <v>17</v>
      </c>
      <c r="J73" s="202">
        <f>景东!F52</f>
        <v>1</v>
      </c>
      <c r="K73" s="202">
        <f>景东!G52</f>
        <v>3</v>
      </c>
      <c r="L73" s="202">
        <f>景东!H52</f>
        <v>4</v>
      </c>
      <c r="M73" s="202">
        <f>景东!I52</f>
        <v>4</v>
      </c>
      <c r="N73" s="202">
        <f>景东!J52</f>
        <v>5</v>
      </c>
      <c r="O73" s="202">
        <f>景东!K52</f>
        <v>0</v>
      </c>
      <c r="P73" s="202">
        <f>景东!L52</f>
        <v>0</v>
      </c>
      <c r="Q73" s="202">
        <f>景东!M52</f>
        <v>0</v>
      </c>
      <c r="R73" s="202">
        <f>景东!N52</f>
        <v>0</v>
      </c>
      <c r="S73" s="202">
        <f>景东!O52</f>
        <v>0</v>
      </c>
      <c r="T73" s="202">
        <f>景东!P52</f>
        <v>0</v>
      </c>
      <c r="U73" s="202">
        <f>景东!Q52</f>
        <v>0</v>
      </c>
      <c r="V73" s="202">
        <f>景东!R52</f>
        <v>0</v>
      </c>
      <c r="W73" s="202">
        <f>景东!S52</f>
        <v>0</v>
      </c>
      <c r="X73" s="202">
        <f>景东!T52</f>
        <v>0</v>
      </c>
      <c r="Y73" s="202">
        <f>景东!U52</f>
        <v>0</v>
      </c>
      <c r="Z73" s="202">
        <f>景东!V52</f>
        <v>0</v>
      </c>
      <c r="AA73" s="202">
        <f>景东!W52</f>
        <v>0</v>
      </c>
      <c r="AB73" s="202">
        <f>景东!X52</f>
        <v>0</v>
      </c>
      <c r="AC73" s="202">
        <f>景东!Y52</f>
        <v>0</v>
      </c>
      <c r="AD73" s="202">
        <f>景东!Z52</f>
        <v>0</v>
      </c>
      <c r="AE73" s="202">
        <f>景东!AA52</f>
        <v>0</v>
      </c>
      <c r="AF73" s="202">
        <f>景东!AB52</f>
        <v>0</v>
      </c>
      <c r="AG73" s="202">
        <f>景东!AC52</f>
        <v>0</v>
      </c>
      <c r="AH73" s="202">
        <f>景东!AD52</f>
        <v>0</v>
      </c>
      <c r="AI73" s="202">
        <f>景东!AE52</f>
        <v>0</v>
      </c>
      <c r="AJ73" s="202">
        <f>景东!AF52</f>
        <v>0</v>
      </c>
      <c r="AK73" s="165" t="str">
        <f>景东!AG52</f>
        <v>景东县龙街乡东山村民委员会</v>
      </c>
      <c r="AL73" s="165" t="str">
        <f>景东!AH52</f>
        <v>20160827</v>
      </c>
      <c r="AM73" s="165">
        <f>景东!AI52</f>
        <v>0</v>
      </c>
      <c r="AN73" s="165">
        <f>景东!AJ52</f>
        <v>0</v>
      </c>
      <c r="AO73" s="165">
        <f>景东!AK52</f>
        <v>0</v>
      </c>
      <c r="AP73" s="263">
        <v>4</v>
      </c>
      <c r="AQ73" s="209">
        <f>景东!AM52</f>
        <v>0</v>
      </c>
      <c r="AR73" s="295">
        <f>景东!AN52</f>
        <v>0.8</v>
      </c>
      <c r="AS73" s="199" t="str">
        <f>景东!AO52</f>
        <v>532724197806192117</v>
      </c>
      <c r="AT73" s="199" t="str">
        <f>景东!AP52</f>
        <v>13608799334</v>
      </c>
    </row>
    <row r="74" spans="1:46">
      <c r="A74" t="s">
        <v>1923</v>
      </c>
      <c r="B74" s="202" t="str">
        <f>VLOOKUP(A74,databases!$A$2:$B$7, 2, FALSE)</f>
        <v>JingDong</v>
      </c>
      <c r="C74" s="165" t="str">
        <f>景东!B90</f>
        <v>李开愉</v>
      </c>
      <c r="D74" s="202" t="str">
        <f>VLOOKUP(C74,databases!$D$2:$E$145, 2, FALSE)</f>
        <v>R50</v>
      </c>
      <c r="E74" s="259">
        <f>INDEX(sample_database!$B$2:$B$506,MATCH(F74,sample_database!$L$2:$L$506,0))</f>
        <v>121</v>
      </c>
      <c r="F74" s="202" t="str">
        <f>景东!A90</f>
        <v>JD89</v>
      </c>
      <c r="G74" s="257">
        <f>景东!C90</f>
        <v>8</v>
      </c>
      <c r="H74" s="257">
        <f>景东!D90</f>
        <v>0</v>
      </c>
      <c r="I74" s="202">
        <f>景东!E90</f>
        <v>134</v>
      </c>
      <c r="J74" s="202">
        <f>景东!F90</f>
        <v>22</v>
      </c>
      <c r="K74" s="202">
        <f>景东!G90</f>
        <v>14</v>
      </c>
      <c r="L74" s="202">
        <f>景东!H90</f>
        <v>20</v>
      </c>
      <c r="M74" s="202">
        <f>景东!I90</f>
        <v>15</v>
      </c>
      <c r="N74" s="202">
        <f>景东!J90</f>
        <v>10</v>
      </c>
      <c r="O74" s="202">
        <f>景东!K90</f>
        <v>25</v>
      </c>
      <c r="P74" s="202">
        <f>景东!L90</f>
        <v>17</v>
      </c>
      <c r="Q74" s="202">
        <f>景东!M90</f>
        <v>11</v>
      </c>
      <c r="R74" s="202">
        <f>景东!N90</f>
        <v>0</v>
      </c>
      <c r="S74" s="202">
        <f>景东!O90</f>
        <v>0</v>
      </c>
      <c r="T74" s="202">
        <f>景东!P90</f>
        <v>0</v>
      </c>
      <c r="U74" s="202">
        <f>景东!Q90</f>
        <v>0</v>
      </c>
      <c r="V74" s="202">
        <f>景东!R90</f>
        <v>0</v>
      </c>
      <c r="W74" s="202">
        <f>景东!S90</f>
        <v>0</v>
      </c>
      <c r="X74" s="202">
        <f>景东!T90</f>
        <v>0</v>
      </c>
      <c r="Y74" s="202">
        <f>景东!U90</f>
        <v>0</v>
      </c>
      <c r="Z74" s="202">
        <f>景东!V90</f>
        <v>0</v>
      </c>
      <c r="AA74" s="202">
        <f>景东!W90</f>
        <v>0</v>
      </c>
      <c r="AB74" s="202">
        <f>景东!X90</f>
        <v>0</v>
      </c>
      <c r="AC74" s="202">
        <f>景东!Y90</f>
        <v>0</v>
      </c>
      <c r="AD74" s="202">
        <f>景东!Z90</f>
        <v>0</v>
      </c>
      <c r="AE74" s="202">
        <f>景东!AA90</f>
        <v>0</v>
      </c>
      <c r="AF74" s="202">
        <f>景东!AB90</f>
        <v>0</v>
      </c>
      <c r="AG74" s="202">
        <f>景东!AC90</f>
        <v>0</v>
      </c>
      <c r="AH74" s="202">
        <f>景东!AD90</f>
        <v>0</v>
      </c>
      <c r="AI74" s="202">
        <f>景东!AE90</f>
        <v>0</v>
      </c>
      <c r="AJ74" s="202">
        <f>景东!AF90</f>
        <v>0</v>
      </c>
      <c r="AK74" s="165" t="str">
        <f>景东!AG90</f>
        <v>景东县花山镇文岗村箐边组</v>
      </c>
      <c r="AL74" s="165" t="str">
        <f>景东!AH90</f>
        <v>？</v>
      </c>
      <c r="AM74" s="165">
        <f>景东!AI90</f>
        <v>0</v>
      </c>
      <c r="AN74" s="165">
        <f>景东!AJ90</f>
        <v>0</v>
      </c>
      <c r="AO74" s="165">
        <f>景东!AK90</f>
        <v>0</v>
      </c>
      <c r="AP74" s="263">
        <v>32</v>
      </c>
      <c r="AQ74" s="209" t="str">
        <f>景东!AM90</f>
        <v>0.9+2+1.1+0.9+1.5</v>
      </c>
      <c r="AR74" s="295">
        <f>景东!AN90</f>
        <v>6.4</v>
      </c>
      <c r="AS74" s="199" t="str">
        <f>景东!AO90</f>
        <v>532427195609021213</v>
      </c>
      <c r="AT74" s="199" t="str">
        <f>景东!AP90</f>
        <v>15912997087</v>
      </c>
    </row>
    <row r="75" spans="1:46">
      <c r="A75" t="s">
        <v>1923</v>
      </c>
      <c r="B75" s="202" t="str">
        <f>VLOOKUP(A75,databases!$A$2:$B$7, 2, FALSE)</f>
        <v>JingDong</v>
      </c>
      <c r="C75" s="165" t="str">
        <f>景东!B91</f>
        <v>李开愉</v>
      </c>
      <c r="D75" s="202" t="str">
        <f>VLOOKUP(C75,databases!$D$2:$E$145, 2, FALSE)</f>
        <v>R50</v>
      </c>
      <c r="E75" s="259">
        <f>INDEX(sample_database!$B$2:$B$506,MATCH(F75,sample_database!$L$2:$L$506,0))</f>
        <v>121</v>
      </c>
      <c r="F75" s="202" t="str">
        <f>景东!A91</f>
        <v>JD90</v>
      </c>
      <c r="G75" s="257">
        <f>景东!C91</f>
        <v>0</v>
      </c>
      <c r="H75" s="257">
        <f>景东!D91</f>
        <v>2</v>
      </c>
      <c r="I75" s="202">
        <f>景东!E91</f>
        <v>7</v>
      </c>
      <c r="J75" s="202">
        <f>景东!F91</f>
        <v>3</v>
      </c>
      <c r="K75" s="202">
        <f>景东!G91</f>
        <v>4</v>
      </c>
      <c r="L75" s="202">
        <f>景东!H91</f>
        <v>0</v>
      </c>
      <c r="M75" s="202">
        <f>景东!I91</f>
        <v>0</v>
      </c>
      <c r="N75" s="202">
        <f>景东!J91</f>
        <v>0</v>
      </c>
      <c r="O75" s="202">
        <f>景东!K91</f>
        <v>0</v>
      </c>
      <c r="P75" s="202">
        <f>景东!L91</f>
        <v>0</v>
      </c>
      <c r="Q75" s="202">
        <f>景东!M91</f>
        <v>0</v>
      </c>
      <c r="R75" s="202">
        <f>景东!N91</f>
        <v>0</v>
      </c>
      <c r="S75" s="202">
        <f>景东!O91</f>
        <v>0</v>
      </c>
      <c r="T75" s="202">
        <f>景东!P91</f>
        <v>0</v>
      </c>
      <c r="U75" s="202">
        <f>景东!Q91</f>
        <v>0</v>
      </c>
      <c r="V75" s="202">
        <f>景东!R91</f>
        <v>0</v>
      </c>
      <c r="W75" s="202">
        <f>景东!S91</f>
        <v>0</v>
      </c>
      <c r="X75" s="202">
        <f>景东!T91</f>
        <v>0</v>
      </c>
      <c r="Y75" s="202">
        <f>景东!U91</f>
        <v>0</v>
      </c>
      <c r="Z75" s="202">
        <f>景东!V91</f>
        <v>0</v>
      </c>
      <c r="AA75" s="202">
        <f>景东!W91</f>
        <v>0</v>
      </c>
      <c r="AB75" s="202">
        <f>景东!X91</f>
        <v>0</v>
      </c>
      <c r="AC75" s="202">
        <f>景东!Y91</f>
        <v>0</v>
      </c>
      <c r="AD75" s="202">
        <f>景东!Z91</f>
        <v>0</v>
      </c>
      <c r="AE75" s="202">
        <f>景东!AA91</f>
        <v>0</v>
      </c>
      <c r="AF75" s="202">
        <f>景东!AB91</f>
        <v>0</v>
      </c>
      <c r="AG75" s="202">
        <f>景东!AC91</f>
        <v>0</v>
      </c>
      <c r="AH75" s="202">
        <f>景东!AD91</f>
        <v>0</v>
      </c>
      <c r="AI75" s="202">
        <f>景东!AE91</f>
        <v>0</v>
      </c>
      <c r="AJ75" s="202">
        <f>景东!AF91</f>
        <v>0</v>
      </c>
      <c r="AK75" s="165" t="str">
        <f>景东!AG91</f>
        <v>景东县花山镇文岗村箐边组</v>
      </c>
      <c r="AL75" s="165" t="str">
        <f>景东!AH91</f>
        <v>2016</v>
      </c>
      <c r="AM75" s="165">
        <f>景东!AI91</f>
        <v>0</v>
      </c>
      <c r="AN75" s="165">
        <f>景东!AJ91</f>
        <v>0</v>
      </c>
      <c r="AO75" s="165">
        <f>景东!AK91</f>
        <v>0</v>
      </c>
      <c r="AP75" s="263">
        <v>3</v>
      </c>
      <c r="AQ75" s="209">
        <f>景东!AM91</f>
        <v>0</v>
      </c>
      <c r="AR75" s="295">
        <f>景东!AN91</f>
        <v>0.6</v>
      </c>
      <c r="AS75" s="199" t="str">
        <f>景东!AO91</f>
        <v>532427195609021213</v>
      </c>
      <c r="AT75" s="199" t="str">
        <f>景东!AP91</f>
        <v>15912997087</v>
      </c>
    </row>
    <row r="76" spans="1:46">
      <c r="A76" t="s">
        <v>1923</v>
      </c>
      <c r="B76" s="202" t="str">
        <f>VLOOKUP(A76,databases!$A$2:$B$7, 2, FALSE)</f>
        <v>JingDong</v>
      </c>
      <c r="C76" s="165" t="str">
        <f>景东!B53</f>
        <v>李志国</v>
      </c>
      <c r="D76" s="202" t="str">
        <f>VLOOKUP(C76,databases!$D$2:$E$145, 2, FALSE)</f>
        <v>R51</v>
      </c>
      <c r="E76" s="259">
        <f>INDEX(sample_database!$B$2:$B$506,MATCH(F76,sample_database!$L$2:$L$506,0))</f>
        <v>112</v>
      </c>
      <c r="F76" s="202" t="str">
        <f>景东!A53</f>
        <v>JD52</v>
      </c>
      <c r="G76" s="257">
        <f>景东!C53</f>
        <v>10</v>
      </c>
      <c r="H76" s="257">
        <f>景东!D53</f>
        <v>0</v>
      </c>
      <c r="I76" s="202">
        <f>景东!E53</f>
        <v>60</v>
      </c>
      <c r="J76" s="202">
        <f>景东!F53</f>
        <v>6</v>
      </c>
      <c r="K76" s="202">
        <f>景东!G53</f>
        <v>4</v>
      </c>
      <c r="L76" s="202">
        <f>景东!H53</f>
        <v>7</v>
      </c>
      <c r="M76" s="202">
        <f>景东!I53</f>
        <v>6</v>
      </c>
      <c r="N76" s="202">
        <f>景东!J53</f>
        <v>7</v>
      </c>
      <c r="O76" s="202">
        <f>景东!K53</f>
        <v>5</v>
      </c>
      <c r="P76" s="202">
        <f>景东!L53</f>
        <v>6</v>
      </c>
      <c r="Q76" s="202">
        <f>景东!M53</f>
        <v>6</v>
      </c>
      <c r="R76" s="202">
        <f>景东!N53</f>
        <v>7</v>
      </c>
      <c r="S76" s="202">
        <f>景东!O53</f>
        <v>6</v>
      </c>
      <c r="T76" s="202">
        <f>景东!P53</f>
        <v>0</v>
      </c>
      <c r="U76" s="202">
        <f>景东!Q53</f>
        <v>0</v>
      </c>
      <c r="V76" s="202">
        <f>景东!R53</f>
        <v>0</v>
      </c>
      <c r="W76" s="202">
        <f>景东!S53</f>
        <v>0</v>
      </c>
      <c r="X76" s="202">
        <f>景东!T53</f>
        <v>0</v>
      </c>
      <c r="Y76" s="202">
        <f>景东!U53</f>
        <v>0</v>
      </c>
      <c r="Z76" s="202">
        <f>景东!V53</f>
        <v>0</v>
      </c>
      <c r="AA76" s="202">
        <f>景东!W53</f>
        <v>0</v>
      </c>
      <c r="AB76" s="202">
        <f>景东!X53</f>
        <v>0</v>
      </c>
      <c r="AC76" s="202">
        <f>景东!Y53</f>
        <v>0</v>
      </c>
      <c r="AD76" s="202">
        <f>景东!Z53</f>
        <v>0</v>
      </c>
      <c r="AE76" s="202">
        <f>景东!AA53</f>
        <v>0</v>
      </c>
      <c r="AF76" s="202">
        <f>景东!AB53</f>
        <v>0</v>
      </c>
      <c r="AG76" s="202">
        <f>景东!AC53</f>
        <v>0</v>
      </c>
      <c r="AH76" s="202">
        <f>景东!AD53</f>
        <v>0</v>
      </c>
      <c r="AI76" s="202">
        <f>景东!AE53</f>
        <v>0</v>
      </c>
      <c r="AJ76" s="202">
        <f>景东!AF53</f>
        <v>0</v>
      </c>
      <c r="AK76" s="165" t="str">
        <f>景东!AG53</f>
        <v>景东县大街镇平地上村</v>
      </c>
      <c r="AL76" s="165" t="str">
        <f>景东!AH53</f>
        <v>20160726</v>
      </c>
      <c r="AM76" s="165">
        <f>景东!AI53</f>
        <v>0</v>
      </c>
      <c r="AN76" s="165">
        <f>景东!AJ53</f>
        <v>0</v>
      </c>
      <c r="AO76" s="165" t="str">
        <f>景东!AK53</f>
        <v>海拔2742，N24°26′14.40″ E101°05′59.09″</v>
      </c>
      <c r="AP76" s="263">
        <v>12.5</v>
      </c>
      <c r="AQ76" s="209">
        <f>景东!AM53</f>
        <v>0</v>
      </c>
      <c r="AR76" s="295">
        <f>景东!AN53</f>
        <v>2.5</v>
      </c>
      <c r="AS76" s="199" t="str">
        <f>景东!AO53</f>
        <v>532724198511271517</v>
      </c>
      <c r="AT76" s="199" t="str">
        <f>景东!AP53</f>
        <v>15008811738</v>
      </c>
    </row>
    <row r="77" spans="1:46">
      <c r="A77" t="s">
        <v>1923</v>
      </c>
      <c r="B77" s="202" t="str">
        <f>VLOOKUP(A77,databases!$A$2:$B$7, 2, FALSE)</f>
        <v>JingDong</v>
      </c>
      <c r="C77" s="165" t="str">
        <f>景东!B54</f>
        <v>李志国</v>
      </c>
      <c r="D77" s="202" t="str">
        <f>VLOOKUP(C77,databases!$D$2:$E$145, 2, FALSE)</f>
        <v>R51</v>
      </c>
      <c r="E77" s="259">
        <f>INDEX(sample_database!$B$2:$B$506,MATCH(F77,sample_database!$L$2:$L$506,0))</f>
        <v>112</v>
      </c>
      <c r="F77" s="202" t="str">
        <f>景东!A54</f>
        <v>JD53</v>
      </c>
      <c r="G77" s="257">
        <f>景东!C54</f>
        <v>10</v>
      </c>
      <c r="H77" s="257">
        <f>景东!D54</f>
        <v>0</v>
      </c>
      <c r="I77" s="202">
        <f>景东!E54</f>
        <v>54</v>
      </c>
      <c r="J77" s="202">
        <f>景东!F54</f>
        <v>8</v>
      </c>
      <c r="K77" s="202">
        <f>景东!G54</f>
        <v>4</v>
      </c>
      <c r="L77" s="202">
        <f>景东!H54</f>
        <v>5</v>
      </c>
      <c r="M77" s="202">
        <f>景东!I54</f>
        <v>7</v>
      </c>
      <c r="N77" s="202">
        <f>景东!J54</f>
        <v>5</v>
      </c>
      <c r="O77" s="202">
        <f>景东!K54</f>
        <v>4</v>
      </c>
      <c r="P77" s="202">
        <f>景东!L54</f>
        <v>8</v>
      </c>
      <c r="Q77" s="202">
        <f>景东!M54</f>
        <v>4</v>
      </c>
      <c r="R77" s="202">
        <f>景东!N54</f>
        <v>4</v>
      </c>
      <c r="S77" s="202">
        <f>景东!O54</f>
        <v>5</v>
      </c>
      <c r="T77" s="202">
        <f>景东!P54</f>
        <v>0</v>
      </c>
      <c r="U77" s="202">
        <f>景东!Q54</f>
        <v>0</v>
      </c>
      <c r="V77" s="202">
        <f>景东!R54</f>
        <v>0</v>
      </c>
      <c r="W77" s="202">
        <f>景东!S54</f>
        <v>0</v>
      </c>
      <c r="X77" s="202">
        <f>景东!T54</f>
        <v>0</v>
      </c>
      <c r="Y77" s="202">
        <f>景东!U54</f>
        <v>0</v>
      </c>
      <c r="Z77" s="202">
        <f>景东!V54</f>
        <v>0</v>
      </c>
      <c r="AA77" s="202">
        <f>景东!W54</f>
        <v>0</v>
      </c>
      <c r="AB77" s="202">
        <f>景东!X54</f>
        <v>0</v>
      </c>
      <c r="AC77" s="202">
        <f>景东!Y54</f>
        <v>0</v>
      </c>
      <c r="AD77" s="202">
        <f>景东!Z54</f>
        <v>0</v>
      </c>
      <c r="AE77" s="202">
        <f>景东!AA54</f>
        <v>0</v>
      </c>
      <c r="AF77" s="202">
        <f>景东!AB54</f>
        <v>0</v>
      </c>
      <c r="AG77" s="202">
        <f>景东!AC54</f>
        <v>0</v>
      </c>
      <c r="AH77" s="202">
        <f>景东!AD54</f>
        <v>0</v>
      </c>
      <c r="AI77" s="202">
        <f>景东!AE54</f>
        <v>0</v>
      </c>
      <c r="AJ77" s="202">
        <f>景东!AF54</f>
        <v>0</v>
      </c>
      <c r="AK77" s="165" t="str">
        <f>景东!AG54</f>
        <v>景东县大街镇平地上村</v>
      </c>
      <c r="AL77" s="165" t="str">
        <f>景东!AH54</f>
        <v>20160912</v>
      </c>
      <c r="AM77" s="165">
        <f>景东!AI54</f>
        <v>0</v>
      </c>
      <c r="AN77" s="165">
        <f>景东!AJ54</f>
        <v>0</v>
      </c>
      <c r="AO77" s="165" t="str">
        <f>景东!AK54</f>
        <v>海拔2397，N24°26′35.99″ E101°05′09.65″</v>
      </c>
      <c r="AP77" s="263">
        <v>10</v>
      </c>
      <c r="AQ77" s="209">
        <f>景东!AM54</f>
        <v>0</v>
      </c>
      <c r="AR77" s="295">
        <f>景东!AN54</f>
        <v>2</v>
      </c>
      <c r="AS77" s="199" t="str">
        <f>景东!AO54</f>
        <v>532724198511271517</v>
      </c>
      <c r="AT77" s="199" t="str">
        <f>景东!AP54</f>
        <v>15008811738</v>
      </c>
    </row>
    <row r="78" spans="1:46">
      <c r="A78" t="s">
        <v>1923</v>
      </c>
      <c r="B78" s="202" t="str">
        <f>VLOOKUP(A78,databases!$A$2:$B$7, 2, FALSE)</f>
        <v>JingDong</v>
      </c>
      <c r="C78" s="165" t="str">
        <f>景东!B55</f>
        <v>李志国</v>
      </c>
      <c r="D78" s="202" t="str">
        <f>VLOOKUP(C78,databases!$D$2:$E$145, 2, FALSE)</f>
        <v>R51</v>
      </c>
      <c r="E78" s="259">
        <f>INDEX(sample_database!$B$2:$B$506,MATCH(F78,sample_database!$L$2:$L$506,0))</f>
        <v>112</v>
      </c>
      <c r="F78" s="202" t="str">
        <f>景东!A55</f>
        <v>JD54</v>
      </c>
      <c r="G78" s="257">
        <f>景东!C55</f>
        <v>10</v>
      </c>
      <c r="H78" s="257">
        <f>景东!D55</f>
        <v>0</v>
      </c>
      <c r="I78" s="202">
        <f>景东!E55</f>
        <v>59</v>
      </c>
      <c r="J78" s="202">
        <f>景东!F55</f>
        <v>6</v>
      </c>
      <c r="K78" s="202">
        <f>景东!G55</f>
        <v>5</v>
      </c>
      <c r="L78" s="202">
        <f>景东!H55</f>
        <v>4</v>
      </c>
      <c r="M78" s="202">
        <f>景东!I55</f>
        <v>6</v>
      </c>
      <c r="N78" s="202">
        <f>景东!J55</f>
        <v>5</v>
      </c>
      <c r="O78" s="202">
        <f>景东!K55</f>
        <v>9</v>
      </c>
      <c r="P78" s="202">
        <f>景东!L55</f>
        <v>7</v>
      </c>
      <c r="Q78" s="202">
        <f>景东!M55</f>
        <v>5</v>
      </c>
      <c r="R78" s="202">
        <f>景东!N55</f>
        <v>6</v>
      </c>
      <c r="S78" s="202">
        <f>景东!O55</f>
        <v>6</v>
      </c>
      <c r="T78" s="202">
        <f>景东!P55</f>
        <v>0</v>
      </c>
      <c r="U78" s="202">
        <f>景东!Q55</f>
        <v>0</v>
      </c>
      <c r="V78" s="202">
        <f>景东!R55</f>
        <v>0</v>
      </c>
      <c r="W78" s="202">
        <f>景东!S55</f>
        <v>0</v>
      </c>
      <c r="X78" s="202">
        <f>景东!T55</f>
        <v>0</v>
      </c>
      <c r="Y78" s="202">
        <f>景东!U55</f>
        <v>0</v>
      </c>
      <c r="Z78" s="202">
        <f>景东!V55</f>
        <v>0</v>
      </c>
      <c r="AA78" s="202">
        <f>景东!W55</f>
        <v>0</v>
      </c>
      <c r="AB78" s="202">
        <f>景东!X55</f>
        <v>0</v>
      </c>
      <c r="AC78" s="202">
        <f>景东!Y55</f>
        <v>0</v>
      </c>
      <c r="AD78" s="202">
        <f>景东!Z55</f>
        <v>0</v>
      </c>
      <c r="AE78" s="202">
        <f>景东!AA55</f>
        <v>0</v>
      </c>
      <c r="AF78" s="202">
        <f>景东!AB55</f>
        <v>0</v>
      </c>
      <c r="AG78" s="202">
        <f>景东!AC55</f>
        <v>0</v>
      </c>
      <c r="AH78" s="202">
        <f>景东!AD55</f>
        <v>0</v>
      </c>
      <c r="AI78" s="202">
        <f>景东!AE55</f>
        <v>0</v>
      </c>
      <c r="AJ78" s="202">
        <f>景东!AF55</f>
        <v>0</v>
      </c>
      <c r="AK78" s="165" t="str">
        <f>景东!AG55</f>
        <v>景东县大街镇平地上村</v>
      </c>
      <c r="AL78" s="165" t="str">
        <f>景东!AH55</f>
        <v>2016916</v>
      </c>
      <c r="AM78" s="165">
        <f>景东!AI55</f>
        <v>0</v>
      </c>
      <c r="AN78" s="165">
        <f>景东!AJ55</f>
        <v>0</v>
      </c>
      <c r="AO78" s="165" t="str">
        <f>景东!AK55</f>
        <v>海拔2390，N24°26′10.73″ E101°05′52.16″</v>
      </c>
      <c r="AP78" s="263">
        <v>10</v>
      </c>
      <c r="AQ78" s="209">
        <f>景东!AM55</f>
        <v>0</v>
      </c>
      <c r="AR78" s="295">
        <f>景东!AN55</f>
        <v>2</v>
      </c>
      <c r="AS78" s="199" t="str">
        <f>景东!AO55</f>
        <v>532724198511271517</v>
      </c>
      <c r="AT78" s="199" t="str">
        <f>景东!AP55</f>
        <v>15008811738</v>
      </c>
    </row>
    <row r="79" spans="1:46">
      <c r="A79" t="s">
        <v>1923</v>
      </c>
      <c r="B79" s="202" t="str">
        <f>VLOOKUP(A79,databases!$A$2:$B$7, 2, FALSE)</f>
        <v>JingDong</v>
      </c>
      <c r="C79" s="165" t="str">
        <f>景东!B56</f>
        <v>李志国</v>
      </c>
      <c r="D79" s="202" t="str">
        <f>VLOOKUP(C79,databases!$D$2:$E$145, 2, FALSE)</f>
        <v>R51</v>
      </c>
      <c r="E79" s="259">
        <f>INDEX(sample_database!$B$2:$B$506,MATCH(F79,sample_database!$L$2:$L$506,0))</f>
        <v>112</v>
      </c>
      <c r="F79" s="202" t="str">
        <f>景东!A56</f>
        <v>JD55</v>
      </c>
      <c r="G79" s="257">
        <f>景东!C56</f>
        <v>10</v>
      </c>
      <c r="H79" s="257">
        <f>景东!D56</f>
        <v>0</v>
      </c>
      <c r="I79" s="202">
        <f>景东!E56</f>
        <v>60</v>
      </c>
      <c r="J79" s="202">
        <f>景东!F56</f>
        <v>4</v>
      </c>
      <c r="K79" s="202">
        <f>景东!G56</f>
        <v>6</v>
      </c>
      <c r="L79" s="202">
        <f>景东!H56</f>
        <v>5</v>
      </c>
      <c r="M79" s="202">
        <f>景东!I56</f>
        <v>5</v>
      </c>
      <c r="N79" s="202">
        <f>景东!J56</f>
        <v>9</v>
      </c>
      <c r="O79" s="202">
        <f>景东!K56</f>
        <v>6</v>
      </c>
      <c r="P79" s="202">
        <f>景东!L56</f>
        <v>7</v>
      </c>
      <c r="Q79" s="202">
        <f>景东!M56</f>
        <v>5</v>
      </c>
      <c r="R79" s="202">
        <f>景东!N56</f>
        <v>8</v>
      </c>
      <c r="S79" s="202">
        <f>景东!O56</f>
        <v>5</v>
      </c>
      <c r="T79" s="202">
        <f>景东!P56</f>
        <v>0</v>
      </c>
      <c r="U79" s="202">
        <f>景东!Q56</f>
        <v>0</v>
      </c>
      <c r="V79" s="202">
        <f>景东!R56</f>
        <v>0</v>
      </c>
      <c r="W79" s="202">
        <f>景东!S56</f>
        <v>0</v>
      </c>
      <c r="X79" s="202">
        <f>景东!T56</f>
        <v>0</v>
      </c>
      <c r="Y79" s="202">
        <f>景东!U56</f>
        <v>0</v>
      </c>
      <c r="Z79" s="202">
        <f>景东!V56</f>
        <v>0</v>
      </c>
      <c r="AA79" s="202">
        <f>景东!W56</f>
        <v>0</v>
      </c>
      <c r="AB79" s="202">
        <f>景东!X56</f>
        <v>0</v>
      </c>
      <c r="AC79" s="202">
        <f>景东!Y56</f>
        <v>0</v>
      </c>
      <c r="AD79" s="202">
        <f>景东!Z56</f>
        <v>0</v>
      </c>
      <c r="AE79" s="202">
        <f>景东!AA56</f>
        <v>0</v>
      </c>
      <c r="AF79" s="202">
        <f>景东!AB56</f>
        <v>0</v>
      </c>
      <c r="AG79" s="202">
        <f>景东!AC56</f>
        <v>0</v>
      </c>
      <c r="AH79" s="202">
        <f>景东!AD56</f>
        <v>0</v>
      </c>
      <c r="AI79" s="202">
        <f>景东!AE56</f>
        <v>0</v>
      </c>
      <c r="AJ79" s="202">
        <f>景东!AF56</f>
        <v>0</v>
      </c>
      <c r="AK79" s="165" t="str">
        <f>景东!AG56</f>
        <v>景东县大街镇平地上村</v>
      </c>
      <c r="AL79" s="165" t="str">
        <f>景东!AH56</f>
        <v>20160928</v>
      </c>
      <c r="AM79" s="165">
        <f>景东!AI56</f>
        <v>0</v>
      </c>
      <c r="AN79" s="165">
        <f>景东!AJ56</f>
        <v>0</v>
      </c>
      <c r="AO79" s="165" t="str">
        <f>景东!AK56</f>
        <v>海拔2490，N24°26′49.32″ E101°05′01.61″</v>
      </c>
      <c r="AP79" s="263">
        <v>10</v>
      </c>
      <c r="AQ79" s="209">
        <f>景东!AM56</f>
        <v>0</v>
      </c>
      <c r="AR79" s="295">
        <f>景东!AN56</f>
        <v>2</v>
      </c>
      <c r="AS79" s="199" t="str">
        <f>景东!AO56</f>
        <v>532724198511271517</v>
      </c>
      <c r="AT79" s="199" t="str">
        <f>景东!AP56</f>
        <v>15008811738</v>
      </c>
    </row>
    <row r="80" spans="1:46">
      <c r="A80" t="s">
        <v>1923</v>
      </c>
      <c r="B80" s="202" t="str">
        <f>VLOOKUP(A80,databases!$A$2:$B$7, 2, FALSE)</f>
        <v>JingDong</v>
      </c>
      <c r="C80" s="165" t="str">
        <f>景东!B57</f>
        <v>李志国</v>
      </c>
      <c r="D80" s="202" t="str">
        <f>VLOOKUP(C80,databases!$D$2:$E$145, 2, FALSE)</f>
        <v>R51</v>
      </c>
      <c r="E80" s="259">
        <f>INDEX(sample_database!$B$2:$B$506,MATCH(F80,sample_database!$L$2:$L$506,0))</f>
        <v>112</v>
      </c>
      <c r="F80" s="202" t="str">
        <f>景东!A57</f>
        <v>JD56</v>
      </c>
      <c r="G80" s="257">
        <f>景东!C57</f>
        <v>0</v>
      </c>
      <c r="H80" s="257">
        <f>景东!D57</f>
        <v>20</v>
      </c>
      <c r="I80" s="202">
        <f>景东!E57</f>
        <v>98</v>
      </c>
      <c r="J80" s="202">
        <f>景东!F57</f>
        <v>2</v>
      </c>
      <c r="K80" s="202">
        <f>景东!G57</f>
        <v>3</v>
      </c>
      <c r="L80" s="202">
        <f>景东!H57</f>
        <v>3</v>
      </c>
      <c r="M80" s="202">
        <f>景东!I57</f>
        <v>4</v>
      </c>
      <c r="N80" s="202">
        <f>景东!J57</f>
        <v>5</v>
      </c>
      <c r="O80" s="202">
        <f>景东!K57</f>
        <v>5</v>
      </c>
      <c r="P80" s="202">
        <f>景东!L57</f>
        <v>5</v>
      </c>
      <c r="Q80" s="202">
        <f>景东!M57</f>
        <v>5</v>
      </c>
      <c r="R80" s="202">
        <f>景东!N57</f>
        <v>5</v>
      </c>
      <c r="S80" s="202">
        <f>景东!O57</f>
        <v>5</v>
      </c>
      <c r="T80" s="202">
        <f>景东!P57</f>
        <v>5</v>
      </c>
      <c r="U80" s="202">
        <f>景东!Q57</f>
        <v>5</v>
      </c>
      <c r="V80" s="202">
        <f>景东!R57</f>
        <v>5</v>
      </c>
      <c r="W80" s="202">
        <f>景东!S57</f>
        <v>5</v>
      </c>
      <c r="X80" s="202">
        <f>景东!T57</f>
        <v>5</v>
      </c>
      <c r="Y80" s="202">
        <f>景东!U57</f>
        <v>5</v>
      </c>
      <c r="Z80" s="202">
        <f>景东!V57</f>
        <v>6</v>
      </c>
      <c r="AA80" s="202">
        <f>景东!W57</f>
        <v>6</v>
      </c>
      <c r="AB80" s="202">
        <f>景东!X57</f>
        <v>7</v>
      </c>
      <c r="AC80" s="202">
        <f>景东!Y57</f>
        <v>7</v>
      </c>
      <c r="AD80" s="202">
        <f>景东!Z57</f>
        <v>0</v>
      </c>
      <c r="AE80" s="202">
        <f>景东!AA57</f>
        <v>0</v>
      </c>
      <c r="AF80" s="202">
        <f>景东!AB57</f>
        <v>0</v>
      </c>
      <c r="AG80" s="202">
        <f>景东!AC57</f>
        <v>0</v>
      </c>
      <c r="AH80" s="202">
        <f>景东!AD57</f>
        <v>0</v>
      </c>
      <c r="AI80" s="202">
        <f>景东!AE57</f>
        <v>0</v>
      </c>
      <c r="AJ80" s="202">
        <f>景东!AF57</f>
        <v>0</v>
      </c>
      <c r="AK80" s="165" t="str">
        <f>景东!AG57</f>
        <v>景东县大街镇平地上村</v>
      </c>
      <c r="AL80" s="165" t="str">
        <f>景东!AH57</f>
        <v>20160805&amp;0910</v>
      </c>
      <c r="AM80" s="165">
        <f>景东!AI57</f>
        <v>0</v>
      </c>
      <c r="AN80" s="165">
        <f>景东!AJ57</f>
        <v>0</v>
      </c>
      <c r="AO80" s="165" t="str">
        <f>景东!AK57</f>
        <v>海拔2211，N24°26′06.74″ E101°05′12.71″</v>
      </c>
      <c r="AP80" s="263">
        <v>17.5</v>
      </c>
      <c r="AQ80" s="209">
        <f>景东!AM57</f>
        <v>0</v>
      </c>
      <c r="AR80" s="295">
        <f>景东!AN57</f>
        <v>3.5</v>
      </c>
      <c r="AS80" s="199" t="str">
        <f>景东!AO57</f>
        <v>532724198511271517</v>
      </c>
      <c r="AT80" s="199" t="str">
        <f>景东!AP57</f>
        <v>15008811738</v>
      </c>
    </row>
    <row r="81" spans="1:46">
      <c r="A81" t="s">
        <v>1923</v>
      </c>
      <c r="B81" s="202" t="str">
        <f>VLOOKUP(A81,databases!$A$2:$B$7, 2, FALSE)</f>
        <v>JingDong</v>
      </c>
      <c r="C81" s="165" t="str">
        <f>景东!B82</f>
        <v>李忠燕</v>
      </c>
      <c r="D81" s="202" t="str">
        <f>VLOOKUP(C81,databases!$D$2:$E$145, 2, FALSE)</f>
        <v>R52</v>
      </c>
      <c r="E81" s="259">
        <f>INDEX(sample_database!$B$2:$B$506,MATCH(F81,sample_database!$L$2:$L$506,0))</f>
        <v>122</v>
      </c>
      <c r="F81" s="202" t="str">
        <f>景东!A82</f>
        <v>JD81</v>
      </c>
      <c r="G81" s="257">
        <f>景东!C82</f>
        <v>7</v>
      </c>
      <c r="H81" s="257">
        <f>景东!D82</f>
        <v>0</v>
      </c>
      <c r="I81" s="202">
        <f>景东!E82</f>
        <v>29</v>
      </c>
      <c r="J81" s="202">
        <f>景东!F82</f>
        <v>7</v>
      </c>
      <c r="K81" s="202">
        <f>景东!G82</f>
        <v>6</v>
      </c>
      <c r="L81" s="202">
        <f>景东!H82</f>
        <v>3</v>
      </c>
      <c r="M81" s="202">
        <f>景东!I82</f>
        <v>4</v>
      </c>
      <c r="N81" s="202">
        <f>景东!J82</f>
        <v>1</v>
      </c>
      <c r="O81" s="202">
        <f>景东!K82</f>
        <v>6</v>
      </c>
      <c r="P81" s="202">
        <f>景东!L82</f>
        <v>2</v>
      </c>
      <c r="Q81" s="202">
        <f>景东!M82</f>
        <v>0</v>
      </c>
      <c r="R81" s="202">
        <f>景东!N82</f>
        <v>0</v>
      </c>
      <c r="S81" s="202">
        <f>景东!O82</f>
        <v>0</v>
      </c>
      <c r="T81" s="202">
        <f>景东!P82</f>
        <v>0</v>
      </c>
      <c r="U81" s="202">
        <f>景东!Q82</f>
        <v>0</v>
      </c>
      <c r="V81" s="202">
        <f>景东!R82</f>
        <v>0</v>
      </c>
      <c r="W81" s="202">
        <f>景东!S82</f>
        <v>0</v>
      </c>
      <c r="X81" s="202">
        <f>景东!T82</f>
        <v>0</v>
      </c>
      <c r="Y81" s="202">
        <f>景东!U82</f>
        <v>0</v>
      </c>
      <c r="Z81" s="202">
        <f>景东!V82</f>
        <v>0</v>
      </c>
      <c r="AA81" s="202">
        <f>景东!W82</f>
        <v>0</v>
      </c>
      <c r="AB81" s="202">
        <f>景东!X82</f>
        <v>0</v>
      </c>
      <c r="AC81" s="202">
        <f>景东!Y82</f>
        <v>0</v>
      </c>
      <c r="AD81" s="202">
        <f>景东!Z82</f>
        <v>0</v>
      </c>
      <c r="AE81" s="202">
        <f>景东!AA82</f>
        <v>0</v>
      </c>
      <c r="AF81" s="202">
        <f>景东!AB82</f>
        <v>0</v>
      </c>
      <c r="AG81" s="202">
        <f>景东!AC82</f>
        <v>0</v>
      </c>
      <c r="AH81" s="202">
        <f>景东!AD82</f>
        <v>0</v>
      </c>
      <c r="AI81" s="202">
        <f>景东!AE82</f>
        <v>0</v>
      </c>
      <c r="AJ81" s="202">
        <f>景东!AF82</f>
        <v>0</v>
      </c>
      <c r="AK81" s="165" t="str">
        <f>景东!AG82</f>
        <v>景东县花山镇小勺村</v>
      </c>
      <c r="AL81" s="165" t="str">
        <f>景东!AH82</f>
        <v>20160707</v>
      </c>
      <c r="AM81" s="165">
        <f>景东!AI82</f>
        <v>0</v>
      </c>
      <c r="AN81" s="165">
        <f>景东!AJ82</f>
        <v>0</v>
      </c>
      <c r="AO81" s="165">
        <f>景东!AK82</f>
        <v>0</v>
      </c>
      <c r="AP81" s="263">
        <v>7.5</v>
      </c>
      <c r="AQ81" s="209">
        <f>景东!AM82</f>
        <v>0</v>
      </c>
      <c r="AR81" s="295">
        <f>景东!AN82</f>
        <v>1.5</v>
      </c>
      <c r="AS81" s="199" t="str">
        <f>景东!AO82</f>
        <v>532724196804151237</v>
      </c>
      <c r="AT81" s="199" t="str">
        <f>景东!AP82</f>
        <v>14769359259</v>
      </c>
    </row>
    <row r="82" spans="1:46">
      <c r="A82" s="252" t="s">
        <v>1923</v>
      </c>
      <c r="B82" s="202" t="str">
        <f>VLOOKUP(A82,databases!$A$2:$B$7, 2, FALSE)</f>
        <v>JingDong</v>
      </c>
      <c r="C82" s="253" t="str">
        <f>景东!B83</f>
        <v>李忠燕</v>
      </c>
      <c r="D82" s="202" t="str">
        <f>VLOOKUP(C82,databases!$D$2:$E$145, 2, FALSE)</f>
        <v>R52</v>
      </c>
      <c r="E82" s="259">
        <f>INDEX(sample_database!$B$2:$B$506,MATCH(F82,sample_database!$L$2:$L$506,0))</f>
        <v>122</v>
      </c>
      <c r="F82" s="236" t="str">
        <f>景东!A83</f>
        <v>JD82</v>
      </c>
      <c r="G82" s="258">
        <f>景东!C83</f>
        <v>6</v>
      </c>
      <c r="H82" s="258">
        <f>景东!D83</f>
        <v>0</v>
      </c>
      <c r="I82" s="236">
        <f>景东!E83</f>
        <v>61</v>
      </c>
      <c r="J82" s="236">
        <f>景东!F83</f>
        <v>4</v>
      </c>
      <c r="K82" s="236">
        <f>景东!G83</f>
        <v>4</v>
      </c>
      <c r="L82" s="236">
        <f>景东!H83</f>
        <v>8</v>
      </c>
      <c r="M82" s="236">
        <f>景东!I83</f>
        <v>8</v>
      </c>
      <c r="N82" s="236">
        <f>景东!J83</f>
        <v>25</v>
      </c>
      <c r="O82" s="236">
        <f>景东!K83</f>
        <v>12</v>
      </c>
      <c r="P82" s="236">
        <f>景东!L83</f>
        <v>0</v>
      </c>
      <c r="Q82" s="236">
        <f>景东!M83</f>
        <v>0</v>
      </c>
      <c r="R82" s="236">
        <f>景东!N83</f>
        <v>0</v>
      </c>
      <c r="S82" s="236">
        <f>景东!O83</f>
        <v>0</v>
      </c>
      <c r="T82" s="236">
        <f>景东!P83</f>
        <v>0</v>
      </c>
      <c r="U82" s="236">
        <f>景东!Q83</f>
        <v>0</v>
      </c>
      <c r="V82" s="236">
        <f>景东!R83</f>
        <v>0</v>
      </c>
      <c r="W82" s="236">
        <f>景东!S83</f>
        <v>0</v>
      </c>
      <c r="X82" s="236">
        <f>景东!T83</f>
        <v>0</v>
      </c>
      <c r="Y82" s="236">
        <f>景东!U83</f>
        <v>0</v>
      </c>
      <c r="Z82" s="236">
        <f>景东!V83</f>
        <v>0</v>
      </c>
      <c r="AA82" s="236">
        <f>景东!W83</f>
        <v>0</v>
      </c>
      <c r="AB82" s="236">
        <f>景东!X83</f>
        <v>0</v>
      </c>
      <c r="AC82" s="236">
        <f>景东!Y83</f>
        <v>0</v>
      </c>
      <c r="AD82" s="236">
        <f>景东!Z83</f>
        <v>0</v>
      </c>
      <c r="AE82" s="236">
        <f>景东!AA83</f>
        <v>0</v>
      </c>
      <c r="AF82" s="236">
        <f>景东!AB83</f>
        <v>0</v>
      </c>
      <c r="AG82" s="236">
        <f>景东!AC83</f>
        <v>0</v>
      </c>
      <c r="AH82" s="236">
        <f>景东!AD83</f>
        <v>0</v>
      </c>
      <c r="AI82" s="236">
        <f>景东!AE83</f>
        <v>0</v>
      </c>
      <c r="AJ82" s="236">
        <f>景东!AF83</f>
        <v>0</v>
      </c>
      <c r="AK82" s="253" t="str">
        <f>景东!AG83</f>
        <v>景东县花山镇小勺村</v>
      </c>
      <c r="AL82" s="253" t="str">
        <f>景东!AH83</f>
        <v>20160709</v>
      </c>
      <c r="AM82" s="253">
        <f>景东!AI83</f>
        <v>0</v>
      </c>
      <c r="AN82" s="253">
        <f>景东!AJ83</f>
        <v>0</v>
      </c>
      <c r="AO82" s="253">
        <f>景东!AK83</f>
        <v>0</v>
      </c>
      <c r="AP82" s="264">
        <v>15</v>
      </c>
      <c r="AQ82" s="260">
        <f>景东!AM83</f>
        <v>0</v>
      </c>
      <c r="AR82" s="296">
        <f>景东!AN83</f>
        <v>3</v>
      </c>
      <c r="AS82" s="255" t="str">
        <f>景东!AO83</f>
        <v>532724196804151237</v>
      </c>
      <c r="AT82" s="255" t="str">
        <f>景东!AP83</f>
        <v>14769359259</v>
      </c>
    </row>
    <row r="83" spans="1:46">
      <c r="A83" t="s">
        <v>1923</v>
      </c>
      <c r="B83" s="202" t="str">
        <f>VLOOKUP(A83,databases!$A$2:$B$7, 2, FALSE)</f>
        <v>JingDong</v>
      </c>
      <c r="C83" s="165" t="str">
        <f>景东!B84</f>
        <v>李忠燕</v>
      </c>
      <c r="D83" s="202" t="str">
        <f>VLOOKUP(C83,databases!$D$2:$E$145, 2, FALSE)</f>
        <v>R52</v>
      </c>
      <c r="E83" s="259">
        <f>INDEX(sample_database!$B$2:$B$506,MATCH(F83,sample_database!$L$2:$L$506,0))</f>
        <v>122</v>
      </c>
      <c r="F83" s="202" t="str">
        <f>景东!A84</f>
        <v>JD83</v>
      </c>
      <c r="G83" s="257">
        <f>景东!C84</f>
        <v>1</v>
      </c>
      <c r="H83" s="257">
        <f>景东!D84</f>
        <v>0</v>
      </c>
      <c r="I83" s="202">
        <f>景东!E84</f>
        <v>5</v>
      </c>
      <c r="J83" s="202">
        <f>景东!F84</f>
        <v>5</v>
      </c>
      <c r="K83" s="202">
        <f>景东!G84</f>
        <v>0</v>
      </c>
      <c r="L83" s="202">
        <f>景东!H84</f>
        <v>0</v>
      </c>
      <c r="M83" s="202">
        <f>景东!I84</f>
        <v>0</v>
      </c>
      <c r="N83" s="202">
        <f>景东!J84</f>
        <v>0</v>
      </c>
      <c r="O83" s="202">
        <f>景东!K84</f>
        <v>0</v>
      </c>
      <c r="P83" s="202">
        <f>景东!L84</f>
        <v>0</v>
      </c>
      <c r="Q83" s="202">
        <f>景东!M84</f>
        <v>0</v>
      </c>
      <c r="R83" s="202">
        <f>景东!N84</f>
        <v>0</v>
      </c>
      <c r="S83" s="202">
        <f>景东!O84</f>
        <v>0</v>
      </c>
      <c r="T83" s="202">
        <f>景东!P84</f>
        <v>0</v>
      </c>
      <c r="U83" s="202">
        <f>景东!Q84</f>
        <v>0</v>
      </c>
      <c r="V83" s="202">
        <f>景东!R84</f>
        <v>0</v>
      </c>
      <c r="W83" s="202">
        <f>景东!S84</f>
        <v>0</v>
      </c>
      <c r="X83" s="202">
        <f>景东!T84</f>
        <v>0</v>
      </c>
      <c r="Y83" s="202">
        <f>景东!U84</f>
        <v>0</v>
      </c>
      <c r="Z83" s="202">
        <f>景东!V84</f>
        <v>0</v>
      </c>
      <c r="AA83" s="202">
        <f>景东!W84</f>
        <v>0</v>
      </c>
      <c r="AB83" s="202">
        <f>景东!X84</f>
        <v>0</v>
      </c>
      <c r="AC83" s="202">
        <f>景东!Y84</f>
        <v>0</v>
      </c>
      <c r="AD83" s="202">
        <f>景东!Z84</f>
        <v>0</v>
      </c>
      <c r="AE83" s="202">
        <f>景东!AA84</f>
        <v>0</v>
      </c>
      <c r="AF83" s="202">
        <f>景东!AB84</f>
        <v>0</v>
      </c>
      <c r="AG83" s="202">
        <f>景东!AC84</f>
        <v>0</v>
      </c>
      <c r="AH83" s="202">
        <f>景东!AD84</f>
        <v>0</v>
      </c>
      <c r="AI83" s="202">
        <f>景东!AE84</f>
        <v>0</v>
      </c>
      <c r="AJ83" s="202">
        <f>景东!AF84</f>
        <v>0</v>
      </c>
      <c r="AK83" s="165" t="str">
        <f>景东!AG84</f>
        <v>景东县花山镇小勺村</v>
      </c>
      <c r="AL83" s="165" t="str">
        <f>景东!AH84</f>
        <v>20160723</v>
      </c>
      <c r="AM83" s="165">
        <f>景东!AI84</f>
        <v>0</v>
      </c>
      <c r="AN83" s="165">
        <f>景东!AJ84</f>
        <v>0</v>
      </c>
      <c r="AO83" s="165">
        <f>景东!AK84</f>
        <v>0</v>
      </c>
      <c r="AP83" s="263">
        <v>2</v>
      </c>
      <c r="AQ83" s="209">
        <f>景东!AM84</f>
        <v>0</v>
      </c>
      <c r="AR83" s="295">
        <f>景东!AN84</f>
        <v>0.4</v>
      </c>
      <c r="AS83" s="199" t="str">
        <f>景东!AO84</f>
        <v>532724196804151237</v>
      </c>
      <c r="AT83" s="199" t="str">
        <f>景东!AP84</f>
        <v>14769359259</v>
      </c>
    </row>
    <row r="84" spans="1:46">
      <c r="A84" t="s">
        <v>1923</v>
      </c>
      <c r="B84" s="202" t="str">
        <f>VLOOKUP(A84,databases!$A$2:$B$7, 2, FALSE)</f>
        <v>JingDong</v>
      </c>
      <c r="C84" s="165" t="str">
        <f>景东!B85</f>
        <v>李忠燕</v>
      </c>
      <c r="D84" s="202" t="str">
        <f>VLOOKUP(C84,databases!$D$2:$E$145, 2, FALSE)</f>
        <v>R52</v>
      </c>
      <c r="E84" s="259">
        <f>INDEX(sample_database!$B$2:$B$506,MATCH(F84,sample_database!$L$2:$L$506,0))</f>
        <v>122</v>
      </c>
      <c r="F84" s="202" t="str">
        <f>景东!A85</f>
        <v>JD84</v>
      </c>
      <c r="G84" s="257">
        <f>景东!C85</f>
        <v>3</v>
      </c>
      <c r="H84" s="257">
        <f>景东!D85</f>
        <v>0</v>
      </c>
      <c r="I84" s="202">
        <f>景东!E85</f>
        <v>7</v>
      </c>
      <c r="J84" s="202">
        <f>景东!F85</f>
        <v>1</v>
      </c>
      <c r="K84" s="202">
        <f>景东!G85</f>
        <v>2</v>
      </c>
      <c r="L84" s="202">
        <f>景东!H85</f>
        <v>4</v>
      </c>
      <c r="M84" s="202">
        <f>景东!I85</f>
        <v>0</v>
      </c>
      <c r="N84" s="202">
        <f>景东!J85</f>
        <v>0</v>
      </c>
      <c r="O84" s="202">
        <f>景东!K85</f>
        <v>0</v>
      </c>
      <c r="P84" s="202">
        <f>景东!L85</f>
        <v>0</v>
      </c>
      <c r="Q84" s="202">
        <f>景东!M85</f>
        <v>0</v>
      </c>
      <c r="R84" s="202">
        <f>景东!N85</f>
        <v>0</v>
      </c>
      <c r="S84" s="202">
        <f>景东!O85</f>
        <v>0</v>
      </c>
      <c r="T84" s="202">
        <f>景东!P85</f>
        <v>0</v>
      </c>
      <c r="U84" s="202">
        <f>景东!Q85</f>
        <v>0</v>
      </c>
      <c r="V84" s="202">
        <f>景东!R85</f>
        <v>0</v>
      </c>
      <c r="W84" s="202">
        <f>景东!S85</f>
        <v>0</v>
      </c>
      <c r="X84" s="202">
        <f>景东!T85</f>
        <v>0</v>
      </c>
      <c r="Y84" s="202">
        <f>景东!U85</f>
        <v>0</v>
      </c>
      <c r="Z84" s="202">
        <f>景东!V85</f>
        <v>0</v>
      </c>
      <c r="AA84" s="202">
        <f>景东!W85</f>
        <v>0</v>
      </c>
      <c r="AB84" s="202">
        <f>景东!X85</f>
        <v>0</v>
      </c>
      <c r="AC84" s="202">
        <f>景东!Y85</f>
        <v>0</v>
      </c>
      <c r="AD84" s="202">
        <f>景东!Z85</f>
        <v>0</v>
      </c>
      <c r="AE84" s="202">
        <f>景东!AA85</f>
        <v>0</v>
      </c>
      <c r="AF84" s="202">
        <f>景东!AB85</f>
        <v>0</v>
      </c>
      <c r="AG84" s="202">
        <f>景东!AC85</f>
        <v>0</v>
      </c>
      <c r="AH84" s="202">
        <f>景东!AD85</f>
        <v>0</v>
      </c>
      <c r="AI84" s="202">
        <f>景东!AE85</f>
        <v>0</v>
      </c>
      <c r="AJ84" s="202">
        <f>景东!AF85</f>
        <v>0</v>
      </c>
      <c r="AK84" s="165" t="str">
        <f>景东!AG85</f>
        <v>景东县花山镇小勺村</v>
      </c>
      <c r="AL84" s="165" t="str">
        <f>景东!AH85</f>
        <v>20160725</v>
      </c>
      <c r="AM84" s="165">
        <f>景东!AI85</f>
        <v>0</v>
      </c>
      <c r="AN84" s="165">
        <f>景东!AJ85</f>
        <v>0</v>
      </c>
      <c r="AO84" s="165">
        <f>景东!AK85</f>
        <v>0</v>
      </c>
      <c r="AP84" s="263">
        <v>4</v>
      </c>
      <c r="AQ84" s="209">
        <f>景东!AM85</f>
        <v>0</v>
      </c>
      <c r="AR84" s="295">
        <f>景东!AN85</f>
        <v>0.8</v>
      </c>
      <c r="AS84" s="199" t="str">
        <f>景东!AO85</f>
        <v>532724196804151237</v>
      </c>
      <c r="AT84" s="199" t="str">
        <f>景东!AP85</f>
        <v>14769359259</v>
      </c>
    </row>
    <row r="85" spans="1:46">
      <c r="A85" t="s">
        <v>1923</v>
      </c>
      <c r="B85" s="202" t="str">
        <f>VLOOKUP(A85,databases!$A$2:$B$7, 2, FALSE)</f>
        <v>JingDong</v>
      </c>
      <c r="C85" s="165" t="str">
        <f>景东!B31</f>
        <v>李新荣</v>
      </c>
      <c r="D85" s="202" t="str">
        <f>VLOOKUP(C85,databases!$D$2:$E$145, 2, FALSE)</f>
        <v>R55</v>
      </c>
      <c r="E85" s="259">
        <f>INDEX(sample_database!$B$2:$B$506,MATCH(F85,sample_database!$L$2:$L$506,0))</f>
        <v>105</v>
      </c>
      <c r="F85" s="202" t="str">
        <f>景东!A31</f>
        <v>JD30</v>
      </c>
      <c r="G85" s="257">
        <f>景东!C31</f>
        <v>3</v>
      </c>
      <c r="H85" s="257">
        <f>景东!D31</f>
        <v>0</v>
      </c>
      <c r="I85" s="202">
        <f>景东!E31</f>
        <v>30</v>
      </c>
      <c r="J85" s="202">
        <f>景东!F31</f>
        <v>17</v>
      </c>
      <c r="K85" s="202">
        <f>景东!G31</f>
        <v>5</v>
      </c>
      <c r="L85" s="202">
        <f>景东!H31</f>
        <v>8</v>
      </c>
      <c r="M85" s="202">
        <f>景东!I31</f>
        <v>0</v>
      </c>
      <c r="N85" s="202">
        <f>景东!J31</f>
        <v>0</v>
      </c>
      <c r="O85" s="202">
        <f>景东!K31</f>
        <v>0</v>
      </c>
      <c r="P85" s="202">
        <f>景东!L31</f>
        <v>0</v>
      </c>
      <c r="Q85" s="202">
        <f>景东!M31</f>
        <v>0</v>
      </c>
      <c r="R85" s="202">
        <f>景东!N31</f>
        <v>0</v>
      </c>
      <c r="S85" s="202">
        <f>景东!O31</f>
        <v>0</v>
      </c>
      <c r="T85" s="202">
        <f>景东!P31</f>
        <v>0</v>
      </c>
      <c r="U85" s="202">
        <f>景东!Q31</f>
        <v>0</v>
      </c>
      <c r="V85" s="202">
        <f>景东!R31</f>
        <v>0</v>
      </c>
      <c r="W85" s="202">
        <f>景东!S31</f>
        <v>0</v>
      </c>
      <c r="X85" s="202">
        <f>景东!T31</f>
        <v>0</v>
      </c>
      <c r="Y85" s="202">
        <f>景东!U31</f>
        <v>0</v>
      </c>
      <c r="Z85" s="202">
        <f>景东!V31</f>
        <v>0</v>
      </c>
      <c r="AA85" s="202">
        <f>景东!W31</f>
        <v>0</v>
      </c>
      <c r="AB85" s="202">
        <f>景东!X31</f>
        <v>0</v>
      </c>
      <c r="AC85" s="202">
        <f>景东!Y31</f>
        <v>0</v>
      </c>
      <c r="AD85" s="202">
        <f>景东!Z31</f>
        <v>0</v>
      </c>
      <c r="AE85" s="202">
        <f>景东!AA31</f>
        <v>0</v>
      </c>
      <c r="AF85" s="202">
        <f>景东!AB31</f>
        <v>0</v>
      </c>
      <c r="AG85" s="202">
        <f>景东!AC31</f>
        <v>0</v>
      </c>
      <c r="AH85" s="202">
        <f>景东!AD31</f>
        <v>0</v>
      </c>
      <c r="AI85" s="202">
        <f>景东!AE31</f>
        <v>0</v>
      </c>
      <c r="AJ85" s="202">
        <f>景东!AF31</f>
        <v>0</v>
      </c>
      <c r="AK85" s="165" t="str">
        <f>景东!AG31</f>
        <v>景东太忠镇嘎仰村委会二道河小组</v>
      </c>
      <c r="AL85" s="165" t="str">
        <f>景东!AH31</f>
        <v>20160708</v>
      </c>
      <c r="AM85" s="165">
        <f>景东!AI31</f>
        <v>0</v>
      </c>
      <c r="AN85" s="165">
        <f>景东!AJ31</f>
        <v>0</v>
      </c>
      <c r="AO85" s="165" t="str">
        <f>景东!AK31</f>
        <v>N24°34′21.43″ E101°02′？.39″</v>
      </c>
      <c r="AP85" s="263">
        <v>7.5</v>
      </c>
      <c r="AQ85" s="209">
        <f>景东!AM31</f>
        <v>0</v>
      </c>
      <c r="AR85" s="295">
        <f>景东!AN31</f>
        <v>1.5</v>
      </c>
      <c r="AS85" s="199" t="str">
        <f>景东!AO31</f>
        <v>532724198411121810</v>
      </c>
      <c r="AT85" s="199" t="str">
        <f>景东!AP31</f>
        <v>15125673626</v>
      </c>
    </row>
    <row r="86" spans="1:46">
      <c r="A86" t="s">
        <v>1923</v>
      </c>
      <c r="B86" s="202" t="str">
        <f>VLOOKUP(A86,databases!$A$2:$B$7, 2, FALSE)</f>
        <v>JingDong</v>
      </c>
      <c r="C86" s="165" t="str">
        <f>景东!B32</f>
        <v>李新荣</v>
      </c>
      <c r="D86" s="202" t="str">
        <f>VLOOKUP(C86,databases!$D$2:$E$145, 2, FALSE)</f>
        <v>R55</v>
      </c>
      <c r="E86" s="259">
        <f>INDEX(sample_database!$B$2:$B$506,MATCH(F86,sample_database!$L$2:$L$506,0))</f>
        <v>105</v>
      </c>
      <c r="F86" s="202" t="str">
        <f>景东!A32</f>
        <v>JD31</v>
      </c>
      <c r="G86" s="257">
        <f>景东!C32</f>
        <v>4</v>
      </c>
      <c r="H86" s="257">
        <f>景东!D32</f>
        <v>0</v>
      </c>
      <c r="I86" s="202">
        <f>景东!E32</f>
        <v>26</v>
      </c>
      <c r="J86" s="202">
        <f>景东!F32</f>
        <v>11</v>
      </c>
      <c r="K86" s="202">
        <f>景东!G32</f>
        <v>7</v>
      </c>
      <c r="L86" s="202">
        <f>景东!H32</f>
        <v>4</v>
      </c>
      <c r="M86" s="202">
        <f>景东!I32</f>
        <v>4</v>
      </c>
      <c r="N86" s="202">
        <f>景东!J32</f>
        <v>0</v>
      </c>
      <c r="O86" s="202">
        <f>景东!K32</f>
        <v>0</v>
      </c>
      <c r="P86" s="202">
        <f>景东!L32</f>
        <v>0</v>
      </c>
      <c r="Q86" s="202">
        <f>景东!M32</f>
        <v>0</v>
      </c>
      <c r="R86" s="202">
        <f>景东!N32</f>
        <v>0</v>
      </c>
      <c r="S86" s="202">
        <f>景东!O32</f>
        <v>0</v>
      </c>
      <c r="T86" s="202">
        <f>景东!P32</f>
        <v>0</v>
      </c>
      <c r="U86" s="202">
        <f>景东!Q32</f>
        <v>0</v>
      </c>
      <c r="V86" s="202">
        <f>景东!R32</f>
        <v>0</v>
      </c>
      <c r="W86" s="202">
        <f>景东!S32</f>
        <v>0</v>
      </c>
      <c r="X86" s="202">
        <f>景东!T32</f>
        <v>0</v>
      </c>
      <c r="Y86" s="202">
        <f>景东!U32</f>
        <v>0</v>
      </c>
      <c r="Z86" s="202">
        <f>景东!V32</f>
        <v>0</v>
      </c>
      <c r="AA86" s="202">
        <f>景东!W32</f>
        <v>0</v>
      </c>
      <c r="AB86" s="202">
        <f>景东!X32</f>
        <v>0</v>
      </c>
      <c r="AC86" s="202">
        <f>景东!Y32</f>
        <v>0</v>
      </c>
      <c r="AD86" s="202">
        <f>景东!Z32</f>
        <v>0</v>
      </c>
      <c r="AE86" s="202">
        <f>景东!AA32</f>
        <v>0</v>
      </c>
      <c r="AF86" s="202">
        <f>景东!AB32</f>
        <v>0</v>
      </c>
      <c r="AG86" s="202">
        <f>景东!AC32</f>
        <v>0</v>
      </c>
      <c r="AH86" s="202">
        <f>景东!AD32</f>
        <v>0</v>
      </c>
      <c r="AI86" s="202">
        <f>景东!AE32</f>
        <v>0</v>
      </c>
      <c r="AJ86" s="202">
        <f>景东!AF32</f>
        <v>0</v>
      </c>
      <c r="AK86" s="165" t="str">
        <f>景东!AG32</f>
        <v>景东太忠镇嘎仰村委会二道河小组</v>
      </c>
      <c r="AL86" s="165" t="str">
        <f>景东!AH32</f>
        <v>20160710</v>
      </c>
      <c r="AM86" s="165">
        <f>景东!AI32</f>
        <v>0</v>
      </c>
      <c r="AN86" s="165">
        <f>景东!AJ32</f>
        <v>0</v>
      </c>
      <c r="AO86" s="165">
        <f>景东!AK32</f>
        <v>0</v>
      </c>
      <c r="AP86" s="263">
        <v>7.5</v>
      </c>
      <c r="AQ86" s="209">
        <f>景东!AM32</f>
        <v>0</v>
      </c>
      <c r="AR86" s="295">
        <f>景东!AN32</f>
        <v>1.5</v>
      </c>
      <c r="AS86" s="199" t="str">
        <f>景东!AO32</f>
        <v>532724198411121810</v>
      </c>
      <c r="AT86" s="199" t="str">
        <f>景东!AP32</f>
        <v>15125673626</v>
      </c>
    </row>
    <row r="87" spans="1:46">
      <c r="A87" t="s">
        <v>1923</v>
      </c>
      <c r="B87" s="202" t="str">
        <f>VLOOKUP(A87,databases!$A$2:$B$7, 2, FALSE)</f>
        <v>JingDong</v>
      </c>
      <c r="C87" s="165" t="str">
        <f>景东!B33</f>
        <v>李新荣</v>
      </c>
      <c r="D87" s="202" t="str">
        <f>VLOOKUP(C87,databases!$D$2:$E$145, 2, FALSE)</f>
        <v>R55</v>
      </c>
      <c r="E87" s="259">
        <f>INDEX(sample_database!$B$2:$B$506,MATCH(F87,sample_database!$L$2:$L$506,0))</f>
        <v>105</v>
      </c>
      <c r="F87" s="202" t="str">
        <f>景东!A33</f>
        <v>JD32</v>
      </c>
      <c r="G87" s="257">
        <f>景东!C33</f>
        <v>7</v>
      </c>
      <c r="H87" s="257">
        <f>景东!D33</f>
        <v>0</v>
      </c>
      <c r="I87" s="202">
        <f>景东!E33</f>
        <v>68</v>
      </c>
      <c r="J87" s="202">
        <f>景东!F33</f>
        <v>14</v>
      </c>
      <c r="K87" s="202">
        <f>景东!G33</f>
        <v>5</v>
      </c>
      <c r="L87" s="202">
        <f>景东!H33</f>
        <v>5</v>
      </c>
      <c r="M87" s="202">
        <f>景东!I33</f>
        <v>10</v>
      </c>
      <c r="N87" s="202">
        <f>景东!J33</f>
        <v>9</v>
      </c>
      <c r="O87" s="202">
        <f>景东!K33</f>
        <v>15</v>
      </c>
      <c r="P87" s="202">
        <f>景东!L33</f>
        <v>10</v>
      </c>
      <c r="Q87" s="202">
        <f>景东!M33</f>
        <v>0</v>
      </c>
      <c r="R87" s="202">
        <f>景东!N33</f>
        <v>0</v>
      </c>
      <c r="S87" s="202">
        <f>景东!O33</f>
        <v>0</v>
      </c>
      <c r="T87" s="202">
        <f>景东!P33</f>
        <v>0</v>
      </c>
      <c r="U87" s="202">
        <f>景东!Q33</f>
        <v>0</v>
      </c>
      <c r="V87" s="202">
        <f>景东!R33</f>
        <v>0</v>
      </c>
      <c r="W87" s="202">
        <f>景东!S33</f>
        <v>0</v>
      </c>
      <c r="X87" s="202">
        <f>景东!T33</f>
        <v>0</v>
      </c>
      <c r="Y87" s="202">
        <f>景东!U33</f>
        <v>0</v>
      </c>
      <c r="Z87" s="202">
        <f>景东!V33</f>
        <v>0</v>
      </c>
      <c r="AA87" s="202">
        <f>景东!W33</f>
        <v>0</v>
      </c>
      <c r="AB87" s="202">
        <f>景东!X33</f>
        <v>0</v>
      </c>
      <c r="AC87" s="202">
        <f>景东!Y33</f>
        <v>0</v>
      </c>
      <c r="AD87" s="202">
        <f>景东!Z33</f>
        <v>0</v>
      </c>
      <c r="AE87" s="202">
        <f>景东!AA33</f>
        <v>0</v>
      </c>
      <c r="AF87" s="202">
        <f>景东!AB33</f>
        <v>0</v>
      </c>
      <c r="AG87" s="202">
        <f>景东!AC33</f>
        <v>0</v>
      </c>
      <c r="AH87" s="202">
        <f>景东!AD33</f>
        <v>0</v>
      </c>
      <c r="AI87" s="202">
        <f>景东!AE33</f>
        <v>0</v>
      </c>
      <c r="AJ87" s="202">
        <f>景东!AF33</f>
        <v>0</v>
      </c>
      <c r="AK87" s="165" t="str">
        <f>景东!AG33</f>
        <v>景东太忠镇嘎仰村委会二道河小组</v>
      </c>
      <c r="AL87" s="165" t="str">
        <f>景东!AH33</f>
        <v>20160718</v>
      </c>
      <c r="AM87" s="165">
        <f>景东!AI33</f>
        <v>0</v>
      </c>
      <c r="AN87" s="165">
        <f>景东!AJ33</f>
        <v>0</v>
      </c>
      <c r="AO87" s="165">
        <f>景东!AK33</f>
        <v>0</v>
      </c>
      <c r="AP87" s="263">
        <v>15</v>
      </c>
      <c r="AQ87" s="209">
        <f>景东!AM33</f>
        <v>0</v>
      </c>
      <c r="AR87" s="295">
        <f>景东!AN33</f>
        <v>3</v>
      </c>
      <c r="AS87" s="199" t="str">
        <f>景东!AO33</f>
        <v>532724198411121810</v>
      </c>
      <c r="AT87" s="199" t="str">
        <f>景东!AP33</f>
        <v>15125673626</v>
      </c>
    </row>
    <row r="88" spans="1:46">
      <c r="A88" t="s">
        <v>1923</v>
      </c>
      <c r="B88" s="202" t="str">
        <f>VLOOKUP(A88,databases!$A$2:$B$7, 2, FALSE)</f>
        <v>JingDong</v>
      </c>
      <c r="C88" s="165" t="str">
        <f>景东!B34</f>
        <v>李新荣</v>
      </c>
      <c r="D88" s="202" t="str">
        <f>VLOOKUP(C88,databases!$D$2:$E$145, 2, FALSE)</f>
        <v>R55</v>
      </c>
      <c r="E88" s="259">
        <f>INDEX(sample_database!$B$2:$B$506,MATCH(F88,sample_database!$L$2:$L$506,0))</f>
        <v>105</v>
      </c>
      <c r="F88" s="202" t="str">
        <f>景东!A34</f>
        <v>JD33</v>
      </c>
      <c r="G88" s="257">
        <f>景东!C34</f>
        <v>0</v>
      </c>
      <c r="H88" s="257">
        <f>景东!D34</f>
        <v>4</v>
      </c>
      <c r="I88" s="202">
        <f>景东!E34</f>
        <v>14</v>
      </c>
      <c r="J88" s="202">
        <f>景东!F34</f>
        <v>4</v>
      </c>
      <c r="K88" s="202">
        <f>景东!G34</f>
        <v>3</v>
      </c>
      <c r="L88" s="202">
        <f>景东!H34</f>
        <v>1</v>
      </c>
      <c r="M88" s="202">
        <f>景东!I34</f>
        <v>6</v>
      </c>
      <c r="N88" s="202">
        <f>景东!J34</f>
        <v>0</v>
      </c>
      <c r="O88" s="202">
        <f>景东!K34</f>
        <v>0</v>
      </c>
      <c r="P88" s="202">
        <f>景东!L34</f>
        <v>0</v>
      </c>
      <c r="Q88" s="202">
        <f>景东!M34</f>
        <v>0</v>
      </c>
      <c r="R88" s="202">
        <f>景东!N34</f>
        <v>0</v>
      </c>
      <c r="S88" s="202">
        <f>景东!O34</f>
        <v>0</v>
      </c>
      <c r="T88" s="202">
        <f>景东!P34</f>
        <v>0</v>
      </c>
      <c r="U88" s="202">
        <f>景东!Q34</f>
        <v>0</v>
      </c>
      <c r="V88" s="202">
        <f>景东!R34</f>
        <v>0</v>
      </c>
      <c r="W88" s="202">
        <f>景东!S34</f>
        <v>0</v>
      </c>
      <c r="X88" s="202">
        <f>景东!T34</f>
        <v>0</v>
      </c>
      <c r="Y88" s="202">
        <f>景东!U34</f>
        <v>0</v>
      </c>
      <c r="Z88" s="202">
        <f>景东!V34</f>
        <v>0</v>
      </c>
      <c r="AA88" s="202">
        <f>景东!W34</f>
        <v>0</v>
      </c>
      <c r="AB88" s="202">
        <f>景东!X34</f>
        <v>0</v>
      </c>
      <c r="AC88" s="202">
        <f>景东!Y34</f>
        <v>0</v>
      </c>
      <c r="AD88" s="202">
        <f>景东!Z34</f>
        <v>0</v>
      </c>
      <c r="AE88" s="202">
        <f>景东!AA34</f>
        <v>0</v>
      </c>
      <c r="AF88" s="202">
        <f>景东!AB34</f>
        <v>0</v>
      </c>
      <c r="AG88" s="202">
        <f>景东!AC34</f>
        <v>0</v>
      </c>
      <c r="AH88" s="202">
        <f>景东!AD34</f>
        <v>0</v>
      </c>
      <c r="AI88" s="202">
        <f>景东!AE34</f>
        <v>0</v>
      </c>
      <c r="AJ88" s="202">
        <f>景东!AF34</f>
        <v>0</v>
      </c>
      <c r="AK88" s="165" t="str">
        <f>景东!AG34</f>
        <v>景东太忠镇嘎仰村委会二道河小组</v>
      </c>
      <c r="AL88" s="165" t="str">
        <f>景东!AH34</f>
        <v>20161001</v>
      </c>
      <c r="AM88" s="165">
        <f>景东!AI34</f>
        <v>0</v>
      </c>
      <c r="AN88" s="165">
        <f>景东!AJ34</f>
        <v>0</v>
      </c>
      <c r="AO88" s="165">
        <f>景东!AK34</f>
        <v>0</v>
      </c>
      <c r="AP88" s="263">
        <v>7.5</v>
      </c>
      <c r="AQ88" s="209">
        <f>景东!AM34</f>
        <v>0</v>
      </c>
      <c r="AR88" s="295">
        <f>景东!AN34</f>
        <v>1.5</v>
      </c>
      <c r="AS88" s="199" t="str">
        <f>景东!AO34</f>
        <v>532724198411121810</v>
      </c>
      <c r="AT88" s="199" t="str">
        <f>景东!AP34</f>
        <v>15125673626</v>
      </c>
    </row>
    <row r="89" spans="1:46">
      <c r="A89" t="s">
        <v>1923</v>
      </c>
      <c r="B89" s="202" t="str">
        <f>VLOOKUP(A89,databases!$A$2:$B$7, 2, FALSE)</f>
        <v>JingDong</v>
      </c>
      <c r="C89" s="165" t="str">
        <f>景东!B6</f>
        <v>李明德</v>
      </c>
      <c r="D89" s="202" t="str">
        <f>VLOOKUP(C89,databases!$D$2:$E$145, 2, FALSE)</f>
        <v>R57</v>
      </c>
      <c r="E89" s="259">
        <f>INDEX(sample_database!$B$2:$B$506,MATCH(F89,sample_database!$L$2:$L$506,0))</f>
        <v>106</v>
      </c>
      <c r="F89" s="202" t="str">
        <f>景东!A6</f>
        <v>JD05</v>
      </c>
      <c r="G89" s="257">
        <f>景东!C6</f>
        <v>6</v>
      </c>
      <c r="H89" s="257">
        <f>景东!D6</f>
        <v>0</v>
      </c>
      <c r="I89" s="202">
        <f>景东!E6</f>
        <v>14</v>
      </c>
      <c r="J89" s="202">
        <f>景东!F6</f>
        <v>1</v>
      </c>
      <c r="K89" s="202">
        <f>景东!G6</f>
        <v>1</v>
      </c>
      <c r="L89" s="202">
        <f>景东!H6</f>
        <v>2</v>
      </c>
      <c r="M89" s="202">
        <f>景东!I6</f>
        <v>3</v>
      </c>
      <c r="N89" s="202">
        <f>景东!J6</f>
        <v>3</v>
      </c>
      <c r="O89" s="202">
        <f>景东!K6</f>
        <v>4</v>
      </c>
      <c r="P89" s="202">
        <f>景东!L6</f>
        <v>0</v>
      </c>
      <c r="Q89" s="202">
        <f>景东!M6</f>
        <v>0</v>
      </c>
      <c r="R89" s="202">
        <f>景东!N6</f>
        <v>0</v>
      </c>
      <c r="S89" s="202">
        <f>景东!O6</f>
        <v>0</v>
      </c>
      <c r="T89" s="202">
        <f>景东!P6</f>
        <v>0</v>
      </c>
      <c r="U89" s="202">
        <f>景东!Q6</f>
        <v>0</v>
      </c>
      <c r="V89" s="202">
        <f>景东!R6</f>
        <v>0</v>
      </c>
      <c r="W89" s="202">
        <f>景东!S6</f>
        <v>0</v>
      </c>
      <c r="X89" s="202">
        <f>景东!T6</f>
        <v>0</v>
      </c>
      <c r="Y89" s="202">
        <f>景东!U6</f>
        <v>0</v>
      </c>
      <c r="Z89" s="202">
        <f>景东!V6</f>
        <v>0</v>
      </c>
      <c r="AA89" s="202">
        <f>景东!W6</f>
        <v>0</v>
      </c>
      <c r="AB89" s="202">
        <f>景东!X6</f>
        <v>0</v>
      </c>
      <c r="AC89" s="202">
        <f>景东!Y6</f>
        <v>0</v>
      </c>
      <c r="AD89" s="202">
        <f>景东!Z6</f>
        <v>0</v>
      </c>
      <c r="AE89" s="202">
        <f>景东!AA6</f>
        <v>0</v>
      </c>
      <c r="AF89" s="202">
        <f>景东!AB6</f>
        <v>0</v>
      </c>
      <c r="AG89" s="202">
        <f>景东!AC6</f>
        <v>0</v>
      </c>
      <c r="AH89" s="202">
        <f>景东!AD6</f>
        <v>0</v>
      </c>
      <c r="AI89" s="202">
        <f>景东!AE6</f>
        <v>0</v>
      </c>
      <c r="AJ89" s="202">
        <f>景东!AF6</f>
        <v>0</v>
      </c>
      <c r="AK89" s="165" t="str">
        <f>景东!AG6</f>
        <v>景东县太忠镇平掌村柏树组</v>
      </c>
      <c r="AL89" s="165" t="str">
        <f>景东!AH6</f>
        <v>20160716</v>
      </c>
      <c r="AM89" s="165">
        <f>景东!AI6</f>
        <v>0</v>
      </c>
      <c r="AN89" s="165">
        <f>景东!AJ6</f>
        <v>0</v>
      </c>
      <c r="AO89" s="165">
        <f>景东!AK6</f>
        <v>0</v>
      </c>
      <c r="AP89" s="263">
        <v>7.5</v>
      </c>
      <c r="AQ89" s="209">
        <f>景东!AM6</f>
        <v>0</v>
      </c>
      <c r="AR89" s="295">
        <f>景东!AN6</f>
        <v>1.5</v>
      </c>
      <c r="AS89" s="199" t="str">
        <f>景东!AO6</f>
        <v>53272419660720183X</v>
      </c>
      <c r="AT89" s="199" t="str">
        <f>景东!AP6</f>
        <v>13769992749</v>
      </c>
    </row>
    <row r="90" spans="1:46">
      <c r="A90" t="s">
        <v>1923</v>
      </c>
      <c r="B90" s="202" t="str">
        <f>VLOOKUP(A90,databases!$A$2:$B$7, 2, FALSE)</f>
        <v>JingDong</v>
      </c>
      <c r="C90" s="165" t="str">
        <f>景东!B7</f>
        <v>李明德</v>
      </c>
      <c r="D90" s="202" t="str">
        <f>VLOOKUP(C90,databases!$D$2:$E$145, 2, FALSE)</f>
        <v>R57</v>
      </c>
      <c r="E90" s="259">
        <f>INDEX(sample_database!$B$2:$B$506,MATCH(F90,sample_database!$L$2:$L$506,0))</f>
        <v>106</v>
      </c>
      <c r="F90" s="202" t="str">
        <f>景东!A7</f>
        <v>JD06</v>
      </c>
      <c r="G90" s="257">
        <f>景东!C7</f>
        <v>6</v>
      </c>
      <c r="H90" s="257">
        <f>景东!D7</f>
        <v>0</v>
      </c>
      <c r="I90" s="202">
        <f>景东!E7</f>
        <v>7</v>
      </c>
      <c r="J90" s="202">
        <f>景东!F7</f>
        <v>1</v>
      </c>
      <c r="K90" s="202">
        <f>景东!G7</f>
        <v>1</v>
      </c>
      <c r="L90" s="202">
        <f>景东!H7</f>
        <v>1</v>
      </c>
      <c r="M90" s="202">
        <f>景东!I7</f>
        <v>1</v>
      </c>
      <c r="N90" s="202">
        <f>景东!J7</f>
        <v>1</v>
      </c>
      <c r="O90" s="202">
        <f>景东!K7</f>
        <v>2</v>
      </c>
      <c r="P90" s="202">
        <f>景东!L7</f>
        <v>0</v>
      </c>
      <c r="Q90" s="202">
        <f>景东!M7</f>
        <v>0</v>
      </c>
      <c r="R90" s="202">
        <f>景东!N7</f>
        <v>0</v>
      </c>
      <c r="S90" s="202">
        <f>景东!O7</f>
        <v>0</v>
      </c>
      <c r="T90" s="202">
        <f>景东!P7</f>
        <v>0</v>
      </c>
      <c r="U90" s="202">
        <f>景东!Q7</f>
        <v>0</v>
      </c>
      <c r="V90" s="202">
        <f>景东!R7</f>
        <v>0</v>
      </c>
      <c r="W90" s="202">
        <f>景东!S7</f>
        <v>0</v>
      </c>
      <c r="X90" s="202">
        <f>景东!T7</f>
        <v>0</v>
      </c>
      <c r="Y90" s="202">
        <f>景东!U7</f>
        <v>0</v>
      </c>
      <c r="Z90" s="202">
        <f>景东!V7</f>
        <v>0</v>
      </c>
      <c r="AA90" s="202">
        <f>景东!W7</f>
        <v>0</v>
      </c>
      <c r="AB90" s="202">
        <f>景东!X7</f>
        <v>0</v>
      </c>
      <c r="AC90" s="202">
        <f>景东!Y7</f>
        <v>0</v>
      </c>
      <c r="AD90" s="202">
        <f>景东!Z7</f>
        <v>0</v>
      </c>
      <c r="AE90" s="202">
        <f>景东!AA7</f>
        <v>0</v>
      </c>
      <c r="AF90" s="202">
        <f>景东!AB7</f>
        <v>0</v>
      </c>
      <c r="AG90" s="202">
        <f>景东!AC7</f>
        <v>0</v>
      </c>
      <c r="AH90" s="202">
        <f>景东!AD7</f>
        <v>0</v>
      </c>
      <c r="AI90" s="202">
        <f>景东!AE7</f>
        <v>0</v>
      </c>
      <c r="AJ90" s="202">
        <f>景东!AF7</f>
        <v>0</v>
      </c>
      <c r="AK90" s="165" t="str">
        <f>景东!AG7</f>
        <v>景东县太忠镇平掌村</v>
      </c>
      <c r="AL90" s="165" t="str">
        <f>景东!AH7</f>
        <v>20160809</v>
      </c>
      <c r="AM90" s="165">
        <f>景东!AI7</f>
        <v>0</v>
      </c>
      <c r="AN90" s="165">
        <f>景东!AJ7</f>
        <v>0</v>
      </c>
      <c r="AO90" s="165" t="str">
        <f>景东!AK7</f>
        <v>海拔2331，N24°31′4.49″ E101°127.58？</v>
      </c>
      <c r="AP90" s="263">
        <v>7.5</v>
      </c>
      <c r="AQ90" s="209">
        <f>景东!AM7</f>
        <v>0</v>
      </c>
      <c r="AR90" s="295">
        <f>景东!AN7</f>
        <v>1.5</v>
      </c>
      <c r="AS90" s="199" t="str">
        <f>景东!AO7</f>
        <v>53272419660720183X</v>
      </c>
      <c r="AT90" s="199" t="str">
        <f>景东!AP7</f>
        <v>13769992749</v>
      </c>
    </row>
    <row r="91" spans="1:46">
      <c r="A91" t="s">
        <v>1923</v>
      </c>
      <c r="B91" s="202" t="str">
        <f>VLOOKUP(A91,databases!$A$2:$B$7, 2, FALSE)</f>
        <v>JingDong</v>
      </c>
      <c r="C91" s="165" t="str">
        <f>景东!B8</f>
        <v>李明德</v>
      </c>
      <c r="D91" s="202" t="str">
        <f>VLOOKUP(C91,databases!$D$2:$E$145, 2, FALSE)</f>
        <v>R57</v>
      </c>
      <c r="E91" s="259">
        <f>INDEX(sample_database!$B$2:$B$506,MATCH(F91,sample_database!$L$2:$L$506,0))</f>
        <v>106</v>
      </c>
      <c r="F91" s="202" t="str">
        <f>景东!A8</f>
        <v>JD07</v>
      </c>
      <c r="G91" s="257">
        <f>景东!C8</f>
        <v>7</v>
      </c>
      <c r="H91" s="257">
        <f>景东!D8</f>
        <v>0</v>
      </c>
      <c r="I91" s="202">
        <f>景东!E8</f>
        <v>8</v>
      </c>
      <c r="J91" s="202">
        <f>景东!F8</f>
        <v>1</v>
      </c>
      <c r="K91" s="202">
        <f>景东!G8</f>
        <v>1</v>
      </c>
      <c r="L91" s="202">
        <f>景东!H8</f>
        <v>1</v>
      </c>
      <c r="M91" s="202">
        <f>景东!I8</f>
        <v>1</v>
      </c>
      <c r="N91" s="202">
        <f>景东!J8</f>
        <v>1</v>
      </c>
      <c r="O91" s="202">
        <f>景东!K8</f>
        <v>1</v>
      </c>
      <c r="P91" s="202">
        <f>景东!L8</f>
        <v>2</v>
      </c>
      <c r="Q91" s="202">
        <f>景东!M8</f>
        <v>0</v>
      </c>
      <c r="R91" s="202">
        <f>景东!N8</f>
        <v>0</v>
      </c>
      <c r="S91" s="202">
        <f>景东!O8</f>
        <v>0</v>
      </c>
      <c r="T91" s="202">
        <f>景东!P8</f>
        <v>0</v>
      </c>
      <c r="U91" s="202">
        <f>景东!Q8</f>
        <v>0</v>
      </c>
      <c r="V91" s="202">
        <f>景东!R8</f>
        <v>0</v>
      </c>
      <c r="W91" s="202">
        <f>景东!S8</f>
        <v>0</v>
      </c>
      <c r="X91" s="202">
        <f>景东!T8</f>
        <v>0</v>
      </c>
      <c r="Y91" s="202">
        <f>景东!U8</f>
        <v>0</v>
      </c>
      <c r="Z91" s="202">
        <f>景东!V8</f>
        <v>0</v>
      </c>
      <c r="AA91" s="202">
        <f>景东!W8</f>
        <v>0</v>
      </c>
      <c r="AB91" s="202">
        <f>景东!X8</f>
        <v>0</v>
      </c>
      <c r="AC91" s="202">
        <f>景东!Y8</f>
        <v>0</v>
      </c>
      <c r="AD91" s="202">
        <f>景东!Z8</f>
        <v>0</v>
      </c>
      <c r="AE91" s="202">
        <f>景东!AA8</f>
        <v>0</v>
      </c>
      <c r="AF91" s="202">
        <f>景东!AB8</f>
        <v>0</v>
      </c>
      <c r="AG91" s="202">
        <f>景东!AC8</f>
        <v>0</v>
      </c>
      <c r="AH91" s="202">
        <f>景东!AD8</f>
        <v>0</v>
      </c>
      <c r="AI91" s="202">
        <f>景东!AE8</f>
        <v>0</v>
      </c>
      <c r="AJ91" s="202">
        <f>景东!AF8</f>
        <v>0</v>
      </c>
      <c r="AK91" s="165" t="str">
        <f>景东!AG8</f>
        <v>景东县太忠镇平掌村柏树组</v>
      </c>
      <c r="AL91" s="165" t="str">
        <f>景东!AH8</f>
        <v>20160821</v>
      </c>
      <c r="AM91" s="165">
        <f>景东!AI8</f>
        <v>0</v>
      </c>
      <c r="AN91" s="165">
        <f>景东!AJ8</f>
        <v>0</v>
      </c>
      <c r="AO91" s="165" t="str">
        <f>景东!AK8</f>
        <v>海拔2345，N24°31′4″ E101°127.42？</v>
      </c>
      <c r="AP91" s="263">
        <v>5</v>
      </c>
      <c r="AQ91" s="209">
        <f>景东!AM8</f>
        <v>0</v>
      </c>
      <c r="AR91" s="295">
        <f>景东!AN8</f>
        <v>1</v>
      </c>
      <c r="AS91" s="199" t="str">
        <f>景东!AO8</f>
        <v>53272419660720183X</v>
      </c>
      <c r="AT91" s="199" t="str">
        <f>景东!AP8</f>
        <v>13769992749</v>
      </c>
    </row>
    <row r="92" spans="1:46">
      <c r="A92" t="s">
        <v>1923</v>
      </c>
      <c r="B92" s="202" t="str">
        <f>VLOOKUP(A92,databases!$A$2:$B$7, 2, FALSE)</f>
        <v>JingDong</v>
      </c>
      <c r="C92" s="165" t="str">
        <f>景东!B9</f>
        <v>李明德</v>
      </c>
      <c r="D92" s="202" t="str">
        <f>VLOOKUP(C92,databases!$D$2:$E$145, 2, FALSE)</f>
        <v>R57</v>
      </c>
      <c r="E92" s="259">
        <f>INDEX(sample_database!$B$2:$B$506,MATCH(F92,sample_database!$L$2:$L$506,0))</f>
        <v>106</v>
      </c>
      <c r="F92" s="202" t="str">
        <f>景东!A9</f>
        <v>JD08</v>
      </c>
      <c r="G92" s="257">
        <f>景东!C9</f>
        <v>5</v>
      </c>
      <c r="H92" s="257">
        <f>景东!D9</f>
        <v>0</v>
      </c>
      <c r="I92" s="202">
        <f>景东!E9</f>
        <v>6</v>
      </c>
      <c r="J92" s="202">
        <f>景东!F9</f>
        <v>1</v>
      </c>
      <c r="K92" s="202">
        <f>景东!G9</f>
        <v>1</v>
      </c>
      <c r="L92" s="202">
        <f>景东!H9</f>
        <v>1</v>
      </c>
      <c r="M92" s="202">
        <f>景东!I9</f>
        <v>1</v>
      </c>
      <c r="N92" s="202">
        <f>景东!J9</f>
        <v>2</v>
      </c>
      <c r="O92" s="202">
        <f>景东!K9</f>
        <v>0</v>
      </c>
      <c r="P92" s="202">
        <f>景东!L9</f>
        <v>0</v>
      </c>
      <c r="Q92" s="202">
        <f>景东!M9</f>
        <v>0</v>
      </c>
      <c r="R92" s="202">
        <f>景东!N9</f>
        <v>0</v>
      </c>
      <c r="S92" s="202">
        <f>景东!O9</f>
        <v>0</v>
      </c>
      <c r="T92" s="202">
        <f>景东!P9</f>
        <v>0</v>
      </c>
      <c r="U92" s="202">
        <f>景东!Q9</f>
        <v>0</v>
      </c>
      <c r="V92" s="202">
        <f>景东!R9</f>
        <v>0</v>
      </c>
      <c r="W92" s="202">
        <f>景东!S9</f>
        <v>0</v>
      </c>
      <c r="X92" s="202">
        <f>景东!T9</f>
        <v>0</v>
      </c>
      <c r="Y92" s="202">
        <f>景东!U9</f>
        <v>0</v>
      </c>
      <c r="Z92" s="202">
        <f>景东!V9</f>
        <v>0</v>
      </c>
      <c r="AA92" s="202">
        <f>景东!W9</f>
        <v>0</v>
      </c>
      <c r="AB92" s="202">
        <f>景东!X9</f>
        <v>0</v>
      </c>
      <c r="AC92" s="202">
        <f>景东!Y9</f>
        <v>0</v>
      </c>
      <c r="AD92" s="202">
        <f>景东!Z9</f>
        <v>0</v>
      </c>
      <c r="AE92" s="202">
        <f>景东!AA9</f>
        <v>0</v>
      </c>
      <c r="AF92" s="202">
        <f>景东!AB9</f>
        <v>0</v>
      </c>
      <c r="AG92" s="202">
        <f>景东!AC9</f>
        <v>0</v>
      </c>
      <c r="AH92" s="202">
        <f>景东!AD9</f>
        <v>0</v>
      </c>
      <c r="AI92" s="202">
        <f>景东!AE9</f>
        <v>0</v>
      </c>
      <c r="AJ92" s="202">
        <f>景东!AF9</f>
        <v>0</v>
      </c>
      <c r="AK92" s="165" t="str">
        <f>景东!AG9</f>
        <v>景东县太忠镇平掌村柏树组</v>
      </c>
      <c r="AL92" s="165" t="str">
        <f>景东!AH9</f>
        <v>20160831</v>
      </c>
      <c r="AM92" s="165">
        <f>景东!AI9</f>
        <v>0</v>
      </c>
      <c r="AN92" s="165">
        <f>景东!AJ9</f>
        <v>0</v>
      </c>
      <c r="AO92" s="165" t="str">
        <f>景东!AK9</f>
        <v>海拔2331，N24°31′4.49″ E101°127.58？</v>
      </c>
      <c r="AP92" s="263">
        <v>7.5</v>
      </c>
      <c r="AQ92" s="209">
        <f>景东!AM9</f>
        <v>0</v>
      </c>
      <c r="AR92" s="295">
        <f>景东!AN9</f>
        <v>1.5</v>
      </c>
      <c r="AS92" s="199" t="str">
        <f>景东!AO9</f>
        <v>53272419660720183X</v>
      </c>
      <c r="AT92" s="199" t="str">
        <f>景东!AP9</f>
        <v>13769992749</v>
      </c>
    </row>
    <row r="93" spans="1:46">
      <c r="A93" t="s">
        <v>1923</v>
      </c>
      <c r="B93" s="202" t="str">
        <f>VLOOKUP(A93,databases!$A$2:$B$7, 2, FALSE)</f>
        <v>JingDong</v>
      </c>
      <c r="C93" s="165" t="str">
        <f>景东!B27</f>
        <v>李明祥</v>
      </c>
      <c r="D93" s="202" t="str">
        <f>VLOOKUP(C93,databases!$D$2:$E$145, 2, FALSE)</f>
        <v>R58</v>
      </c>
      <c r="E93" s="259">
        <f>INDEX(sample_database!$B$2:$B$506,MATCH(F93,sample_database!$L$2:$L$506,0))</f>
        <v>3</v>
      </c>
      <c r="F93" s="202" t="str">
        <f>景东!A27</f>
        <v>JD26</v>
      </c>
      <c r="G93" s="257">
        <f>景东!C27</f>
        <v>10</v>
      </c>
      <c r="H93" s="257">
        <f>景东!D27</f>
        <v>0</v>
      </c>
      <c r="I93" s="202">
        <f>景东!E27</f>
        <v>130</v>
      </c>
      <c r="J93" s="202">
        <f>景东!F27</f>
        <v>8</v>
      </c>
      <c r="K93" s="202">
        <f>景东!G27</f>
        <v>12</v>
      </c>
      <c r="L93" s="202">
        <f>景东!H27</f>
        <v>19</v>
      </c>
      <c r="M93" s="202">
        <f>景东!I27</f>
        <v>16</v>
      </c>
      <c r="N93" s="202">
        <f>景东!J27</f>
        <v>21</v>
      </c>
      <c r="O93" s="202">
        <f>景东!K27</f>
        <v>9</v>
      </c>
      <c r="P93" s="202">
        <f>景东!L27</f>
        <v>8</v>
      </c>
      <c r="Q93" s="202">
        <f>景东!M27</f>
        <v>10</v>
      </c>
      <c r="R93" s="202">
        <f>景东!N27</f>
        <v>16</v>
      </c>
      <c r="S93" s="202">
        <f>景东!O27</f>
        <v>11</v>
      </c>
      <c r="T93" s="202">
        <f>景东!P27</f>
        <v>0</v>
      </c>
      <c r="U93" s="202">
        <f>景东!Q27</f>
        <v>0</v>
      </c>
      <c r="V93" s="202">
        <f>景东!R27</f>
        <v>0</v>
      </c>
      <c r="W93" s="202">
        <f>景东!S27</f>
        <v>0</v>
      </c>
      <c r="X93" s="202">
        <f>景东!T27</f>
        <v>0</v>
      </c>
      <c r="Y93" s="202">
        <f>景东!U27</f>
        <v>0</v>
      </c>
      <c r="Z93" s="202">
        <f>景东!V27</f>
        <v>0</v>
      </c>
      <c r="AA93" s="202">
        <f>景东!W27</f>
        <v>0</v>
      </c>
      <c r="AB93" s="202">
        <f>景东!X27</f>
        <v>0</v>
      </c>
      <c r="AC93" s="202">
        <f>景东!Y27</f>
        <v>0</v>
      </c>
      <c r="AD93" s="202">
        <f>景东!Z27</f>
        <v>0</v>
      </c>
      <c r="AE93" s="202">
        <f>景东!AA27</f>
        <v>0</v>
      </c>
      <c r="AF93" s="202">
        <f>景东!AB27</f>
        <v>0</v>
      </c>
      <c r="AG93" s="202">
        <f>景东!AC27</f>
        <v>0</v>
      </c>
      <c r="AH93" s="202">
        <f>景东!AD27</f>
        <v>0</v>
      </c>
      <c r="AI93" s="202">
        <f>景东!AE27</f>
        <v>0</v>
      </c>
      <c r="AJ93" s="202">
        <f>景东!AF27</f>
        <v>0</v>
      </c>
      <c r="AK93" s="165" t="str">
        <f>景东!AG27</f>
        <v>景东县花山镇苫山村大楚雄村民小组</v>
      </c>
      <c r="AL93" s="165" t="str">
        <f>景东!AH27</f>
        <v>20160708-0717</v>
      </c>
      <c r="AM93" s="165">
        <f>景东!AI27</f>
        <v>0</v>
      </c>
      <c r="AN93" s="165">
        <f>景东!AJ27</f>
        <v>0</v>
      </c>
      <c r="AO93" s="165" t="str">
        <f>景东!AK27</f>
        <v>海拔2264，N24°18′13.42″ E101°14′00.66″</v>
      </c>
      <c r="AP93" s="263">
        <v>40</v>
      </c>
      <c r="AQ93" s="209" t="str">
        <f>景东!AM27</f>
        <v>1.5+1.5+2+1.5+1.5</v>
      </c>
      <c r="AR93" s="295">
        <f>景东!AN27</f>
        <v>8</v>
      </c>
      <c r="AS93" s="199" t="str">
        <f>景东!AO27</f>
        <v>532724196410061212</v>
      </c>
      <c r="AT93" s="199" t="str">
        <f>景东!AP27</f>
        <v>15912973126</v>
      </c>
    </row>
    <row r="94" spans="1:46">
      <c r="A94" t="s">
        <v>1923</v>
      </c>
      <c r="B94" s="202" t="str">
        <f>VLOOKUP(A94,databases!$A$2:$B$7, 2, FALSE)</f>
        <v>JingDong</v>
      </c>
      <c r="C94" s="165" t="str">
        <f>景东!B28</f>
        <v>李明祥</v>
      </c>
      <c r="D94" s="202" t="str">
        <f>VLOOKUP(C94,databases!$D$2:$E$145, 2, FALSE)</f>
        <v>R58</v>
      </c>
      <c r="E94" s="259">
        <f>INDEX(sample_database!$B$2:$B$506,MATCH(F94,sample_database!$L$2:$L$506,0))</f>
        <v>3</v>
      </c>
      <c r="F94" s="202" t="str">
        <f>景东!A28</f>
        <v>JD27</v>
      </c>
      <c r="G94" s="257">
        <f>景东!C28</f>
        <v>0</v>
      </c>
      <c r="H94" s="257">
        <f>景东!D28</f>
        <v>5</v>
      </c>
      <c r="I94" s="202">
        <f>景东!E28</f>
        <v>81</v>
      </c>
      <c r="J94" s="202">
        <f>景东!F28</f>
        <v>19</v>
      </c>
      <c r="K94" s="202">
        <f>景东!G28</f>
        <v>10</v>
      </c>
      <c r="L94" s="202">
        <f>景东!H28</f>
        <v>16</v>
      </c>
      <c r="M94" s="202">
        <f>景东!I28</f>
        <v>17</v>
      </c>
      <c r="N94" s="202">
        <f>景东!J28</f>
        <v>19</v>
      </c>
      <c r="O94" s="202">
        <f>景东!K28</f>
        <v>0</v>
      </c>
      <c r="P94" s="202">
        <f>景东!L28</f>
        <v>0</v>
      </c>
      <c r="Q94" s="202">
        <f>景东!M28</f>
        <v>0</v>
      </c>
      <c r="R94" s="202">
        <f>景东!N28</f>
        <v>0</v>
      </c>
      <c r="S94" s="202">
        <f>景东!O28</f>
        <v>0</v>
      </c>
      <c r="T94" s="202">
        <f>景东!P28</f>
        <v>0</v>
      </c>
      <c r="U94" s="202">
        <f>景东!Q28</f>
        <v>0</v>
      </c>
      <c r="V94" s="202">
        <f>景东!R28</f>
        <v>0</v>
      </c>
      <c r="W94" s="202">
        <f>景东!S28</f>
        <v>0</v>
      </c>
      <c r="X94" s="202">
        <f>景东!T28</f>
        <v>0</v>
      </c>
      <c r="Y94" s="202">
        <f>景东!U28</f>
        <v>0</v>
      </c>
      <c r="Z94" s="202">
        <f>景东!V28</f>
        <v>0</v>
      </c>
      <c r="AA94" s="202">
        <f>景东!W28</f>
        <v>0</v>
      </c>
      <c r="AB94" s="202">
        <f>景东!X28</f>
        <v>0</v>
      </c>
      <c r="AC94" s="202">
        <f>景东!Y28</f>
        <v>0</v>
      </c>
      <c r="AD94" s="202">
        <f>景东!Z28</f>
        <v>0</v>
      </c>
      <c r="AE94" s="202">
        <f>景东!AA28</f>
        <v>0</v>
      </c>
      <c r="AF94" s="202">
        <f>景东!AB28</f>
        <v>0</v>
      </c>
      <c r="AG94" s="202">
        <f>景东!AC28</f>
        <v>0</v>
      </c>
      <c r="AH94" s="202">
        <f>景东!AD28</f>
        <v>0</v>
      </c>
      <c r="AI94" s="202">
        <f>景东!AE28</f>
        <v>0</v>
      </c>
      <c r="AJ94" s="202">
        <f>景东!AF28</f>
        <v>0</v>
      </c>
      <c r="AK94" s="165" t="str">
        <f>景东!AG28</f>
        <v>景东县花山镇苫山村大楚雄村民小组</v>
      </c>
      <c r="AL94" s="165" t="str">
        <f>景东!AH28</f>
        <v>20160714-0812</v>
      </c>
      <c r="AM94" s="165">
        <f>景东!AI28</f>
        <v>0</v>
      </c>
      <c r="AN94" s="165">
        <f>景东!AJ28</f>
        <v>0</v>
      </c>
      <c r="AO94" s="165" t="str">
        <f>景东!AK28</f>
        <v>海拔2452，N24°18′27.39″ E101°13′03.09″</v>
      </c>
      <c r="AP94" s="263">
        <v>12.5</v>
      </c>
      <c r="AQ94" s="209">
        <f>景东!AM28</f>
        <v>0</v>
      </c>
      <c r="AR94" s="295">
        <f>景东!AN28</f>
        <v>2.5</v>
      </c>
      <c r="AS94" s="199" t="str">
        <f>景东!AO28</f>
        <v>532724196410061212</v>
      </c>
      <c r="AT94" s="199" t="str">
        <f>景东!AP28</f>
        <v>15912973126</v>
      </c>
    </row>
    <row r="95" spans="1:46">
      <c r="A95" t="s">
        <v>1923</v>
      </c>
      <c r="B95" s="202" t="str">
        <f>VLOOKUP(A95,databases!$A$2:$B$7, 2, FALSE)</f>
        <v>JingDong</v>
      </c>
      <c r="C95" s="165" t="str">
        <f>景东!B29</f>
        <v>李明祥</v>
      </c>
      <c r="D95" s="202" t="str">
        <f>VLOOKUP(C95,databases!$D$2:$E$145, 2, FALSE)</f>
        <v>R58</v>
      </c>
      <c r="E95" s="259">
        <f>INDEX(sample_database!$B$2:$B$506,MATCH(F95,sample_database!$L$2:$L$506,0))</f>
        <v>3</v>
      </c>
      <c r="F95" s="202" t="str">
        <f>景东!A29</f>
        <v>JD28</v>
      </c>
      <c r="G95" s="257">
        <f>景东!C29</f>
        <v>10</v>
      </c>
      <c r="H95" s="257">
        <f>景东!D29</f>
        <v>0</v>
      </c>
      <c r="I95" s="202">
        <f>景东!E29</f>
        <v>203</v>
      </c>
      <c r="J95" s="202">
        <f>景东!F29</f>
        <v>18</v>
      </c>
      <c r="K95" s="202">
        <f>景东!G29</f>
        <v>24</v>
      </c>
      <c r="L95" s="202">
        <f>景东!H29</f>
        <v>15</v>
      </c>
      <c r="M95" s="202">
        <f>景东!I29</f>
        <v>16</v>
      </c>
      <c r="N95" s="202">
        <f>景东!J29</f>
        <v>13</v>
      </c>
      <c r="O95" s="202">
        <f>景东!K29</f>
        <v>28</v>
      </c>
      <c r="P95" s="202">
        <f>景东!L29</f>
        <v>21</v>
      </c>
      <c r="Q95" s="202">
        <f>景东!M29</f>
        <v>21</v>
      </c>
      <c r="R95" s="202">
        <f>景东!N29</f>
        <v>17</v>
      </c>
      <c r="S95" s="202">
        <f>景东!O29</f>
        <v>30</v>
      </c>
      <c r="T95" s="202">
        <f>景东!P29</f>
        <v>0</v>
      </c>
      <c r="U95" s="202">
        <f>景东!Q29</f>
        <v>0</v>
      </c>
      <c r="V95" s="202">
        <f>景东!R29</f>
        <v>0</v>
      </c>
      <c r="W95" s="202">
        <f>景东!S29</f>
        <v>0</v>
      </c>
      <c r="X95" s="202">
        <f>景东!T29</f>
        <v>0</v>
      </c>
      <c r="Y95" s="202">
        <f>景东!U29</f>
        <v>0</v>
      </c>
      <c r="Z95" s="202">
        <f>景东!V29</f>
        <v>0</v>
      </c>
      <c r="AA95" s="202">
        <f>景东!W29</f>
        <v>0</v>
      </c>
      <c r="AB95" s="202">
        <f>景东!X29</f>
        <v>0</v>
      </c>
      <c r="AC95" s="202">
        <f>景东!Y29</f>
        <v>0</v>
      </c>
      <c r="AD95" s="202">
        <f>景东!Z29</f>
        <v>0</v>
      </c>
      <c r="AE95" s="202">
        <f>景东!AA29</f>
        <v>0</v>
      </c>
      <c r="AF95" s="202">
        <f>景东!AB29</f>
        <v>0</v>
      </c>
      <c r="AG95" s="202">
        <f>景东!AC29</f>
        <v>0</v>
      </c>
      <c r="AH95" s="202">
        <f>景东!AD29</f>
        <v>0</v>
      </c>
      <c r="AI95" s="202">
        <f>景东!AE29</f>
        <v>0</v>
      </c>
      <c r="AJ95" s="202">
        <f>景东!AF29</f>
        <v>0</v>
      </c>
      <c r="AK95" s="165" t="str">
        <f>景东!AG29</f>
        <v>景东县花山镇苫山村大楚雄村民小组</v>
      </c>
      <c r="AL95" s="165" t="str">
        <f>景东!AH29</f>
        <v>20160718-0727</v>
      </c>
      <c r="AM95" s="165">
        <f>景东!AI29</f>
        <v>0</v>
      </c>
      <c r="AN95" s="165">
        <f>景东!AJ29</f>
        <v>0</v>
      </c>
      <c r="AO95" s="165" t="str">
        <f>景东!AK29</f>
        <v>海拔2452，N24°18′27.39″ E101°13′03.09″</v>
      </c>
      <c r="AP95" s="263">
        <v>62.5</v>
      </c>
      <c r="AQ95" s="209" t="str">
        <f>景东!AM29</f>
        <v>2.5*5</v>
      </c>
      <c r="AR95" s="295">
        <f>景东!AN29</f>
        <v>12.5</v>
      </c>
      <c r="AS95" s="199" t="str">
        <f>景东!AO29</f>
        <v>532724196410061212</v>
      </c>
      <c r="AT95" s="199" t="str">
        <f>景东!AP29</f>
        <v>15912973126</v>
      </c>
    </row>
    <row r="96" spans="1:46">
      <c r="A96" t="s">
        <v>1923</v>
      </c>
      <c r="B96" s="202" t="str">
        <f>VLOOKUP(A96,databases!$A$2:$B$7, 2, FALSE)</f>
        <v>JingDong</v>
      </c>
      <c r="C96" s="165" t="str">
        <f>景东!B30</f>
        <v>李明祥</v>
      </c>
      <c r="D96" s="202" t="str">
        <f>VLOOKUP(C96,databases!$D$2:$E$145, 2, FALSE)</f>
        <v>R58</v>
      </c>
      <c r="E96" s="259">
        <f>INDEX(sample_database!$B$2:$B$506,MATCH(F96,sample_database!$L$2:$L$506,0))</f>
        <v>3</v>
      </c>
      <c r="F96" s="202" t="str">
        <f>景东!A30</f>
        <v>JD29</v>
      </c>
      <c r="G96" s="257">
        <f>景东!C30</f>
        <v>10</v>
      </c>
      <c r="H96" s="257">
        <f>景东!D30</f>
        <v>0</v>
      </c>
      <c r="I96" s="202">
        <f>景东!E30</f>
        <v>181</v>
      </c>
      <c r="J96" s="202">
        <f>景东!F30</f>
        <v>23</v>
      </c>
      <c r="K96" s="202">
        <f>景东!G30</f>
        <v>16</v>
      </c>
      <c r="L96" s="202">
        <f>景东!H30</f>
        <v>16</v>
      </c>
      <c r="M96" s="202">
        <f>景东!I30</f>
        <v>11</v>
      </c>
      <c r="N96" s="202">
        <f>景东!J30</f>
        <v>41</v>
      </c>
      <c r="O96" s="202">
        <f>景东!K30</f>
        <v>10</v>
      </c>
      <c r="P96" s="202">
        <f>景东!L30</f>
        <v>16</v>
      </c>
      <c r="Q96" s="202">
        <f>景东!M30</f>
        <v>8</v>
      </c>
      <c r="R96" s="202">
        <f>景东!N30</f>
        <v>26</v>
      </c>
      <c r="S96" s="202">
        <f>景东!O30</f>
        <v>14</v>
      </c>
      <c r="T96" s="202">
        <f>景东!P30</f>
        <v>0</v>
      </c>
      <c r="U96" s="202">
        <f>景东!Q30</f>
        <v>0</v>
      </c>
      <c r="V96" s="202">
        <f>景东!R30</f>
        <v>0</v>
      </c>
      <c r="W96" s="202">
        <f>景东!S30</f>
        <v>0</v>
      </c>
      <c r="X96" s="202">
        <f>景东!T30</f>
        <v>0</v>
      </c>
      <c r="Y96" s="202">
        <f>景东!U30</f>
        <v>0</v>
      </c>
      <c r="Z96" s="202">
        <f>景东!V30</f>
        <v>0</v>
      </c>
      <c r="AA96" s="202">
        <f>景东!W30</f>
        <v>0</v>
      </c>
      <c r="AB96" s="202">
        <f>景东!X30</f>
        <v>0</v>
      </c>
      <c r="AC96" s="202">
        <f>景东!Y30</f>
        <v>0</v>
      </c>
      <c r="AD96" s="202">
        <f>景东!Z30</f>
        <v>0</v>
      </c>
      <c r="AE96" s="202">
        <f>景东!AA30</f>
        <v>0</v>
      </c>
      <c r="AF96" s="202">
        <f>景东!AB30</f>
        <v>0</v>
      </c>
      <c r="AG96" s="202">
        <f>景东!AC30</f>
        <v>0</v>
      </c>
      <c r="AH96" s="202">
        <f>景东!AD30</f>
        <v>0</v>
      </c>
      <c r="AI96" s="202">
        <f>景东!AE30</f>
        <v>0</v>
      </c>
      <c r="AJ96" s="202">
        <f>景东!AF30</f>
        <v>0</v>
      </c>
      <c r="AK96" s="165" t="str">
        <f>景东!AG30</f>
        <v>景东县花山镇苫山村大楚雄村民小组</v>
      </c>
      <c r="AL96" s="165" t="str">
        <f>景东!AH30</f>
        <v>20160809-0817</v>
      </c>
      <c r="AM96" s="165">
        <f>景东!AI30</f>
        <v>0</v>
      </c>
      <c r="AN96" s="165">
        <f>景东!AJ30</f>
        <v>0</v>
      </c>
      <c r="AO96" s="165" t="str">
        <f>景东!AK30</f>
        <v>海拔2123，N24°18′33.12″ E101°13′52.47″</v>
      </c>
      <c r="AP96" s="263">
        <v>50.5</v>
      </c>
      <c r="AQ96" s="209" t="str">
        <f>景东!AM30</f>
        <v>2+2.5+1.1+2+2.5</v>
      </c>
      <c r="AR96" s="295">
        <f>景东!AN30</f>
        <v>10.1</v>
      </c>
      <c r="AS96" s="199" t="str">
        <f>景东!AO30</f>
        <v>532724196410061212</v>
      </c>
      <c r="AT96" s="199" t="str">
        <f>景东!AP30</f>
        <v>15912973126</v>
      </c>
    </row>
    <row r="97" spans="1:46">
      <c r="A97" t="s">
        <v>1923</v>
      </c>
      <c r="B97" s="202" t="str">
        <f>VLOOKUP(A97,databases!$A$2:$B$7, 2, FALSE)</f>
        <v>JingDong</v>
      </c>
      <c r="C97" s="165" t="str">
        <f>景东!B42</f>
        <v>李荣发</v>
      </c>
      <c r="D97" s="202" t="str">
        <f>VLOOKUP(C97,databases!$D$2:$E$145, 2, FALSE)</f>
        <v>R67</v>
      </c>
      <c r="E97" s="259">
        <f>INDEX(sample_database!$B$2:$B$506,MATCH(F97,sample_database!$L$2:$L$506,0))</f>
        <v>103</v>
      </c>
      <c r="F97" s="202" t="str">
        <f>景东!A42</f>
        <v>JD41</v>
      </c>
      <c r="G97" s="257">
        <f>景东!C42</f>
        <v>6</v>
      </c>
      <c r="H97" s="257">
        <f>景东!D42</f>
        <v>0</v>
      </c>
      <c r="I97" s="202">
        <f>景东!E42</f>
        <v>21</v>
      </c>
      <c r="J97" s="202">
        <f>景东!F42</f>
        <v>1</v>
      </c>
      <c r="K97" s="202">
        <f>景东!G42</f>
        <v>13</v>
      </c>
      <c r="L97" s="202">
        <f>景东!H42</f>
        <v>3</v>
      </c>
      <c r="M97" s="202">
        <f>景东!I42</f>
        <v>2</v>
      </c>
      <c r="N97" s="202">
        <f>景东!J42</f>
        <v>2</v>
      </c>
      <c r="O97" s="202">
        <f>景东!K42</f>
        <v>0</v>
      </c>
      <c r="P97" s="202">
        <f>景东!L42</f>
        <v>0</v>
      </c>
      <c r="Q97" s="202">
        <f>景东!M42</f>
        <v>0</v>
      </c>
      <c r="R97" s="202">
        <f>景东!N42</f>
        <v>0</v>
      </c>
      <c r="S97" s="202">
        <f>景东!O42</f>
        <v>0</v>
      </c>
      <c r="T97" s="202">
        <f>景东!P42</f>
        <v>0</v>
      </c>
      <c r="U97" s="202">
        <f>景东!Q42</f>
        <v>0</v>
      </c>
      <c r="V97" s="202">
        <f>景东!R42</f>
        <v>0</v>
      </c>
      <c r="W97" s="202">
        <f>景东!S42</f>
        <v>0</v>
      </c>
      <c r="X97" s="202">
        <f>景东!T42</f>
        <v>0</v>
      </c>
      <c r="Y97" s="202">
        <f>景东!U42</f>
        <v>0</v>
      </c>
      <c r="Z97" s="202">
        <f>景东!V42</f>
        <v>0</v>
      </c>
      <c r="AA97" s="202">
        <f>景东!W42</f>
        <v>0</v>
      </c>
      <c r="AB97" s="202">
        <f>景东!X42</f>
        <v>0</v>
      </c>
      <c r="AC97" s="202">
        <f>景东!Y42</f>
        <v>0</v>
      </c>
      <c r="AD97" s="202">
        <f>景东!Z42</f>
        <v>0</v>
      </c>
      <c r="AE97" s="202">
        <f>景东!AA42</f>
        <v>0</v>
      </c>
      <c r="AF97" s="202">
        <f>景东!AB42</f>
        <v>0</v>
      </c>
      <c r="AG97" s="202">
        <f>景东!AC42</f>
        <v>0</v>
      </c>
      <c r="AH97" s="202">
        <f>景东!AD42</f>
        <v>0</v>
      </c>
      <c r="AI97" s="202">
        <f>景东!AE42</f>
        <v>0</v>
      </c>
      <c r="AJ97" s="202">
        <f>景东!AF42</f>
        <v>0</v>
      </c>
      <c r="AK97" s="165" t="str">
        <f>景东!AG42</f>
        <v>龙街垭口</v>
      </c>
      <c r="AL97" s="165" t="str">
        <f>景东!AH42</f>
        <v>20160618-0720</v>
      </c>
      <c r="AM97" s="165">
        <f>景东!AI42</f>
        <v>0</v>
      </c>
      <c r="AN97" s="165">
        <f>景东!AJ42</f>
        <v>0</v>
      </c>
      <c r="AO97" s="165">
        <f>景东!AK42</f>
        <v>0</v>
      </c>
      <c r="AP97" s="263">
        <v>4</v>
      </c>
      <c r="AQ97" s="209">
        <f>景东!AM42</f>
        <v>0</v>
      </c>
      <c r="AR97" s="295">
        <f>景东!AN42</f>
        <v>0.8</v>
      </c>
      <c r="AS97" s="199" t="str">
        <f>景东!AO42</f>
        <v>53272419640814211X</v>
      </c>
      <c r="AT97" s="199" t="str">
        <f>景东!AP42</f>
        <v>13759007385</v>
      </c>
    </row>
    <row r="98" spans="1:46">
      <c r="A98" t="s">
        <v>1923</v>
      </c>
      <c r="B98" s="202" t="str">
        <f>VLOOKUP(A98,databases!$A$2:$B$7, 2, FALSE)</f>
        <v>JingDong</v>
      </c>
      <c r="C98" s="165" t="str">
        <f>景东!B43</f>
        <v>李荣发</v>
      </c>
      <c r="D98" s="202" t="str">
        <f>VLOOKUP(C98,databases!$D$2:$E$145, 2, FALSE)</f>
        <v>R67</v>
      </c>
      <c r="E98" s="259">
        <f>INDEX(sample_database!$B$2:$B$506,MATCH(F98,sample_database!$L$2:$L$506,0))</f>
        <v>103</v>
      </c>
      <c r="F98" s="202" t="str">
        <f>景东!A43</f>
        <v>JD42</v>
      </c>
      <c r="G98" s="257">
        <f>景东!C43</f>
        <v>0</v>
      </c>
      <c r="H98" s="257">
        <f>景东!D43</f>
        <v>3</v>
      </c>
      <c r="I98" s="202">
        <f>景东!E43</f>
        <v>21</v>
      </c>
      <c r="J98" s="202">
        <f>景东!F43</f>
        <v>2</v>
      </c>
      <c r="K98" s="202">
        <f>景东!G43</f>
        <v>8</v>
      </c>
      <c r="L98" s="202">
        <f>景东!H43</f>
        <v>11</v>
      </c>
      <c r="M98" s="202">
        <f>景东!I43</f>
        <v>0</v>
      </c>
      <c r="N98" s="202">
        <f>景东!J43</f>
        <v>0</v>
      </c>
      <c r="O98" s="202">
        <f>景东!K43</f>
        <v>0</v>
      </c>
      <c r="P98" s="202">
        <f>景东!L43</f>
        <v>0</v>
      </c>
      <c r="Q98" s="202">
        <f>景东!M43</f>
        <v>0</v>
      </c>
      <c r="R98" s="202">
        <f>景东!N43</f>
        <v>0</v>
      </c>
      <c r="S98" s="202">
        <f>景东!O43</f>
        <v>0</v>
      </c>
      <c r="T98" s="202">
        <f>景东!P43</f>
        <v>0</v>
      </c>
      <c r="U98" s="202">
        <f>景东!Q43</f>
        <v>0</v>
      </c>
      <c r="V98" s="202">
        <f>景东!R43</f>
        <v>0</v>
      </c>
      <c r="W98" s="202">
        <f>景东!S43</f>
        <v>0</v>
      </c>
      <c r="X98" s="202">
        <f>景东!T43</f>
        <v>0</v>
      </c>
      <c r="Y98" s="202">
        <f>景东!U43</f>
        <v>0</v>
      </c>
      <c r="Z98" s="202">
        <f>景东!V43</f>
        <v>0</v>
      </c>
      <c r="AA98" s="202">
        <f>景东!W43</f>
        <v>0</v>
      </c>
      <c r="AB98" s="202">
        <f>景东!X43</f>
        <v>0</v>
      </c>
      <c r="AC98" s="202">
        <f>景东!Y43</f>
        <v>0</v>
      </c>
      <c r="AD98" s="202">
        <f>景东!Z43</f>
        <v>0</v>
      </c>
      <c r="AE98" s="202">
        <f>景东!AA43</f>
        <v>0</v>
      </c>
      <c r="AF98" s="202">
        <f>景东!AB43</f>
        <v>0</v>
      </c>
      <c r="AG98" s="202">
        <f>景东!AC43</f>
        <v>0</v>
      </c>
      <c r="AH98" s="202">
        <f>景东!AD43</f>
        <v>0</v>
      </c>
      <c r="AI98" s="202">
        <f>景东!AE43</f>
        <v>0</v>
      </c>
      <c r="AJ98" s="202">
        <f>景东!AF43</f>
        <v>0</v>
      </c>
      <c r="AK98" s="165" t="str">
        <f>景东!AG43</f>
        <v>龙街垭口</v>
      </c>
      <c r="AL98" s="165" t="str">
        <f>景东!AH43</f>
        <v>20160702-0709</v>
      </c>
      <c r="AM98" s="165">
        <f>景东!AI43</f>
        <v>0</v>
      </c>
      <c r="AN98" s="165">
        <f>景东!AJ43</f>
        <v>0</v>
      </c>
      <c r="AO98" s="165">
        <f>景东!AK43</f>
        <v>0</v>
      </c>
      <c r="AP98" s="263">
        <v>0.5</v>
      </c>
      <c r="AQ98" s="209">
        <f>景东!AM43</f>
        <v>0</v>
      </c>
      <c r="AR98" s="295">
        <f>景东!AN43</f>
        <v>0.1</v>
      </c>
      <c r="AS98" s="199" t="str">
        <f>景东!AO43</f>
        <v>53272419640814211X</v>
      </c>
      <c r="AT98" s="199" t="str">
        <f>景东!AP43</f>
        <v>13759007385</v>
      </c>
    </row>
    <row r="99" spans="1:46">
      <c r="A99" t="s">
        <v>1923</v>
      </c>
      <c r="B99" s="202" t="str">
        <f>VLOOKUP(A99,databases!$A$2:$B$7, 2, FALSE)</f>
        <v>JingDong</v>
      </c>
      <c r="C99" s="165" t="str">
        <f>景东!B44</f>
        <v>杨华安</v>
      </c>
      <c r="D99" s="273" t="str">
        <f>VLOOKUP(C99,databases!$D$2:$E$145, 2, FALSE)</f>
        <v>R72</v>
      </c>
      <c r="E99" s="274" t="str">
        <f>INDEX(sample_database!$B$2:$B$506,MATCH(F99,sample_database!$L$2:$L$506,0))</f>
        <v>NA</v>
      </c>
      <c r="F99" s="202" t="str">
        <f>景东!A44</f>
        <v>JD43</v>
      </c>
      <c r="G99" s="257">
        <f>景东!C44</f>
        <v>15</v>
      </c>
      <c r="H99" s="257">
        <f>景东!D44</f>
        <v>0</v>
      </c>
      <c r="I99" s="202">
        <f>景东!E44</f>
        <v>41</v>
      </c>
      <c r="J99" s="202">
        <f>景东!F44</f>
        <v>1</v>
      </c>
      <c r="K99" s="202">
        <f>景东!G44</f>
        <v>1</v>
      </c>
      <c r="L99" s="202">
        <f>景东!H44</f>
        <v>1</v>
      </c>
      <c r="M99" s="202">
        <f>景东!I44</f>
        <v>1</v>
      </c>
      <c r="N99" s="202">
        <f>景东!J44</f>
        <v>1</v>
      </c>
      <c r="O99" s="202">
        <f>景东!K44</f>
        <v>1</v>
      </c>
      <c r="P99" s="202">
        <f>景东!L44</f>
        <v>1</v>
      </c>
      <c r="Q99" s="202">
        <f>景东!M44</f>
        <v>1</v>
      </c>
      <c r="R99" s="202">
        <f>景东!N44</f>
        <v>1</v>
      </c>
      <c r="S99" s="202">
        <f>景东!O44</f>
        <v>1</v>
      </c>
      <c r="T99" s="202">
        <f>景东!P44</f>
        <v>2</v>
      </c>
      <c r="U99" s="202">
        <f>景东!Q44</f>
        <v>4</v>
      </c>
      <c r="V99" s="202">
        <f>景东!R44</f>
        <v>5</v>
      </c>
      <c r="W99" s="202">
        <f>景东!S44</f>
        <v>8</v>
      </c>
      <c r="X99" s="202">
        <f>景东!T44</f>
        <v>12</v>
      </c>
      <c r="Y99" s="202">
        <f>景东!U44</f>
        <v>0</v>
      </c>
      <c r="Z99" s="202">
        <f>景东!V44</f>
        <v>0</v>
      </c>
      <c r="AA99" s="202">
        <f>景东!W44</f>
        <v>0</v>
      </c>
      <c r="AB99" s="202">
        <f>景东!X44</f>
        <v>0</v>
      </c>
      <c r="AC99" s="202">
        <f>景东!Y44</f>
        <v>0</v>
      </c>
      <c r="AD99" s="202">
        <f>景东!Z44</f>
        <v>0</v>
      </c>
      <c r="AE99" s="202">
        <f>景东!AA44</f>
        <v>0</v>
      </c>
      <c r="AF99" s="202">
        <f>景东!AB44</f>
        <v>0</v>
      </c>
      <c r="AG99" s="202">
        <f>景东!AC44</f>
        <v>0</v>
      </c>
      <c r="AH99" s="202">
        <f>景东!AD44</f>
        <v>0</v>
      </c>
      <c r="AI99" s="202">
        <f>景东!AE44</f>
        <v>0</v>
      </c>
      <c r="AJ99" s="202">
        <f>景东!AF44</f>
        <v>0</v>
      </c>
      <c r="AK99" s="165" t="str">
        <f>景东!AG44</f>
        <v>龙街乡垭口村小看马组</v>
      </c>
      <c r="AL99" s="165" t="str">
        <f>景东!AH44</f>
        <v>20160615-0716</v>
      </c>
      <c r="AM99" s="165">
        <f>景东!AI44</f>
        <v>0</v>
      </c>
      <c r="AN99" s="165">
        <f>景东!AJ44</f>
        <v>0</v>
      </c>
      <c r="AO99" s="165">
        <f>景东!AK44</f>
        <v>0</v>
      </c>
      <c r="AP99" s="263">
        <v>7.5</v>
      </c>
      <c r="AQ99" s="209">
        <f>景东!AM44</f>
        <v>0</v>
      </c>
      <c r="AR99" s="295">
        <f>景东!AN44</f>
        <v>1.5</v>
      </c>
      <c r="AS99" s="199" t="str">
        <f>景东!AO44</f>
        <v>532724197908142110</v>
      </c>
      <c r="AT99" s="199" t="str">
        <f>景东!AP44</f>
        <v>13577971579</v>
      </c>
    </row>
    <row r="100" spans="1:46">
      <c r="A100" t="s">
        <v>1923</v>
      </c>
      <c r="B100" s="202" t="str">
        <f>VLOOKUP(A100,databases!$A$2:$B$7, 2, FALSE)</f>
        <v>JingDong</v>
      </c>
      <c r="C100" s="165" t="str">
        <f>景东!B45</f>
        <v>杨华安</v>
      </c>
      <c r="D100" s="277" t="str">
        <f>VLOOKUP(C100,databases!$D$2:$E$145, 2, FALSE)</f>
        <v>R72</v>
      </c>
      <c r="E100" s="278" t="str">
        <f>INDEX(sample_database!$B$2:$B$506,MATCH(F100,sample_database!$L$2:$L$506,0))</f>
        <v>NA</v>
      </c>
      <c r="F100" s="202" t="str">
        <f>景东!A45</f>
        <v>JD44</v>
      </c>
      <c r="G100" s="257">
        <f>景东!C45</f>
        <v>0</v>
      </c>
      <c r="H100" s="257">
        <f>景东!D45</f>
        <v>2</v>
      </c>
      <c r="I100" s="202">
        <f>景东!E45</f>
        <v>11</v>
      </c>
      <c r="J100" s="202">
        <f>景东!F45</f>
        <v>5</v>
      </c>
      <c r="K100" s="202">
        <f>景东!G45</f>
        <v>6</v>
      </c>
      <c r="L100" s="202">
        <f>景东!H45</f>
        <v>0</v>
      </c>
      <c r="M100" s="202">
        <f>景东!I45</f>
        <v>0</v>
      </c>
      <c r="N100" s="202">
        <f>景东!J45</f>
        <v>0</v>
      </c>
      <c r="O100" s="202">
        <f>景东!K45</f>
        <v>0</v>
      </c>
      <c r="P100" s="202">
        <f>景东!L45</f>
        <v>0</v>
      </c>
      <c r="Q100" s="202">
        <f>景东!M45</f>
        <v>0</v>
      </c>
      <c r="R100" s="202">
        <f>景东!N45</f>
        <v>0</v>
      </c>
      <c r="S100" s="202">
        <f>景东!O45</f>
        <v>0</v>
      </c>
      <c r="T100" s="202">
        <f>景东!P45</f>
        <v>0</v>
      </c>
      <c r="U100" s="202">
        <f>景东!Q45</f>
        <v>0</v>
      </c>
      <c r="V100" s="202">
        <f>景东!R45</f>
        <v>0</v>
      </c>
      <c r="W100" s="202">
        <f>景东!S45</f>
        <v>0</v>
      </c>
      <c r="X100" s="202">
        <f>景东!T45</f>
        <v>0</v>
      </c>
      <c r="Y100" s="202">
        <f>景东!U45</f>
        <v>0</v>
      </c>
      <c r="Z100" s="202">
        <f>景东!V45</f>
        <v>0</v>
      </c>
      <c r="AA100" s="202">
        <f>景东!W45</f>
        <v>0</v>
      </c>
      <c r="AB100" s="202">
        <f>景东!X45</f>
        <v>0</v>
      </c>
      <c r="AC100" s="202">
        <f>景东!Y45</f>
        <v>0</v>
      </c>
      <c r="AD100" s="202">
        <f>景东!Z45</f>
        <v>0</v>
      </c>
      <c r="AE100" s="202">
        <f>景东!AA45</f>
        <v>0</v>
      </c>
      <c r="AF100" s="202">
        <f>景东!AB45</f>
        <v>0</v>
      </c>
      <c r="AG100" s="202">
        <f>景东!AC45</f>
        <v>0</v>
      </c>
      <c r="AH100" s="202">
        <f>景东!AD45</f>
        <v>0</v>
      </c>
      <c r="AI100" s="202">
        <f>景东!AE45</f>
        <v>0</v>
      </c>
      <c r="AJ100" s="202">
        <f>景东!AF45</f>
        <v>0</v>
      </c>
      <c r="AK100" s="165" t="str">
        <f>景东!AG45</f>
        <v>龙街乡垭口村小看马组</v>
      </c>
      <c r="AL100" s="165" t="str">
        <f>景东!AH45</f>
        <v>20160702-0706</v>
      </c>
      <c r="AM100" s="165">
        <f>景东!AI45</f>
        <v>0</v>
      </c>
      <c r="AN100" s="165">
        <f>景东!AJ45</f>
        <v>0</v>
      </c>
      <c r="AO100" s="165">
        <f>景东!AK45</f>
        <v>0</v>
      </c>
      <c r="AP100" s="263">
        <v>0.5</v>
      </c>
      <c r="AQ100" s="209">
        <f>景东!AM45</f>
        <v>0</v>
      </c>
      <c r="AR100" s="295">
        <f>景东!AN45</f>
        <v>0.1</v>
      </c>
      <c r="AS100" s="199" t="str">
        <f>景东!AO45</f>
        <v>532724197908142110</v>
      </c>
      <c r="AT100" s="199" t="str">
        <f>景东!AP45</f>
        <v>13577971579</v>
      </c>
    </row>
    <row r="101" spans="1:46">
      <c r="A101" t="s">
        <v>1923</v>
      </c>
      <c r="B101" s="202" t="str">
        <f>VLOOKUP(A101,databases!$A$2:$B$7, 2, FALSE)</f>
        <v>JingDong</v>
      </c>
      <c r="C101" s="165" t="str">
        <f>景东!B69</f>
        <v>杨朝华</v>
      </c>
      <c r="D101" s="202" t="str">
        <f>VLOOKUP(C101,databases!$D$2:$E$145, 2, FALSE)</f>
        <v>R75</v>
      </c>
      <c r="E101" s="259">
        <f>INDEX(sample_database!$B$2:$B$506,MATCH(F101,sample_database!$L$2:$L$506,0))</f>
        <v>107</v>
      </c>
      <c r="F101" s="202" t="str">
        <f>景东!A69</f>
        <v>JD68</v>
      </c>
      <c r="G101" s="257">
        <f>景东!C69</f>
        <v>7</v>
      </c>
      <c r="H101" s="257">
        <f>景东!D69</f>
        <v>0</v>
      </c>
      <c r="I101" s="202">
        <f>景东!E69</f>
        <v>48</v>
      </c>
      <c r="J101" s="202">
        <f>景东!F69</f>
        <v>15</v>
      </c>
      <c r="K101" s="202">
        <f>景东!G69</f>
        <v>15</v>
      </c>
      <c r="L101" s="202">
        <f>景东!H69</f>
        <v>4</v>
      </c>
      <c r="M101" s="202">
        <f>景东!I69</f>
        <v>5</v>
      </c>
      <c r="N101" s="202">
        <f>景东!J69</f>
        <v>4</v>
      </c>
      <c r="O101" s="202">
        <f>景东!K69</f>
        <v>1</v>
      </c>
      <c r="P101" s="202">
        <f>景东!L69</f>
        <v>4</v>
      </c>
      <c r="Q101" s="202">
        <f>景东!M69</f>
        <v>0</v>
      </c>
      <c r="R101" s="202">
        <f>景东!N69</f>
        <v>0</v>
      </c>
      <c r="S101" s="202">
        <f>景东!O69</f>
        <v>0</v>
      </c>
      <c r="T101" s="202">
        <f>景东!P69</f>
        <v>0</v>
      </c>
      <c r="U101" s="202">
        <f>景东!Q69</f>
        <v>0</v>
      </c>
      <c r="V101" s="202">
        <f>景东!R69</f>
        <v>0</v>
      </c>
      <c r="W101" s="202">
        <f>景东!S69</f>
        <v>0</v>
      </c>
      <c r="X101" s="202">
        <f>景东!T69</f>
        <v>0</v>
      </c>
      <c r="Y101" s="202">
        <f>景东!U69</f>
        <v>0</v>
      </c>
      <c r="Z101" s="202">
        <f>景东!V69</f>
        <v>0</v>
      </c>
      <c r="AA101" s="202">
        <f>景东!W69</f>
        <v>0</v>
      </c>
      <c r="AB101" s="202">
        <f>景东!X69</f>
        <v>0</v>
      </c>
      <c r="AC101" s="202">
        <f>景东!Y69</f>
        <v>0</v>
      </c>
      <c r="AD101" s="202">
        <f>景东!Z69</f>
        <v>0</v>
      </c>
      <c r="AE101" s="202">
        <f>景东!AA69</f>
        <v>0</v>
      </c>
      <c r="AF101" s="202">
        <f>景东!AB69</f>
        <v>0</v>
      </c>
      <c r="AG101" s="202">
        <f>景东!AC69</f>
        <v>0</v>
      </c>
      <c r="AH101" s="202">
        <f>景东!AD69</f>
        <v>0</v>
      </c>
      <c r="AI101" s="202">
        <f>景东!AE69</f>
        <v>0</v>
      </c>
      <c r="AJ101" s="202">
        <f>景东!AF69</f>
        <v>0</v>
      </c>
      <c r="AK101" s="165" t="str">
        <f>景东!AG69</f>
        <v>景东县太忠镇方家箐村上村组</v>
      </c>
      <c r="AL101" s="165" t="str">
        <f>景东!AH69</f>
        <v>20160709</v>
      </c>
      <c r="AM101" s="165">
        <f>景东!AI69</f>
        <v>0</v>
      </c>
      <c r="AN101" s="165">
        <f>景东!AJ69</f>
        <v>0</v>
      </c>
      <c r="AO101" s="165" t="str">
        <f>景东!AK69</f>
        <v>海拔2450，N24°31′56.74″ E101°0′26.5″</v>
      </c>
      <c r="AP101" s="263">
        <v>7.5</v>
      </c>
      <c r="AQ101" s="209">
        <f>景东!AM69</f>
        <v>0</v>
      </c>
      <c r="AR101" s="295">
        <f>景东!AN69</f>
        <v>1.5</v>
      </c>
      <c r="AS101" s="199" t="str">
        <f>景东!AO69</f>
        <v>532724198511291833</v>
      </c>
      <c r="AT101" s="199" t="str">
        <f>景东!AP69</f>
        <v>15125342326</v>
      </c>
    </row>
    <row r="102" spans="1:46">
      <c r="A102" t="s">
        <v>1923</v>
      </c>
      <c r="B102" s="202" t="str">
        <f>VLOOKUP(A102,databases!$A$2:$B$7, 2, FALSE)</f>
        <v>JingDong</v>
      </c>
      <c r="C102" s="165" t="str">
        <f>景东!B70</f>
        <v>杨朝华</v>
      </c>
      <c r="D102" s="202" t="str">
        <f>VLOOKUP(C102,databases!$D$2:$E$145, 2, FALSE)</f>
        <v>R75</v>
      </c>
      <c r="E102" s="259">
        <f>INDEX(sample_database!$B$2:$B$506,MATCH(F102,sample_database!$L$2:$L$506,0))</f>
        <v>107</v>
      </c>
      <c r="F102" s="202" t="str">
        <f>景东!A70</f>
        <v>JD69</v>
      </c>
      <c r="G102" s="257">
        <f>景东!C70</f>
        <v>0</v>
      </c>
      <c r="H102" s="257">
        <f>景东!D70</f>
        <v>4</v>
      </c>
      <c r="I102" s="202">
        <f>景东!E70</f>
        <v>13</v>
      </c>
      <c r="J102" s="202">
        <f>景东!F70</f>
        <v>3</v>
      </c>
      <c r="K102" s="202">
        <f>景东!G70</f>
        <v>4</v>
      </c>
      <c r="L102" s="202">
        <f>景东!H70</f>
        <v>3</v>
      </c>
      <c r="M102" s="202">
        <f>景东!I70</f>
        <v>3</v>
      </c>
      <c r="N102" s="202">
        <f>景东!J70</f>
        <v>0</v>
      </c>
      <c r="O102" s="202">
        <f>景东!K70</f>
        <v>0</v>
      </c>
      <c r="P102" s="202">
        <f>景东!L70</f>
        <v>0</v>
      </c>
      <c r="Q102" s="202">
        <f>景东!M70</f>
        <v>0</v>
      </c>
      <c r="R102" s="202">
        <f>景东!N70</f>
        <v>0</v>
      </c>
      <c r="S102" s="202">
        <f>景东!O70</f>
        <v>0</v>
      </c>
      <c r="T102" s="202">
        <f>景东!P70</f>
        <v>0</v>
      </c>
      <c r="U102" s="202">
        <f>景东!Q70</f>
        <v>0</v>
      </c>
      <c r="V102" s="202">
        <f>景东!R70</f>
        <v>0</v>
      </c>
      <c r="W102" s="202">
        <f>景东!S70</f>
        <v>0</v>
      </c>
      <c r="X102" s="202">
        <f>景东!T70</f>
        <v>0</v>
      </c>
      <c r="Y102" s="202">
        <f>景东!U70</f>
        <v>0</v>
      </c>
      <c r="Z102" s="202">
        <f>景东!V70</f>
        <v>0</v>
      </c>
      <c r="AA102" s="202">
        <f>景东!W70</f>
        <v>0</v>
      </c>
      <c r="AB102" s="202">
        <f>景东!X70</f>
        <v>0</v>
      </c>
      <c r="AC102" s="202">
        <f>景东!Y70</f>
        <v>0</v>
      </c>
      <c r="AD102" s="202">
        <f>景东!Z70</f>
        <v>0</v>
      </c>
      <c r="AE102" s="202">
        <f>景东!AA70</f>
        <v>0</v>
      </c>
      <c r="AF102" s="202">
        <f>景东!AB70</f>
        <v>0</v>
      </c>
      <c r="AG102" s="202">
        <f>景东!AC70</f>
        <v>0</v>
      </c>
      <c r="AH102" s="202">
        <f>景东!AD70</f>
        <v>0</v>
      </c>
      <c r="AI102" s="202">
        <f>景东!AE70</f>
        <v>0</v>
      </c>
      <c r="AJ102" s="202">
        <f>景东!AF70</f>
        <v>0</v>
      </c>
      <c r="AK102" s="165" t="str">
        <f>景东!AG70</f>
        <v>景东县太忠镇方家箐村上村组</v>
      </c>
      <c r="AL102" s="165" t="str">
        <f>景东!AH70</f>
        <v>20160711</v>
      </c>
      <c r="AM102" s="165">
        <f>景东!AI70</f>
        <v>0</v>
      </c>
      <c r="AN102" s="165">
        <f>景东!AJ70</f>
        <v>0</v>
      </c>
      <c r="AO102" s="165" t="str">
        <f>景东!AK70</f>
        <v>海拔2483，N24°33′45.65″ E101°0′54.4″</v>
      </c>
      <c r="AP102" s="263">
        <v>5</v>
      </c>
      <c r="AQ102" s="209">
        <f>景东!AM70</f>
        <v>0</v>
      </c>
      <c r="AR102" s="295">
        <f>景东!AN70</f>
        <v>1</v>
      </c>
      <c r="AS102" s="199" t="str">
        <f>景东!AO70</f>
        <v>532724198511291833</v>
      </c>
      <c r="AT102" s="199" t="str">
        <f>景东!AP70</f>
        <v>15125342326</v>
      </c>
    </row>
    <row r="103" spans="1:46">
      <c r="A103" t="s">
        <v>1923</v>
      </c>
      <c r="B103" s="202" t="str">
        <f>VLOOKUP(A103,databases!$A$2:$B$7, 2, FALSE)</f>
        <v>JingDong</v>
      </c>
      <c r="C103" s="165" t="str">
        <f>景东!B71</f>
        <v>杨朝华</v>
      </c>
      <c r="D103" s="202" t="str">
        <f>VLOOKUP(C103,databases!$D$2:$E$145, 2, FALSE)</f>
        <v>R75</v>
      </c>
      <c r="E103" s="259">
        <f>INDEX(sample_database!$B$2:$B$506,MATCH(F103,sample_database!$L$2:$L$506,0))</f>
        <v>107</v>
      </c>
      <c r="F103" s="202" t="str">
        <f>景东!A71</f>
        <v>JD70</v>
      </c>
      <c r="G103" s="257">
        <f>景东!C71</f>
        <v>6</v>
      </c>
      <c r="H103" s="257">
        <f>景东!D71</f>
        <v>0</v>
      </c>
      <c r="I103" s="202">
        <f>景东!E71</f>
        <v>22</v>
      </c>
      <c r="J103" s="202">
        <f>景东!F71</f>
        <v>6</v>
      </c>
      <c r="K103" s="202">
        <f>景东!G71</f>
        <v>6</v>
      </c>
      <c r="L103" s="202">
        <f>景东!H71</f>
        <v>1</v>
      </c>
      <c r="M103" s="202">
        <f>景东!I71</f>
        <v>1</v>
      </c>
      <c r="N103" s="202">
        <f>景东!J71</f>
        <v>5</v>
      </c>
      <c r="O103" s="202">
        <f>景东!K71</f>
        <v>3</v>
      </c>
      <c r="P103" s="202">
        <f>景东!L71</f>
        <v>0</v>
      </c>
      <c r="Q103" s="202">
        <f>景东!M71</f>
        <v>0</v>
      </c>
      <c r="R103" s="202">
        <f>景东!N71</f>
        <v>0</v>
      </c>
      <c r="S103" s="202">
        <f>景东!O71</f>
        <v>0</v>
      </c>
      <c r="T103" s="202">
        <f>景东!P71</f>
        <v>0</v>
      </c>
      <c r="U103" s="202">
        <f>景东!Q71</f>
        <v>0</v>
      </c>
      <c r="V103" s="202">
        <f>景东!R71</f>
        <v>0</v>
      </c>
      <c r="W103" s="202">
        <f>景东!S71</f>
        <v>0</v>
      </c>
      <c r="X103" s="202">
        <f>景东!T71</f>
        <v>0</v>
      </c>
      <c r="Y103" s="202">
        <f>景东!U71</f>
        <v>0</v>
      </c>
      <c r="Z103" s="202">
        <f>景东!V71</f>
        <v>0</v>
      </c>
      <c r="AA103" s="202">
        <f>景东!W71</f>
        <v>0</v>
      </c>
      <c r="AB103" s="202">
        <f>景东!X71</f>
        <v>0</v>
      </c>
      <c r="AC103" s="202">
        <f>景东!Y71</f>
        <v>0</v>
      </c>
      <c r="AD103" s="202">
        <f>景东!Z71</f>
        <v>0</v>
      </c>
      <c r="AE103" s="202">
        <f>景东!AA71</f>
        <v>0</v>
      </c>
      <c r="AF103" s="202">
        <f>景东!AB71</f>
        <v>0</v>
      </c>
      <c r="AG103" s="202">
        <f>景东!AC71</f>
        <v>0</v>
      </c>
      <c r="AH103" s="202">
        <f>景东!AD71</f>
        <v>0</v>
      </c>
      <c r="AI103" s="202">
        <f>景东!AE71</f>
        <v>0</v>
      </c>
      <c r="AJ103" s="202">
        <f>景东!AF71</f>
        <v>0</v>
      </c>
      <c r="AK103" s="165" t="str">
        <f>景东!AG71</f>
        <v>景东县太忠镇方家箐村上村组</v>
      </c>
      <c r="AL103" s="165" t="str">
        <f>景东!AH71</f>
        <v>20160821</v>
      </c>
      <c r="AM103" s="165">
        <f>景东!AI71</f>
        <v>0</v>
      </c>
      <c r="AN103" s="165">
        <f>景东!AJ71</f>
        <v>0</v>
      </c>
      <c r="AO103" s="165" t="str">
        <f>景东!AK71</f>
        <v>海拔2456，N24°32′22.6″ E101°0′25.23″</v>
      </c>
      <c r="AP103" s="263">
        <v>7.5</v>
      </c>
      <c r="AQ103" s="209">
        <f>景东!AM71</f>
        <v>0</v>
      </c>
      <c r="AR103" s="295">
        <f>景东!AN71</f>
        <v>1.5</v>
      </c>
      <c r="AS103" s="199" t="str">
        <f>景东!AO71</f>
        <v>532724198511291833</v>
      </c>
      <c r="AT103" s="199" t="str">
        <f>景东!AP71</f>
        <v>15125342326</v>
      </c>
    </row>
    <row r="104" spans="1:46">
      <c r="A104" t="s">
        <v>1923</v>
      </c>
      <c r="B104" s="202" t="str">
        <f>VLOOKUP(A104,databases!$A$2:$B$7, 2, FALSE)</f>
        <v>JingDong</v>
      </c>
      <c r="C104" s="165" t="str">
        <f>景东!B72</f>
        <v>杨朝华</v>
      </c>
      <c r="D104" s="202" t="str">
        <f>VLOOKUP(C104,databases!$D$2:$E$145, 2, FALSE)</f>
        <v>R75</v>
      </c>
      <c r="E104" s="259">
        <f>INDEX(sample_database!$B$2:$B$506,MATCH(F104,sample_database!$L$2:$L$506,0))</f>
        <v>107</v>
      </c>
      <c r="F104" s="202" t="str">
        <f>景东!A72</f>
        <v>JD71</v>
      </c>
      <c r="G104" s="257">
        <f>景东!C72</f>
        <v>7</v>
      </c>
      <c r="H104" s="257">
        <f>景东!D72</f>
        <v>0</v>
      </c>
      <c r="I104" s="202">
        <f>景东!E72</f>
        <v>31</v>
      </c>
      <c r="J104" s="202">
        <f>景东!F72</f>
        <v>5</v>
      </c>
      <c r="K104" s="202">
        <f>景东!G72</f>
        <v>5</v>
      </c>
      <c r="L104" s="202">
        <f>景东!H72</f>
        <v>6</v>
      </c>
      <c r="M104" s="202">
        <f>景东!I72</f>
        <v>2</v>
      </c>
      <c r="N104" s="202">
        <f>景东!J72</f>
        <v>3</v>
      </c>
      <c r="O104" s="202">
        <f>景东!K72</f>
        <v>6</v>
      </c>
      <c r="P104" s="202">
        <f>景东!L72</f>
        <v>4</v>
      </c>
      <c r="Q104" s="202">
        <f>景东!M72</f>
        <v>0</v>
      </c>
      <c r="R104" s="202">
        <f>景东!N72</f>
        <v>0</v>
      </c>
      <c r="S104" s="202">
        <f>景东!O72</f>
        <v>0</v>
      </c>
      <c r="T104" s="202">
        <f>景东!P72</f>
        <v>0</v>
      </c>
      <c r="U104" s="202">
        <f>景东!Q72</f>
        <v>0</v>
      </c>
      <c r="V104" s="202">
        <f>景东!R72</f>
        <v>0</v>
      </c>
      <c r="W104" s="202">
        <f>景东!S72</f>
        <v>0</v>
      </c>
      <c r="X104" s="202">
        <f>景东!T72</f>
        <v>0</v>
      </c>
      <c r="Y104" s="202">
        <f>景东!U72</f>
        <v>0</v>
      </c>
      <c r="Z104" s="202">
        <f>景东!V72</f>
        <v>0</v>
      </c>
      <c r="AA104" s="202">
        <f>景东!W72</f>
        <v>0</v>
      </c>
      <c r="AB104" s="202">
        <f>景东!X72</f>
        <v>0</v>
      </c>
      <c r="AC104" s="202">
        <f>景东!Y72</f>
        <v>0</v>
      </c>
      <c r="AD104" s="202">
        <f>景东!Z72</f>
        <v>0</v>
      </c>
      <c r="AE104" s="202">
        <f>景东!AA72</f>
        <v>0</v>
      </c>
      <c r="AF104" s="202">
        <f>景东!AB72</f>
        <v>0</v>
      </c>
      <c r="AG104" s="202">
        <f>景东!AC72</f>
        <v>0</v>
      </c>
      <c r="AH104" s="202">
        <f>景东!AD72</f>
        <v>0</v>
      </c>
      <c r="AI104" s="202">
        <f>景东!AE72</f>
        <v>0</v>
      </c>
      <c r="AJ104" s="202">
        <f>景东!AF72</f>
        <v>0</v>
      </c>
      <c r="AK104" s="165" t="str">
        <f>景东!AG72</f>
        <v>景东县太忠镇方家箐村上村组</v>
      </c>
      <c r="AL104" s="165" t="str">
        <f>景东!AH72</f>
        <v>20160902</v>
      </c>
      <c r="AM104" s="165">
        <f>景东!AI72</f>
        <v>0</v>
      </c>
      <c r="AN104" s="165">
        <f>景东!AJ72</f>
        <v>0</v>
      </c>
      <c r="AO104" s="165" t="str">
        <f>景东!AK72</f>
        <v>海拔2456，N24°32′11.15″ E101°0′26.86″</v>
      </c>
      <c r="AP104" s="263">
        <v>5</v>
      </c>
      <c r="AQ104" s="209">
        <f>景东!AM72</f>
        <v>0</v>
      </c>
      <c r="AR104" s="295">
        <f>景东!AN72</f>
        <v>1</v>
      </c>
      <c r="AS104" s="199" t="str">
        <f>景东!AO72</f>
        <v>532724198511291833</v>
      </c>
      <c r="AT104" s="199" t="str">
        <f>景东!AP72</f>
        <v>15125342326</v>
      </c>
    </row>
    <row r="105" spans="1:46">
      <c r="A105" t="s">
        <v>1923</v>
      </c>
      <c r="B105" s="202" t="str">
        <f>VLOOKUP(A105,databases!$A$2:$B$7, 2, FALSE)</f>
        <v>JingDong</v>
      </c>
      <c r="C105" s="165" t="str">
        <f>景东!B24</f>
        <v>祝发贵</v>
      </c>
      <c r="D105" s="202" t="str">
        <f>VLOOKUP(C105,databases!$D$2:$E$145, 2, FALSE)</f>
        <v>R104</v>
      </c>
      <c r="E105" s="259">
        <f>INDEX(sample_database!$B$2:$B$506,MATCH(F105,sample_database!$L$2:$L$506,0))</f>
        <v>104</v>
      </c>
      <c r="F105" s="202" t="str">
        <f>景东!A24</f>
        <v>JD23</v>
      </c>
      <c r="G105" s="257">
        <f>景东!C24</f>
        <v>0</v>
      </c>
      <c r="H105" s="257">
        <f>景东!D24</f>
        <v>6</v>
      </c>
      <c r="I105" s="202">
        <f>景东!E24</f>
        <v>44</v>
      </c>
      <c r="J105" s="202">
        <f>景东!F24</f>
        <v>5</v>
      </c>
      <c r="K105" s="202">
        <f>景东!G24</f>
        <v>10</v>
      </c>
      <c r="L105" s="202">
        <f>景东!H24</f>
        <v>7</v>
      </c>
      <c r="M105" s="202">
        <f>景东!I24</f>
        <v>10</v>
      </c>
      <c r="N105" s="202">
        <f>景东!J24</f>
        <v>8</v>
      </c>
      <c r="O105" s="202">
        <f>景东!K24</f>
        <v>4</v>
      </c>
      <c r="P105" s="202">
        <f>景东!L24</f>
        <v>0</v>
      </c>
      <c r="Q105" s="202">
        <f>景东!M24</f>
        <v>0</v>
      </c>
      <c r="R105" s="202">
        <f>景东!N24</f>
        <v>0</v>
      </c>
      <c r="S105" s="202">
        <f>景东!O24</f>
        <v>0</v>
      </c>
      <c r="T105" s="202">
        <f>景东!P24</f>
        <v>0</v>
      </c>
      <c r="U105" s="202">
        <f>景东!Q24</f>
        <v>0</v>
      </c>
      <c r="V105" s="202">
        <f>景东!R24</f>
        <v>0</v>
      </c>
      <c r="W105" s="202">
        <f>景东!S24</f>
        <v>0</v>
      </c>
      <c r="X105" s="202">
        <f>景东!T24</f>
        <v>0</v>
      </c>
      <c r="Y105" s="202">
        <f>景东!U24</f>
        <v>0</v>
      </c>
      <c r="Z105" s="202">
        <f>景东!V24</f>
        <v>0</v>
      </c>
      <c r="AA105" s="202">
        <f>景东!W24</f>
        <v>0</v>
      </c>
      <c r="AB105" s="202">
        <f>景东!X24</f>
        <v>0</v>
      </c>
      <c r="AC105" s="202">
        <f>景东!Y24</f>
        <v>0</v>
      </c>
      <c r="AD105" s="202">
        <f>景东!Z24</f>
        <v>0</v>
      </c>
      <c r="AE105" s="202">
        <f>景东!AA24</f>
        <v>0</v>
      </c>
      <c r="AF105" s="202">
        <f>景东!AB24</f>
        <v>0</v>
      </c>
      <c r="AG105" s="202">
        <f>景东!AC24</f>
        <v>0</v>
      </c>
      <c r="AH105" s="202">
        <f>景东!AD24</f>
        <v>0</v>
      </c>
      <c r="AI105" s="202">
        <f>景东!AE24</f>
        <v>0</v>
      </c>
      <c r="AJ105" s="202">
        <f>景东!AF24</f>
        <v>0</v>
      </c>
      <c r="AK105" s="165" t="str">
        <f>景东!AG24</f>
        <v>景东县小龙街乡小村村民委员会肖井组</v>
      </c>
      <c r="AL105" s="165" t="str">
        <f>景东!AH24</f>
        <v>20160713-0728</v>
      </c>
      <c r="AM105" s="165">
        <f>景东!AI24</f>
        <v>0</v>
      </c>
      <c r="AN105" s="165">
        <f>景东!AJ24</f>
        <v>0</v>
      </c>
      <c r="AO105" s="165">
        <f>景东!AK24</f>
        <v>0</v>
      </c>
      <c r="AP105" s="263">
        <v>3</v>
      </c>
      <c r="AQ105" s="209">
        <f>景东!AM24</f>
        <v>0</v>
      </c>
      <c r="AR105" s="295">
        <f>景东!AN24</f>
        <v>0.6</v>
      </c>
      <c r="AS105" s="199" t="str">
        <f>景东!AO24</f>
        <v>532724195903162113</v>
      </c>
      <c r="AT105" s="199" t="str">
        <f>景东!AP24</f>
        <v>18287956453</v>
      </c>
    </row>
    <row r="106" spans="1:46">
      <c r="A106" t="s">
        <v>1923</v>
      </c>
      <c r="B106" s="202" t="str">
        <f>VLOOKUP(A106,databases!$A$2:$B$7, 2, FALSE)</f>
        <v>JingDong</v>
      </c>
      <c r="C106" s="165" t="str">
        <f>景东!B25</f>
        <v>祝发贵</v>
      </c>
      <c r="D106" s="202" t="str">
        <f>VLOOKUP(C106,databases!$D$2:$E$145, 2, FALSE)</f>
        <v>R104</v>
      </c>
      <c r="E106" s="259">
        <f>INDEX(sample_database!$B$2:$B$506,MATCH(F106,sample_database!$L$2:$L$506,0))</f>
        <v>104</v>
      </c>
      <c r="F106" s="202" t="str">
        <f>景东!A25</f>
        <v>JD24</v>
      </c>
      <c r="G106" s="257">
        <f>景东!C25</f>
        <v>6</v>
      </c>
      <c r="H106" s="257">
        <f>景东!D25</f>
        <v>0</v>
      </c>
      <c r="I106" s="202">
        <f>景东!E25</f>
        <v>28</v>
      </c>
      <c r="J106" s="202">
        <f>景东!F25</f>
        <v>6</v>
      </c>
      <c r="K106" s="202">
        <f>景东!G25</f>
        <v>7</v>
      </c>
      <c r="L106" s="202">
        <f>景东!H25</f>
        <v>5</v>
      </c>
      <c r="M106" s="202">
        <f>景东!I25</f>
        <v>5</v>
      </c>
      <c r="N106" s="202">
        <f>景东!J25</f>
        <v>3</v>
      </c>
      <c r="O106" s="202">
        <f>景东!K25</f>
        <v>2</v>
      </c>
      <c r="P106" s="202">
        <f>景东!L25</f>
        <v>0</v>
      </c>
      <c r="Q106" s="202">
        <f>景东!M25</f>
        <v>0</v>
      </c>
      <c r="R106" s="202">
        <f>景东!N25</f>
        <v>0</v>
      </c>
      <c r="S106" s="202">
        <f>景东!O25</f>
        <v>0</v>
      </c>
      <c r="T106" s="202">
        <f>景东!P25</f>
        <v>0</v>
      </c>
      <c r="U106" s="202">
        <f>景东!Q25</f>
        <v>0</v>
      </c>
      <c r="V106" s="202">
        <f>景东!R25</f>
        <v>0</v>
      </c>
      <c r="W106" s="202">
        <f>景东!S25</f>
        <v>0</v>
      </c>
      <c r="X106" s="202">
        <f>景东!T25</f>
        <v>0</v>
      </c>
      <c r="Y106" s="202">
        <f>景东!U25</f>
        <v>0</v>
      </c>
      <c r="Z106" s="202">
        <f>景东!V25</f>
        <v>0</v>
      </c>
      <c r="AA106" s="202">
        <f>景东!W25</f>
        <v>0</v>
      </c>
      <c r="AB106" s="202">
        <f>景东!X25</f>
        <v>0</v>
      </c>
      <c r="AC106" s="202">
        <f>景东!Y25</f>
        <v>0</v>
      </c>
      <c r="AD106" s="202">
        <f>景东!Z25</f>
        <v>0</v>
      </c>
      <c r="AE106" s="202">
        <f>景东!AA25</f>
        <v>0</v>
      </c>
      <c r="AF106" s="202">
        <f>景东!AB25</f>
        <v>0</v>
      </c>
      <c r="AG106" s="202">
        <f>景东!AC25</f>
        <v>0</v>
      </c>
      <c r="AH106" s="202">
        <f>景东!AD25</f>
        <v>0</v>
      </c>
      <c r="AI106" s="202">
        <f>景东!AE25</f>
        <v>0</v>
      </c>
      <c r="AJ106" s="202">
        <f>景东!AF25</f>
        <v>0</v>
      </c>
      <c r="AK106" s="165" t="str">
        <f>景东!AG25</f>
        <v>景东县小龙街乡小村村民委员会肖井组</v>
      </c>
      <c r="AL106" s="165" t="str">
        <f>景东!AH25</f>
        <v>20160729-0814</v>
      </c>
      <c r="AM106" s="165">
        <f>景东!AI25</f>
        <v>0</v>
      </c>
      <c r="AN106" s="165">
        <f>景东!AJ25</f>
        <v>0</v>
      </c>
      <c r="AO106" s="165">
        <f>景东!AK25</f>
        <v>0</v>
      </c>
      <c r="AP106" s="263">
        <v>3</v>
      </c>
      <c r="AQ106" s="209">
        <f>景东!AM25</f>
        <v>0</v>
      </c>
      <c r="AR106" s="295">
        <f>景东!AN25</f>
        <v>0.6</v>
      </c>
      <c r="AS106" s="199" t="str">
        <f>景东!AO25</f>
        <v>532724195903162113</v>
      </c>
      <c r="AT106" s="199" t="str">
        <f>景东!AP25</f>
        <v>18287956453</v>
      </c>
    </row>
    <row r="107" spans="1:46">
      <c r="A107" t="s">
        <v>1923</v>
      </c>
      <c r="B107" s="202" t="str">
        <f>VLOOKUP(A107,databases!$A$2:$B$7, 2, FALSE)</f>
        <v>JingDong</v>
      </c>
      <c r="C107" s="165" t="str">
        <f>景东!B26</f>
        <v>祝发贵</v>
      </c>
      <c r="D107" s="202" t="str">
        <f>VLOOKUP(C107,databases!$D$2:$E$145, 2, FALSE)</f>
        <v>R104</v>
      </c>
      <c r="E107" s="259">
        <f>INDEX(sample_database!$B$2:$B$506,MATCH(F107,sample_database!$L$2:$L$506,0))</f>
        <v>104</v>
      </c>
      <c r="F107" s="202" t="str">
        <f>景东!A26</f>
        <v>JD25</v>
      </c>
      <c r="G107" s="257">
        <f>景东!C26</f>
        <v>2</v>
      </c>
      <c r="H107" s="257">
        <f>景东!D26</f>
        <v>0</v>
      </c>
      <c r="I107" s="202">
        <f>景东!E26</f>
        <v>5</v>
      </c>
      <c r="J107" s="202">
        <f>景东!F26</f>
        <v>2</v>
      </c>
      <c r="K107" s="202">
        <f>景东!G26</f>
        <v>3</v>
      </c>
      <c r="L107" s="202">
        <f>景东!H26</f>
        <v>0</v>
      </c>
      <c r="M107" s="202">
        <f>景东!I26</f>
        <v>0</v>
      </c>
      <c r="N107" s="202">
        <f>景东!J26</f>
        <v>0</v>
      </c>
      <c r="O107" s="202">
        <f>景东!K26</f>
        <v>0</v>
      </c>
      <c r="P107" s="202">
        <f>景东!L26</f>
        <v>0</v>
      </c>
      <c r="Q107" s="202">
        <f>景东!M26</f>
        <v>0</v>
      </c>
      <c r="R107" s="202">
        <f>景东!N26</f>
        <v>0</v>
      </c>
      <c r="S107" s="202">
        <f>景东!O26</f>
        <v>0</v>
      </c>
      <c r="T107" s="202">
        <f>景东!P26</f>
        <v>0</v>
      </c>
      <c r="U107" s="202">
        <f>景东!Q26</f>
        <v>0</v>
      </c>
      <c r="V107" s="202">
        <f>景东!R26</f>
        <v>0</v>
      </c>
      <c r="W107" s="202">
        <f>景东!S26</f>
        <v>0</v>
      </c>
      <c r="X107" s="202">
        <f>景东!T26</f>
        <v>0</v>
      </c>
      <c r="Y107" s="202">
        <f>景东!U26</f>
        <v>0</v>
      </c>
      <c r="Z107" s="202">
        <f>景东!V26</f>
        <v>0</v>
      </c>
      <c r="AA107" s="202">
        <f>景东!W26</f>
        <v>0</v>
      </c>
      <c r="AB107" s="202">
        <f>景东!X26</f>
        <v>0</v>
      </c>
      <c r="AC107" s="202">
        <f>景东!Y26</f>
        <v>0</v>
      </c>
      <c r="AD107" s="202">
        <f>景东!Z26</f>
        <v>0</v>
      </c>
      <c r="AE107" s="202">
        <f>景东!AA26</f>
        <v>0</v>
      </c>
      <c r="AF107" s="202">
        <f>景东!AB26</f>
        <v>0</v>
      </c>
      <c r="AG107" s="202">
        <f>景东!AC26</f>
        <v>0</v>
      </c>
      <c r="AH107" s="202">
        <f>景东!AD26</f>
        <v>0</v>
      </c>
      <c r="AI107" s="202">
        <f>景东!AE26</f>
        <v>0</v>
      </c>
      <c r="AJ107" s="202">
        <f>景东!AF26</f>
        <v>0</v>
      </c>
      <c r="AK107" s="165" t="str">
        <f>景东!AG26</f>
        <v>景东县小龙街乡小村村民委员会肖井组</v>
      </c>
      <c r="AL107" s="165" t="str">
        <f>景东!AH26</f>
        <v>20160815-0830</v>
      </c>
      <c r="AM107" s="165">
        <f>景东!AI26</f>
        <v>0</v>
      </c>
      <c r="AN107" s="165">
        <f>景东!AJ26</f>
        <v>0</v>
      </c>
      <c r="AO107" s="165">
        <f>景东!AK26</f>
        <v>0</v>
      </c>
      <c r="AP107" s="263">
        <v>0.5</v>
      </c>
      <c r="AQ107" s="209">
        <f>景东!AM26</f>
        <v>0</v>
      </c>
      <c r="AR107" s="295">
        <f>景东!AN26</f>
        <v>0.1</v>
      </c>
      <c r="AS107" s="199" t="str">
        <f>景东!AO26</f>
        <v>532724195903162113</v>
      </c>
      <c r="AT107" s="199" t="str">
        <f>景东!AP26</f>
        <v>18287956453</v>
      </c>
    </row>
    <row r="108" spans="1:46">
      <c r="A108" t="s">
        <v>1923</v>
      </c>
      <c r="B108" s="202" t="str">
        <f>VLOOKUP(A108,databases!$A$2:$B$7, 2, FALSE)</f>
        <v>JingDong</v>
      </c>
      <c r="C108" s="165" t="str">
        <f>景东!B79</f>
        <v>罗德勇</v>
      </c>
      <c r="D108" s="202" t="str">
        <f>VLOOKUP(C108,databases!$D$2:$E$145, 2, FALSE)</f>
        <v>R107</v>
      </c>
      <c r="E108" s="259">
        <f>INDEX(sample_database!$B$2:$B$506,MATCH(F108,sample_database!$L$2:$L$506,0))</f>
        <v>124</v>
      </c>
      <c r="F108" s="202" t="str">
        <f>景东!A79</f>
        <v>JD78</v>
      </c>
      <c r="G108" s="257">
        <f>景东!C79</f>
        <v>5</v>
      </c>
      <c r="H108" s="257">
        <f>景东!D79</f>
        <v>0</v>
      </c>
      <c r="I108" s="202">
        <f>景东!E79</f>
        <v>63</v>
      </c>
      <c r="J108" s="202">
        <f>景东!F79</f>
        <v>12</v>
      </c>
      <c r="K108" s="202">
        <f>景东!G79</f>
        <v>10</v>
      </c>
      <c r="L108" s="202">
        <f>景东!H79</f>
        <v>19</v>
      </c>
      <c r="M108" s="202">
        <f>景东!I79</f>
        <v>12</v>
      </c>
      <c r="N108" s="202">
        <f>景东!J79</f>
        <v>10</v>
      </c>
      <c r="O108" s="202">
        <f>景东!K79</f>
        <v>0</v>
      </c>
      <c r="P108" s="202">
        <f>景东!L79</f>
        <v>0</v>
      </c>
      <c r="Q108" s="202">
        <f>景东!M79</f>
        <v>0</v>
      </c>
      <c r="R108" s="202">
        <f>景东!N79</f>
        <v>0</v>
      </c>
      <c r="S108" s="202">
        <f>景东!O79</f>
        <v>0</v>
      </c>
      <c r="T108" s="202">
        <f>景东!P79</f>
        <v>0</v>
      </c>
      <c r="U108" s="202">
        <f>景东!Q79</f>
        <v>0</v>
      </c>
      <c r="V108" s="202">
        <f>景东!R79</f>
        <v>0</v>
      </c>
      <c r="W108" s="202">
        <f>景东!S79</f>
        <v>0</v>
      </c>
      <c r="X108" s="202">
        <f>景东!T79</f>
        <v>0</v>
      </c>
      <c r="Y108" s="202">
        <f>景东!U79</f>
        <v>0</v>
      </c>
      <c r="Z108" s="202">
        <f>景东!V79</f>
        <v>0</v>
      </c>
      <c r="AA108" s="202">
        <f>景东!W79</f>
        <v>0</v>
      </c>
      <c r="AB108" s="202">
        <f>景东!X79</f>
        <v>0</v>
      </c>
      <c r="AC108" s="202">
        <f>景东!Y79</f>
        <v>0</v>
      </c>
      <c r="AD108" s="202">
        <f>景东!Z79</f>
        <v>0</v>
      </c>
      <c r="AE108" s="202">
        <f>景东!AA79</f>
        <v>0</v>
      </c>
      <c r="AF108" s="202">
        <f>景东!AB79</f>
        <v>0</v>
      </c>
      <c r="AG108" s="202">
        <f>景东!AC79</f>
        <v>0</v>
      </c>
      <c r="AH108" s="202">
        <f>景东!AD79</f>
        <v>0</v>
      </c>
      <c r="AI108" s="202">
        <f>景东!AE79</f>
        <v>0</v>
      </c>
      <c r="AJ108" s="202">
        <f>景东!AF79</f>
        <v>0</v>
      </c>
      <c r="AK108" s="165" t="str">
        <f>景东!AG79</f>
        <v>景东县花山镇淇海村大山组</v>
      </c>
      <c r="AL108" s="165" t="str">
        <f>景东!AH79</f>
        <v>2016</v>
      </c>
      <c r="AM108" s="165">
        <f>景东!AI79</f>
        <v>0</v>
      </c>
      <c r="AN108" s="165">
        <f>景东!AJ79</f>
        <v>0</v>
      </c>
      <c r="AO108" s="165">
        <f>景东!AK79</f>
        <v>0</v>
      </c>
      <c r="AP108" s="263">
        <v>25</v>
      </c>
      <c r="AQ108" s="209">
        <f>景东!AM79</f>
        <v>0</v>
      </c>
      <c r="AR108" s="295">
        <f>景东!AN79</f>
        <v>5</v>
      </c>
      <c r="AS108" s="199" t="str">
        <f>景东!AO79</f>
        <v>532724196409241232</v>
      </c>
      <c r="AT108" s="199" t="str">
        <f>景东!AP79</f>
        <v>15154839262</v>
      </c>
    </row>
    <row r="109" spans="1:46">
      <c r="A109" t="s">
        <v>1923</v>
      </c>
      <c r="B109" s="202" t="str">
        <f>VLOOKUP(A109,databases!$A$2:$B$7, 2, FALSE)</f>
        <v>JingDong</v>
      </c>
      <c r="C109" s="165" t="str">
        <f>景东!B80</f>
        <v>罗德勇</v>
      </c>
      <c r="D109" s="202" t="str">
        <f>VLOOKUP(C109,databases!$D$2:$E$145, 2, FALSE)</f>
        <v>R107</v>
      </c>
      <c r="E109" s="259">
        <f>INDEX(sample_database!$B$2:$B$506,MATCH(F109,sample_database!$L$2:$L$506,0))</f>
        <v>124</v>
      </c>
      <c r="F109" s="202" t="str">
        <f>景东!A80</f>
        <v>JD79</v>
      </c>
      <c r="G109" s="257">
        <f>景东!C80</f>
        <v>9</v>
      </c>
      <c r="H109" s="257">
        <f>景东!D80</f>
        <v>0</v>
      </c>
      <c r="I109" s="202">
        <f>景东!E80</f>
        <v>150</v>
      </c>
      <c r="J109" s="202">
        <f>景东!F80</f>
        <v>35</v>
      </c>
      <c r="K109" s="202">
        <f>景东!G80</f>
        <v>17</v>
      </c>
      <c r="L109" s="202">
        <f>景东!H80</f>
        <v>21</v>
      </c>
      <c r="M109" s="202">
        <f>景东!I80</f>
        <v>14</v>
      </c>
      <c r="N109" s="202">
        <f>景东!J80</f>
        <v>23</v>
      </c>
      <c r="O109" s="202">
        <f>景东!K80</f>
        <v>13</v>
      </c>
      <c r="P109" s="202">
        <f>景东!L80</f>
        <v>14</v>
      </c>
      <c r="Q109" s="202">
        <f>景东!M80</f>
        <v>5</v>
      </c>
      <c r="R109" s="202">
        <f>景东!N80</f>
        <v>8</v>
      </c>
      <c r="S109" s="202">
        <f>景东!O80</f>
        <v>0</v>
      </c>
      <c r="T109" s="202">
        <f>景东!P80</f>
        <v>0</v>
      </c>
      <c r="U109" s="202">
        <f>景东!Q80</f>
        <v>0</v>
      </c>
      <c r="V109" s="202">
        <f>景东!R80</f>
        <v>0</v>
      </c>
      <c r="W109" s="202">
        <f>景东!S80</f>
        <v>0</v>
      </c>
      <c r="X109" s="202">
        <f>景东!T80</f>
        <v>0</v>
      </c>
      <c r="Y109" s="202">
        <f>景东!U80</f>
        <v>0</v>
      </c>
      <c r="Z109" s="202">
        <f>景东!V80</f>
        <v>0</v>
      </c>
      <c r="AA109" s="202">
        <f>景东!W80</f>
        <v>0</v>
      </c>
      <c r="AB109" s="202">
        <f>景东!X80</f>
        <v>0</v>
      </c>
      <c r="AC109" s="202">
        <f>景东!Y80</f>
        <v>0</v>
      </c>
      <c r="AD109" s="202">
        <f>景东!Z80</f>
        <v>0</v>
      </c>
      <c r="AE109" s="202">
        <f>景东!AA80</f>
        <v>0</v>
      </c>
      <c r="AF109" s="202">
        <f>景东!AB80</f>
        <v>0</v>
      </c>
      <c r="AG109" s="202">
        <f>景东!AC80</f>
        <v>0</v>
      </c>
      <c r="AH109" s="202">
        <f>景东!AD80</f>
        <v>0</v>
      </c>
      <c r="AI109" s="202">
        <f>景东!AE80</f>
        <v>0</v>
      </c>
      <c r="AJ109" s="202">
        <f>景东!AF80</f>
        <v>0</v>
      </c>
      <c r="AK109" s="165" t="str">
        <f>景东!AG80</f>
        <v>景东县花山镇淇海村大山组</v>
      </c>
      <c r="AL109" s="165" t="str">
        <f>景东!AH80</f>
        <v>2016</v>
      </c>
      <c r="AM109" s="165">
        <f>景东!AI80</f>
        <v>0</v>
      </c>
      <c r="AN109" s="165">
        <f>景东!AJ80</f>
        <v>0</v>
      </c>
      <c r="AO109" s="165">
        <f>景东!AK80</f>
        <v>0</v>
      </c>
      <c r="AP109" s="263">
        <v>42.5</v>
      </c>
      <c r="AQ109" s="209" t="str">
        <f>景东!AM80</f>
        <v>1.5+2+1.5+1.5+2</v>
      </c>
      <c r="AR109" s="295">
        <f>景东!AN80</f>
        <v>8.5</v>
      </c>
      <c r="AS109" s="199" t="str">
        <f>景东!AO80</f>
        <v>532724196409241232</v>
      </c>
      <c r="AT109" s="199" t="str">
        <f>景东!AP80</f>
        <v>15154839262</v>
      </c>
    </row>
    <row r="110" spans="1:46">
      <c r="A110" t="s">
        <v>1923</v>
      </c>
      <c r="B110" s="202" t="str">
        <f>VLOOKUP(A110,databases!$A$2:$B$7, 2, FALSE)</f>
        <v>JingDong</v>
      </c>
      <c r="C110" s="165" t="str">
        <f>景东!B81</f>
        <v>罗德勇</v>
      </c>
      <c r="D110" s="202" t="str">
        <f>VLOOKUP(C110,databases!$D$2:$E$145, 2, FALSE)</f>
        <v>R107</v>
      </c>
      <c r="E110" s="259">
        <f>INDEX(sample_database!$B$2:$B$506,MATCH(F110,sample_database!$L$2:$L$506,0))</f>
        <v>124</v>
      </c>
      <c r="F110" s="202" t="str">
        <f>景东!A81</f>
        <v>JD80</v>
      </c>
      <c r="G110" s="257">
        <f>景东!C81</f>
        <v>0</v>
      </c>
      <c r="H110" s="257">
        <f>景东!D81</f>
        <v>4</v>
      </c>
      <c r="I110" s="202">
        <f>景东!E81</f>
        <v>24</v>
      </c>
      <c r="J110" s="202">
        <f>景东!F81</f>
        <v>5</v>
      </c>
      <c r="K110" s="202">
        <f>景东!G81</f>
        <v>9</v>
      </c>
      <c r="L110" s="202">
        <f>景东!H81</f>
        <v>8</v>
      </c>
      <c r="M110" s="202">
        <f>景东!I81</f>
        <v>2</v>
      </c>
      <c r="N110" s="202">
        <f>景东!J81</f>
        <v>0</v>
      </c>
      <c r="O110" s="202">
        <f>景东!K81</f>
        <v>0</v>
      </c>
      <c r="P110" s="202">
        <f>景东!L81</f>
        <v>0</v>
      </c>
      <c r="Q110" s="202">
        <f>景东!M81</f>
        <v>0</v>
      </c>
      <c r="R110" s="202">
        <f>景东!N81</f>
        <v>0</v>
      </c>
      <c r="S110" s="202">
        <f>景东!O81</f>
        <v>0</v>
      </c>
      <c r="T110" s="202">
        <f>景东!P81</f>
        <v>0</v>
      </c>
      <c r="U110" s="202">
        <f>景东!Q81</f>
        <v>0</v>
      </c>
      <c r="V110" s="202">
        <f>景东!R81</f>
        <v>0</v>
      </c>
      <c r="W110" s="202">
        <f>景东!S81</f>
        <v>0</v>
      </c>
      <c r="X110" s="202">
        <f>景东!T81</f>
        <v>0</v>
      </c>
      <c r="Y110" s="202">
        <f>景东!U81</f>
        <v>0</v>
      </c>
      <c r="Z110" s="202">
        <f>景东!V81</f>
        <v>0</v>
      </c>
      <c r="AA110" s="202">
        <f>景东!W81</f>
        <v>0</v>
      </c>
      <c r="AB110" s="202">
        <f>景东!X81</f>
        <v>0</v>
      </c>
      <c r="AC110" s="202">
        <f>景东!Y81</f>
        <v>0</v>
      </c>
      <c r="AD110" s="202">
        <f>景东!Z81</f>
        <v>0</v>
      </c>
      <c r="AE110" s="202">
        <f>景东!AA81</f>
        <v>0</v>
      </c>
      <c r="AF110" s="202">
        <f>景东!AB81</f>
        <v>0</v>
      </c>
      <c r="AG110" s="202">
        <f>景东!AC81</f>
        <v>0</v>
      </c>
      <c r="AH110" s="202">
        <f>景东!AD81</f>
        <v>0</v>
      </c>
      <c r="AI110" s="202">
        <f>景东!AE81</f>
        <v>0</v>
      </c>
      <c r="AJ110" s="202">
        <f>景东!AF81</f>
        <v>0</v>
      </c>
      <c r="AK110" s="165" t="str">
        <f>景东!AG81</f>
        <v>景东县花山镇淇海村大山组</v>
      </c>
      <c r="AL110" s="165" t="str">
        <f>景东!AH81</f>
        <v>2016</v>
      </c>
      <c r="AM110" s="165">
        <f>景东!AI81</f>
        <v>0</v>
      </c>
      <c r="AN110" s="165">
        <f>景东!AJ81</f>
        <v>0</v>
      </c>
      <c r="AO110" s="165">
        <f>景东!AK81</f>
        <v>0</v>
      </c>
      <c r="AP110" s="263">
        <v>7.5</v>
      </c>
      <c r="AQ110" s="209">
        <f>景东!AM81</f>
        <v>0</v>
      </c>
      <c r="AR110" s="295">
        <f>景东!AN81</f>
        <v>1.5</v>
      </c>
      <c r="AS110" s="199" t="str">
        <f>景东!AO81</f>
        <v>532724196409241232</v>
      </c>
      <c r="AT110" s="199" t="str">
        <f>景东!AP81</f>
        <v>15154839262</v>
      </c>
    </row>
    <row r="111" spans="1:46">
      <c r="A111" t="s">
        <v>1923</v>
      </c>
      <c r="B111" s="202" t="str">
        <f>VLOOKUP(A111,databases!$A$2:$B$7, 2, FALSE)</f>
        <v>JingDong</v>
      </c>
      <c r="C111" s="165" t="str">
        <f>景东!B63</f>
        <v>者付华</v>
      </c>
      <c r="D111" s="202" t="str">
        <f>VLOOKUP(C111,databases!$D$2:$E$145, 2, FALSE)</f>
        <v>R114</v>
      </c>
      <c r="E111" s="259">
        <f>INDEX(sample_database!$B$2:$B$506,MATCH(F111,sample_database!$L$2:$L$506,0))</f>
        <v>100</v>
      </c>
      <c r="F111" s="202" t="str">
        <f>景东!A63</f>
        <v>JD62</v>
      </c>
      <c r="G111" s="257">
        <f>景东!C63</f>
        <v>6</v>
      </c>
      <c r="H111" s="257">
        <f>景东!D63</f>
        <v>0</v>
      </c>
      <c r="I111" s="202">
        <f>景东!E63</f>
        <v>31</v>
      </c>
      <c r="J111" s="202">
        <f>景东!F63</f>
        <v>6</v>
      </c>
      <c r="K111" s="202">
        <f>景东!G63</f>
        <v>6</v>
      </c>
      <c r="L111" s="202">
        <f>景东!H63</f>
        <v>5</v>
      </c>
      <c r="M111" s="202">
        <f>景东!I63</f>
        <v>2</v>
      </c>
      <c r="N111" s="202">
        <f>景东!J63</f>
        <v>6</v>
      </c>
      <c r="O111" s="202">
        <f>景东!K63</f>
        <v>6</v>
      </c>
      <c r="P111" s="202">
        <f>景东!L63</f>
        <v>0</v>
      </c>
      <c r="Q111" s="202">
        <f>景东!M63</f>
        <v>0</v>
      </c>
      <c r="R111" s="202">
        <f>景东!N63</f>
        <v>0</v>
      </c>
      <c r="S111" s="202">
        <f>景东!O63</f>
        <v>0</v>
      </c>
      <c r="T111" s="202">
        <f>景东!P63</f>
        <v>0</v>
      </c>
      <c r="U111" s="202">
        <f>景东!Q63</f>
        <v>0</v>
      </c>
      <c r="V111" s="202">
        <f>景东!R63</f>
        <v>0</v>
      </c>
      <c r="W111" s="202">
        <f>景东!S63</f>
        <v>0</v>
      </c>
      <c r="X111" s="202">
        <f>景东!T63</f>
        <v>0</v>
      </c>
      <c r="Y111" s="202">
        <f>景东!U63</f>
        <v>0</v>
      </c>
      <c r="Z111" s="202">
        <f>景东!V63</f>
        <v>0</v>
      </c>
      <c r="AA111" s="202">
        <f>景东!W63</f>
        <v>0</v>
      </c>
      <c r="AB111" s="202">
        <f>景东!X63</f>
        <v>0</v>
      </c>
      <c r="AC111" s="202">
        <f>景东!Y63</f>
        <v>0</v>
      </c>
      <c r="AD111" s="202">
        <f>景东!Z63</f>
        <v>0</v>
      </c>
      <c r="AE111" s="202">
        <f>景东!AA63</f>
        <v>0</v>
      </c>
      <c r="AF111" s="202">
        <f>景东!AB63</f>
        <v>0</v>
      </c>
      <c r="AG111" s="202">
        <f>景东!AC63</f>
        <v>0</v>
      </c>
      <c r="AH111" s="202">
        <f>景东!AD63</f>
        <v>0</v>
      </c>
      <c r="AI111" s="202">
        <f>景东!AE63</f>
        <v>0</v>
      </c>
      <c r="AJ111" s="202">
        <f>景东!AF63</f>
        <v>0</v>
      </c>
      <c r="AK111" s="165" t="str">
        <f>景东!AG63</f>
        <v>景东县龙街乡寿府水？一组，小沙水大白水</v>
      </c>
      <c r="AL111" s="165" t="str">
        <f>景东!AH63</f>
        <v>201608</v>
      </c>
      <c r="AM111" s="165">
        <f>景东!AI63</f>
        <v>0</v>
      </c>
      <c r="AN111" s="165">
        <f>景东!AJ63</f>
        <v>0</v>
      </c>
      <c r="AO111" s="165">
        <f>景东!AK63</f>
        <v>0</v>
      </c>
      <c r="AP111" s="263">
        <v>4</v>
      </c>
      <c r="AQ111" s="209">
        <f>景东!AM63</f>
        <v>0</v>
      </c>
      <c r="AR111" s="295">
        <f>景东!AN63</f>
        <v>0.8</v>
      </c>
      <c r="AS111" s="199" t="str">
        <f>景东!AO63</f>
        <v>532724197007132139</v>
      </c>
      <c r="AT111" s="199" t="str">
        <f>景东!AP63</f>
        <v>15912958748</v>
      </c>
    </row>
    <row r="112" spans="1:46">
      <c r="A112" t="s">
        <v>1923</v>
      </c>
      <c r="B112" s="202" t="str">
        <f>VLOOKUP(A112,databases!$A$2:$B$7, 2, FALSE)</f>
        <v>JingDong</v>
      </c>
      <c r="C112" s="165" t="str">
        <f>景东!B74</f>
        <v>自付文</v>
      </c>
      <c r="D112" s="202" t="str">
        <f>VLOOKUP(C112,databases!$D$2:$E$145, 2, FALSE)</f>
        <v>R116</v>
      </c>
      <c r="E112" s="259">
        <f>INDEX(sample_database!$B$2:$B$506,MATCH(F112,sample_database!$L$2:$L$506,0))</f>
        <v>110</v>
      </c>
      <c r="F112" s="202" t="str">
        <f>景东!A74</f>
        <v>JD73</v>
      </c>
      <c r="G112" s="257">
        <f>景东!C74</f>
        <v>0</v>
      </c>
      <c r="H112" s="257">
        <f>景东!D74</f>
        <v>20</v>
      </c>
      <c r="I112" s="202">
        <f>景东!E74</f>
        <v>100</v>
      </c>
      <c r="J112" s="202">
        <f>景东!F74</f>
        <v>2</v>
      </c>
      <c r="K112" s="202">
        <f>景东!G74</f>
        <v>3</v>
      </c>
      <c r="L112" s="202">
        <f>景东!H74</f>
        <v>3</v>
      </c>
      <c r="M112" s="202">
        <f>景东!I74</f>
        <v>4</v>
      </c>
      <c r="N112" s="202">
        <f>景东!J74</f>
        <v>4</v>
      </c>
      <c r="O112" s="202">
        <f>景东!K74</f>
        <v>4</v>
      </c>
      <c r="P112" s="202">
        <f>景东!L74</f>
        <v>4</v>
      </c>
      <c r="Q112" s="202">
        <f>景东!M74</f>
        <v>5</v>
      </c>
      <c r="R112" s="202">
        <f>景东!N74</f>
        <v>5</v>
      </c>
      <c r="S112" s="202">
        <f>景东!O74</f>
        <v>5</v>
      </c>
      <c r="T112" s="202">
        <f>景东!P74</f>
        <v>5</v>
      </c>
      <c r="U112" s="202">
        <f>景东!Q74</f>
        <v>6</v>
      </c>
      <c r="V112" s="202">
        <f>景东!R74</f>
        <v>6</v>
      </c>
      <c r="W112" s="202">
        <f>景东!S74</f>
        <v>6</v>
      </c>
      <c r="X112" s="202">
        <f>景东!T74</f>
        <v>6</v>
      </c>
      <c r="Y112" s="202">
        <f>景东!U74</f>
        <v>6</v>
      </c>
      <c r="Z112" s="202">
        <f>景东!V74</f>
        <v>6</v>
      </c>
      <c r="AA112" s="202">
        <f>景东!W74</f>
        <v>6</v>
      </c>
      <c r="AB112" s="202">
        <f>景东!X74</f>
        <v>7</v>
      </c>
      <c r="AC112" s="202">
        <f>景东!Y74</f>
        <v>7</v>
      </c>
      <c r="AD112" s="202">
        <f>景东!Z74</f>
        <v>0</v>
      </c>
      <c r="AE112" s="202">
        <f>景东!AA74</f>
        <v>0</v>
      </c>
      <c r="AF112" s="202">
        <f>景东!AB74</f>
        <v>0</v>
      </c>
      <c r="AG112" s="202">
        <f>景东!AC74</f>
        <v>0</v>
      </c>
      <c r="AH112" s="202">
        <f>景东!AD74</f>
        <v>0</v>
      </c>
      <c r="AI112" s="202">
        <f>景东!AE74</f>
        <v>0</v>
      </c>
      <c r="AJ112" s="202">
        <f>景东!AF74</f>
        <v>0</v>
      </c>
      <c r="AK112" s="165" t="str">
        <f>景东!AG74</f>
        <v>景东县麦地村黄风箐小组</v>
      </c>
      <c r="AL112" s="165" t="str">
        <f>景东!AH74</f>
        <v>20160711</v>
      </c>
      <c r="AM112" s="165">
        <f>景东!AI74</f>
        <v>0</v>
      </c>
      <c r="AN112" s="165">
        <f>景东!AJ74</f>
        <v>0</v>
      </c>
      <c r="AO112" s="165" t="str">
        <f>景东!AK74</f>
        <v>海拔2491，N24°29′4.88″ E101°03′44.34″</v>
      </c>
      <c r="AP112" s="263">
        <v>19.5</v>
      </c>
      <c r="AQ112" s="209" t="str">
        <f>景东!AM74</f>
        <v>0.5+0.7+0.9*3</v>
      </c>
      <c r="AR112" s="295">
        <f>景东!AN74</f>
        <v>3.9000000000000004</v>
      </c>
      <c r="AS112" s="199" t="str">
        <f>景东!AO74</f>
        <v>532724198410121819</v>
      </c>
      <c r="AT112" s="199" t="str">
        <f>景东!AP74</f>
        <v>15125657367</v>
      </c>
    </row>
    <row r="113" spans="1:46">
      <c r="A113" t="s">
        <v>1923</v>
      </c>
      <c r="B113" s="202" t="str">
        <f>VLOOKUP(A113,databases!$A$2:$B$7, 2, FALSE)</f>
        <v>JingDong</v>
      </c>
      <c r="C113" s="165" t="str">
        <f>景东!B75</f>
        <v>自付文</v>
      </c>
      <c r="D113" s="202" t="str">
        <f>VLOOKUP(C113,databases!$D$2:$E$145, 2, FALSE)</f>
        <v>R116</v>
      </c>
      <c r="E113" s="259">
        <f>INDEX(sample_database!$B$2:$B$506,MATCH(F113,sample_database!$L$2:$L$506,0))</f>
        <v>110</v>
      </c>
      <c r="F113" s="202" t="str">
        <f>景东!A75</f>
        <v>JD74</v>
      </c>
      <c r="G113" s="257">
        <f>景东!C75</f>
        <v>9</v>
      </c>
      <c r="H113" s="257">
        <f>景东!D75</f>
        <v>0</v>
      </c>
      <c r="I113" s="202">
        <f>景东!E75</f>
        <v>41</v>
      </c>
      <c r="J113" s="202">
        <f>景东!F75</f>
        <v>3</v>
      </c>
      <c r="K113" s="202">
        <f>景东!G75</f>
        <v>3</v>
      </c>
      <c r="L113" s="202">
        <f>景东!H75</f>
        <v>4</v>
      </c>
      <c r="M113" s="202">
        <f>景东!I75</f>
        <v>4</v>
      </c>
      <c r="N113" s="202">
        <f>景东!J75</f>
        <v>4</v>
      </c>
      <c r="O113" s="202">
        <f>景东!K75</f>
        <v>5</v>
      </c>
      <c r="P113" s="202">
        <f>景东!L75</f>
        <v>5</v>
      </c>
      <c r="Q113" s="202">
        <f>景东!M75</f>
        <v>6</v>
      </c>
      <c r="R113" s="202">
        <f>景东!N75</f>
        <v>7</v>
      </c>
      <c r="S113" s="202">
        <f>景东!O75</f>
        <v>0</v>
      </c>
      <c r="T113" s="202">
        <f>景东!P75</f>
        <v>0</v>
      </c>
      <c r="U113" s="202">
        <f>景东!Q75</f>
        <v>0</v>
      </c>
      <c r="V113" s="202">
        <f>景东!R75</f>
        <v>0</v>
      </c>
      <c r="W113" s="202">
        <f>景东!S75</f>
        <v>0</v>
      </c>
      <c r="X113" s="202">
        <f>景东!T75</f>
        <v>0</v>
      </c>
      <c r="Y113" s="202">
        <f>景东!U75</f>
        <v>0</v>
      </c>
      <c r="Z113" s="202">
        <f>景东!V75</f>
        <v>0</v>
      </c>
      <c r="AA113" s="202">
        <f>景东!W75</f>
        <v>0</v>
      </c>
      <c r="AB113" s="202">
        <f>景东!X75</f>
        <v>0</v>
      </c>
      <c r="AC113" s="202">
        <f>景东!Y75</f>
        <v>0</v>
      </c>
      <c r="AD113" s="202">
        <f>景东!Z75</f>
        <v>0</v>
      </c>
      <c r="AE113" s="202">
        <f>景东!AA75</f>
        <v>0</v>
      </c>
      <c r="AF113" s="202">
        <f>景东!AB75</f>
        <v>0</v>
      </c>
      <c r="AG113" s="202">
        <f>景东!AC75</f>
        <v>0</v>
      </c>
      <c r="AH113" s="202">
        <f>景东!AD75</f>
        <v>0</v>
      </c>
      <c r="AI113" s="202">
        <f>景东!AE75</f>
        <v>0</v>
      </c>
      <c r="AJ113" s="202">
        <f>景东!AF75</f>
        <v>0</v>
      </c>
      <c r="AK113" s="165" t="str">
        <f>景东!AG75</f>
        <v>景东县麦地村黄风箐小组</v>
      </c>
      <c r="AL113" s="165" t="str">
        <f>景东!AH75</f>
        <v>20160717</v>
      </c>
      <c r="AM113" s="165">
        <f>景东!AI75</f>
        <v>0</v>
      </c>
      <c r="AN113" s="165">
        <f>景东!AJ75</f>
        <v>0</v>
      </c>
      <c r="AO113" s="165" t="str">
        <f>景东!AK75</f>
        <v>海拔2419，N24°29′4.88″ E101°03′44.43″</v>
      </c>
      <c r="AP113" s="263">
        <v>7.5</v>
      </c>
      <c r="AQ113" s="209">
        <f>景东!AM75</f>
        <v>0</v>
      </c>
      <c r="AR113" s="295">
        <f>景东!AN75</f>
        <v>1.5</v>
      </c>
      <c r="AS113" s="199" t="str">
        <f>景东!AO75</f>
        <v>532724198410121819</v>
      </c>
      <c r="AT113" s="199" t="str">
        <f>景东!AP75</f>
        <v>15125657367</v>
      </c>
    </row>
    <row r="114" spans="1:46">
      <c r="A114" t="s">
        <v>1923</v>
      </c>
      <c r="B114" s="202" t="str">
        <f>VLOOKUP(A114,databases!$A$2:$B$7, 2, FALSE)</f>
        <v>JingDong</v>
      </c>
      <c r="C114" s="165" t="str">
        <f>景东!B76</f>
        <v>自付文</v>
      </c>
      <c r="D114" s="202" t="str">
        <f>VLOOKUP(C114,databases!$D$2:$E$145, 2, FALSE)</f>
        <v>R116</v>
      </c>
      <c r="E114" s="259">
        <f>INDEX(sample_database!$B$2:$B$506,MATCH(F114,sample_database!$L$2:$L$506,0))</f>
        <v>110</v>
      </c>
      <c r="F114" s="202" t="str">
        <f>景东!A76</f>
        <v>JD75</v>
      </c>
      <c r="G114" s="257">
        <f>景东!C76</f>
        <v>9</v>
      </c>
      <c r="H114" s="257">
        <f>景东!D76</f>
        <v>0</v>
      </c>
      <c r="I114" s="202">
        <f>景东!E76</f>
        <v>38</v>
      </c>
      <c r="J114" s="202">
        <f>景东!F76</f>
        <v>2</v>
      </c>
      <c r="K114" s="202">
        <f>景东!G76</f>
        <v>3</v>
      </c>
      <c r="L114" s="202">
        <f>景东!H76</f>
        <v>3</v>
      </c>
      <c r="M114" s="202">
        <f>景东!I76</f>
        <v>3</v>
      </c>
      <c r="N114" s="202">
        <f>景东!J76</f>
        <v>4</v>
      </c>
      <c r="O114" s="202">
        <f>景东!K76</f>
        <v>4</v>
      </c>
      <c r="P114" s="202">
        <f>景东!L76</f>
        <v>5</v>
      </c>
      <c r="Q114" s="202">
        <f>景东!M76</f>
        <v>6</v>
      </c>
      <c r="R114" s="202">
        <f>景东!N76</f>
        <v>8</v>
      </c>
      <c r="S114" s="202">
        <f>景东!O76</f>
        <v>0</v>
      </c>
      <c r="T114" s="202">
        <f>景东!P76</f>
        <v>0</v>
      </c>
      <c r="U114" s="202">
        <f>景东!Q76</f>
        <v>0</v>
      </c>
      <c r="V114" s="202">
        <f>景东!R76</f>
        <v>0</v>
      </c>
      <c r="W114" s="202">
        <f>景东!S76</f>
        <v>0</v>
      </c>
      <c r="X114" s="202">
        <f>景东!T76</f>
        <v>0</v>
      </c>
      <c r="Y114" s="202">
        <f>景东!U76</f>
        <v>0</v>
      </c>
      <c r="Z114" s="202">
        <f>景东!V76</f>
        <v>0</v>
      </c>
      <c r="AA114" s="202">
        <f>景东!W76</f>
        <v>0</v>
      </c>
      <c r="AB114" s="202">
        <f>景东!X76</f>
        <v>0</v>
      </c>
      <c r="AC114" s="202">
        <f>景东!Y76</f>
        <v>0</v>
      </c>
      <c r="AD114" s="202">
        <f>景东!Z76</f>
        <v>0</v>
      </c>
      <c r="AE114" s="202">
        <f>景东!AA76</f>
        <v>0</v>
      </c>
      <c r="AF114" s="202">
        <f>景东!AB76</f>
        <v>0</v>
      </c>
      <c r="AG114" s="202">
        <f>景东!AC76</f>
        <v>0</v>
      </c>
      <c r="AH114" s="202">
        <f>景东!AD76</f>
        <v>0</v>
      </c>
      <c r="AI114" s="202">
        <f>景东!AE76</f>
        <v>0</v>
      </c>
      <c r="AJ114" s="202">
        <f>景东!AF76</f>
        <v>0</v>
      </c>
      <c r="AK114" s="165" t="str">
        <f>景东!AG76</f>
        <v>景东县麦地村黄风箐小组</v>
      </c>
      <c r="AL114" s="165" t="str">
        <f>景东!AH76</f>
        <v>20160721</v>
      </c>
      <c r="AM114" s="165">
        <f>景东!AI76</f>
        <v>0</v>
      </c>
      <c r="AN114" s="165">
        <f>景东!AJ76</f>
        <v>0</v>
      </c>
      <c r="AO114" s="165" t="str">
        <f>景东!AK76</f>
        <v>海拔2408，N24°29′4.88″ E101°03′44.43″</v>
      </c>
      <c r="AP114" s="263">
        <v>10</v>
      </c>
      <c r="AQ114" s="209">
        <f>景东!AM76</f>
        <v>0</v>
      </c>
      <c r="AR114" s="295">
        <f>景东!AN76</f>
        <v>2</v>
      </c>
      <c r="AS114" s="199" t="str">
        <f>景东!AO76</f>
        <v>532724198410121819</v>
      </c>
      <c r="AT114" s="199" t="str">
        <f>景东!AP76</f>
        <v>15125657367</v>
      </c>
    </row>
    <row r="115" spans="1:46">
      <c r="A115" t="s">
        <v>1923</v>
      </c>
      <c r="B115" s="202" t="str">
        <f>VLOOKUP(A115,databases!$A$2:$B$7, 2, FALSE)</f>
        <v>JingDong</v>
      </c>
      <c r="C115" s="165" t="str">
        <f>景东!B77</f>
        <v>自付文</v>
      </c>
      <c r="D115" s="202" t="str">
        <f>VLOOKUP(C115,databases!$D$2:$E$145, 2, FALSE)</f>
        <v>R116</v>
      </c>
      <c r="E115" s="259">
        <f>INDEX(sample_database!$B$2:$B$506,MATCH(F115,sample_database!$L$2:$L$506,0))</f>
        <v>110</v>
      </c>
      <c r="F115" s="202" t="str">
        <f>景东!A77</f>
        <v>JD76</v>
      </c>
      <c r="G115" s="257">
        <f>景东!C77</f>
        <v>10</v>
      </c>
      <c r="H115" s="257">
        <f>景东!D77</f>
        <v>0</v>
      </c>
      <c r="I115" s="202">
        <f>景东!E77</f>
        <v>41</v>
      </c>
      <c r="J115" s="202">
        <f>景东!F77</f>
        <v>3</v>
      </c>
      <c r="K115" s="202">
        <f>景东!G77</f>
        <v>3</v>
      </c>
      <c r="L115" s="202">
        <f>景东!H77</f>
        <v>3</v>
      </c>
      <c r="M115" s="202">
        <f>景东!I77</f>
        <v>3</v>
      </c>
      <c r="N115" s="202">
        <f>景东!J77</f>
        <v>4</v>
      </c>
      <c r="O115" s="202">
        <f>景东!K77</f>
        <v>4</v>
      </c>
      <c r="P115" s="202">
        <f>景东!L77</f>
        <v>4</v>
      </c>
      <c r="Q115" s="202">
        <f>景东!M77</f>
        <v>5</v>
      </c>
      <c r="R115" s="202">
        <f>景东!N77</f>
        <v>5</v>
      </c>
      <c r="S115" s="202">
        <f>景东!O77</f>
        <v>7</v>
      </c>
      <c r="T115" s="202">
        <f>景东!P77</f>
        <v>0</v>
      </c>
      <c r="U115" s="202">
        <f>景东!Q77</f>
        <v>0</v>
      </c>
      <c r="V115" s="202">
        <f>景东!R77</f>
        <v>0</v>
      </c>
      <c r="W115" s="202">
        <f>景东!S77</f>
        <v>0</v>
      </c>
      <c r="X115" s="202">
        <f>景东!T77</f>
        <v>0</v>
      </c>
      <c r="Y115" s="202">
        <f>景东!U77</f>
        <v>0</v>
      </c>
      <c r="Z115" s="202">
        <f>景东!V77</f>
        <v>0</v>
      </c>
      <c r="AA115" s="202">
        <f>景东!W77</f>
        <v>0</v>
      </c>
      <c r="AB115" s="202">
        <f>景东!X77</f>
        <v>0</v>
      </c>
      <c r="AC115" s="202">
        <f>景东!Y77</f>
        <v>0</v>
      </c>
      <c r="AD115" s="202">
        <f>景东!Z77</f>
        <v>0</v>
      </c>
      <c r="AE115" s="202">
        <f>景东!AA77</f>
        <v>0</v>
      </c>
      <c r="AF115" s="202">
        <f>景东!AB77</f>
        <v>0</v>
      </c>
      <c r="AG115" s="202">
        <f>景东!AC77</f>
        <v>0</v>
      </c>
      <c r="AH115" s="202">
        <f>景东!AD77</f>
        <v>0</v>
      </c>
      <c r="AI115" s="202">
        <f>景东!AE77</f>
        <v>0</v>
      </c>
      <c r="AJ115" s="202">
        <f>景东!AF77</f>
        <v>0</v>
      </c>
      <c r="AK115" s="165" t="str">
        <f>景东!AG77</f>
        <v>景东县麦地村黄风箐小组</v>
      </c>
      <c r="AL115" s="165" t="str">
        <f>景东!AH77</f>
        <v>20160803</v>
      </c>
      <c r="AM115" s="165">
        <f>景东!AI77</f>
        <v>0</v>
      </c>
      <c r="AN115" s="165">
        <f>景东!AJ77</f>
        <v>0</v>
      </c>
      <c r="AO115" s="165" t="str">
        <f>景东!AK77</f>
        <v>海拔2330，N24°28′36.79″ E101°04′19.98″</v>
      </c>
      <c r="AP115" s="263">
        <v>12.5</v>
      </c>
      <c r="AQ115" s="209">
        <f>景东!AM77</f>
        <v>0</v>
      </c>
      <c r="AR115" s="295">
        <f>景东!AN77</f>
        <v>2.5</v>
      </c>
      <c r="AS115" s="199" t="str">
        <f>景东!AO77</f>
        <v>532724198410121819</v>
      </c>
      <c r="AT115" s="199" t="str">
        <f>景东!AP77</f>
        <v>15125657367</v>
      </c>
    </row>
    <row r="116" spans="1:46">
      <c r="A116" t="s">
        <v>1923</v>
      </c>
      <c r="B116" s="202" t="str">
        <f>VLOOKUP(A116,databases!$A$2:$B$7, 2, FALSE)</f>
        <v>JingDong</v>
      </c>
      <c r="C116" s="165" t="str">
        <f>景东!B78</f>
        <v>自付文</v>
      </c>
      <c r="D116" s="202" t="str">
        <f>VLOOKUP(C116,databases!$D$2:$E$145, 2, FALSE)</f>
        <v>R116</v>
      </c>
      <c r="E116" s="259">
        <f>INDEX(sample_database!$B$2:$B$506,MATCH(F116,sample_database!$L$2:$L$506,0))</f>
        <v>110</v>
      </c>
      <c r="F116" s="202" t="str">
        <f>景东!A78</f>
        <v>JD77</v>
      </c>
      <c r="G116" s="257">
        <f>景东!C78</f>
        <v>10</v>
      </c>
      <c r="H116" s="257">
        <f>景东!D78</f>
        <v>0</v>
      </c>
      <c r="I116" s="202">
        <f>景东!E78</f>
        <v>51</v>
      </c>
      <c r="J116" s="202">
        <f>景东!F78</f>
        <v>2</v>
      </c>
      <c r="K116" s="202">
        <f>景东!G78</f>
        <v>4</v>
      </c>
      <c r="L116" s="202">
        <f>景东!H78</f>
        <v>4</v>
      </c>
      <c r="M116" s="202">
        <f>景东!I78</f>
        <v>4</v>
      </c>
      <c r="N116" s="202">
        <f>景东!J78</f>
        <v>4</v>
      </c>
      <c r="O116" s="202">
        <f>景东!K78</f>
        <v>5</v>
      </c>
      <c r="P116" s="202">
        <f>景东!L78</f>
        <v>5</v>
      </c>
      <c r="Q116" s="202">
        <f>景东!M78</f>
        <v>6</v>
      </c>
      <c r="R116" s="202">
        <f>景东!N78</f>
        <v>8</v>
      </c>
      <c r="S116" s="202">
        <f>景东!O78</f>
        <v>9</v>
      </c>
      <c r="T116" s="202">
        <f>景东!P78</f>
        <v>0</v>
      </c>
      <c r="U116" s="202">
        <f>景东!Q78</f>
        <v>0</v>
      </c>
      <c r="V116" s="202">
        <f>景东!R78</f>
        <v>0</v>
      </c>
      <c r="W116" s="202">
        <f>景东!S78</f>
        <v>0</v>
      </c>
      <c r="X116" s="202">
        <f>景东!T78</f>
        <v>0</v>
      </c>
      <c r="Y116" s="202">
        <f>景东!U78</f>
        <v>0</v>
      </c>
      <c r="Z116" s="202">
        <f>景东!V78</f>
        <v>0</v>
      </c>
      <c r="AA116" s="202">
        <f>景东!W78</f>
        <v>0</v>
      </c>
      <c r="AB116" s="202">
        <f>景东!X78</f>
        <v>0</v>
      </c>
      <c r="AC116" s="202">
        <f>景东!Y78</f>
        <v>0</v>
      </c>
      <c r="AD116" s="202">
        <f>景东!Z78</f>
        <v>0</v>
      </c>
      <c r="AE116" s="202">
        <f>景东!AA78</f>
        <v>0</v>
      </c>
      <c r="AF116" s="202">
        <f>景东!AB78</f>
        <v>0</v>
      </c>
      <c r="AG116" s="202">
        <f>景东!AC78</f>
        <v>0</v>
      </c>
      <c r="AH116" s="202">
        <f>景东!AD78</f>
        <v>0</v>
      </c>
      <c r="AI116" s="202">
        <f>景东!AE78</f>
        <v>0</v>
      </c>
      <c r="AJ116" s="202">
        <f>景东!AF78</f>
        <v>0</v>
      </c>
      <c r="AK116" s="165" t="str">
        <f>景东!AG78</f>
        <v>景东县麦地村黄风箐小组</v>
      </c>
      <c r="AL116" s="165" t="str">
        <f>景东!AH78</f>
        <v>20160808</v>
      </c>
      <c r="AM116" s="165">
        <f>景东!AI78</f>
        <v>0</v>
      </c>
      <c r="AN116" s="165">
        <f>景东!AJ78</f>
        <v>0</v>
      </c>
      <c r="AO116" s="165" t="str">
        <f>景东!AK78</f>
        <v>海拔2317，N24°28′41.53″ E101°04′21.64″</v>
      </c>
      <c r="AP116" s="263">
        <v>7.5</v>
      </c>
      <c r="AQ116" s="209">
        <f>景东!AM78</f>
        <v>0</v>
      </c>
      <c r="AR116" s="295">
        <f>景东!AN78</f>
        <v>1.5</v>
      </c>
      <c r="AS116" s="199" t="str">
        <f>景东!AO78</f>
        <v>532724198410121819</v>
      </c>
      <c r="AT116" s="199" t="str">
        <f>景东!AP78</f>
        <v>15125657367</v>
      </c>
    </row>
    <row r="117" spans="1:46">
      <c r="A117" t="s">
        <v>1923</v>
      </c>
      <c r="B117" s="202" t="str">
        <f>VLOOKUP(A117,databases!$A$2:$B$7, 2, FALSE)</f>
        <v>JingDong</v>
      </c>
      <c r="C117" s="165" t="str">
        <f>景东!B58</f>
        <v>詹清平</v>
      </c>
      <c r="D117" s="202" t="str">
        <f>VLOOKUP(C117,databases!$D$2:$E$145, 2, FALSE)</f>
        <v>R121</v>
      </c>
      <c r="E117" s="259">
        <f>INDEX(sample_database!$B$2:$B$506,MATCH(F117,sample_database!$L$2:$L$506,0))</f>
        <v>115</v>
      </c>
      <c r="F117" s="202" t="str">
        <f>景东!A58</f>
        <v>JD57</v>
      </c>
      <c r="G117" s="257">
        <f>景东!C58</f>
        <v>0</v>
      </c>
      <c r="H117" s="257">
        <f>景东!D58</f>
        <v>19</v>
      </c>
      <c r="I117" s="202">
        <f>景东!E58</f>
        <v>182</v>
      </c>
      <c r="J117" s="202">
        <f>景东!F58</f>
        <v>3</v>
      </c>
      <c r="K117" s="202">
        <f>景东!G58</f>
        <v>5</v>
      </c>
      <c r="L117" s="202">
        <f>景东!H58</f>
        <v>6</v>
      </c>
      <c r="M117" s="202">
        <f>景东!I58</f>
        <v>6</v>
      </c>
      <c r="N117" s="202">
        <f>景东!J58</f>
        <v>6</v>
      </c>
      <c r="O117" s="202">
        <f>景东!K58</f>
        <v>13</v>
      </c>
      <c r="P117" s="202">
        <f>景东!L58</f>
        <v>13</v>
      </c>
      <c r="Q117" s="202">
        <f>景东!M58</f>
        <v>8</v>
      </c>
      <c r="R117" s="202">
        <f>景东!N58</f>
        <v>8</v>
      </c>
      <c r="S117" s="202">
        <f>景东!O58</f>
        <v>8</v>
      </c>
      <c r="T117" s="202">
        <f>景东!P58</f>
        <v>8</v>
      </c>
      <c r="U117" s="202">
        <f>景东!Q58</f>
        <v>11</v>
      </c>
      <c r="V117" s="202">
        <f>景东!R58</f>
        <v>11</v>
      </c>
      <c r="W117" s="202">
        <f>景东!S58</f>
        <v>10</v>
      </c>
      <c r="X117" s="202">
        <f>景东!T58</f>
        <v>10</v>
      </c>
      <c r="Y117" s="202">
        <f>景东!U58</f>
        <v>10</v>
      </c>
      <c r="Z117" s="202">
        <f>景东!V58</f>
        <v>15</v>
      </c>
      <c r="AA117" s="202">
        <f>景东!W58</f>
        <v>15</v>
      </c>
      <c r="AB117" s="202">
        <f>景东!X58</f>
        <v>16</v>
      </c>
      <c r="AC117" s="202">
        <f>景东!Y58</f>
        <v>0</v>
      </c>
      <c r="AD117" s="202">
        <f>景东!Z58</f>
        <v>0</v>
      </c>
      <c r="AE117" s="202">
        <f>景东!AA58</f>
        <v>0</v>
      </c>
      <c r="AF117" s="202">
        <f>景东!AB58</f>
        <v>0</v>
      </c>
      <c r="AG117" s="202">
        <f>景东!AC58</f>
        <v>0</v>
      </c>
      <c r="AH117" s="202">
        <f>景东!AD58</f>
        <v>0</v>
      </c>
      <c r="AI117" s="202">
        <f>景东!AE58</f>
        <v>0</v>
      </c>
      <c r="AJ117" s="202">
        <f>景东!AF58</f>
        <v>0</v>
      </c>
      <c r="AK117" s="165" t="str">
        <f>景东!AG58</f>
        <v>景东县大街镇气力村箐门口小组，白沙井</v>
      </c>
      <c r="AL117" s="165" t="str">
        <f>景东!AH58</f>
        <v>20160822</v>
      </c>
      <c r="AM117" s="165">
        <f>景东!AI58</f>
        <v>0</v>
      </c>
      <c r="AN117" s="165">
        <f>景东!AJ58</f>
        <v>0</v>
      </c>
      <c r="AO117" s="165" t="str">
        <f>景东!AK58</f>
        <v>海拔2373，N24°24′24.10″ E101°07′12.01″</v>
      </c>
      <c r="AP117" s="263">
        <v>50</v>
      </c>
      <c r="AQ117" s="209" t="str">
        <f>景东!AM58</f>
        <v>2.5+1.5+2+2+2</v>
      </c>
      <c r="AR117" s="295">
        <f>景东!AN58</f>
        <v>10</v>
      </c>
      <c r="AS117" s="199" t="str">
        <f>景东!AO58</f>
        <v>532724197401281517</v>
      </c>
      <c r="AT117" s="199" t="str">
        <f>景东!AP58</f>
        <v>15987976882</v>
      </c>
    </row>
    <row r="118" spans="1:46">
      <c r="A118" t="s">
        <v>1923</v>
      </c>
      <c r="B118" s="202" t="str">
        <f>VLOOKUP(A118,databases!$A$2:$B$7, 2, FALSE)</f>
        <v>JingDong</v>
      </c>
      <c r="C118" s="165" t="str">
        <f>景东!B59</f>
        <v>詹清平</v>
      </c>
      <c r="D118" s="202" t="str">
        <f>VLOOKUP(C118,databases!$D$2:$E$145, 2, FALSE)</f>
        <v>R121</v>
      </c>
      <c r="E118" s="259">
        <f>INDEX(sample_database!$B$2:$B$506,MATCH(F118,sample_database!$L$2:$L$506,0))</f>
        <v>115</v>
      </c>
      <c r="F118" s="202" t="str">
        <f>景东!A59</f>
        <v>JD58</v>
      </c>
      <c r="G118" s="257">
        <f>景东!C59</f>
        <v>10</v>
      </c>
      <c r="H118" s="257">
        <f>景东!D59</f>
        <v>0</v>
      </c>
      <c r="I118" s="202">
        <f>景东!E59</f>
        <v>199</v>
      </c>
      <c r="J118" s="202">
        <f>景东!F59</f>
        <v>19</v>
      </c>
      <c r="K118" s="202">
        <f>景东!G59</f>
        <v>10</v>
      </c>
      <c r="L118" s="202">
        <f>景东!H59</f>
        <v>26</v>
      </c>
      <c r="M118" s="202">
        <f>景东!I59</f>
        <v>8</v>
      </c>
      <c r="N118" s="202">
        <f>景东!J59</f>
        <v>16</v>
      </c>
      <c r="O118" s="202">
        <f>景东!K59</f>
        <v>16</v>
      </c>
      <c r="P118" s="202">
        <f>景东!L59</f>
        <v>16</v>
      </c>
      <c r="Q118" s="202">
        <f>景东!M59</f>
        <v>27</v>
      </c>
      <c r="R118" s="202">
        <f>景东!N59</f>
        <v>22</v>
      </c>
      <c r="S118" s="202">
        <f>景东!O59</f>
        <v>39</v>
      </c>
      <c r="T118" s="202">
        <f>景东!P59</f>
        <v>0</v>
      </c>
      <c r="U118" s="202">
        <f>景东!Q59</f>
        <v>0</v>
      </c>
      <c r="V118" s="202">
        <f>景东!R59</f>
        <v>0</v>
      </c>
      <c r="W118" s="202">
        <f>景东!S59</f>
        <v>0</v>
      </c>
      <c r="X118" s="202">
        <f>景东!T59</f>
        <v>0</v>
      </c>
      <c r="Y118" s="202">
        <f>景东!U59</f>
        <v>0</v>
      </c>
      <c r="Z118" s="202">
        <f>景东!V59</f>
        <v>0</v>
      </c>
      <c r="AA118" s="202">
        <f>景东!W59</f>
        <v>0</v>
      </c>
      <c r="AB118" s="202">
        <f>景东!X59</f>
        <v>0</v>
      </c>
      <c r="AC118" s="202">
        <f>景东!Y59</f>
        <v>0</v>
      </c>
      <c r="AD118" s="202">
        <f>景东!Z59</f>
        <v>0</v>
      </c>
      <c r="AE118" s="202">
        <f>景东!AA59</f>
        <v>0</v>
      </c>
      <c r="AF118" s="202">
        <f>景东!AB59</f>
        <v>0</v>
      </c>
      <c r="AG118" s="202">
        <f>景东!AC59</f>
        <v>0</v>
      </c>
      <c r="AH118" s="202">
        <f>景东!AD59</f>
        <v>0</v>
      </c>
      <c r="AI118" s="202">
        <f>景东!AE59</f>
        <v>0</v>
      </c>
      <c r="AJ118" s="202">
        <f>景东!AF59</f>
        <v>0</v>
      </c>
      <c r="AK118" s="165" t="str">
        <f>景东!AG59</f>
        <v>景东县大街镇气力村箐门口小组，水箐口</v>
      </c>
      <c r="AL118" s="165" t="str">
        <f>景东!AH59</f>
        <v>20160916</v>
      </c>
      <c r="AM118" s="165">
        <f>景东!AI59</f>
        <v>0</v>
      </c>
      <c r="AN118" s="165">
        <f>景东!AJ59</f>
        <v>0</v>
      </c>
      <c r="AO118" s="165" t="str">
        <f>景东!AK59</f>
        <v>海拔2480，N24°24′39.12″ E101°07′32.94″</v>
      </c>
      <c r="AP118" s="263">
        <v>44.5</v>
      </c>
      <c r="AQ118" s="209" t="str">
        <f>景东!AM59</f>
        <v>2+1.5+2+2.5+0.9</v>
      </c>
      <c r="AR118" s="295">
        <f>景东!AN59</f>
        <v>8.9</v>
      </c>
      <c r="AS118" s="199" t="str">
        <f>景东!AO59</f>
        <v>532724197401281517</v>
      </c>
      <c r="AT118" s="199" t="str">
        <f>景东!AP59</f>
        <v>15987976882</v>
      </c>
    </row>
    <row r="119" spans="1:46">
      <c r="A119" t="s">
        <v>1923</v>
      </c>
      <c r="B119" s="202" t="str">
        <f>VLOOKUP(A119,databases!$A$2:$B$7, 2, FALSE)</f>
        <v>JingDong</v>
      </c>
      <c r="C119" s="165" t="str">
        <f>景东!B60</f>
        <v>詹清平</v>
      </c>
      <c r="D119" s="202" t="str">
        <f>VLOOKUP(C119,databases!$D$2:$E$145, 2, FALSE)</f>
        <v>R121</v>
      </c>
      <c r="E119" s="259">
        <f>INDEX(sample_database!$B$2:$B$506,MATCH(F119,sample_database!$L$2:$L$506,0))</f>
        <v>115</v>
      </c>
      <c r="F119" s="202" t="str">
        <f>景东!A60</f>
        <v>JD59</v>
      </c>
      <c r="G119" s="257">
        <f>景东!C60</f>
        <v>11</v>
      </c>
      <c r="H119" s="257">
        <f>景东!D60</f>
        <v>0</v>
      </c>
      <c r="I119" s="202">
        <f>景东!E60</f>
        <v>149</v>
      </c>
      <c r="J119" s="202">
        <f>景东!F60</f>
        <v>13</v>
      </c>
      <c r="K119" s="202">
        <f>景东!G60</f>
        <v>10</v>
      </c>
      <c r="L119" s="202">
        <f>景东!H60</f>
        <v>21</v>
      </c>
      <c r="M119" s="202">
        <f>景东!I60</f>
        <v>19</v>
      </c>
      <c r="N119" s="202">
        <f>景东!J60</f>
        <v>19</v>
      </c>
      <c r="O119" s="202">
        <f>景东!K60</f>
        <v>17</v>
      </c>
      <c r="P119" s="202">
        <f>景东!L60</f>
        <v>12</v>
      </c>
      <c r="Q119" s="202">
        <f>景东!M60</f>
        <v>16</v>
      </c>
      <c r="R119" s="202">
        <f>景东!N60</f>
        <v>3</v>
      </c>
      <c r="S119" s="202">
        <f>景东!O60</f>
        <v>5</v>
      </c>
      <c r="T119" s="202">
        <f>景东!P60</f>
        <v>14</v>
      </c>
      <c r="U119" s="202">
        <f>景东!Q60</f>
        <v>0</v>
      </c>
      <c r="V119" s="202">
        <f>景东!R60</f>
        <v>0</v>
      </c>
      <c r="W119" s="202">
        <f>景东!S60</f>
        <v>0</v>
      </c>
      <c r="X119" s="202">
        <f>景东!T60</f>
        <v>0</v>
      </c>
      <c r="Y119" s="202">
        <f>景东!U60</f>
        <v>0</v>
      </c>
      <c r="Z119" s="202">
        <f>景东!V60</f>
        <v>0</v>
      </c>
      <c r="AA119" s="202">
        <f>景东!W60</f>
        <v>0</v>
      </c>
      <c r="AB119" s="202">
        <f>景东!X60</f>
        <v>0</v>
      </c>
      <c r="AC119" s="202">
        <f>景东!Y60</f>
        <v>0</v>
      </c>
      <c r="AD119" s="202">
        <f>景东!Z60</f>
        <v>0</v>
      </c>
      <c r="AE119" s="202">
        <f>景东!AA60</f>
        <v>0</v>
      </c>
      <c r="AF119" s="202">
        <f>景东!AB60</f>
        <v>0</v>
      </c>
      <c r="AG119" s="202">
        <f>景东!AC60</f>
        <v>0</v>
      </c>
      <c r="AH119" s="202">
        <f>景东!AD60</f>
        <v>0</v>
      </c>
      <c r="AI119" s="202">
        <f>景东!AE60</f>
        <v>0</v>
      </c>
      <c r="AJ119" s="202">
        <f>景东!AF60</f>
        <v>0</v>
      </c>
      <c r="AK119" s="165" t="str">
        <f>景东!AG60</f>
        <v>景东县大街镇气力村箐门口小组，水箐口</v>
      </c>
      <c r="AL119" s="165" t="str">
        <f>景东!AH60</f>
        <v>20160916</v>
      </c>
      <c r="AM119" s="165">
        <f>景东!AI60</f>
        <v>0</v>
      </c>
      <c r="AN119" s="165">
        <f>景东!AJ60</f>
        <v>0</v>
      </c>
      <c r="AO119" s="165" t="str">
        <f>景东!AK60</f>
        <v>海拔2506，N24°24′46.06″ E101°07′32.02″</v>
      </c>
      <c r="AP119" s="263">
        <v>40</v>
      </c>
      <c r="AQ119" s="209" t="str">
        <f>景东!AM60</f>
        <v>1.5+1.5+2+1.5+1.5</v>
      </c>
      <c r="AR119" s="295">
        <f>景东!AN60</f>
        <v>8</v>
      </c>
      <c r="AS119" s="199" t="str">
        <f>景东!AO60</f>
        <v>532724197401281517</v>
      </c>
      <c r="AT119" s="199" t="str">
        <f>景东!AP60</f>
        <v>15987976882</v>
      </c>
    </row>
    <row r="120" spans="1:46">
      <c r="A120" t="s">
        <v>1923</v>
      </c>
      <c r="B120" s="202" t="str">
        <f>VLOOKUP(A120,databases!$A$2:$B$7, 2, FALSE)</f>
        <v>JingDong</v>
      </c>
      <c r="C120" s="165" t="str">
        <f>景东!B61</f>
        <v>詹清平</v>
      </c>
      <c r="D120" s="202" t="str">
        <f>VLOOKUP(C120,databases!$D$2:$E$145, 2, FALSE)</f>
        <v>R121</v>
      </c>
      <c r="E120" s="259">
        <f>INDEX(sample_database!$B$2:$B$506,MATCH(F120,sample_database!$L$2:$L$506,0))</f>
        <v>115</v>
      </c>
      <c r="F120" s="202" t="str">
        <f>景东!A61</f>
        <v>JD60</v>
      </c>
      <c r="G120" s="257">
        <f>景东!C61</f>
        <v>10</v>
      </c>
      <c r="H120" s="257">
        <f>景东!D61</f>
        <v>0</v>
      </c>
      <c r="I120" s="202">
        <f>景东!E61</f>
        <v>182</v>
      </c>
      <c r="J120" s="202">
        <f>景东!F61</f>
        <v>18</v>
      </c>
      <c r="K120" s="202">
        <f>景东!G61</f>
        <v>18</v>
      </c>
      <c r="L120" s="202">
        <f>景东!H61</f>
        <v>18</v>
      </c>
      <c r="M120" s="202">
        <f>景东!I61</f>
        <v>15</v>
      </c>
      <c r="N120" s="202">
        <f>景东!J61</f>
        <v>15</v>
      </c>
      <c r="O120" s="202">
        <f>景东!K61</f>
        <v>21</v>
      </c>
      <c r="P120" s="202">
        <f>景东!L61</f>
        <v>17</v>
      </c>
      <c r="Q120" s="202">
        <f>景东!M61</f>
        <v>10</v>
      </c>
      <c r="R120" s="202">
        <f>景东!N61</f>
        <v>20</v>
      </c>
      <c r="S120" s="202">
        <f>景东!O61</f>
        <v>30</v>
      </c>
      <c r="T120" s="202">
        <f>景东!P61</f>
        <v>0</v>
      </c>
      <c r="U120" s="202">
        <f>景东!Q61</f>
        <v>0</v>
      </c>
      <c r="V120" s="202">
        <f>景东!R61</f>
        <v>0</v>
      </c>
      <c r="W120" s="202">
        <f>景东!S61</f>
        <v>0</v>
      </c>
      <c r="X120" s="202">
        <f>景东!T61</f>
        <v>0</v>
      </c>
      <c r="Y120" s="202">
        <f>景东!U61</f>
        <v>0</v>
      </c>
      <c r="Z120" s="202">
        <f>景东!V61</f>
        <v>0</v>
      </c>
      <c r="AA120" s="202">
        <f>景东!W61</f>
        <v>0</v>
      </c>
      <c r="AB120" s="202">
        <f>景东!X61</f>
        <v>0</v>
      </c>
      <c r="AC120" s="202">
        <f>景东!Y61</f>
        <v>0</v>
      </c>
      <c r="AD120" s="202">
        <f>景东!Z61</f>
        <v>0</v>
      </c>
      <c r="AE120" s="202">
        <f>景东!AA61</f>
        <v>0</v>
      </c>
      <c r="AF120" s="202">
        <f>景东!AB61</f>
        <v>0</v>
      </c>
      <c r="AG120" s="202">
        <f>景东!AC61</f>
        <v>0</v>
      </c>
      <c r="AH120" s="202">
        <f>景东!AD61</f>
        <v>0</v>
      </c>
      <c r="AI120" s="202">
        <f>景东!AE61</f>
        <v>0</v>
      </c>
      <c r="AJ120" s="202">
        <f>景东!AF61</f>
        <v>0</v>
      </c>
      <c r="AK120" s="165" t="str">
        <f>景东!AG61</f>
        <v>景东县大街镇气力村箐门口小组，小过脉</v>
      </c>
      <c r="AL120" s="165" t="str">
        <f>景东!AH61</f>
        <v>20160922</v>
      </c>
      <c r="AM120" s="165">
        <f>景东!AI61</f>
        <v>0</v>
      </c>
      <c r="AN120" s="165">
        <f>景东!AJ61</f>
        <v>0</v>
      </c>
      <c r="AO120" s="165" t="str">
        <f>景东!AK61</f>
        <v>海拔2517，N24°24′47.52″ E101°07′21.18″</v>
      </c>
      <c r="AP120" s="263">
        <v>33.5</v>
      </c>
      <c r="AQ120" s="209" t="str">
        <f>景东!AM61</f>
        <v>1.5+1.1+1.5+1.1+1.5</v>
      </c>
      <c r="AR120" s="295">
        <f>景东!AN61</f>
        <v>6.6999999999999993</v>
      </c>
      <c r="AS120" s="199" t="str">
        <f>景东!AO61</f>
        <v>532724197401281517</v>
      </c>
      <c r="AT120" s="199" t="str">
        <f>景东!AP61</f>
        <v>15987976882</v>
      </c>
    </row>
    <row r="121" spans="1:46">
      <c r="A121" t="s">
        <v>1923</v>
      </c>
      <c r="B121" s="202" t="str">
        <f>VLOOKUP(A121,databases!$A$2:$B$7, 2, FALSE)</f>
        <v>JingDong</v>
      </c>
      <c r="C121" s="165" t="str">
        <f>景东!B62</f>
        <v>詹清平</v>
      </c>
      <c r="D121" s="202" t="str">
        <f>VLOOKUP(C121,databases!$D$2:$E$145, 2, FALSE)</f>
        <v>R121</v>
      </c>
      <c r="E121" s="259">
        <f>INDEX(sample_database!$B$2:$B$506,MATCH(F121,sample_database!$L$2:$L$506,0))</f>
        <v>115</v>
      </c>
      <c r="F121" s="202" t="str">
        <f>景东!A62</f>
        <v>JD61</v>
      </c>
      <c r="G121" s="257">
        <f>景东!C62</f>
        <v>10</v>
      </c>
      <c r="H121" s="257">
        <f>景东!D62</f>
        <v>0</v>
      </c>
      <c r="I121" s="202">
        <f>景东!E62</f>
        <v>102</v>
      </c>
      <c r="J121" s="202">
        <f>景东!F62</f>
        <v>15</v>
      </c>
      <c r="K121" s="202">
        <f>景东!G62</f>
        <v>11</v>
      </c>
      <c r="L121" s="202">
        <f>景东!H62</f>
        <v>11</v>
      </c>
      <c r="M121" s="202">
        <f>景东!I62</f>
        <v>13</v>
      </c>
      <c r="N121" s="202">
        <f>景东!J62</f>
        <v>4</v>
      </c>
      <c r="O121" s="202">
        <f>景东!K62</f>
        <v>9</v>
      </c>
      <c r="P121" s="202">
        <f>景东!L62</f>
        <v>17</v>
      </c>
      <c r="Q121" s="202">
        <f>景东!M62</f>
        <v>8</v>
      </c>
      <c r="R121" s="202">
        <f>景东!N62</f>
        <v>8</v>
      </c>
      <c r="S121" s="202">
        <f>景东!O62</f>
        <v>6</v>
      </c>
      <c r="T121" s="202">
        <f>景东!P62</f>
        <v>0</v>
      </c>
      <c r="U121" s="202">
        <f>景东!Q62</f>
        <v>0</v>
      </c>
      <c r="V121" s="202">
        <f>景东!R62</f>
        <v>0</v>
      </c>
      <c r="W121" s="202">
        <f>景东!S62</f>
        <v>0</v>
      </c>
      <c r="X121" s="202">
        <f>景东!T62</f>
        <v>0</v>
      </c>
      <c r="Y121" s="202">
        <f>景东!U62</f>
        <v>0</v>
      </c>
      <c r="Z121" s="202">
        <f>景东!V62</f>
        <v>0</v>
      </c>
      <c r="AA121" s="202">
        <f>景东!W62</f>
        <v>0</v>
      </c>
      <c r="AB121" s="202">
        <f>景东!X62</f>
        <v>0</v>
      </c>
      <c r="AC121" s="202">
        <f>景东!Y62</f>
        <v>0</v>
      </c>
      <c r="AD121" s="202">
        <f>景东!Z62</f>
        <v>0</v>
      </c>
      <c r="AE121" s="202">
        <f>景东!AA62</f>
        <v>0</v>
      </c>
      <c r="AF121" s="202">
        <f>景东!AB62</f>
        <v>0</v>
      </c>
      <c r="AG121" s="202">
        <f>景东!AC62</f>
        <v>0</v>
      </c>
      <c r="AH121" s="202">
        <f>景东!AD62</f>
        <v>0</v>
      </c>
      <c r="AI121" s="202">
        <f>景东!AE62</f>
        <v>0</v>
      </c>
      <c r="AJ121" s="202">
        <f>景东!AF62</f>
        <v>0</v>
      </c>
      <c r="AK121" s="165" t="str">
        <f>景东!AG62</f>
        <v>景东县大街镇气力村箐门口小组，小过脉</v>
      </c>
      <c r="AL121" s="165" t="str">
        <f>景东!AH62</f>
        <v>20160922</v>
      </c>
      <c r="AM121" s="165">
        <f>景东!AI62</f>
        <v>0</v>
      </c>
      <c r="AN121" s="165">
        <f>景东!AJ62</f>
        <v>0</v>
      </c>
      <c r="AO121" s="165" t="str">
        <f>景东!AK62</f>
        <v>海拔2514，N24°24′46.08″ E101°07′20.94″</v>
      </c>
      <c r="AP121" s="263">
        <v>24.5</v>
      </c>
      <c r="AQ121" s="209" t="str">
        <f>景东!AM62</f>
        <v>1.1+1.1+1.1+0.9+0.7</v>
      </c>
      <c r="AR121" s="295">
        <f>景东!AN62</f>
        <v>4.9000000000000004</v>
      </c>
      <c r="AS121" s="199" t="str">
        <f>景东!AO62</f>
        <v>532724197401281517</v>
      </c>
      <c r="AT121" s="199" t="str">
        <f>景东!AP62</f>
        <v>15987976882</v>
      </c>
    </row>
    <row r="122" spans="1:46">
      <c r="A122" t="s">
        <v>1923</v>
      </c>
      <c r="B122" s="202" t="str">
        <f>VLOOKUP(A122,databases!$A$2:$B$7, 2, FALSE)</f>
        <v>JingDong</v>
      </c>
      <c r="C122" s="165" t="str">
        <f>景东!B92</f>
        <v>钟其德</v>
      </c>
      <c r="D122" s="202" t="str">
        <f>VLOOKUP(C122,databases!$D$2:$E$145, 2, FALSE)</f>
        <v>R128</v>
      </c>
      <c r="E122" s="259">
        <f>INDEX(sample_database!$B$2:$B$506,MATCH(F122,sample_database!$L$2:$L$506,0))</f>
        <v>169</v>
      </c>
      <c r="F122" s="202" t="str">
        <f>景东!A92</f>
        <v>JD91</v>
      </c>
      <c r="G122" s="257">
        <f>景东!C92</f>
        <v>10</v>
      </c>
      <c r="H122" s="257">
        <f>景东!D92</f>
        <v>0</v>
      </c>
      <c r="I122" s="202">
        <f>景东!E92</f>
        <v>124</v>
      </c>
      <c r="J122" s="202">
        <f>景东!F92</f>
        <v>17</v>
      </c>
      <c r="K122" s="202">
        <f>景东!G92</f>
        <v>11</v>
      </c>
      <c r="L122" s="202">
        <f>景东!H92</f>
        <v>12</v>
      </c>
      <c r="M122" s="202">
        <f>景东!I92</f>
        <v>18</v>
      </c>
      <c r="N122" s="202">
        <f>景东!J92</f>
        <v>10</v>
      </c>
      <c r="O122" s="202">
        <f>景东!K92</f>
        <v>12</v>
      </c>
      <c r="P122" s="202">
        <f>景东!L92</f>
        <v>10</v>
      </c>
      <c r="Q122" s="202">
        <f>景东!M92</f>
        <v>15</v>
      </c>
      <c r="R122" s="202">
        <f>景东!N92</f>
        <v>10</v>
      </c>
      <c r="S122" s="202">
        <f>景东!O92</f>
        <v>9</v>
      </c>
      <c r="T122" s="202">
        <f>景东!P92</f>
        <v>0</v>
      </c>
      <c r="U122" s="202">
        <f>景东!Q92</f>
        <v>0</v>
      </c>
      <c r="V122" s="202">
        <f>景东!R92</f>
        <v>0</v>
      </c>
      <c r="W122" s="202">
        <f>景东!S92</f>
        <v>0</v>
      </c>
      <c r="X122" s="202">
        <f>景东!T92</f>
        <v>0</v>
      </c>
      <c r="Y122" s="202">
        <f>景东!U92</f>
        <v>0</v>
      </c>
      <c r="Z122" s="202">
        <f>景东!V92</f>
        <v>0</v>
      </c>
      <c r="AA122" s="202">
        <f>景东!W92</f>
        <v>0</v>
      </c>
      <c r="AB122" s="202">
        <f>景东!X92</f>
        <v>0</v>
      </c>
      <c r="AC122" s="202">
        <f>景东!Y92</f>
        <v>0</v>
      </c>
      <c r="AD122" s="202">
        <f>景东!Z92</f>
        <v>0</v>
      </c>
      <c r="AE122" s="202">
        <f>景东!AA92</f>
        <v>0</v>
      </c>
      <c r="AF122" s="202">
        <f>景东!AB92</f>
        <v>0</v>
      </c>
      <c r="AG122" s="202">
        <f>景东!AC92</f>
        <v>0</v>
      </c>
      <c r="AH122" s="202">
        <f>景东!AD92</f>
        <v>0</v>
      </c>
      <c r="AI122" s="202">
        <f>景东!AE92</f>
        <v>0</v>
      </c>
      <c r="AJ122" s="202">
        <f>景东!AF92</f>
        <v>0</v>
      </c>
      <c r="AK122" s="165" t="str">
        <f>景东!AG92</f>
        <v>景东县芦山村</v>
      </c>
      <c r="AL122" s="165" t="str">
        <f>景东!AH92</f>
        <v>20160710-0719</v>
      </c>
      <c r="AM122" s="165">
        <f>景东!AI92</f>
        <v>0</v>
      </c>
      <c r="AN122" s="165">
        <f>景东!AJ92</f>
        <v>0</v>
      </c>
      <c r="AO122" s="165" t="str">
        <f>景东!AK92</f>
        <v>海拔2375，N24°18′21.91″ E101°13′48.64″</v>
      </c>
      <c r="AP122" s="263">
        <v>45</v>
      </c>
      <c r="AQ122" s="209" t="str">
        <f>景东!AM92</f>
        <v>2+2+1.5+1.5+2</v>
      </c>
      <c r="AR122" s="295">
        <f>景东!AN92</f>
        <v>9</v>
      </c>
      <c r="AS122" s="199" t="str">
        <f>景东!AO92</f>
        <v>532724195509151213</v>
      </c>
      <c r="AT122" s="199" t="str">
        <f>景东!AP92</f>
        <v>18214041646</v>
      </c>
    </row>
    <row r="123" spans="1:46">
      <c r="A123" t="s">
        <v>1923</v>
      </c>
      <c r="B123" s="202" t="str">
        <f>VLOOKUP(A123,databases!$A$2:$B$7, 2, FALSE)</f>
        <v>JingDong</v>
      </c>
      <c r="C123" s="165" t="str">
        <f>景东!B93</f>
        <v>钟其德</v>
      </c>
      <c r="D123" s="202" t="str">
        <f>VLOOKUP(C123,databases!$D$2:$E$145, 2, FALSE)</f>
        <v>R128</v>
      </c>
      <c r="E123" s="259">
        <f>INDEX(sample_database!$B$2:$B$506,MATCH(F123,sample_database!$L$2:$L$506,0))</f>
        <v>169</v>
      </c>
      <c r="F123" s="202" t="str">
        <f>景东!A93</f>
        <v>JD92</v>
      </c>
      <c r="G123" s="257">
        <f>景东!C93</f>
        <v>10</v>
      </c>
      <c r="H123" s="257">
        <f>景东!D93</f>
        <v>0</v>
      </c>
      <c r="I123" s="202">
        <f>景东!E93</f>
        <v>105</v>
      </c>
      <c r="J123" s="202">
        <f>景东!F93</f>
        <v>15</v>
      </c>
      <c r="K123" s="202">
        <f>景东!G93</f>
        <v>10</v>
      </c>
      <c r="L123" s="202">
        <f>景东!H93</f>
        <v>14</v>
      </c>
      <c r="M123" s="202">
        <f>景东!I93</f>
        <v>13</v>
      </c>
      <c r="N123" s="202">
        <f>景东!J93</f>
        <v>12</v>
      </c>
      <c r="O123" s="202">
        <f>景东!K93</f>
        <v>10</v>
      </c>
      <c r="P123" s="202">
        <f>景东!L93</f>
        <v>10</v>
      </c>
      <c r="Q123" s="202">
        <f>景东!M93</f>
        <v>9</v>
      </c>
      <c r="R123" s="202">
        <f>景东!N93</f>
        <v>7</v>
      </c>
      <c r="S123" s="202">
        <f>景东!O93</f>
        <v>5</v>
      </c>
      <c r="T123" s="202">
        <f>景东!P93</f>
        <v>0</v>
      </c>
      <c r="U123" s="202">
        <f>景东!Q93</f>
        <v>0</v>
      </c>
      <c r="V123" s="202">
        <f>景东!R93</f>
        <v>0</v>
      </c>
      <c r="W123" s="202">
        <f>景东!S93</f>
        <v>0</v>
      </c>
      <c r="X123" s="202">
        <f>景东!T93</f>
        <v>0</v>
      </c>
      <c r="Y123" s="202">
        <f>景东!U93</f>
        <v>0</v>
      </c>
      <c r="Z123" s="202">
        <f>景东!V93</f>
        <v>0</v>
      </c>
      <c r="AA123" s="202">
        <f>景东!W93</f>
        <v>0</v>
      </c>
      <c r="AB123" s="202">
        <f>景东!X93</f>
        <v>0</v>
      </c>
      <c r="AC123" s="202">
        <f>景东!Y93</f>
        <v>0</v>
      </c>
      <c r="AD123" s="202">
        <f>景东!Z93</f>
        <v>0</v>
      </c>
      <c r="AE123" s="202">
        <f>景东!AA93</f>
        <v>0</v>
      </c>
      <c r="AF123" s="202">
        <f>景东!AB93</f>
        <v>0</v>
      </c>
      <c r="AG123" s="202">
        <f>景东!AC93</f>
        <v>0</v>
      </c>
      <c r="AH123" s="202">
        <f>景东!AD93</f>
        <v>0</v>
      </c>
      <c r="AI123" s="202">
        <f>景东!AE93</f>
        <v>0</v>
      </c>
      <c r="AJ123" s="202">
        <f>景东!AF93</f>
        <v>0</v>
      </c>
      <c r="AK123" s="165" t="str">
        <f>景东!AG93</f>
        <v>景东县芦山村</v>
      </c>
      <c r="AL123" s="165" t="str">
        <f>景东!AH93</f>
        <v>20160720-30</v>
      </c>
      <c r="AM123" s="165">
        <f>景东!AI93</f>
        <v>0</v>
      </c>
      <c r="AN123" s="165">
        <f>景东!AJ93</f>
        <v>0</v>
      </c>
      <c r="AO123" s="165" t="str">
        <f>景东!AK93</f>
        <v>海拔2057，N24°17′55.30″ E101°13′22.04″</v>
      </c>
      <c r="AP123" s="263">
        <v>33.999999999999993</v>
      </c>
      <c r="AQ123" s="209" t="str">
        <f>景东!AM93</f>
        <v>1.1+2+1.5+1.1+1.1</v>
      </c>
      <c r="AR123" s="295">
        <f>景东!AN93</f>
        <v>6.7999999999999989</v>
      </c>
      <c r="AS123" s="199" t="str">
        <f>景东!AO93</f>
        <v>532724195509151213</v>
      </c>
      <c r="AT123" s="199" t="str">
        <f>景东!AP93</f>
        <v>18214041646</v>
      </c>
    </row>
    <row r="124" spans="1:46">
      <c r="A124" t="s">
        <v>1923</v>
      </c>
      <c r="B124" s="202" t="str">
        <f>VLOOKUP(A124,databases!$A$2:$B$7, 2, FALSE)</f>
        <v>JingDong</v>
      </c>
      <c r="C124" s="165" t="str">
        <f>景东!B94</f>
        <v>钟其德</v>
      </c>
      <c r="D124" s="202" t="str">
        <f>VLOOKUP(C124,databases!$D$2:$E$145, 2, FALSE)</f>
        <v>R128</v>
      </c>
      <c r="E124" s="259">
        <f>INDEX(sample_database!$B$2:$B$506,MATCH(F124,sample_database!$L$2:$L$506,0))</f>
        <v>169</v>
      </c>
      <c r="F124" s="202" t="str">
        <f>景东!A94</f>
        <v>JD93</v>
      </c>
      <c r="G124" s="257">
        <f>景东!C94</f>
        <v>0</v>
      </c>
      <c r="H124" s="257">
        <f>景东!D94</f>
        <v>8</v>
      </c>
      <c r="I124" s="202">
        <f>景东!E94</f>
        <v>42</v>
      </c>
      <c r="J124" s="202">
        <f>景东!F94</f>
        <v>9</v>
      </c>
      <c r="K124" s="202">
        <f>景东!G94</f>
        <v>5</v>
      </c>
      <c r="L124" s="202">
        <f>景东!H94</f>
        <v>7</v>
      </c>
      <c r="M124" s="202">
        <f>景东!I94</f>
        <v>4</v>
      </c>
      <c r="N124" s="202">
        <f>景东!J94</f>
        <v>7</v>
      </c>
      <c r="O124" s="202">
        <f>景东!K94</f>
        <v>2</v>
      </c>
      <c r="P124" s="202">
        <f>景东!L94</f>
        <v>6</v>
      </c>
      <c r="Q124" s="202">
        <f>景东!M94</f>
        <v>2</v>
      </c>
      <c r="R124" s="202">
        <f>景东!N94</f>
        <v>0</v>
      </c>
      <c r="S124" s="202">
        <f>景东!O94</f>
        <v>0</v>
      </c>
      <c r="T124" s="202">
        <f>景东!P94</f>
        <v>0</v>
      </c>
      <c r="U124" s="202">
        <f>景东!Q94</f>
        <v>0</v>
      </c>
      <c r="V124" s="202">
        <f>景东!R94</f>
        <v>0</v>
      </c>
      <c r="W124" s="202">
        <f>景东!S94</f>
        <v>0</v>
      </c>
      <c r="X124" s="202">
        <f>景东!T94</f>
        <v>0</v>
      </c>
      <c r="Y124" s="202">
        <f>景东!U94</f>
        <v>0</v>
      </c>
      <c r="Z124" s="202">
        <f>景东!V94</f>
        <v>0</v>
      </c>
      <c r="AA124" s="202">
        <f>景东!W94</f>
        <v>0</v>
      </c>
      <c r="AB124" s="202">
        <f>景东!X94</f>
        <v>0</v>
      </c>
      <c r="AC124" s="202">
        <f>景东!Y94</f>
        <v>0</v>
      </c>
      <c r="AD124" s="202">
        <f>景东!Z94</f>
        <v>0</v>
      </c>
      <c r="AE124" s="202">
        <f>景东!AA94</f>
        <v>0</v>
      </c>
      <c r="AF124" s="202">
        <f>景东!AB94</f>
        <v>0</v>
      </c>
      <c r="AG124" s="202">
        <f>景东!AC94</f>
        <v>0</v>
      </c>
      <c r="AH124" s="202">
        <f>景东!AD94</f>
        <v>0</v>
      </c>
      <c r="AI124" s="202">
        <f>景东!AE94</f>
        <v>0</v>
      </c>
      <c r="AJ124" s="202">
        <f>景东!AF94</f>
        <v>0</v>
      </c>
      <c r="AK124" s="165" t="str">
        <f>景东!AG94</f>
        <v>景东县芦山村</v>
      </c>
      <c r="AL124" s="165" t="str">
        <f>景东!AH94</f>
        <v>20160720-30</v>
      </c>
      <c r="AM124" s="165">
        <f>景东!AI94</f>
        <v>0</v>
      </c>
      <c r="AN124" s="165">
        <f>景东!AJ94</f>
        <v>0</v>
      </c>
      <c r="AO124" s="165" t="str">
        <f>景东!AK94</f>
        <v>海拔2423，N24°18′63.20″ E101°13′46。08″</v>
      </c>
      <c r="AP124" s="263">
        <v>15</v>
      </c>
      <c r="AQ124" s="209">
        <f>景东!AM94</f>
        <v>0</v>
      </c>
      <c r="AR124" s="295">
        <f>景东!AN94</f>
        <v>3</v>
      </c>
      <c r="AS124" s="199" t="str">
        <f>景东!AO94</f>
        <v>532724195509151213</v>
      </c>
      <c r="AT124" s="199" t="str">
        <f>景东!AP94</f>
        <v>18214041646</v>
      </c>
    </row>
    <row r="125" spans="1:46">
      <c r="A125" t="s">
        <v>1923</v>
      </c>
      <c r="B125" s="202" t="str">
        <f>VLOOKUP(A125,databases!$A$2:$B$7, 2, FALSE)</f>
        <v>JingDong</v>
      </c>
      <c r="C125" s="165" t="str">
        <f>景东!B95</f>
        <v>钟其德</v>
      </c>
      <c r="D125" s="202" t="str">
        <f>VLOOKUP(C125,databases!$D$2:$E$145, 2, FALSE)</f>
        <v>R128</v>
      </c>
      <c r="E125" s="259">
        <f>INDEX(sample_database!$B$2:$B$506,MATCH(F125,sample_database!$L$2:$L$506,0))</f>
        <v>169</v>
      </c>
      <c r="F125" s="202" t="str">
        <f>景东!A95</f>
        <v>JD94</v>
      </c>
      <c r="G125" s="257">
        <f>景东!C95</f>
        <v>1</v>
      </c>
      <c r="H125" s="257">
        <f>景东!D95</f>
        <v>0</v>
      </c>
      <c r="I125" s="202">
        <f>景东!E95</f>
        <v>9</v>
      </c>
      <c r="J125" s="202">
        <f>景东!F95</f>
        <v>9</v>
      </c>
      <c r="K125" s="202">
        <f>景东!G95</f>
        <v>0</v>
      </c>
      <c r="L125" s="202">
        <f>景东!H95</f>
        <v>0</v>
      </c>
      <c r="M125" s="202">
        <f>景东!I95</f>
        <v>0</v>
      </c>
      <c r="N125" s="202">
        <f>景东!J95</f>
        <v>0</v>
      </c>
      <c r="O125" s="202">
        <f>景东!K95</f>
        <v>0</v>
      </c>
      <c r="P125" s="202">
        <f>景东!L95</f>
        <v>0</v>
      </c>
      <c r="Q125" s="202">
        <f>景东!M95</f>
        <v>0</v>
      </c>
      <c r="R125" s="202">
        <f>景东!N95</f>
        <v>0</v>
      </c>
      <c r="S125" s="202">
        <f>景东!O95</f>
        <v>0</v>
      </c>
      <c r="T125" s="202">
        <f>景东!P95</f>
        <v>0</v>
      </c>
      <c r="U125" s="202">
        <f>景东!Q95</f>
        <v>0</v>
      </c>
      <c r="V125" s="202">
        <f>景东!R95</f>
        <v>0</v>
      </c>
      <c r="W125" s="202">
        <f>景东!S95</f>
        <v>0</v>
      </c>
      <c r="X125" s="202">
        <f>景东!T95</f>
        <v>0</v>
      </c>
      <c r="Y125" s="202">
        <f>景东!U95</f>
        <v>0</v>
      </c>
      <c r="Z125" s="202">
        <f>景东!V95</f>
        <v>0</v>
      </c>
      <c r="AA125" s="202">
        <f>景东!W95</f>
        <v>0</v>
      </c>
      <c r="AB125" s="202">
        <f>景东!X95</f>
        <v>0</v>
      </c>
      <c r="AC125" s="202">
        <f>景东!Y95</f>
        <v>0</v>
      </c>
      <c r="AD125" s="202">
        <f>景东!Z95</f>
        <v>0</v>
      </c>
      <c r="AE125" s="202">
        <f>景东!AA95</f>
        <v>0</v>
      </c>
      <c r="AF125" s="202">
        <f>景东!AB95</f>
        <v>0</v>
      </c>
      <c r="AG125" s="202">
        <f>景东!AC95</f>
        <v>0</v>
      </c>
      <c r="AH125" s="202">
        <f>景东!AD95</f>
        <v>0</v>
      </c>
      <c r="AI125" s="202">
        <f>景东!AE95</f>
        <v>0</v>
      </c>
      <c r="AJ125" s="202">
        <f>景东!AF95</f>
        <v>0</v>
      </c>
      <c r="AK125" s="165" t="str">
        <f>景东!AG95</f>
        <v>景东县芦山村</v>
      </c>
      <c r="AL125" s="165" t="str">
        <f>景东!AH95</f>
        <v>20160801-0810</v>
      </c>
      <c r="AM125" s="165">
        <f>景东!AI95</f>
        <v>0</v>
      </c>
      <c r="AN125" s="165">
        <f>景东!AJ95</f>
        <v>0</v>
      </c>
      <c r="AO125" s="165" t="str">
        <f>景东!AK95</f>
        <v>海拔2160，N24°18′10.80″ E101°13′49.50″</v>
      </c>
      <c r="AP125" s="263">
        <v>4</v>
      </c>
      <c r="AQ125" s="209">
        <f>景东!AM95</f>
        <v>0</v>
      </c>
      <c r="AR125" s="295">
        <f>景东!AN95</f>
        <v>0.8</v>
      </c>
      <c r="AS125" s="199" t="str">
        <f>景东!AO95</f>
        <v>532724195509151213</v>
      </c>
      <c r="AT125" s="199" t="str">
        <f>景东!AP95</f>
        <v>18214041646</v>
      </c>
    </row>
    <row r="126" spans="1:46">
      <c r="A126" t="s">
        <v>1923</v>
      </c>
      <c r="B126" s="202" t="str">
        <f>VLOOKUP(A126,databases!$A$2:$B$7, 2, FALSE)</f>
        <v>JingDong</v>
      </c>
      <c r="C126" s="165" t="str">
        <f>景东!B86</f>
        <v>陈春礼</v>
      </c>
      <c r="D126" s="202" t="str">
        <f>VLOOKUP(C126,databases!$D$2:$E$145, 2, FALSE)</f>
        <v>R134</v>
      </c>
      <c r="E126" s="259">
        <f>INDEX(sample_database!$B$2:$B$506,MATCH(F126,sample_database!$L$2:$L$506,0))</f>
        <v>123</v>
      </c>
      <c r="F126" s="202" t="str">
        <f>景东!A86</f>
        <v>JD85</v>
      </c>
      <c r="G126" s="257">
        <f>景东!C86</f>
        <v>0</v>
      </c>
      <c r="H126" s="257">
        <f>景东!D86</f>
        <v>7</v>
      </c>
      <c r="I126" s="202">
        <f>景东!E86</f>
        <v>29</v>
      </c>
      <c r="J126" s="202">
        <f>景东!F86</f>
        <v>6</v>
      </c>
      <c r="K126" s="202">
        <f>景东!G86</f>
        <v>7</v>
      </c>
      <c r="L126" s="202">
        <f>景东!H86</f>
        <v>4</v>
      </c>
      <c r="M126" s="202">
        <f>景东!I86</f>
        <v>4</v>
      </c>
      <c r="N126" s="202">
        <f>景东!J86</f>
        <v>1</v>
      </c>
      <c r="O126" s="202">
        <f>景东!K86</f>
        <v>6</v>
      </c>
      <c r="P126" s="202">
        <f>景东!L86</f>
        <v>1</v>
      </c>
      <c r="Q126" s="202">
        <f>景东!M86</f>
        <v>0</v>
      </c>
      <c r="R126" s="202">
        <f>景东!N86</f>
        <v>0</v>
      </c>
      <c r="S126" s="202">
        <f>景东!O86</f>
        <v>0</v>
      </c>
      <c r="T126" s="202">
        <f>景东!P86</f>
        <v>0</v>
      </c>
      <c r="U126" s="202">
        <f>景东!Q86</f>
        <v>0</v>
      </c>
      <c r="V126" s="202">
        <f>景东!R86</f>
        <v>0</v>
      </c>
      <c r="W126" s="202">
        <f>景东!S86</f>
        <v>0</v>
      </c>
      <c r="X126" s="202">
        <f>景东!T86</f>
        <v>0</v>
      </c>
      <c r="Y126" s="202">
        <f>景东!U86</f>
        <v>0</v>
      </c>
      <c r="Z126" s="202">
        <f>景东!V86</f>
        <v>0</v>
      </c>
      <c r="AA126" s="202">
        <f>景东!W86</f>
        <v>0</v>
      </c>
      <c r="AB126" s="202">
        <f>景东!X86</f>
        <v>0</v>
      </c>
      <c r="AC126" s="202">
        <f>景东!Y86</f>
        <v>0</v>
      </c>
      <c r="AD126" s="202">
        <f>景东!Z86</f>
        <v>0</v>
      </c>
      <c r="AE126" s="202">
        <f>景东!AA86</f>
        <v>0</v>
      </c>
      <c r="AF126" s="202">
        <f>景东!AB86</f>
        <v>0</v>
      </c>
      <c r="AG126" s="202">
        <f>景东!AC86</f>
        <v>0</v>
      </c>
      <c r="AH126" s="202">
        <f>景东!AD86</f>
        <v>0</v>
      </c>
      <c r="AI126" s="202">
        <f>景东!AE86</f>
        <v>0</v>
      </c>
      <c r="AJ126" s="202">
        <f>景东!AF86</f>
        <v>0</v>
      </c>
      <c r="AK126" s="165" t="str">
        <f>景东!AG86</f>
        <v>景东县花山镇撇罗村民委员会龙树小组</v>
      </c>
      <c r="AL126" s="165" t="str">
        <f>景东!AH86</f>
        <v>20160703-0731</v>
      </c>
      <c r="AM126" s="165">
        <f>景东!AI86</f>
        <v>0</v>
      </c>
      <c r="AN126" s="165">
        <f>景东!AJ86</f>
        <v>0</v>
      </c>
      <c r="AO126" s="165" t="str">
        <f>景东!AK86</f>
        <v>海拔2047，N24°18′59.29″ E101°12′04.33″</v>
      </c>
      <c r="AP126" s="263">
        <v>7.5</v>
      </c>
      <c r="AQ126" s="209">
        <f>景东!AM86</f>
        <v>0</v>
      </c>
      <c r="AR126" s="295">
        <f>景东!AN86</f>
        <v>1.5</v>
      </c>
      <c r="AS126" s="199" t="str">
        <f>景东!AO86</f>
        <v>532724196608131212</v>
      </c>
      <c r="AT126" s="199" t="str">
        <f>景东!AP86</f>
        <v>15008735389</v>
      </c>
    </row>
    <row r="127" spans="1:46">
      <c r="A127" t="s">
        <v>1923</v>
      </c>
      <c r="B127" s="202" t="str">
        <f>VLOOKUP(A127,databases!$A$2:$B$7, 2, FALSE)</f>
        <v>JingDong</v>
      </c>
      <c r="C127" s="165" t="str">
        <f>景东!B87</f>
        <v>陈春礼</v>
      </c>
      <c r="D127" s="202" t="str">
        <f>VLOOKUP(C127,databases!$D$2:$E$145, 2, FALSE)</f>
        <v>R134</v>
      </c>
      <c r="E127" s="259">
        <f>INDEX(sample_database!$B$2:$B$506,MATCH(F127,sample_database!$L$2:$L$506,0))</f>
        <v>123</v>
      </c>
      <c r="F127" s="202" t="str">
        <f>景东!A87</f>
        <v>JD86</v>
      </c>
      <c r="G127" s="257">
        <f>景东!C87</f>
        <v>10</v>
      </c>
      <c r="H127" s="257">
        <f>景东!D87</f>
        <v>0</v>
      </c>
      <c r="I127" s="202">
        <f>景东!E87</f>
        <v>163</v>
      </c>
      <c r="J127" s="202">
        <f>景东!F87</f>
        <v>23</v>
      </c>
      <c r="K127" s="202">
        <f>景东!G87</f>
        <v>19</v>
      </c>
      <c r="L127" s="202">
        <f>景东!H87</f>
        <v>27</v>
      </c>
      <c r="M127" s="202">
        <f>景东!I87</f>
        <v>18</v>
      </c>
      <c r="N127" s="202">
        <f>景东!J87</f>
        <v>16</v>
      </c>
      <c r="O127" s="202">
        <f>景东!K87</f>
        <v>13</v>
      </c>
      <c r="P127" s="202">
        <f>景东!L87</f>
        <v>13</v>
      </c>
      <c r="Q127" s="202">
        <f>景东!M87</f>
        <v>19</v>
      </c>
      <c r="R127" s="202">
        <f>景东!N87</f>
        <v>10</v>
      </c>
      <c r="S127" s="202">
        <f>景东!O87</f>
        <v>5</v>
      </c>
      <c r="T127" s="202">
        <f>景东!P87</f>
        <v>0</v>
      </c>
      <c r="U127" s="202">
        <f>景东!Q87</f>
        <v>0</v>
      </c>
      <c r="V127" s="202">
        <f>景东!R87</f>
        <v>0</v>
      </c>
      <c r="W127" s="202">
        <f>景东!S87</f>
        <v>0</v>
      </c>
      <c r="X127" s="202">
        <f>景东!T87</f>
        <v>0</v>
      </c>
      <c r="Y127" s="202">
        <f>景东!U87</f>
        <v>0</v>
      </c>
      <c r="Z127" s="202">
        <f>景东!V87</f>
        <v>0</v>
      </c>
      <c r="AA127" s="202">
        <f>景东!W87</f>
        <v>0</v>
      </c>
      <c r="AB127" s="202">
        <f>景东!X87</f>
        <v>0</v>
      </c>
      <c r="AC127" s="202">
        <f>景东!Y87</f>
        <v>0</v>
      </c>
      <c r="AD127" s="202">
        <f>景东!Z87</f>
        <v>0</v>
      </c>
      <c r="AE127" s="202">
        <f>景东!AA87</f>
        <v>0</v>
      </c>
      <c r="AF127" s="202">
        <f>景东!AB87</f>
        <v>0</v>
      </c>
      <c r="AG127" s="202">
        <f>景东!AC87</f>
        <v>0</v>
      </c>
      <c r="AH127" s="202">
        <f>景东!AD87</f>
        <v>0</v>
      </c>
      <c r="AI127" s="202">
        <f>景东!AE87</f>
        <v>0</v>
      </c>
      <c r="AJ127" s="202">
        <f>景东!AF87</f>
        <v>0</v>
      </c>
      <c r="AK127" s="165" t="str">
        <f>景东!AG87</f>
        <v>景东县花山镇撇罗村民委员会龙树小组</v>
      </c>
      <c r="AL127" s="165" t="str">
        <f>景东!AH87</f>
        <v>20160703-0731</v>
      </c>
      <c r="AM127" s="165">
        <f>景东!AI87</f>
        <v>0</v>
      </c>
      <c r="AN127" s="165">
        <f>景东!AJ87</f>
        <v>0</v>
      </c>
      <c r="AO127" s="165" t="str">
        <f>景东!AK87</f>
        <v>海拔2406，N24°19′15.35″ E101°12′03.85″</v>
      </c>
      <c r="AP127" s="263">
        <v>50</v>
      </c>
      <c r="AQ127" s="209" t="str">
        <f>景东!AM87</f>
        <v>2*5</v>
      </c>
      <c r="AR127" s="295">
        <f>景东!AN87</f>
        <v>10</v>
      </c>
      <c r="AS127" s="199" t="str">
        <f>景东!AO87</f>
        <v>532724196608131212</v>
      </c>
      <c r="AT127" s="199" t="str">
        <f>景东!AP87</f>
        <v>15008735389</v>
      </c>
    </row>
    <row r="128" spans="1:46">
      <c r="A128" t="s">
        <v>1923</v>
      </c>
      <c r="B128" s="202" t="str">
        <f>VLOOKUP(A128,databases!$A$2:$B$7, 2, FALSE)</f>
        <v>JingDong</v>
      </c>
      <c r="C128" s="165" t="str">
        <f>景东!B19</f>
        <v>鲁开福</v>
      </c>
      <c r="D128" s="202" t="str">
        <f>VLOOKUP(C128,databases!$D$2:$E$145, 2, FALSE)</f>
        <v>R137</v>
      </c>
      <c r="E128" s="259">
        <f>INDEX(sample_database!$B$2:$B$506,MATCH(F128,sample_database!$L$2:$L$506,0))</f>
        <v>119</v>
      </c>
      <c r="F128" s="202" t="str">
        <f>景东!A19</f>
        <v>JD18</v>
      </c>
      <c r="G128" s="257">
        <f>景东!C19</f>
        <v>0</v>
      </c>
      <c r="H128" s="257">
        <f>景东!D19</f>
        <v>15</v>
      </c>
      <c r="I128" s="202">
        <f>景东!E19</f>
        <v>19</v>
      </c>
      <c r="J128" s="202">
        <f>景东!F19</f>
        <v>1</v>
      </c>
      <c r="K128" s="202">
        <f>景东!G19</f>
        <v>1</v>
      </c>
      <c r="L128" s="202">
        <f>景东!H19</f>
        <v>1</v>
      </c>
      <c r="M128" s="202">
        <f>景东!I19</f>
        <v>1</v>
      </c>
      <c r="N128" s="202">
        <f>景东!J19</f>
        <v>1</v>
      </c>
      <c r="O128" s="202">
        <f>景东!K19</f>
        <v>1</v>
      </c>
      <c r="P128" s="202">
        <f>景东!L19</f>
        <v>1</v>
      </c>
      <c r="Q128" s="202">
        <f>景东!M19</f>
        <v>1</v>
      </c>
      <c r="R128" s="202">
        <f>景东!N19</f>
        <v>1</v>
      </c>
      <c r="S128" s="202">
        <f>景东!O19</f>
        <v>1</v>
      </c>
      <c r="T128" s="202">
        <f>景东!P19</f>
        <v>1</v>
      </c>
      <c r="U128" s="202">
        <f>景东!Q19</f>
        <v>1</v>
      </c>
      <c r="V128" s="202">
        <f>景东!R19</f>
        <v>2</v>
      </c>
      <c r="W128" s="202">
        <f>景东!S19</f>
        <v>2</v>
      </c>
      <c r="X128" s="202">
        <f>景东!T19</f>
        <v>3</v>
      </c>
      <c r="Y128" s="202">
        <f>景东!U19</f>
        <v>0</v>
      </c>
      <c r="Z128" s="202">
        <f>景东!V19</f>
        <v>0</v>
      </c>
      <c r="AA128" s="202">
        <f>景东!W19</f>
        <v>0</v>
      </c>
      <c r="AB128" s="202">
        <f>景东!X19</f>
        <v>0</v>
      </c>
      <c r="AC128" s="202">
        <f>景东!Y19</f>
        <v>0</v>
      </c>
      <c r="AD128" s="202">
        <f>景东!Z19</f>
        <v>0</v>
      </c>
      <c r="AE128" s="202">
        <f>景东!AA19</f>
        <v>0</v>
      </c>
      <c r="AF128" s="202">
        <f>景东!AB19</f>
        <v>0</v>
      </c>
      <c r="AG128" s="202">
        <f>景东!AC19</f>
        <v>0</v>
      </c>
      <c r="AH128" s="202">
        <f>景东!AD19</f>
        <v>0</v>
      </c>
      <c r="AI128" s="202">
        <f>景东!AE19</f>
        <v>0</v>
      </c>
      <c r="AJ128" s="202">
        <f>景东!AF19</f>
        <v>0</v>
      </c>
      <c r="AK128" s="165" t="str">
        <f>景东!AG19</f>
        <v>景东花山镇文明村岩头组</v>
      </c>
      <c r="AL128" s="165" t="str">
        <f>景东!AH19</f>
        <v>20160625</v>
      </c>
      <c r="AM128" s="165">
        <f>景东!AI19</f>
        <v>0</v>
      </c>
      <c r="AN128" s="165">
        <f>景东!AJ19</f>
        <v>0</v>
      </c>
      <c r="AO128" s="165">
        <f>景东!AK19</f>
        <v>0</v>
      </c>
      <c r="AP128" s="263">
        <v>7.5</v>
      </c>
      <c r="AQ128" s="209">
        <f>景东!AM19</f>
        <v>0</v>
      </c>
      <c r="AR128" s="295">
        <f>景东!AN19</f>
        <v>1.5</v>
      </c>
      <c r="AS128" s="199" t="str">
        <f>景东!AO19</f>
        <v>532724198412051236</v>
      </c>
      <c r="AT128" s="199" t="str">
        <f>景东!AP19</f>
        <v>13154887030</v>
      </c>
    </row>
    <row r="129" spans="1:46">
      <c r="A129" t="s">
        <v>1923</v>
      </c>
      <c r="B129" s="202" t="str">
        <f>VLOOKUP(A129,databases!$A$2:$B$7, 2, FALSE)</f>
        <v>JingDong</v>
      </c>
      <c r="C129" s="165" t="str">
        <f>景东!B20</f>
        <v>鲁开福</v>
      </c>
      <c r="D129" s="202" t="str">
        <f>VLOOKUP(C129,databases!$D$2:$E$145, 2, FALSE)</f>
        <v>R137</v>
      </c>
      <c r="E129" s="259">
        <f>INDEX(sample_database!$B$2:$B$506,MATCH(F129,sample_database!$L$2:$L$506,0))</f>
        <v>119</v>
      </c>
      <c r="F129" s="202" t="str">
        <f>景东!A20</f>
        <v>JD19</v>
      </c>
      <c r="G129" s="257">
        <f>景东!C20</f>
        <v>9</v>
      </c>
      <c r="H129" s="257">
        <f>景东!D20</f>
        <v>0</v>
      </c>
      <c r="I129" s="202">
        <f>景东!E20</f>
        <v>10</v>
      </c>
      <c r="J129" s="202">
        <f>景东!F20</f>
        <v>1</v>
      </c>
      <c r="K129" s="202">
        <f>景东!G20</f>
        <v>1</v>
      </c>
      <c r="L129" s="202">
        <f>景东!H20</f>
        <v>1</v>
      </c>
      <c r="M129" s="202">
        <f>景东!I20</f>
        <v>1</v>
      </c>
      <c r="N129" s="202">
        <f>景东!J20</f>
        <v>1</v>
      </c>
      <c r="O129" s="202">
        <f>景东!K20</f>
        <v>1</v>
      </c>
      <c r="P129" s="202">
        <f>景东!L20</f>
        <v>1</v>
      </c>
      <c r="Q129" s="202">
        <f>景东!M20</f>
        <v>1</v>
      </c>
      <c r="R129" s="202">
        <f>景东!N20</f>
        <v>2</v>
      </c>
      <c r="S129" s="202">
        <f>景东!O20</f>
        <v>0</v>
      </c>
      <c r="T129" s="202">
        <f>景东!P20</f>
        <v>0</v>
      </c>
      <c r="U129" s="202">
        <f>景东!Q20</f>
        <v>0</v>
      </c>
      <c r="V129" s="202">
        <f>景东!R20</f>
        <v>0</v>
      </c>
      <c r="W129" s="202">
        <f>景东!S20</f>
        <v>0</v>
      </c>
      <c r="X129" s="202">
        <f>景东!T20</f>
        <v>0</v>
      </c>
      <c r="Y129" s="202">
        <f>景东!U20</f>
        <v>0</v>
      </c>
      <c r="Z129" s="202">
        <f>景东!V20</f>
        <v>0</v>
      </c>
      <c r="AA129" s="202">
        <f>景东!W20</f>
        <v>0</v>
      </c>
      <c r="AB129" s="202">
        <f>景东!X20</f>
        <v>0</v>
      </c>
      <c r="AC129" s="202">
        <f>景东!Y20</f>
        <v>0</v>
      </c>
      <c r="AD129" s="202">
        <f>景东!Z20</f>
        <v>0</v>
      </c>
      <c r="AE129" s="202">
        <f>景东!AA20</f>
        <v>0</v>
      </c>
      <c r="AF129" s="202">
        <f>景东!AB20</f>
        <v>0</v>
      </c>
      <c r="AG129" s="202">
        <f>景东!AC20</f>
        <v>0</v>
      </c>
      <c r="AH129" s="202">
        <f>景东!AD20</f>
        <v>0</v>
      </c>
      <c r="AI129" s="202">
        <f>景东!AE20</f>
        <v>0</v>
      </c>
      <c r="AJ129" s="202">
        <f>景东!AF20</f>
        <v>0</v>
      </c>
      <c r="AK129" s="165" t="str">
        <f>景东!AG20</f>
        <v>景东花山镇文明村岩头组</v>
      </c>
      <c r="AL129" s="165" t="str">
        <f>景东!AH20</f>
        <v>20160705</v>
      </c>
      <c r="AM129" s="165">
        <f>景东!AI20</f>
        <v>0</v>
      </c>
      <c r="AN129" s="165">
        <f>景东!AJ20</f>
        <v>0</v>
      </c>
      <c r="AO129" s="165">
        <f>景东!AK20</f>
        <v>0</v>
      </c>
      <c r="AP129" s="263">
        <v>3</v>
      </c>
      <c r="AQ129" s="209">
        <f>景东!AM20</f>
        <v>0</v>
      </c>
      <c r="AR129" s="295">
        <f>景东!AN20</f>
        <v>0.6</v>
      </c>
      <c r="AS129" s="199" t="str">
        <f>景东!AO20</f>
        <v>532724198412051236</v>
      </c>
      <c r="AT129" s="199" t="str">
        <f>景东!AP20</f>
        <v>13154887030</v>
      </c>
    </row>
    <row r="130" spans="1:46">
      <c r="A130" t="s">
        <v>1923</v>
      </c>
      <c r="B130" s="202" t="str">
        <f>VLOOKUP(A130,databases!$A$2:$B$7, 2, FALSE)</f>
        <v>JingDong</v>
      </c>
      <c r="C130" s="165" t="str">
        <f>景东!B21</f>
        <v>鲁开福</v>
      </c>
      <c r="D130" s="202" t="str">
        <f>VLOOKUP(C130,databases!$D$2:$E$145, 2, FALSE)</f>
        <v>R137</v>
      </c>
      <c r="E130" s="259">
        <f>INDEX(sample_database!$B$2:$B$506,MATCH(F130,sample_database!$L$2:$L$506,0))</f>
        <v>119</v>
      </c>
      <c r="F130" s="202" t="str">
        <f>景东!A21</f>
        <v>JD20</v>
      </c>
      <c r="G130" s="257">
        <f>景东!C21</f>
        <v>8</v>
      </c>
      <c r="H130" s="257">
        <f>景东!D21</f>
        <v>0</v>
      </c>
      <c r="I130" s="202">
        <f>景东!E21</f>
        <v>13</v>
      </c>
      <c r="J130" s="202">
        <f>景东!F21</f>
        <v>1</v>
      </c>
      <c r="K130" s="202">
        <f>景东!G21</f>
        <v>1</v>
      </c>
      <c r="L130" s="202">
        <f>景东!H21</f>
        <v>1</v>
      </c>
      <c r="M130" s="202">
        <f>景东!I21</f>
        <v>1</v>
      </c>
      <c r="N130" s="202">
        <f>景东!J21</f>
        <v>1</v>
      </c>
      <c r="O130" s="202">
        <f>景东!K21</f>
        <v>2</v>
      </c>
      <c r="P130" s="202">
        <f>景东!L21</f>
        <v>2</v>
      </c>
      <c r="Q130" s="202">
        <f>景东!M21</f>
        <v>4</v>
      </c>
      <c r="R130" s="202">
        <f>景东!N21</f>
        <v>0</v>
      </c>
      <c r="S130" s="202">
        <f>景东!O21</f>
        <v>0</v>
      </c>
      <c r="T130" s="202">
        <f>景东!P21</f>
        <v>0</v>
      </c>
      <c r="U130" s="202">
        <f>景东!Q21</f>
        <v>0</v>
      </c>
      <c r="V130" s="202">
        <f>景东!R21</f>
        <v>0</v>
      </c>
      <c r="W130" s="202">
        <f>景东!S21</f>
        <v>0</v>
      </c>
      <c r="X130" s="202">
        <f>景东!T21</f>
        <v>0</v>
      </c>
      <c r="Y130" s="202">
        <f>景东!U21</f>
        <v>0</v>
      </c>
      <c r="Z130" s="202">
        <f>景东!V21</f>
        <v>0</v>
      </c>
      <c r="AA130" s="202">
        <f>景东!W21</f>
        <v>0</v>
      </c>
      <c r="AB130" s="202">
        <f>景东!X21</f>
        <v>0</v>
      </c>
      <c r="AC130" s="202">
        <f>景东!Y21</f>
        <v>0</v>
      </c>
      <c r="AD130" s="202">
        <f>景东!Z21</f>
        <v>0</v>
      </c>
      <c r="AE130" s="202">
        <f>景东!AA21</f>
        <v>0</v>
      </c>
      <c r="AF130" s="202">
        <f>景东!AB21</f>
        <v>0</v>
      </c>
      <c r="AG130" s="202">
        <f>景东!AC21</f>
        <v>0</v>
      </c>
      <c r="AH130" s="202">
        <f>景东!AD21</f>
        <v>0</v>
      </c>
      <c r="AI130" s="202">
        <f>景东!AE21</f>
        <v>0</v>
      </c>
      <c r="AJ130" s="202">
        <f>景东!AF21</f>
        <v>0</v>
      </c>
      <c r="AK130" s="165" t="str">
        <f>景东!AG21</f>
        <v>景东花山镇文明村岩头组</v>
      </c>
      <c r="AL130" s="165" t="str">
        <f>景东!AH21</f>
        <v>20160715</v>
      </c>
      <c r="AM130" s="165">
        <f>景东!AI21</f>
        <v>0</v>
      </c>
      <c r="AN130" s="165">
        <f>景东!AJ21</f>
        <v>0</v>
      </c>
      <c r="AO130" s="165">
        <f>景东!AK21</f>
        <v>0</v>
      </c>
      <c r="AP130" s="263">
        <v>4</v>
      </c>
      <c r="AQ130" s="209">
        <f>景东!AM21</f>
        <v>0</v>
      </c>
      <c r="AR130" s="295">
        <f>景东!AN21</f>
        <v>0.8</v>
      </c>
      <c r="AS130" s="199" t="str">
        <f>景东!AO21</f>
        <v>532724198412051236</v>
      </c>
      <c r="AT130" s="199" t="str">
        <f>景东!AP21</f>
        <v>13154887030</v>
      </c>
    </row>
    <row r="131" spans="1:46">
      <c r="A131" t="s">
        <v>1923</v>
      </c>
      <c r="B131" s="202" t="str">
        <f>VLOOKUP(A131,databases!$A$2:$B$7, 2, FALSE)</f>
        <v>JingDong</v>
      </c>
      <c r="C131" s="165" t="str">
        <f>景东!B22</f>
        <v>鲁开福</v>
      </c>
      <c r="D131" s="202" t="str">
        <f>VLOOKUP(C131,databases!$D$2:$E$145, 2, FALSE)</f>
        <v>R137</v>
      </c>
      <c r="E131" s="259">
        <f>INDEX(sample_database!$B$2:$B$506,MATCH(F131,sample_database!$L$2:$L$506,0))</f>
        <v>119</v>
      </c>
      <c r="F131" s="202" t="str">
        <f>景东!A22</f>
        <v>JD21</v>
      </c>
      <c r="G131" s="257">
        <f>景东!C22</f>
        <v>8</v>
      </c>
      <c r="H131" s="257">
        <f>景东!D22</f>
        <v>0</v>
      </c>
      <c r="I131" s="202">
        <f>景东!E22</f>
        <v>26</v>
      </c>
      <c r="J131" s="202">
        <f>景东!F22</f>
        <v>2</v>
      </c>
      <c r="K131" s="202">
        <f>景东!G22</f>
        <v>2</v>
      </c>
      <c r="L131" s="202">
        <f>景东!H22</f>
        <v>2</v>
      </c>
      <c r="M131" s="202">
        <f>景东!I22</f>
        <v>3</v>
      </c>
      <c r="N131" s="202">
        <f>景东!J22</f>
        <v>3</v>
      </c>
      <c r="O131" s="202">
        <f>景东!K22</f>
        <v>4</v>
      </c>
      <c r="P131" s="202">
        <f>景东!L22</f>
        <v>7</v>
      </c>
      <c r="Q131" s="202">
        <f>景东!M22</f>
        <v>3</v>
      </c>
      <c r="R131" s="202">
        <f>景东!N22</f>
        <v>0</v>
      </c>
      <c r="S131" s="202">
        <f>景东!O22</f>
        <v>0</v>
      </c>
      <c r="T131" s="202">
        <f>景东!P22</f>
        <v>0</v>
      </c>
      <c r="U131" s="202">
        <f>景东!Q22</f>
        <v>0</v>
      </c>
      <c r="V131" s="202">
        <f>景东!R22</f>
        <v>0</v>
      </c>
      <c r="W131" s="202">
        <f>景东!S22</f>
        <v>0</v>
      </c>
      <c r="X131" s="202">
        <f>景东!T22</f>
        <v>0</v>
      </c>
      <c r="Y131" s="202">
        <f>景东!U22</f>
        <v>0</v>
      </c>
      <c r="Z131" s="202">
        <f>景东!V22</f>
        <v>0</v>
      </c>
      <c r="AA131" s="202">
        <f>景东!W22</f>
        <v>0</v>
      </c>
      <c r="AB131" s="202">
        <f>景东!X22</f>
        <v>0</v>
      </c>
      <c r="AC131" s="202">
        <f>景东!Y22</f>
        <v>0</v>
      </c>
      <c r="AD131" s="202">
        <f>景东!Z22</f>
        <v>0</v>
      </c>
      <c r="AE131" s="202">
        <f>景东!AA22</f>
        <v>0</v>
      </c>
      <c r="AF131" s="202">
        <f>景东!AB22</f>
        <v>0</v>
      </c>
      <c r="AG131" s="202">
        <f>景东!AC22</f>
        <v>0</v>
      </c>
      <c r="AH131" s="202">
        <f>景东!AD22</f>
        <v>0</v>
      </c>
      <c r="AI131" s="202">
        <f>景东!AE22</f>
        <v>0</v>
      </c>
      <c r="AJ131" s="202">
        <f>景东!AF22</f>
        <v>0</v>
      </c>
      <c r="AK131" s="165" t="str">
        <f>景东!AG22</f>
        <v>景东花山镇文明村岩头组</v>
      </c>
      <c r="AL131" s="165" t="str">
        <f>景东!AH22</f>
        <v>20160801</v>
      </c>
      <c r="AM131" s="165">
        <f>景东!AI22</f>
        <v>0</v>
      </c>
      <c r="AN131" s="165">
        <f>景东!AJ22</f>
        <v>0</v>
      </c>
      <c r="AO131" s="165">
        <f>景东!AK22</f>
        <v>0</v>
      </c>
      <c r="AP131" s="263">
        <v>10</v>
      </c>
      <c r="AQ131" s="209">
        <f>景东!AM22</f>
        <v>0</v>
      </c>
      <c r="AR131" s="295">
        <f>景东!AN22</f>
        <v>2</v>
      </c>
      <c r="AS131" s="199" t="str">
        <f>景东!AO22</f>
        <v>532724198412051236</v>
      </c>
      <c r="AT131" s="199" t="str">
        <f>景东!AP22</f>
        <v>13154887030</v>
      </c>
    </row>
    <row r="132" spans="1:46">
      <c r="A132" t="s">
        <v>1923</v>
      </c>
      <c r="B132" s="202" t="str">
        <f>VLOOKUP(A132,databases!$A$2:$B$7, 2, FALSE)</f>
        <v>JingDong</v>
      </c>
      <c r="C132" s="165" t="str">
        <f>景东!B23</f>
        <v>鲁开福</v>
      </c>
      <c r="D132" s="202" t="str">
        <f>VLOOKUP(C132,databases!$D$2:$E$145, 2, FALSE)</f>
        <v>R137</v>
      </c>
      <c r="E132" s="259">
        <f>INDEX(sample_database!$B$2:$B$506,MATCH(F132,sample_database!$L$2:$L$506,0))</f>
        <v>119</v>
      </c>
      <c r="F132" s="202" t="str">
        <f>景东!A23</f>
        <v>JD22</v>
      </c>
      <c r="G132" s="257">
        <f>景东!C23</f>
        <v>11</v>
      </c>
      <c r="H132" s="257">
        <f>景东!D23</f>
        <v>0</v>
      </c>
      <c r="I132" s="202">
        <f>景东!E23</f>
        <v>42</v>
      </c>
      <c r="J132" s="202">
        <f>景东!F23</f>
        <v>2</v>
      </c>
      <c r="K132" s="202">
        <f>景东!G23</f>
        <v>2</v>
      </c>
      <c r="L132" s="202">
        <f>景东!H23</f>
        <v>3</v>
      </c>
      <c r="M132" s="202">
        <f>景东!I23</f>
        <v>3</v>
      </c>
      <c r="N132" s="202">
        <f>景东!J23</f>
        <v>3</v>
      </c>
      <c r="O132" s="202">
        <f>景东!K23</f>
        <v>3</v>
      </c>
      <c r="P132" s="202">
        <f>景东!L23</f>
        <v>3</v>
      </c>
      <c r="Q132" s="202">
        <f>景东!M23</f>
        <v>4</v>
      </c>
      <c r="R132" s="202">
        <f>景东!N23</f>
        <v>6</v>
      </c>
      <c r="S132" s="202">
        <f>景东!O23</f>
        <v>6</v>
      </c>
      <c r="T132" s="202">
        <f>景东!P23</f>
        <v>7</v>
      </c>
      <c r="U132" s="202">
        <f>景东!Q23</f>
        <v>0</v>
      </c>
      <c r="V132" s="202">
        <f>景东!R23</f>
        <v>0</v>
      </c>
      <c r="W132" s="202">
        <f>景东!S23</f>
        <v>0</v>
      </c>
      <c r="X132" s="202">
        <f>景东!T23</f>
        <v>0</v>
      </c>
      <c r="Y132" s="202">
        <f>景东!U23</f>
        <v>0</v>
      </c>
      <c r="Z132" s="202">
        <f>景东!V23</f>
        <v>0</v>
      </c>
      <c r="AA132" s="202">
        <f>景东!W23</f>
        <v>0</v>
      </c>
      <c r="AB132" s="202">
        <f>景东!X23</f>
        <v>0</v>
      </c>
      <c r="AC132" s="202">
        <f>景东!Y23</f>
        <v>0</v>
      </c>
      <c r="AD132" s="202">
        <f>景东!Z23</f>
        <v>0</v>
      </c>
      <c r="AE132" s="202">
        <f>景东!AA23</f>
        <v>0</v>
      </c>
      <c r="AF132" s="202">
        <f>景东!AB23</f>
        <v>0</v>
      </c>
      <c r="AG132" s="202">
        <f>景东!AC23</f>
        <v>0</v>
      </c>
      <c r="AH132" s="202">
        <f>景东!AD23</f>
        <v>0</v>
      </c>
      <c r="AI132" s="202">
        <f>景东!AE23</f>
        <v>0</v>
      </c>
      <c r="AJ132" s="202">
        <f>景东!AF23</f>
        <v>0</v>
      </c>
      <c r="AK132" s="165" t="str">
        <f>景东!AG23</f>
        <v>？？？</v>
      </c>
      <c r="AL132" s="165" t="str">
        <f>景东!AH23</f>
        <v>？</v>
      </c>
      <c r="AM132" s="165">
        <f>景东!AI23</f>
        <v>0</v>
      </c>
      <c r="AN132" s="165">
        <f>景东!AJ23</f>
        <v>0</v>
      </c>
      <c r="AO132" s="165">
        <f>景东!AK23</f>
        <v>0</v>
      </c>
      <c r="AP132" s="263">
        <v>15</v>
      </c>
      <c r="AQ132" s="209">
        <f>景东!AM23</f>
        <v>0</v>
      </c>
      <c r="AR132" s="295">
        <f>景东!AN23</f>
        <v>3</v>
      </c>
      <c r="AS132" s="199" t="str">
        <f>景东!AO23</f>
        <v>532724198412051236</v>
      </c>
      <c r="AT132" s="199" t="str">
        <f>景东!AP23</f>
        <v>13154887030</v>
      </c>
    </row>
    <row r="133" spans="1:46">
      <c r="A133" t="s">
        <v>1923</v>
      </c>
      <c r="B133" s="202" t="str">
        <f>VLOOKUP(A133,databases!$A$2:$B$7, 2, FALSE)</f>
        <v>JingDong</v>
      </c>
      <c r="C133" s="165" t="str">
        <f>景东!B46</f>
        <v>鲁成荣</v>
      </c>
      <c r="D133" s="202" t="str">
        <f>VLOOKUP(C133,databases!$D$2:$E$145, 2, FALSE)</f>
        <v>R138</v>
      </c>
      <c r="E133" s="259">
        <f>INDEX(sample_database!$B$2:$B$506,MATCH(F133,sample_database!$L$2:$L$506,0))</f>
        <v>170</v>
      </c>
      <c r="F133" s="202" t="str">
        <f>景东!A46</f>
        <v>JD45</v>
      </c>
      <c r="G133" s="257">
        <f>景东!C46</f>
        <v>7</v>
      </c>
      <c r="H133" s="257">
        <f>景东!D46</f>
        <v>0</v>
      </c>
      <c r="I133" s="202">
        <f>景东!E46</f>
        <v>30</v>
      </c>
      <c r="J133" s="202">
        <f>景东!F46</f>
        <v>4</v>
      </c>
      <c r="K133" s="202">
        <f>景东!G46</f>
        <v>6</v>
      </c>
      <c r="L133" s="202">
        <f>景东!H46</f>
        <v>4</v>
      </c>
      <c r="M133" s="202">
        <f>景东!I46</f>
        <v>4</v>
      </c>
      <c r="N133" s="202">
        <f>景东!J46</f>
        <v>3</v>
      </c>
      <c r="O133" s="202">
        <f>景东!K46</f>
        <v>3</v>
      </c>
      <c r="P133" s="202">
        <f>景东!L46</f>
        <v>6</v>
      </c>
      <c r="Q133" s="202">
        <f>景东!M46</f>
        <v>0</v>
      </c>
      <c r="R133" s="202">
        <f>景东!N46</f>
        <v>0</v>
      </c>
      <c r="S133" s="202">
        <f>景东!O46</f>
        <v>0</v>
      </c>
      <c r="T133" s="202">
        <f>景东!P46</f>
        <v>0</v>
      </c>
      <c r="U133" s="202">
        <f>景东!Q46</f>
        <v>0</v>
      </c>
      <c r="V133" s="202">
        <f>景东!R46</f>
        <v>0</v>
      </c>
      <c r="W133" s="202">
        <f>景东!S46</f>
        <v>0</v>
      </c>
      <c r="X133" s="202">
        <f>景东!T46</f>
        <v>0</v>
      </c>
      <c r="Y133" s="202">
        <f>景东!U46</f>
        <v>0</v>
      </c>
      <c r="Z133" s="202">
        <f>景东!V46</f>
        <v>0</v>
      </c>
      <c r="AA133" s="202">
        <f>景东!W46</f>
        <v>0</v>
      </c>
      <c r="AB133" s="202">
        <f>景东!X46</f>
        <v>0</v>
      </c>
      <c r="AC133" s="202">
        <f>景东!Y46</f>
        <v>0</v>
      </c>
      <c r="AD133" s="202">
        <f>景东!Z46</f>
        <v>0</v>
      </c>
      <c r="AE133" s="202">
        <f>景东!AA46</f>
        <v>0</v>
      </c>
      <c r="AF133" s="202">
        <f>景东!AB46</f>
        <v>0</v>
      </c>
      <c r="AG133" s="202">
        <f>景东!AC46</f>
        <v>0</v>
      </c>
      <c r="AH133" s="202">
        <f>景东!AD46</f>
        <v>0</v>
      </c>
      <c r="AI133" s="202">
        <f>景东!AE46</f>
        <v>0</v>
      </c>
      <c r="AJ133" s="202">
        <f>景东!AF46</f>
        <v>0</v>
      </c>
      <c r="AK133" s="165" t="str">
        <f>景东!AG46</f>
        <v>景东县龙街乡新平村</v>
      </c>
      <c r="AL133" s="165" t="str">
        <f>景东!AH46</f>
        <v>20160815</v>
      </c>
      <c r="AM133" s="165">
        <f>景东!AI46</f>
        <v>0</v>
      </c>
      <c r="AN133" s="165">
        <f>景东!AJ46</f>
        <v>0</v>
      </c>
      <c r="AO133" s="165">
        <f>景东!AK46</f>
        <v>0</v>
      </c>
      <c r="AP133" s="263">
        <v>40</v>
      </c>
      <c r="AQ133" s="209">
        <f>景东!AM46</f>
        <v>0</v>
      </c>
      <c r="AR133" s="295">
        <f>景东!AN46</f>
        <v>8</v>
      </c>
      <c r="AS133" s="199" t="str">
        <f>景东!AO46</f>
        <v>？？</v>
      </c>
      <c r="AT133" s="199" t="str">
        <f>景东!AP46</f>
        <v>14769387747</v>
      </c>
    </row>
    <row r="134" spans="1:46">
      <c r="A134" t="s">
        <v>1923</v>
      </c>
      <c r="B134" s="202" t="str">
        <f>VLOOKUP(A134,databases!$A$2:$B$7, 2, FALSE)</f>
        <v>JingDong</v>
      </c>
      <c r="C134" s="165" t="str">
        <f>景东!B47</f>
        <v>鲁成荣</v>
      </c>
      <c r="D134" s="202" t="str">
        <f>VLOOKUP(C134,databases!$D$2:$E$145, 2, FALSE)</f>
        <v>R138</v>
      </c>
      <c r="E134" s="259">
        <f>INDEX(sample_database!$B$2:$B$506,MATCH(F134,sample_database!$L$2:$L$506,0))</f>
        <v>170</v>
      </c>
      <c r="F134" s="202" t="str">
        <f>景东!A47</f>
        <v>JD46</v>
      </c>
      <c r="G134" s="257">
        <f>景东!C47</f>
        <v>0</v>
      </c>
      <c r="H134" s="257">
        <f>景东!D47</f>
        <v>6</v>
      </c>
      <c r="I134" s="202">
        <f>景东!E47</f>
        <v>8</v>
      </c>
      <c r="J134" s="202">
        <f>景东!F47</f>
        <v>1</v>
      </c>
      <c r="K134" s="202">
        <f>景东!G47</f>
        <v>1</v>
      </c>
      <c r="L134" s="202">
        <f>景东!H47</f>
        <v>1</v>
      </c>
      <c r="M134" s="202">
        <f>景东!I47</f>
        <v>1</v>
      </c>
      <c r="N134" s="202">
        <f>景东!J47</f>
        <v>2</v>
      </c>
      <c r="O134" s="202">
        <f>景东!K47</f>
        <v>2</v>
      </c>
      <c r="P134" s="202">
        <f>景东!L47</f>
        <v>0</v>
      </c>
      <c r="Q134" s="202">
        <f>景东!M47</f>
        <v>0</v>
      </c>
      <c r="R134" s="202">
        <f>景东!N47</f>
        <v>0</v>
      </c>
      <c r="S134" s="202">
        <f>景东!O47</f>
        <v>0</v>
      </c>
      <c r="T134" s="202">
        <f>景东!P47</f>
        <v>0</v>
      </c>
      <c r="U134" s="202">
        <f>景东!Q47</f>
        <v>0</v>
      </c>
      <c r="V134" s="202">
        <f>景东!R47</f>
        <v>0</v>
      </c>
      <c r="W134" s="202">
        <f>景东!S47</f>
        <v>0</v>
      </c>
      <c r="X134" s="202">
        <f>景东!T47</f>
        <v>0</v>
      </c>
      <c r="Y134" s="202">
        <f>景东!U47</f>
        <v>0</v>
      </c>
      <c r="Z134" s="202">
        <f>景东!V47</f>
        <v>0</v>
      </c>
      <c r="AA134" s="202">
        <f>景东!W47</f>
        <v>0</v>
      </c>
      <c r="AB134" s="202">
        <f>景东!X47</f>
        <v>0</v>
      </c>
      <c r="AC134" s="202">
        <f>景东!Y47</f>
        <v>0</v>
      </c>
      <c r="AD134" s="202">
        <f>景东!Z47</f>
        <v>0</v>
      </c>
      <c r="AE134" s="202">
        <f>景东!AA47</f>
        <v>0</v>
      </c>
      <c r="AF134" s="202">
        <f>景东!AB47</f>
        <v>0</v>
      </c>
      <c r="AG134" s="202">
        <f>景东!AC47</f>
        <v>0</v>
      </c>
      <c r="AH134" s="202">
        <f>景东!AD47</f>
        <v>0</v>
      </c>
      <c r="AI134" s="202">
        <f>景东!AE47</f>
        <v>0</v>
      </c>
      <c r="AJ134" s="202">
        <f>景东!AF47</f>
        <v>0</v>
      </c>
      <c r="AK134" s="165" t="str">
        <f>景东!AG47</f>
        <v>景东县龙街乡新平村</v>
      </c>
      <c r="AL134" s="165" t="str">
        <f>景东!AH47</f>
        <v>20160815</v>
      </c>
      <c r="AM134" s="165">
        <f>景东!AI47</f>
        <v>0</v>
      </c>
      <c r="AN134" s="165">
        <f>景东!AJ47</f>
        <v>0</v>
      </c>
      <c r="AO134" s="165">
        <f>景东!AK47</f>
        <v>0</v>
      </c>
      <c r="AP134" s="263">
        <v>1.5</v>
      </c>
      <c r="AQ134" s="209">
        <f>景东!AM47</f>
        <v>0</v>
      </c>
      <c r="AR134" s="295">
        <f>景东!AN47</f>
        <v>0.3</v>
      </c>
      <c r="AS134" s="199" t="str">
        <f>景东!AO47</f>
        <v>？？</v>
      </c>
      <c r="AT134" s="199" t="str">
        <f>景东!AP47</f>
        <v>14769387747</v>
      </c>
    </row>
    <row r="135" spans="1:46">
      <c r="A135" t="s">
        <v>1923</v>
      </c>
      <c r="B135" s="202" t="str">
        <f>VLOOKUP(A135,databases!$A$2:$B$7, 2, FALSE)</f>
        <v>JingDong</v>
      </c>
      <c r="C135" s="165" t="str">
        <f>景东!B38</f>
        <v>鲁顺福</v>
      </c>
      <c r="D135" s="202" t="str">
        <f>VLOOKUP(C135,databases!$D$2:$E$145, 2, FALSE)</f>
        <v>R140</v>
      </c>
      <c r="E135" s="259">
        <f>INDEX(sample_database!$B$2:$B$506,MATCH(F135,sample_database!$L$2:$L$506,0))</f>
        <v>114</v>
      </c>
      <c r="F135" s="202" t="str">
        <f>景东!A38</f>
        <v>JD37</v>
      </c>
      <c r="G135" s="257">
        <f>景东!C38</f>
        <v>10</v>
      </c>
      <c r="H135" s="257">
        <f>景东!D38</f>
        <v>0</v>
      </c>
      <c r="I135" s="202">
        <f>景东!E38</f>
        <v>80</v>
      </c>
      <c r="J135" s="202">
        <f>景东!F38</f>
        <v>7</v>
      </c>
      <c r="K135" s="202">
        <f>景东!G38</f>
        <v>15</v>
      </c>
      <c r="L135" s="202">
        <f>景东!H38</f>
        <v>8</v>
      </c>
      <c r="M135" s="202">
        <f>景东!I38</f>
        <v>3</v>
      </c>
      <c r="N135" s="202">
        <f>景东!J38</f>
        <v>8</v>
      </c>
      <c r="O135" s="202">
        <f>景东!K38</f>
        <v>7</v>
      </c>
      <c r="P135" s="202">
        <f>景东!L38</f>
        <v>9</v>
      </c>
      <c r="Q135" s="202">
        <f>景东!M38</f>
        <v>7</v>
      </c>
      <c r="R135" s="202">
        <f>景东!N38</f>
        <v>8</v>
      </c>
      <c r="S135" s="202">
        <f>景东!O38</f>
        <v>8</v>
      </c>
      <c r="T135" s="202">
        <f>景东!P38</f>
        <v>0</v>
      </c>
      <c r="U135" s="202">
        <f>景东!Q38</f>
        <v>0</v>
      </c>
      <c r="V135" s="202">
        <f>景东!R38</f>
        <v>0</v>
      </c>
      <c r="W135" s="202">
        <f>景东!S38</f>
        <v>0</v>
      </c>
      <c r="X135" s="202">
        <f>景东!T38</f>
        <v>0</v>
      </c>
      <c r="Y135" s="202">
        <f>景东!U38</f>
        <v>0</v>
      </c>
      <c r="Z135" s="202">
        <f>景东!V38</f>
        <v>0</v>
      </c>
      <c r="AA135" s="202">
        <f>景东!W38</f>
        <v>0</v>
      </c>
      <c r="AB135" s="202">
        <f>景东!X38</f>
        <v>0</v>
      </c>
      <c r="AC135" s="202">
        <f>景东!Y38</f>
        <v>0</v>
      </c>
      <c r="AD135" s="202">
        <f>景东!Z38</f>
        <v>0</v>
      </c>
      <c r="AE135" s="202">
        <f>景东!AA38</f>
        <v>0</v>
      </c>
      <c r="AF135" s="202">
        <f>景东!AB38</f>
        <v>0</v>
      </c>
      <c r="AG135" s="202">
        <f>景东!AC38</f>
        <v>0</v>
      </c>
      <c r="AH135" s="202">
        <f>景东!AD38</f>
        <v>0</v>
      </c>
      <c r="AI135" s="202">
        <f>景东!AE38</f>
        <v>0</v>
      </c>
      <c r="AJ135" s="202">
        <f>景东!AF38</f>
        <v>0</v>
      </c>
      <c r="AK135" s="165" t="str">
        <f>景东!AG38</f>
        <v>景东县大街镇昆岗村山头组，大草坝</v>
      </c>
      <c r="AL135" s="165" t="str">
        <f>景东!AH38</f>
        <v>20160705-0718</v>
      </c>
      <c r="AM135" s="165">
        <f>景东!AI38</f>
        <v>0</v>
      </c>
      <c r="AN135" s="165">
        <f>景东!AJ38</f>
        <v>0</v>
      </c>
      <c r="AO135" s="165" t="str">
        <f>景东!AK38</f>
        <v>海拔2552，N24°25′34.26″ E101°07′07.02″</v>
      </c>
      <c r="AP135" s="263">
        <v>20</v>
      </c>
      <c r="AQ135" s="209">
        <f>景东!AM38</f>
        <v>0</v>
      </c>
      <c r="AR135" s="295">
        <f>景东!AN38</f>
        <v>4</v>
      </c>
      <c r="AS135" s="199" t="str">
        <f>景东!AO38</f>
        <v>532724197001091511</v>
      </c>
      <c r="AT135" s="199" t="str">
        <f>景东!AP38</f>
        <v>13577954774</v>
      </c>
    </row>
    <row r="136" spans="1:46">
      <c r="A136" t="s">
        <v>1923</v>
      </c>
      <c r="B136" s="202" t="str">
        <f>VLOOKUP(A136,databases!$A$2:$B$7, 2, FALSE)</f>
        <v>JingDong</v>
      </c>
      <c r="C136" s="165" t="str">
        <f>景东!B39</f>
        <v>鲁顺福</v>
      </c>
      <c r="D136" s="202" t="str">
        <f>VLOOKUP(C136,databases!$D$2:$E$145, 2, FALSE)</f>
        <v>R140</v>
      </c>
      <c r="E136" s="259">
        <f>INDEX(sample_database!$B$2:$B$506,MATCH(F136,sample_database!$L$2:$L$506,0))</f>
        <v>114</v>
      </c>
      <c r="F136" s="202" t="str">
        <f>景东!A39</f>
        <v>JD38</v>
      </c>
      <c r="G136" s="257">
        <f>景东!C39</f>
        <v>10</v>
      </c>
      <c r="H136" s="257">
        <f>景东!D39</f>
        <v>0</v>
      </c>
      <c r="I136" s="202">
        <f>景东!E39</f>
        <v>54</v>
      </c>
      <c r="J136" s="202">
        <f>景东!F39</f>
        <v>7</v>
      </c>
      <c r="K136" s="202">
        <f>景东!G39</f>
        <v>1</v>
      </c>
      <c r="L136" s="202">
        <f>景东!H39</f>
        <v>4</v>
      </c>
      <c r="M136" s="202">
        <f>景东!I39</f>
        <v>3</v>
      </c>
      <c r="N136" s="202">
        <f>景东!J39</f>
        <v>7</v>
      </c>
      <c r="O136" s="202">
        <f>景东!K39</f>
        <v>6</v>
      </c>
      <c r="P136" s="202">
        <f>景东!L39</f>
        <v>4</v>
      </c>
      <c r="Q136" s="202">
        <f>景东!M39</f>
        <v>4</v>
      </c>
      <c r="R136" s="202">
        <f>景东!N39</f>
        <v>5</v>
      </c>
      <c r="S136" s="202">
        <f>景东!O39</f>
        <v>13</v>
      </c>
      <c r="T136" s="202">
        <f>景东!P39</f>
        <v>0</v>
      </c>
      <c r="U136" s="202">
        <f>景东!Q39</f>
        <v>0</v>
      </c>
      <c r="V136" s="202">
        <f>景东!R39</f>
        <v>0</v>
      </c>
      <c r="W136" s="202">
        <f>景东!S39</f>
        <v>0</v>
      </c>
      <c r="X136" s="202">
        <f>景东!T39</f>
        <v>0</v>
      </c>
      <c r="Y136" s="202">
        <f>景东!U39</f>
        <v>0</v>
      </c>
      <c r="Z136" s="202">
        <f>景东!V39</f>
        <v>0</v>
      </c>
      <c r="AA136" s="202">
        <f>景东!W39</f>
        <v>0</v>
      </c>
      <c r="AB136" s="202">
        <f>景东!X39</f>
        <v>0</v>
      </c>
      <c r="AC136" s="202">
        <f>景东!Y39</f>
        <v>0</v>
      </c>
      <c r="AD136" s="202">
        <f>景东!Z39</f>
        <v>0</v>
      </c>
      <c r="AE136" s="202">
        <f>景东!AA39</f>
        <v>0</v>
      </c>
      <c r="AF136" s="202">
        <f>景东!AB39</f>
        <v>0</v>
      </c>
      <c r="AG136" s="202">
        <f>景东!AC39</f>
        <v>0</v>
      </c>
      <c r="AH136" s="202">
        <f>景东!AD39</f>
        <v>0</v>
      </c>
      <c r="AI136" s="202">
        <f>景东!AE39</f>
        <v>0</v>
      </c>
      <c r="AJ136" s="202">
        <f>景东!AF39</f>
        <v>0</v>
      </c>
      <c r="AK136" s="165" t="str">
        <f>景东!AG39</f>
        <v>景东县大街镇昆岗村，三颗桩</v>
      </c>
      <c r="AL136" s="165" t="str">
        <f>景东!AH39</f>
        <v>20160808</v>
      </c>
      <c r="AM136" s="165">
        <f>景东!AI39</f>
        <v>0</v>
      </c>
      <c r="AN136" s="165">
        <f>景东!AJ39</f>
        <v>0</v>
      </c>
      <c r="AO136" s="165" t="str">
        <f>景东!AK39</f>
        <v>海拔2492，N24°25′19.78″ E101°06′40.20″</v>
      </c>
      <c r="AP136" s="263">
        <v>15</v>
      </c>
      <c r="AQ136" s="209">
        <f>景东!AM39</f>
        <v>0</v>
      </c>
      <c r="AR136" s="295">
        <f>景东!AN39</f>
        <v>3</v>
      </c>
      <c r="AS136" s="199" t="str">
        <f>景东!AO39</f>
        <v>532724197001091511</v>
      </c>
      <c r="AT136" s="199" t="str">
        <f>景东!AP39</f>
        <v>13577954774</v>
      </c>
    </row>
    <row r="137" spans="1:46">
      <c r="A137" t="s">
        <v>1923</v>
      </c>
      <c r="B137" s="202" t="str">
        <f>VLOOKUP(A137,databases!$A$2:$B$7, 2, FALSE)</f>
        <v>JingDong</v>
      </c>
      <c r="C137" s="165" t="str">
        <f>景东!B40</f>
        <v>鲁顺福</v>
      </c>
      <c r="D137" s="202" t="str">
        <f>VLOOKUP(C137,databases!$D$2:$E$145, 2, FALSE)</f>
        <v>R140</v>
      </c>
      <c r="E137" s="259">
        <f>INDEX(sample_database!$B$2:$B$506,MATCH(F137,sample_database!$L$2:$L$506,0))</f>
        <v>114</v>
      </c>
      <c r="F137" s="202" t="str">
        <f>景东!A40</f>
        <v>JD39</v>
      </c>
      <c r="G137" s="257">
        <f>景东!C40</f>
        <v>0</v>
      </c>
      <c r="H137" s="257">
        <f>景东!D40</f>
        <v>12</v>
      </c>
      <c r="I137" s="202">
        <f>景东!E40</f>
        <v>26</v>
      </c>
      <c r="J137" s="202">
        <f>景东!F40</f>
        <v>1</v>
      </c>
      <c r="K137" s="202">
        <f>景东!G40</f>
        <v>2</v>
      </c>
      <c r="L137" s="202">
        <f>景东!H40</f>
        <v>2</v>
      </c>
      <c r="M137" s="202">
        <f>景东!I40</f>
        <v>2</v>
      </c>
      <c r="N137" s="202">
        <f>景东!J40</f>
        <v>2</v>
      </c>
      <c r="O137" s="202">
        <f>景东!K40</f>
        <v>2</v>
      </c>
      <c r="P137" s="202">
        <f>景东!L40</f>
        <v>2</v>
      </c>
      <c r="Q137" s="202">
        <f>景东!M40</f>
        <v>2</v>
      </c>
      <c r="R137" s="202">
        <f>景东!N40</f>
        <v>2</v>
      </c>
      <c r="S137" s="202">
        <f>景东!O40</f>
        <v>3</v>
      </c>
      <c r="T137" s="202">
        <f>景东!P40</f>
        <v>3</v>
      </c>
      <c r="U137" s="202">
        <f>景东!Q40</f>
        <v>3</v>
      </c>
      <c r="V137" s="202">
        <f>景东!R40</f>
        <v>0</v>
      </c>
      <c r="W137" s="202">
        <f>景东!S40</f>
        <v>0</v>
      </c>
      <c r="X137" s="202">
        <f>景东!T40</f>
        <v>0</v>
      </c>
      <c r="Y137" s="202">
        <f>景东!U40</f>
        <v>0</v>
      </c>
      <c r="Z137" s="202">
        <f>景东!V40</f>
        <v>0</v>
      </c>
      <c r="AA137" s="202">
        <f>景东!W40</f>
        <v>0</v>
      </c>
      <c r="AB137" s="202">
        <f>景东!X40</f>
        <v>0</v>
      </c>
      <c r="AC137" s="202">
        <f>景东!Y40</f>
        <v>0</v>
      </c>
      <c r="AD137" s="202">
        <f>景东!Z40</f>
        <v>0</v>
      </c>
      <c r="AE137" s="202">
        <f>景东!AA40</f>
        <v>0</v>
      </c>
      <c r="AF137" s="202">
        <f>景东!AB40</f>
        <v>0</v>
      </c>
      <c r="AG137" s="202">
        <f>景东!AC40</f>
        <v>0</v>
      </c>
      <c r="AH137" s="202">
        <f>景东!AD40</f>
        <v>0</v>
      </c>
      <c r="AI137" s="202">
        <f>景东!AE40</f>
        <v>0</v>
      </c>
      <c r="AJ137" s="202">
        <f>景东!AF40</f>
        <v>0</v>
      </c>
      <c r="AK137" s="165" t="str">
        <f>景东!AG40</f>
        <v>景东县大街镇昆岗村，中山</v>
      </c>
      <c r="AL137" s="165" t="str">
        <f>景东!AH40</f>
        <v>201608-09</v>
      </c>
      <c r="AM137" s="165">
        <f>景东!AI40</f>
        <v>0</v>
      </c>
      <c r="AN137" s="165">
        <f>景东!AJ40</f>
        <v>0</v>
      </c>
      <c r="AO137" s="165" t="str">
        <f>景东!AK40</f>
        <v>海拔2280，N24°24′55.53″ E101°06′58.66″</v>
      </c>
      <c r="AP137" s="263">
        <v>10</v>
      </c>
      <c r="AQ137" s="209">
        <f>景东!AM40</f>
        <v>0</v>
      </c>
      <c r="AR137" s="295">
        <f>景东!AN40</f>
        <v>2</v>
      </c>
      <c r="AS137" s="199" t="str">
        <f>景东!AO40</f>
        <v>532724197001091511</v>
      </c>
      <c r="AT137" s="199" t="str">
        <f>景东!AP40</f>
        <v>13577954774</v>
      </c>
    </row>
    <row r="138" spans="1:46">
      <c r="A138" t="s">
        <v>1923</v>
      </c>
      <c r="B138" s="202" t="str">
        <f>VLOOKUP(A138,databases!$A$2:$B$7, 2, FALSE)</f>
        <v>JingDong</v>
      </c>
      <c r="C138" s="165" t="str">
        <f>景东!B41</f>
        <v>鲁顺福</v>
      </c>
      <c r="D138" s="202" t="str">
        <f>VLOOKUP(C138,databases!$D$2:$E$145, 2, FALSE)</f>
        <v>R140</v>
      </c>
      <c r="E138" s="259">
        <f>INDEX(sample_database!$B$2:$B$506,MATCH(F138,sample_database!$L$2:$L$506,0))</f>
        <v>114</v>
      </c>
      <c r="F138" s="202" t="str">
        <f>景东!A41</f>
        <v>JD40</v>
      </c>
      <c r="G138" s="257">
        <f>景东!C41</f>
        <v>5</v>
      </c>
      <c r="H138" s="257">
        <f>景东!D41</f>
        <v>0</v>
      </c>
      <c r="I138" s="202">
        <f>景东!E41</f>
        <v>34</v>
      </c>
      <c r="J138" s="202">
        <f>景东!F41</f>
        <v>9</v>
      </c>
      <c r="K138" s="202">
        <f>景东!G41</f>
        <v>3</v>
      </c>
      <c r="L138" s="202">
        <f>景东!H41</f>
        <v>7</v>
      </c>
      <c r="M138" s="202">
        <f>景东!I41</f>
        <v>7</v>
      </c>
      <c r="N138" s="202">
        <f>景东!J41</f>
        <v>8</v>
      </c>
      <c r="O138" s="202">
        <f>景东!K41</f>
        <v>0</v>
      </c>
      <c r="P138" s="202">
        <f>景东!L41</f>
        <v>0</v>
      </c>
      <c r="Q138" s="202">
        <f>景东!M41</f>
        <v>0</v>
      </c>
      <c r="R138" s="202">
        <f>景东!N41</f>
        <v>0</v>
      </c>
      <c r="S138" s="202">
        <f>景东!O41</f>
        <v>0</v>
      </c>
      <c r="T138" s="202">
        <f>景东!P41</f>
        <v>0</v>
      </c>
      <c r="U138" s="202">
        <f>景东!Q41</f>
        <v>0</v>
      </c>
      <c r="V138" s="202">
        <f>景东!R41</f>
        <v>0</v>
      </c>
      <c r="W138" s="202">
        <f>景东!S41</f>
        <v>0</v>
      </c>
      <c r="X138" s="202">
        <f>景东!T41</f>
        <v>0</v>
      </c>
      <c r="Y138" s="202">
        <f>景东!U41</f>
        <v>0</v>
      </c>
      <c r="Z138" s="202">
        <f>景东!V41</f>
        <v>0</v>
      </c>
      <c r="AA138" s="202">
        <f>景东!W41</f>
        <v>0</v>
      </c>
      <c r="AB138" s="202">
        <f>景东!X41</f>
        <v>0</v>
      </c>
      <c r="AC138" s="202">
        <f>景东!Y41</f>
        <v>0</v>
      </c>
      <c r="AD138" s="202">
        <f>景东!Z41</f>
        <v>0</v>
      </c>
      <c r="AE138" s="202">
        <f>景东!AA41</f>
        <v>0</v>
      </c>
      <c r="AF138" s="202">
        <f>景东!AB41</f>
        <v>0</v>
      </c>
      <c r="AG138" s="202">
        <f>景东!AC41</f>
        <v>0</v>
      </c>
      <c r="AH138" s="202">
        <f>景东!AD41</f>
        <v>0</v>
      </c>
      <c r="AI138" s="202">
        <f>景东!AE41</f>
        <v>0</v>
      </c>
      <c r="AJ138" s="202">
        <f>景东!AF41</f>
        <v>0</v>
      </c>
      <c r="AK138" s="165" t="str">
        <f>景东!AG41</f>
        <v>景东县大街镇昆岗村，大关山槽子</v>
      </c>
      <c r="AL138" s="165" t="str">
        <f>景东!AH41</f>
        <v>2016009</v>
      </c>
      <c r="AM138" s="165">
        <f>景东!AI41</f>
        <v>0</v>
      </c>
      <c r="AN138" s="165">
        <f>景东!AJ41</f>
        <v>0</v>
      </c>
      <c r="AO138" s="165" t="str">
        <f>景东!AK41</f>
        <v>海拔2691，N24°25′45.04″ E101°06′34.10″</v>
      </c>
      <c r="AP138" s="263">
        <v>10</v>
      </c>
      <c r="AQ138" s="209">
        <f>景东!AM41</f>
        <v>0</v>
      </c>
      <c r="AR138" s="295">
        <f>景东!AN41</f>
        <v>2</v>
      </c>
      <c r="AS138" s="199" t="str">
        <f>景东!AO41</f>
        <v>532724197001091511</v>
      </c>
      <c r="AT138" s="199" t="str">
        <f>景东!AP41</f>
        <v>13577954774</v>
      </c>
    </row>
    <row r="139" spans="1:46">
      <c r="A139" t="s">
        <v>1927</v>
      </c>
      <c r="B139" s="202" t="str">
        <f>VLOOKUP(A139,databases!$A$2:$B$7, 2, FALSE)</f>
        <v>NanHua</v>
      </c>
      <c r="C139" t="str">
        <f>南华!B15</f>
        <v>何成富</v>
      </c>
      <c r="D139" s="202" t="str">
        <f>VLOOKUP(C139,databases!$D$2:$E$145, 2, FALSE)</f>
        <v>R4</v>
      </c>
      <c r="E139" s="259">
        <f>INDEX(sample_database!$B$2:$B$506,MATCH(F139,sample_database!$L$2:$L$506,0))</f>
        <v>56</v>
      </c>
      <c r="F139" s="202" t="str">
        <f>南华!A15</f>
        <v>NH14</v>
      </c>
      <c r="G139" s="257">
        <f>南华!C15</f>
        <v>1</v>
      </c>
      <c r="H139" s="257">
        <f>南华!D15</f>
        <v>0</v>
      </c>
      <c r="I139" s="202">
        <f>南华!E15</f>
        <v>1</v>
      </c>
      <c r="J139" s="202">
        <f>南华!F15</f>
        <v>1</v>
      </c>
      <c r="K139" s="202">
        <f>南华!G15</f>
        <v>0</v>
      </c>
      <c r="L139" s="202">
        <f>南华!H15</f>
        <v>0</v>
      </c>
      <c r="M139" s="202">
        <f>南华!I15</f>
        <v>0</v>
      </c>
      <c r="N139" s="202">
        <f>南华!J15</f>
        <v>0</v>
      </c>
      <c r="O139" s="202">
        <f>南华!K15</f>
        <v>0</v>
      </c>
      <c r="P139" s="202">
        <f>南华!L15</f>
        <v>0</v>
      </c>
      <c r="Q139" s="202">
        <f>南华!M15</f>
        <v>0</v>
      </c>
      <c r="R139" s="202">
        <f>南华!N15</f>
        <v>0</v>
      </c>
      <c r="S139" s="202">
        <f>南华!O15</f>
        <v>0</v>
      </c>
      <c r="T139" s="202">
        <f>南华!P15</f>
        <v>0</v>
      </c>
      <c r="U139" s="202">
        <f>南华!Q15</f>
        <v>0</v>
      </c>
      <c r="V139" s="202">
        <f>南华!R15</f>
        <v>0</v>
      </c>
      <c r="W139" s="202">
        <f>南华!S15</f>
        <v>0</v>
      </c>
      <c r="X139" s="202">
        <f>南华!T15</f>
        <v>0</v>
      </c>
      <c r="Y139" s="202">
        <f>南华!U15</f>
        <v>0</v>
      </c>
      <c r="Z139" s="202">
        <f>南华!V15</f>
        <v>0</v>
      </c>
      <c r="AA139" s="202">
        <f>南华!W15</f>
        <v>0</v>
      </c>
      <c r="AB139" s="202">
        <f>南华!X15</f>
        <v>0</v>
      </c>
      <c r="AC139" s="202">
        <f>南华!Y15</f>
        <v>0</v>
      </c>
      <c r="AD139" s="202">
        <f>南华!Z15</f>
        <v>0</v>
      </c>
      <c r="AE139" s="202">
        <f>南华!AA15</f>
        <v>0</v>
      </c>
      <c r="AF139" s="202">
        <f>南华!AB15</f>
        <v>0</v>
      </c>
      <c r="AG139" s="202">
        <f>南华!AC15</f>
        <v>0</v>
      </c>
      <c r="AH139" s="202">
        <f>南华!AD15</f>
        <v>0</v>
      </c>
      <c r="AI139" s="202">
        <f>南华!AE15</f>
        <v>0</v>
      </c>
      <c r="AJ139" s="202">
        <f>南华!AF15</f>
        <v>0</v>
      </c>
      <c r="AK139" s="202" t="str">
        <f>南华!AG15</f>
        <v>南华县大中山保护区管理局</v>
      </c>
      <c r="AL139" s="202" t="str">
        <f>南华!AH15</f>
        <v>？？</v>
      </c>
      <c r="AM139" s="202">
        <f>南华!AI15</f>
        <v>0</v>
      </c>
      <c r="AN139" s="202">
        <f>南华!AJ15</f>
        <v>0</v>
      </c>
      <c r="AO139" s="202">
        <f>南华!AK15</f>
        <v>0</v>
      </c>
      <c r="AP139" s="263">
        <v>0.5</v>
      </c>
      <c r="AQ139" s="261" t="str">
        <f>南华!AM15</f>
        <v>PCR FAILED</v>
      </c>
      <c r="AR139" s="295">
        <f>南华!AN15</f>
        <v>1</v>
      </c>
      <c r="AS139" s="201" t="str">
        <f>南华!AO15</f>
        <v>？？？</v>
      </c>
      <c r="AT139" s="201" t="str">
        <f>南华!AP15</f>
        <v>13987812514</v>
      </c>
    </row>
    <row r="140" spans="1:46">
      <c r="A140" t="s">
        <v>1927</v>
      </c>
      <c r="B140" s="202" t="str">
        <f>VLOOKUP(A140,databases!$A$2:$B$7, 2, FALSE)</f>
        <v>NanHua</v>
      </c>
      <c r="C140" t="str">
        <f>南华!B16</f>
        <v>周正航</v>
      </c>
      <c r="D140" s="202" t="str">
        <f>VLOOKUP(C140,databases!$D$2:$E$145, 2, FALSE)</f>
        <v>R11</v>
      </c>
      <c r="E140" s="259">
        <f>INDEX(sample_database!$B$2:$B$506,MATCH(F140,sample_database!$L$2:$L$506,0))</f>
        <v>55</v>
      </c>
      <c r="F140" s="202" t="str">
        <f>南华!A16</f>
        <v>NH15</v>
      </c>
      <c r="G140" s="257">
        <f>南华!C16</f>
        <v>1</v>
      </c>
      <c r="H140" s="257">
        <f>南华!D16</f>
        <v>0</v>
      </c>
      <c r="I140" s="202">
        <f>南华!E16</f>
        <v>6</v>
      </c>
      <c r="J140" s="202">
        <f>南华!F16</f>
        <v>6</v>
      </c>
      <c r="K140" s="202">
        <f>南华!G16</f>
        <v>0</v>
      </c>
      <c r="L140" s="202">
        <f>南华!H16</f>
        <v>0</v>
      </c>
      <c r="M140" s="202">
        <f>南华!I16</f>
        <v>0</v>
      </c>
      <c r="N140" s="202">
        <f>南华!J16</f>
        <v>0</v>
      </c>
      <c r="O140" s="202">
        <f>南华!K16</f>
        <v>0</v>
      </c>
      <c r="P140" s="202">
        <f>南华!L16</f>
        <v>0</v>
      </c>
      <c r="Q140" s="202">
        <f>南华!M16</f>
        <v>0</v>
      </c>
      <c r="R140" s="202">
        <f>南华!N16</f>
        <v>0</v>
      </c>
      <c r="S140" s="202">
        <f>南华!O16</f>
        <v>0</v>
      </c>
      <c r="T140" s="202">
        <f>南华!P16</f>
        <v>0</v>
      </c>
      <c r="U140" s="202">
        <f>南华!Q16</f>
        <v>0</v>
      </c>
      <c r="V140" s="202">
        <f>南华!R16</f>
        <v>0</v>
      </c>
      <c r="W140" s="202">
        <f>南华!S16</f>
        <v>0</v>
      </c>
      <c r="X140" s="202">
        <f>南华!T16</f>
        <v>0</v>
      </c>
      <c r="Y140" s="202">
        <f>南华!U16</f>
        <v>0</v>
      </c>
      <c r="Z140" s="202">
        <f>南华!V16</f>
        <v>0</v>
      </c>
      <c r="AA140" s="202">
        <f>南华!W16</f>
        <v>0</v>
      </c>
      <c r="AB140" s="202">
        <f>南华!X16</f>
        <v>0</v>
      </c>
      <c r="AC140" s="202">
        <f>南华!Y16</f>
        <v>0</v>
      </c>
      <c r="AD140" s="202">
        <f>南华!Z16</f>
        <v>0</v>
      </c>
      <c r="AE140" s="202">
        <f>南华!AA16</f>
        <v>0</v>
      </c>
      <c r="AF140" s="202">
        <f>南华!AB16</f>
        <v>0</v>
      </c>
      <c r="AG140" s="202">
        <f>南华!AC16</f>
        <v>0</v>
      </c>
      <c r="AH140" s="202">
        <f>南华!AD16</f>
        <v>0</v>
      </c>
      <c r="AI140" s="202">
        <f>南华!AE16</f>
        <v>0</v>
      </c>
      <c r="AJ140" s="202">
        <f>南华!AF16</f>
        <v>0</v>
      </c>
      <c r="AK140" s="202" t="str">
        <f>南华!AG16</f>
        <v>南华管理局大中山站</v>
      </c>
      <c r="AL140" s="202" t="str">
        <f>南华!AH16</f>
        <v>20160710-0720</v>
      </c>
      <c r="AM140" s="202">
        <f>南华!AI16</f>
        <v>0</v>
      </c>
      <c r="AN140" s="202">
        <f>南华!AJ16</f>
        <v>0</v>
      </c>
      <c r="AO140" s="202">
        <f>南华!AK16</f>
        <v>0</v>
      </c>
      <c r="AP140" s="263">
        <v>1.5</v>
      </c>
      <c r="AQ140" s="261">
        <f>南华!AM16</f>
        <v>0</v>
      </c>
      <c r="AR140" s="295">
        <f>南华!AN16</f>
        <v>10</v>
      </c>
      <c r="AS140" s="201" t="str">
        <f>南华!AO16</f>
        <v>？？？</v>
      </c>
      <c r="AT140" s="201" t="str">
        <f>南华!AP16</f>
        <v>？？</v>
      </c>
    </row>
    <row r="141" spans="1:46">
      <c r="A141" t="s">
        <v>1927</v>
      </c>
      <c r="B141" s="202" t="str">
        <f>VLOOKUP(A141,databases!$A$2:$B$7, 2, FALSE)</f>
        <v>NanHua</v>
      </c>
      <c r="C141" t="str">
        <f>南华!B17</f>
        <v>周正航</v>
      </c>
      <c r="D141" s="202" t="str">
        <f>VLOOKUP(C141,databases!$D$2:$E$145, 2, FALSE)</f>
        <v>R11</v>
      </c>
      <c r="E141" s="259">
        <f>INDEX(sample_database!$B$2:$B$506,MATCH(F141,sample_database!$L$2:$L$506,0))</f>
        <v>55</v>
      </c>
      <c r="F141" s="202" t="str">
        <f>南华!A17</f>
        <v>NH16</v>
      </c>
      <c r="G141" s="257">
        <f>南华!C17</f>
        <v>1</v>
      </c>
      <c r="H141" s="257">
        <f>南华!D17</f>
        <v>0</v>
      </c>
      <c r="I141" s="202">
        <f>南华!E17</f>
        <v>10</v>
      </c>
      <c r="J141" s="202">
        <f>南华!F17</f>
        <v>10</v>
      </c>
      <c r="K141" s="202">
        <f>南华!G17</f>
        <v>0</v>
      </c>
      <c r="L141" s="202">
        <f>南华!H17</f>
        <v>0</v>
      </c>
      <c r="M141" s="202">
        <f>南华!I17</f>
        <v>0</v>
      </c>
      <c r="N141" s="202">
        <f>南华!J17</f>
        <v>0</v>
      </c>
      <c r="O141" s="202">
        <f>南华!K17</f>
        <v>0</v>
      </c>
      <c r="P141" s="202">
        <f>南华!L17</f>
        <v>0</v>
      </c>
      <c r="Q141" s="202">
        <f>南华!M17</f>
        <v>0</v>
      </c>
      <c r="R141" s="202">
        <f>南华!N17</f>
        <v>0</v>
      </c>
      <c r="S141" s="202">
        <f>南华!O17</f>
        <v>0</v>
      </c>
      <c r="T141" s="202">
        <f>南华!P17</f>
        <v>0</v>
      </c>
      <c r="U141" s="202">
        <f>南华!Q17</f>
        <v>0</v>
      </c>
      <c r="V141" s="202">
        <f>南华!R17</f>
        <v>0</v>
      </c>
      <c r="W141" s="202">
        <f>南华!S17</f>
        <v>0</v>
      </c>
      <c r="X141" s="202">
        <f>南华!T17</f>
        <v>0</v>
      </c>
      <c r="Y141" s="202">
        <f>南华!U17</f>
        <v>0</v>
      </c>
      <c r="Z141" s="202">
        <f>南华!V17</f>
        <v>0</v>
      </c>
      <c r="AA141" s="202">
        <f>南华!W17</f>
        <v>0</v>
      </c>
      <c r="AB141" s="202">
        <f>南华!X17</f>
        <v>0</v>
      </c>
      <c r="AC141" s="202">
        <f>南华!Y17</f>
        <v>0</v>
      </c>
      <c r="AD141" s="202">
        <f>南华!Z17</f>
        <v>0</v>
      </c>
      <c r="AE141" s="202">
        <f>南华!AA17</f>
        <v>0</v>
      </c>
      <c r="AF141" s="202">
        <f>南华!AB17</f>
        <v>0</v>
      </c>
      <c r="AG141" s="202">
        <f>南华!AC17</f>
        <v>0</v>
      </c>
      <c r="AH141" s="202">
        <f>南华!AD17</f>
        <v>0</v>
      </c>
      <c r="AI141" s="202">
        <f>南华!AE17</f>
        <v>0</v>
      </c>
      <c r="AJ141" s="202">
        <f>南华!AF17</f>
        <v>0</v>
      </c>
      <c r="AK141" s="202" t="str">
        <f>南华!AG17</f>
        <v>南华管理局大中山站第二责任区</v>
      </c>
      <c r="AL141" s="202" t="str">
        <f>南华!AH17</f>
        <v>20160720-0730</v>
      </c>
      <c r="AM141" s="202">
        <f>南华!AI17</f>
        <v>0</v>
      </c>
      <c r="AN141" s="202">
        <f>南华!AJ17</f>
        <v>0</v>
      </c>
      <c r="AO141" s="202">
        <f>南华!AK17</f>
        <v>0</v>
      </c>
      <c r="AP141" s="263">
        <v>2</v>
      </c>
      <c r="AQ141" s="261">
        <f>南华!AM17</f>
        <v>0</v>
      </c>
      <c r="AR141" s="295">
        <f>南华!AN17</f>
        <v>10</v>
      </c>
      <c r="AS141" s="201" t="str">
        <f>南华!AO17</f>
        <v>？？？</v>
      </c>
      <c r="AT141" s="201" t="str">
        <f>南华!AP17</f>
        <v>？？</v>
      </c>
    </row>
    <row r="142" spans="1:46">
      <c r="A142" t="s">
        <v>1927</v>
      </c>
      <c r="B142" s="202" t="str">
        <f>VLOOKUP(A142,databases!$A$2:$B$7, 2, FALSE)</f>
        <v>NanHua</v>
      </c>
      <c r="C142" t="str">
        <f>南华!B28</f>
        <v>张应有</v>
      </c>
      <c r="D142" s="202" t="str">
        <f>VLOOKUP(C142,databases!$D$2:$E$145, 2, FALSE)</f>
        <v>R19</v>
      </c>
      <c r="E142" s="259">
        <f>INDEX(sample_database!$B$2:$B$506,MATCH(F142,sample_database!$L$2:$L$506,0))</f>
        <v>67</v>
      </c>
      <c r="F142" s="202" t="str">
        <f>南华!A28</f>
        <v>NH27</v>
      </c>
      <c r="G142" s="257">
        <f>南华!C28</f>
        <v>1</v>
      </c>
      <c r="H142" s="257">
        <f>南华!D28</f>
        <v>0</v>
      </c>
      <c r="I142" s="202">
        <f>南华!E28</f>
        <v>3</v>
      </c>
      <c r="J142" s="202">
        <f>南华!F28</f>
        <v>3</v>
      </c>
      <c r="K142" s="202">
        <f>南华!G28</f>
        <v>0</v>
      </c>
      <c r="L142" s="202">
        <f>南华!H28</f>
        <v>0</v>
      </c>
      <c r="M142" s="202">
        <f>南华!I28</f>
        <v>0</v>
      </c>
      <c r="N142" s="202">
        <f>南华!J28</f>
        <v>0</v>
      </c>
      <c r="O142" s="202">
        <f>南华!K28</f>
        <v>0</v>
      </c>
      <c r="P142" s="202">
        <f>南华!L28</f>
        <v>0</v>
      </c>
      <c r="Q142" s="202">
        <f>南华!M28</f>
        <v>0</v>
      </c>
      <c r="R142" s="202">
        <f>南华!N28</f>
        <v>0</v>
      </c>
      <c r="S142" s="202">
        <f>南华!O28</f>
        <v>0</v>
      </c>
      <c r="T142" s="202">
        <f>南华!P28</f>
        <v>0</v>
      </c>
      <c r="U142" s="202">
        <f>南华!Q28</f>
        <v>0</v>
      </c>
      <c r="V142" s="202">
        <f>南华!R28</f>
        <v>0</v>
      </c>
      <c r="W142" s="202">
        <f>南华!S28</f>
        <v>0</v>
      </c>
      <c r="X142" s="202">
        <f>南华!T28</f>
        <v>0</v>
      </c>
      <c r="Y142" s="202">
        <f>南华!U28</f>
        <v>0</v>
      </c>
      <c r="Z142" s="202">
        <f>南华!V28</f>
        <v>0</v>
      </c>
      <c r="AA142" s="202">
        <f>南华!W28</f>
        <v>0</v>
      </c>
      <c r="AB142" s="202">
        <f>南华!X28</f>
        <v>0</v>
      </c>
      <c r="AC142" s="202">
        <f>南华!Y28</f>
        <v>0</v>
      </c>
      <c r="AD142" s="202">
        <f>南华!Z28</f>
        <v>0</v>
      </c>
      <c r="AE142" s="202">
        <f>南华!AA28</f>
        <v>0</v>
      </c>
      <c r="AF142" s="202">
        <f>南华!AB28</f>
        <v>0</v>
      </c>
      <c r="AG142" s="202">
        <f>南华!AC28</f>
        <v>0</v>
      </c>
      <c r="AH142" s="202">
        <f>南华!AD28</f>
        <v>0</v>
      </c>
      <c r="AI142" s="202">
        <f>南华!AE28</f>
        <v>0</v>
      </c>
      <c r="AJ142" s="202">
        <f>南华!AF28</f>
        <v>0</v>
      </c>
      <c r="AK142" s="202" t="str">
        <f>南华!AG28</f>
        <v>南华县兔街镇嘴孜村兔街站</v>
      </c>
      <c r="AL142" s="202">
        <f>南华!AH28</f>
        <v>20160810</v>
      </c>
      <c r="AM142" s="202">
        <f>南华!AI28</f>
        <v>0</v>
      </c>
      <c r="AN142" s="202">
        <f>南华!AJ28</f>
        <v>0</v>
      </c>
      <c r="AO142" s="202">
        <f>南华!AK28</f>
        <v>0</v>
      </c>
      <c r="AP142" s="263">
        <v>1</v>
      </c>
      <c r="AQ142" s="261">
        <f>南华!AM28</f>
        <v>0</v>
      </c>
      <c r="AR142" s="295">
        <f>南华!AN28</f>
        <v>3</v>
      </c>
      <c r="AS142" s="201" t="str">
        <f>南华!AO28</f>
        <v>532324197002172514</v>
      </c>
      <c r="AT142" s="201" t="str">
        <f>南华!AP28</f>
        <v>15096454725</v>
      </c>
    </row>
    <row r="143" spans="1:46">
      <c r="A143" t="s">
        <v>1927</v>
      </c>
      <c r="B143" s="202" t="str">
        <f>VLOOKUP(A143,databases!$A$2:$B$7, 2, FALSE)</f>
        <v>NanHua</v>
      </c>
      <c r="C143" t="str">
        <f>南华!B4</f>
        <v>施国强</v>
      </c>
      <c r="D143" s="279" t="str">
        <f>VLOOKUP(C143,databases!$D$2:$E$145, 2, FALSE)</f>
        <v>R28</v>
      </c>
      <c r="E143" s="280" t="str">
        <f>INDEX(sample_database!$B$2:$B$506,MATCH(F143,sample_database!$L$2:$L$506,0))</f>
        <v>NA</v>
      </c>
      <c r="F143" s="202" t="str">
        <f>南华!A4</f>
        <v>NH03</v>
      </c>
      <c r="G143" s="257">
        <f>南华!C4</f>
        <v>1</v>
      </c>
      <c r="H143" s="257">
        <f>南华!D4</f>
        <v>0</v>
      </c>
      <c r="I143" s="202">
        <f>南华!E4</f>
        <v>1</v>
      </c>
      <c r="J143" s="202">
        <f>南华!F4</f>
        <v>1</v>
      </c>
      <c r="K143" s="202">
        <f>南华!G4</f>
        <v>0</v>
      </c>
      <c r="L143" s="202">
        <f>南华!H4</f>
        <v>0</v>
      </c>
      <c r="M143" s="202">
        <f>南华!I4</f>
        <v>0</v>
      </c>
      <c r="N143" s="202">
        <f>南华!J4</f>
        <v>0</v>
      </c>
      <c r="O143" s="202">
        <f>南华!K4</f>
        <v>0</v>
      </c>
      <c r="P143" s="202">
        <f>南华!L4</f>
        <v>0</v>
      </c>
      <c r="Q143" s="202">
        <f>南华!M4</f>
        <v>0</v>
      </c>
      <c r="R143" s="202">
        <f>南华!N4</f>
        <v>0</v>
      </c>
      <c r="S143" s="202">
        <f>南华!O4</f>
        <v>0</v>
      </c>
      <c r="T143" s="202">
        <f>南华!P4</f>
        <v>0</v>
      </c>
      <c r="U143" s="202">
        <f>南华!Q4</f>
        <v>0</v>
      </c>
      <c r="V143" s="202">
        <f>南华!R4</f>
        <v>0</v>
      </c>
      <c r="W143" s="202">
        <f>南华!S4</f>
        <v>0</v>
      </c>
      <c r="X143" s="202">
        <f>南华!T4</f>
        <v>0</v>
      </c>
      <c r="Y143" s="202">
        <f>南华!U4</f>
        <v>0</v>
      </c>
      <c r="Z143" s="202">
        <f>南华!V4</f>
        <v>0</v>
      </c>
      <c r="AA143" s="202">
        <f>南华!W4</f>
        <v>0</v>
      </c>
      <c r="AB143" s="202">
        <f>南华!X4</f>
        <v>0</v>
      </c>
      <c r="AC143" s="202">
        <f>南华!Y4</f>
        <v>0</v>
      </c>
      <c r="AD143" s="202">
        <f>南华!Z4</f>
        <v>0</v>
      </c>
      <c r="AE143" s="202">
        <f>南华!AA4</f>
        <v>0</v>
      </c>
      <c r="AF143" s="202">
        <f>南华!AB4</f>
        <v>0</v>
      </c>
      <c r="AG143" s="202">
        <f>南华!AC4</f>
        <v>0</v>
      </c>
      <c r="AH143" s="202">
        <f>南华!AD4</f>
        <v>0</v>
      </c>
      <c r="AI143" s="202">
        <f>南华!AE4</f>
        <v>0</v>
      </c>
      <c r="AJ143" s="202">
        <f>南华!AF4</f>
        <v>0</v>
      </c>
      <c r="AK143" s="202" t="str">
        <f>南华!AG4</f>
        <v>大中山</v>
      </c>
      <c r="AL143" s="202" t="str">
        <f>南华!AH4</f>
        <v>？？</v>
      </c>
      <c r="AM143" s="202">
        <f>南华!AI4</f>
        <v>0</v>
      </c>
      <c r="AN143" s="202">
        <f>南华!AJ4</f>
        <v>0</v>
      </c>
      <c r="AO143" s="202">
        <f>南华!AK4</f>
        <v>0</v>
      </c>
      <c r="AP143" s="263">
        <v>0.5</v>
      </c>
      <c r="AQ143" s="261" t="str">
        <f>南华!AM4</f>
        <v>PCR FAILED</v>
      </c>
      <c r="AR143" s="295">
        <f>南华!AN4</f>
        <v>1</v>
      </c>
      <c r="AS143" s="201" t="str">
        <f>南华!AO4</f>
        <v>？？？</v>
      </c>
      <c r="AT143" s="201" t="str">
        <f>南华!AP4</f>
        <v>？？</v>
      </c>
    </row>
    <row r="144" spans="1:46">
      <c r="A144" t="s">
        <v>1927</v>
      </c>
      <c r="B144" s="202" t="str">
        <f>VLOOKUP(A144,databases!$A$2:$B$7, 2, FALSE)</f>
        <v>NanHua</v>
      </c>
      <c r="C144" t="str">
        <f>南华!B29</f>
        <v>李乾明</v>
      </c>
      <c r="D144" s="202" t="str">
        <f>VLOOKUP(C144,databases!$D$2:$E$145, 2, FALSE)</f>
        <v>R35</v>
      </c>
      <c r="E144" s="259">
        <f>INDEX(sample_database!$B$2:$B$506,MATCH(F144,sample_database!$L$2:$L$506,0))</f>
        <v>50</v>
      </c>
      <c r="F144" s="202" t="str">
        <f>南华!A29</f>
        <v>NH28</v>
      </c>
      <c r="G144" s="257">
        <f>南华!C29</f>
        <v>5</v>
      </c>
      <c r="H144" s="257">
        <f>南华!D29</f>
        <v>0</v>
      </c>
      <c r="I144" s="202">
        <f>南华!E29</f>
        <v>14</v>
      </c>
      <c r="J144" s="202">
        <f>南华!F29</f>
        <v>2</v>
      </c>
      <c r="K144" s="202">
        <f>南华!G29</f>
        <v>2</v>
      </c>
      <c r="L144" s="202">
        <f>南华!H29</f>
        <v>2</v>
      </c>
      <c r="M144" s="202">
        <f>南华!I29</f>
        <v>3</v>
      </c>
      <c r="N144" s="202">
        <f>南华!J29</f>
        <v>5</v>
      </c>
      <c r="O144" s="202">
        <f>南华!K29</f>
        <v>0</v>
      </c>
      <c r="P144" s="202">
        <f>南华!L29</f>
        <v>0</v>
      </c>
      <c r="Q144" s="202">
        <f>南华!M29</f>
        <v>0</v>
      </c>
      <c r="R144" s="202">
        <f>南华!N29</f>
        <v>0</v>
      </c>
      <c r="S144" s="202">
        <f>南华!O29</f>
        <v>0</v>
      </c>
      <c r="T144" s="202">
        <f>南华!P29</f>
        <v>0</v>
      </c>
      <c r="U144" s="202">
        <f>南华!Q29</f>
        <v>0</v>
      </c>
      <c r="V144" s="202">
        <f>南华!R29</f>
        <v>0</v>
      </c>
      <c r="W144" s="202">
        <f>南华!S29</f>
        <v>0</v>
      </c>
      <c r="X144" s="202">
        <f>南华!T29</f>
        <v>0</v>
      </c>
      <c r="Y144" s="202">
        <f>南华!U29</f>
        <v>0</v>
      </c>
      <c r="Z144" s="202">
        <f>南华!V29</f>
        <v>0</v>
      </c>
      <c r="AA144" s="202">
        <f>南华!W29</f>
        <v>0</v>
      </c>
      <c r="AB144" s="202">
        <f>南华!X29</f>
        <v>0</v>
      </c>
      <c r="AC144" s="202">
        <f>南华!Y29</f>
        <v>0</v>
      </c>
      <c r="AD144" s="202">
        <f>南华!Z29</f>
        <v>0</v>
      </c>
      <c r="AE144" s="202">
        <f>南华!AA29</f>
        <v>0</v>
      </c>
      <c r="AF144" s="202">
        <f>南华!AB29</f>
        <v>0</v>
      </c>
      <c r="AG144" s="202">
        <f>南华!AC29</f>
        <v>0</v>
      </c>
      <c r="AH144" s="202">
        <f>南华!AD29</f>
        <v>0</v>
      </c>
      <c r="AI144" s="202">
        <f>南华!AE29</f>
        <v>0</v>
      </c>
      <c r="AJ144" s="202">
        <f>南华!AF29</f>
        <v>0</v>
      </c>
      <c r="AK144" s="202" t="str">
        <f>南华!AG29</f>
        <v>南华县兔街镇半坡村委会郭份田村</v>
      </c>
      <c r="AL144" s="202" t="str">
        <f>南华!AH29</f>
        <v>20160716&amp;0721</v>
      </c>
      <c r="AM144" s="202">
        <f>南华!AI29</f>
        <v>0</v>
      </c>
      <c r="AN144" s="202">
        <f>南华!AJ29</f>
        <v>0</v>
      </c>
      <c r="AO144" s="202">
        <f>南华!AK29</f>
        <v>0</v>
      </c>
      <c r="AP144" s="263">
        <v>1</v>
      </c>
      <c r="AQ144" s="261">
        <f>南华!AM29</f>
        <v>0</v>
      </c>
      <c r="AR144" s="295">
        <f>南华!AN29</f>
        <v>5</v>
      </c>
      <c r="AS144" s="201" t="str">
        <f>南华!AO29</f>
        <v>532324198101062534</v>
      </c>
      <c r="AT144" s="201" t="str">
        <f>南华!AP29</f>
        <v>18787824181</v>
      </c>
    </row>
    <row r="145" spans="1:46">
      <c r="A145" t="s">
        <v>1927</v>
      </c>
      <c r="B145" s="202" t="str">
        <f>VLOOKUP(A145,databases!$A$2:$B$7, 2, FALSE)</f>
        <v>NanHua</v>
      </c>
      <c r="C145" t="str">
        <f>南华!B30</f>
        <v>李乾明</v>
      </c>
      <c r="D145" s="202" t="str">
        <f>VLOOKUP(C145,databases!$D$2:$E$145, 2, FALSE)</f>
        <v>R35</v>
      </c>
      <c r="E145" s="259">
        <f>INDEX(sample_database!$B$2:$B$506,MATCH(F145,sample_database!$L$2:$L$506,0))</f>
        <v>50</v>
      </c>
      <c r="F145" s="202" t="str">
        <f>南华!A30</f>
        <v>NH29</v>
      </c>
      <c r="G145" s="257">
        <f>南华!C30</f>
        <v>0</v>
      </c>
      <c r="H145" s="257">
        <f>南华!D30</f>
        <v>5</v>
      </c>
      <c r="I145" s="202">
        <f>南华!E30</f>
        <v>6</v>
      </c>
      <c r="J145" s="202">
        <f>南华!F30</f>
        <v>1</v>
      </c>
      <c r="K145" s="202">
        <f>南华!G30</f>
        <v>1</v>
      </c>
      <c r="L145" s="202">
        <f>南华!H30</f>
        <v>1</v>
      </c>
      <c r="M145" s="202">
        <f>南华!I30</f>
        <v>1</v>
      </c>
      <c r="N145" s="202">
        <f>南华!J30</f>
        <v>2</v>
      </c>
      <c r="O145" s="202">
        <f>南华!K30</f>
        <v>0</v>
      </c>
      <c r="P145" s="202">
        <f>南华!L30</f>
        <v>0</v>
      </c>
      <c r="Q145" s="202">
        <f>南华!M30</f>
        <v>0</v>
      </c>
      <c r="R145" s="202">
        <f>南华!N30</f>
        <v>0</v>
      </c>
      <c r="S145" s="202">
        <f>南华!O30</f>
        <v>0</v>
      </c>
      <c r="T145" s="202">
        <f>南华!P30</f>
        <v>0</v>
      </c>
      <c r="U145" s="202">
        <f>南华!Q30</f>
        <v>0</v>
      </c>
      <c r="V145" s="202">
        <f>南华!R30</f>
        <v>0</v>
      </c>
      <c r="W145" s="202">
        <f>南华!S30</f>
        <v>0</v>
      </c>
      <c r="X145" s="202">
        <f>南华!T30</f>
        <v>0</v>
      </c>
      <c r="Y145" s="202">
        <f>南华!U30</f>
        <v>0</v>
      </c>
      <c r="Z145" s="202">
        <f>南华!V30</f>
        <v>0</v>
      </c>
      <c r="AA145" s="202">
        <f>南华!W30</f>
        <v>0</v>
      </c>
      <c r="AB145" s="202">
        <f>南华!X30</f>
        <v>0</v>
      </c>
      <c r="AC145" s="202">
        <f>南华!Y30</f>
        <v>0</v>
      </c>
      <c r="AD145" s="202">
        <f>南华!Z30</f>
        <v>0</v>
      </c>
      <c r="AE145" s="202">
        <f>南华!AA30</f>
        <v>0</v>
      </c>
      <c r="AF145" s="202">
        <f>南华!AB30</f>
        <v>0</v>
      </c>
      <c r="AG145" s="202">
        <f>南华!AC30</f>
        <v>0</v>
      </c>
      <c r="AH145" s="202">
        <f>南华!AD30</f>
        <v>0</v>
      </c>
      <c r="AI145" s="202">
        <f>南华!AE30</f>
        <v>0</v>
      </c>
      <c r="AJ145" s="202">
        <f>南华!AF30</f>
        <v>0</v>
      </c>
      <c r="AK145" s="202" t="str">
        <f>南华!AG30</f>
        <v>南华县兔街镇半坡村委会郭份田村</v>
      </c>
      <c r="AL145" s="202" t="str">
        <f>南华!AH30</f>
        <v>20160718&amp;0721</v>
      </c>
      <c r="AM145" s="202">
        <f>南华!AI30</f>
        <v>0</v>
      </c>
      <c r="AN145" s="202">
        <f>南华!AJ30</f>
        <v>0</v>
      </c>
      <c r="AO145" s="202">
        <f>南华!AK30</f>
        <v>0</v>
      </c>
      <c r="AP145" s="263">
        <v>1.5</v>
      </c>
      <c r="AQ145" s="261">
        <f>南华!AM30</f>
        <v>0</v>
      </c>
      <c r="AR145" s="295">
        <f>南华!AN30</f>
        <v>3</v>
      </c>
      <c r="AS145" s="201" t="str">
        <f>南华!AO30</f>
        <v>532324198101062534</v>
      </c>
      <c r="AT145" s="201" t="str">
        <f>南华!AP30</f>
        <v>18787824181</v>
      </c>
    </row>
    <row r="146" spans="1:46">
      <c r="A146" t="s">
        <v>1927</v>
      </c>
      <c r="B146" s="202" t="str">
        <f>VLOOKUP(A146,databases!$A$2:$B$7, 2, FALSE)</f>
        <v>NanHua</v>
      </c>
      <c r="C146" t="str">
        <f>南华!B9</f>
        <v>李先明</v>
      </c>
      <c r="D146" s="202" t="str">
        <f>VLOOKUP(C146,databases!$D$2:$E$145, 2, FALSE)</f>
        <v>R37</v>
      </c>
      <c r="E146" s="259">
        <f>INDEX(sample_database!$B$2:$B$506,MATCH(F146,sample_database!$L$2:$L$506,0))</f>
        <v>53</v>
      </c>
      <c r="F146" s="202" t="str">
        <f>南华!A9</f>
        <v>NH08</v>
      </c>
      <c r="G146" s="257">
        <f>南华!C9</f>
        <v>0</v>
      </c>
      <c r="H146" s="257">
        <f>南华!D9</f>
        <v>1</v>
      </c>
      <c r="I146" s="202">
        <f>南华!E9</f>
        <v>1</v>
      </c>
      <c r="J146" s="202">
        <f>南华!F9</f>
        <v>1</v>
      </c>
      <c r="K146" s="202">
        <f>南华!G9</f>
        <v>0</v>
      </c>
      <c r="L146" s="202">
        <f>南华!H9</f>
        <v>0</v>
      </c>
      <c r="M146" s="202">
        <f>南华!I9</f>
        <v>0</v>
      </c>
      <c r="N146" s="202">
        <f>南华!J9</f>
        <v>0</v>
      </c>
      <c r="O146" s="202">
        <f>南华!K9</f>
        <v>0</v>
      </c>
      <c r="P146" s="202">
        <f>南华!L9</f>
        <v>0</v>
      </c>
      <c r="Q146" s="202">
        <f>南华!M9</f>
        <v>0</v>
      </c>
      <c r="R146" s="202">
        <f>南华!N9</f>
        <v>0</v>
      </c>
      <c r="S146" s="202">
        <f>南华!O9</f>
        <v>0</v>
      </c>
      <c r="T146" s="202">
        <f>南华!P9</f>
        <v>0</v>
      </c>
      <c r="U146" s="202">
        <f>南华!Q9</f>
        <v>0</v>
      </c>
      <c r="V146" s="202">
        <f>南华!R9</f>
        <v>0</v>
      </c>
      <c r="W146" s="202">
        <f>南华!S9</f>
        <v>0</v>
      </c>
      <c r="X146" s="202">
        <f>南华!T9</f>
        <v>0</v>
      </c>
      <c r="Y146" s="202">
        <f>南华!U9</f>
        <v>0</v>
      </c>
      <c r="Z146" s="202">
        <f>南华!V9</f>
        <v>0</v>
      </c>
      <c r="AA146" s="202">
        <f>南华!W9</f>
        <v>0</v>
      </c>
      <c r="AB146" s="202">
        <f>南华!X9</f>
        <v>0</v>
      </c>
      <c r="AC146" s="202">
        <f>南华!Y9</f>
        <v>0</v>
      </c>
      <c r="AD146" s="202">
        <f>南华!Z9</f>
        <v>0</v>
      </c>
      <c r="AE146" s="202">
        <f>南华!AA9</f>
        <v>0</v>
      </c>
      <c r="AF146" s="202">
        <f>南华!AB9</f>
        <v>0</v>
      </c>
      <c r="AG146" s="202">
        <f>南华!AC9</f>
        <v>0</v>
      </c>
      <c r="AH146" s="202">
        <f>南华!AD9</f>
        <v>0</v>
      </c>
      <c r="AI146" s="202">
        <f>南华!AE9</f>
        <v>0</v>
      </c>
      <c r="AJ146" s="202">
        <f>南华!AF9</f>
        <v>0</v>
      </c>
      <c r="AK146" s="202" t="str">
        <f>南华!AG9</f>
        <v>南华管理局马街管理站</v>
      </c>
      <c r="AL146" s="202" t="str">
        <f>南华!AH9</f>
        <v>？？</v>
      </c>
      <c r="AM146" s="202">
        <f>南华!AI9</f>
        <v>0</v>
      </c>
      <c r="AN146" s="202">
        <f>南华!AJ9</f>
        <v>0</v>
      </c>
      <c r="AO146" s="202">
        <f>南华!AK9</f>
        <v>0</v>
      </c>
      <c r="AP146" s="263">
        <v>0.5</v>
      </c>
      <c r="AQ146" s="261" t="str">
        <f>南华!AM9</f>
        <v>PCR FAILED</v>
      </c>
      <c r="AR146" s="295">
        <f>南华!AN9</f>
        <v>1</v>
      </c>
      <c r="AS146" s="201" t="str">
        <f>南华!AO9</f>
        <v>532324197306082358</v>
      </c>
      <c r="AT146" s="201" t="str">
        <f>南华!AP9</f>
        <v>15887520320</v>
      </c>
    </row>
    <row r="147" spans="1:46">
      <c r="A147" t="s">
        <v>1927</v>
      </c>
      <c r="B147" s="202" t="str">
        <f>VLOOKUP(A147,databases!$A$2:$B$7, 2, FALSE)</f>
        <v>NanHua</v>
      </c>
      <c r="C147" t="str">
        <f>南华!B20</f>
        <v>李存明</v>
      </c>
      <c r="D147" s="202" t="str">
        <f>VLOOKUP(C147,databases!$D$2:$E$145, 2, FALSE)</f>
        <v>R43</v>
      </c>
      <c r="E147" s="259">
        <f>INDEX(sample_database!$B$2:$B$506,MATCH(F147,sample_database!$L$2:$L$506,0))</f>
        <v>46</v>
      </c>
      <c r="F147" s="202" t="str">
        <f>南华!A20</f>
        <v>NH19</v>
      </c>
      <c r="G147" s="257">
        <f>南华!C20</f>
        <v>2</v>
      </c>
      <c r="H147" s="257">
        <f>南华!D20</f>
        <v>0</v>
      </c>
      <c r="I147" s="202">
        <f>南华!E20</f>
        <v>2</v>
      </c>
      <c r="J147" s="202">
        <f>南华!F20</f>
        <v>1</v>
      </c>
      <c r="K147" s="202">
        <f>南华!G20</f>
        <v>1</v>
      </c>
      <c r="L147" s="202">
        <f>南华!H20</f>
        <v>0</v>
      </c>
      <c r="M147" s="202">
        <f>南华!I20</f>
        <v>0</v>
      </c>
      <c r="N147" s="202">
        <f>南华!J20</f>
        <v>0</v>
      </c>
      <c r="O147" s="202">
        <f>南华!K20</f>
        <v>0</v>
      </c>
      <c r="P147" s="202">
        <f>南华!L20</f>
        <v>0</v>
      </c>
      <c r="Q147" s="202">
        <f>南华!M20</f>
        <v>0</v>
      </c>
      <c r="R147" s="202">
        <f>南华!N20</f>
        <v>0</v>
      </c>
      <c r="S147" s="202">
        <f>南华!O20</f>
        <v>0</v>
      </c>
      <c r="T147" s="202">
        <f>南华!P20</f>
        <v>0</v>
      </c>
      <c r="U147" s="202">
        <f>南华!Q20</f>
        <v>0</v>
      </c>
      <c r="V147" s="202">
        <f>南华!R20</f>
        <v>0</v>
      </c>
      <c r="W147" s="202">
        <f>南华!S20</f>
        <v>0</v>
      </c>
      <c r="X147" s="202">
        <f>南华!T20</f>
        <v>0</v>
      </c>
      <c r="Y147" s="202">
        <f>南华!U20</f>
        <v>0</v>
      </c>
      <c r="Z147" s="202">
        <f>南华!V20</f>
        <v>0</v>
      </c>
      <c r="AA147" s="202">
        <f>南华!W20</f>
        <v>0</v>
      </c>
      <c r="AB147" s="202">
        <f>南华!X20</f>
        <v>0</v>
      </c>
      <c r="AC147" s="202">
        <f>南华!Y20</f>
        <v>0</v>
      </c>
      <c r="AD147" s="202">
        <f>南华!Z20</f>
        <v>0</v>
      </c>
      <c r="AE147" s="202">
        <f>南华!AA20</f>
        <v>0</v>
      </c>
      <c r="AF147" s="202">
        <f>南华!AB20</f>
        <v>0</v>
      </c>
      <c r="AG147" s="202">
        <f>南华!AC20</f>
        <v>0</v>
      </c>
      <c r="AH147" s="202">
        <f>南华!AD20</f>
        <v>0</v>
      </c>
      <c r="AI147" s="202">
        <f>南华!AE20</f>
        <v>0</v>
      </c>
      <c r="AJ147" s="202">
        <f>南华!AF20</f>
        <v>0</v>
      </c>
      <c r="AK147" s="202" t="str">
        <f>南华!AG20</f>
        <v>南华管理局马街管理站</v>
      </c>
      <c r="AL147" s="202" t="str">
        <f>南华!AH20</f>
        <v>？？</v>
      </c>
      <c r="AM147" s="202">
        <f>南华!AI20</f>
        <v>0</v>
      </c>
      <c r="AN147" s="202">
        <f>南华!AJ20</f>
        <v>0</v>
      </c>
      <c r="AO147" s="202">
        <f>南华!AK20</f>
        <v>0</v>
      </c>
      <c r="AP147" s="263">
        <v>1.5</v>
      </c>
      <c r="AQ147" s="261">
        <f>南华!AM20</f>
        <v>0</v>
      </c>
      <c r="AR147" s="295">
        <f>南华!AN20</f>
        <v>1</v>
      </c>
      <c r="AS147" s="201" t="str">
        <f>南华!AO20</f>
        <v>？？？</v>
      </c>
      <c r="AT147" s="201" t="str">
        <f>南华!AP20</f>
        <v>13638773306</v>
      </c>
    </row>
    <row r="148" spans="1:46">
      <c r="A148" t="s">
        <v>1927</v>
      </c>
      <c r="B148" s="202" t="str">
        <f>VLOOKUP(A148,databases!$A$2:$B$7, 2, FALSE)</f>
        <v>NanHua</v>
      </c>
      <c r="C148" t="str">
        <f>南华!B21</f>
        <v>李存明</v>
      </c>
      <c r="D148" s="202" t="str">
        <f>VLOOKUP(C148,databases!$D$2:$E$145, 2, FALSE)</f>
        <v>R43</v>
      </c>
      <c r="E148" s="259">
        <f>INDEX(sample_database!$B$2:$B$506,MATCH(F148,sample_database!$L$2:$L$506,0))</f>
        <v>46</v>
      </c>
      <c r="F148" s="202" t="str">
        <f>南华!A21</f>
        <v>NH20</v>
      </c>
      <c r="G148" s="257">
        <f>南华!C21</f>
        <v>0</v>
      </c>
      <c r="H148" s="257">
        <f>南华!D21</f>
        <v>7</v>
      </c>
      <c r="I148" s="202">
        <f>南华!E21</f>
        <v>9</v>
      </c>
      <c r="J148" s="202">
        <f>南华!F21</f>
        <v>1</v>
      </c>
      <c r="K148" s="202">
        <f>南华!G21</f>
        <v>1</v>
      </c>
      <c r="L148" s="202">
        <f>南华!H21</f>
        <v>1</v>
      </c>
      <c r="M148" s="202">
        <f>南华!I21</f>
        <v>1</v>
      </c>
      <c r="N148" s="202">
        <f>南华!J21</f>
        <v>1</v>
      </c>
      <c r="O148" s="202">
        <f>南华!K21</f>
        <v>2</v>
      </c>
      <c r="P148" s="202">
        <f>南华!L21</f>
        <v>2</v>
      </c>
      <c r="Q148" s="202">
        <f>南华!M21</f>
        <v>0</v>
      </c>
      <c r="R148" s="202">
        <f>南华!N21</f>
        <v>0</v>
      </c>
      <c r="S148" s="202">
        <f>南华!O21</f>
        <v>0</v>
      </c>
      <c r="T148" s="202">
        <f>南华!P21</f>
        <v>0</v>
      </c>
      <c r="U148" s="202">
        <f>南华!Q21</f>
        <v>0</v>
      </c>
      <c r="V148" s="202">
        <f>南华!R21</f>
        <v>0</v>
      </c>
      <c r="W148" s="202">
        <f>南华!S21</f>
        <v>0</v>
      </c>
      <c r="X148" s="202">
        <f>南华!T21</f>
        <v>0</v>
      </c>
      <c r="Y148" s="202">
        <f>南华!U21</f>
        <v>0</v>
      </c>
      <c r="Z148" s="202">
        <f>南华!V21</f>
        <v>0</v>
      </c>
      <c r="AA148" s="202">
        <f>南华!W21</f>
        <v>0</v>
      </c>
      <c r="AB148" s="202">
        <f>南华!X21</f>
        <v>0</v>
      </c>
      <c r="AC148" s="202">
        <f>南华!Y21</f>
        <v>0</v>
      </c>
      <c r="AD148" s="202">
        <f>南华!Z21</f>
        <v>0</v>
      </c>
      <c r="AE148" s="202">
        <f>南华!AA21</f>
        <v>0</v>
      </c>
      <c r="AF148" s="202">
        <f>南华!AB21</f>
        <v>0</v>
      </c>
      <c r="AG148" s="202">
        <f>南华!AC21</f>
        <v>0</v>
      </c>
      <c r="AH148" s="202">
        <f>南华!AD21</f>
        <v>0</v>
      </c>
      <c r="AI148" s="202">
        <f>南华!AE21</f>
        <v>0</v>
      </c>
      <c r="AJ148" s="202">
        <f>南华!AF21</f>
        <v>0</v>
      </c>
      <c r="AK148" s="202" t="str">
        <f>南华!AG21</f>
        <v>南华管理局马街管理站</v>
      </c>
      <c r="AL148" s="202" t="str">
        <f>南华!AH21</f>
        <v>？？</v>
      </c>
      <c r="AM148" s="202">
        <f>南华!AI21</f>
        <v>0</v>
      </c>
      <c r="AN148" s="202">
        <f>南华!AJ21</f>
        <v>0</v>
      </c>
      <c r="AO148" s="202">
        <f>南华!AK21</f>
        <v>0</v>
      </c>
      <c r="AP148" s="263">
        <v>2.5</v>
      </c>
      <c r="AQ148" s="261">
        <f>南华!AM21</f>
        <v>0</v>
      </c>
      <c r="AR148" s="295">
        <f>南华!AN21</f>
        <v>1</v>
      </c>
      <c r="AS148" s="201" t="str">
        <f>南华!AO21</f>
        <v>？？？</v>
      </c>
      <c r="AT148" s="201" t="str">
        <f>南华!AP21</f>
        <v>13638773306</v>
      </c>
    </row>
    <row r="149" spans="1:46">
      <c r="A149" t="s">
        <v>1927</v>
      </c>
      <c r="B149" s="202" t="str">
        <f>VLOOKUP(A149,databases!$A$2:$B$7, 2, FALSE)</f>
        <v>NanHua</v>
      </c>
      <c r="C149" t="str">
        <f>南华!B2</f>
        <v>李恒进</v>
      </c>
      <c r="D149" s="202" t="str">
        <f>VLOOKUP(C149,databases!$D$2:$E$145, 2, FALSE)</f>
        <v>R53</v>
      </c>
      <c r="E149" s="259">
        <f>INDEX(sample_database!$B$2:$B$506,MATCH(F149,sample_database!$L$2:$L$506,0))</f>
        <v>44</v>
      </c>
      <c r="F149" s="202" t="str">
        <f>南华!A2</f>
        <v>NH01</v>
      </c>
      <c r="G149" s="257">
        <f>南华!C2</f>
        <v>6</v>
      </c>
      <c r="H149" s="257">
        <f>南华!D2</f>
        <v>0</v>
      </c>
      <c r="I149" s="202">
        <f>南华!E2</f>
        <v>20</v>
      </c>
      <c r="J149" s="202">
        <f>南华!F2</f>
        <v>1</v>
      </c>
      <c r="K149" s="202">
        <f>南华!G2</f>
        <v>1</v>
      </c>
      <c r="L149" s="202">
        <f>南华!H2</f>
        <v>5</v>
      </c>
      <c r="M149" s="202">
        <f>南华!I2</f>
        <v>5</v>
      </c>
      <c r="N149" s="202">
        <f>南华!J2</f>
        <v>5</v>
      </c>
      <c r="O149" s="202">
        <f>南华!K2</f>
        <v>3</v>
      </c>
      <c r="P149" s="202">
        <f>南华!L2</f>
        <v>0</v>
      </c>
      <c r="Q149" s="202">
        <f>南华!M2</f>
        <v>0</v>
      </c>
      <c r="R149" s="202">
        <f>南华!N2</f>
        <v>0</v>
      </c>
      <c r="S149" s="202">
        <f>南华!O2</f>
        <v>0</v>
      </c>
      <c r="T149" s="202">
        <f>南华!P2</f>
        <v>0</v>
      </c>
      <c r="U149" s="202">
        <f>南华!Q2</f>
        <v>0</v>
      </c>
      <c r="V149" s="202">
        <f>南华!R2</f>
        <v>0</v>
      </c>
      <c r="W149" s="202">
        <f>南华!S2</f>
        <v>0</v>
      </c>
      <c r="X149" s="202">
        <f>南华!T2</f>
        <v>0</v>
      </c>
      <c r="Y149" s="202">
        <f>南华!U2</f>
        <v>0</v>
      </c>
      <c r="Z149" s="202">
        <f>南华!V2</f>
        <v>0</v>
      </c>
      <c r="AA149" s="202">
        <f>南华!W2</f>
        <v>0</v>
      </c>
      <c r="AB149" s="202">
        <f>南华!X2</f>
        <v>0</v>
      </c>
      <c r="AC149" s="202">
        <f>南华!Y2</f>
        <v>0</v>
      </c>
      <c r="AD149" s="202">
        <f>南华!Z2</f>
        <v>0</v>
      </c>
      <c r="AE149" s="202">
        <f>南华!AA2</f>
        <v>0</v>
      </c>
      <c r="AF149" s="202">
        <f>南华!AB2</f>
        <v>0</v>
      </c>
      <c r="AG149" s="202">
        <f>南华!AC2</f>
        <v>0</v>
      </c>
      <c r="AH149" s="202">
        <f>南华!AD2</f>
        <v>0</v>
      </c>
      <c r="AI149" s="202">
        <f>南华!AE2</f>
        <v>0</v>
      </c>
      <c r="AJ149" s="202">
        <f>南华!AF2</f>
        <v>0</v>
      </c>
      <c r="AK149" s="202">
        <f>南华!AG2</f>
        <v>0</v>
      </c>
      <c r="AL149" s="202" t="str">
        <f>南华!AH2</f>
        <v>1包</v>
      </c>
      <c r="AM149" s="202">
        <f>南华!AI2</f>
        <v>0</v>
      </c>
      <c r="AN149" s="202">
        <f>南华!AJ2</f>
        <v>0</v>
      </c>
      <c r="AO149" s="202">
        <f>南华!AK2</f>
        <v>0</v>
      </c>
      <c r="AP149" s="263">
        <v>4</v>
      </c>
      <c r="AQ149" s="261">
        <f>南华!AM2</f>
        <v>0</v>
      </c>
      <c r="AR149" s="295">
        <f>南华!AN2</f>
        <v>5</v>
      </c>
      <c r="AS149" s="201">
        <f>南华!AO2</f>
        <v>0</v>
      </c>
      <c r="AT149" s="201">
        <f>南华!AP2</f>
        <v>0</v>
      </c>
    </row>
    <row r="150" spans="1:46">
      <c r="A150" t="s">
        <v>1927</v>
      </c>
      <c r="B150" s="202" t="str">
        <f>VLOOKUP(A150,databases!$A$2:$B$7, 2, FALSE)</f>
        <v>NanHua</v>
      </c>
      <c r="C150" t="str">
        <f>南华!B10</f>
        <v>李桂芳</v>
      </c>
      <c r="D150" s="202" t="str">
        <f>VLOOKUP(C150,databases!$D$2:$E$145, 2, FALSE)</f>
        <v>R61</v>
      </c>
      <c r="E150" s="259">
        <f>INDEX(sample_database!$B$2:$B$506,MATCH(F150,sample_database!$L$2:$L$506,0))</f>
        <v>58</v>
      </c>
      <c r="F150" s="202" t="str">
        <f>南华!A10</f>
        <v>NH09</v>
      </c>
      <c r="G150" s="257">
        <f>南华!C10</f>
        <v>0</v>
      </c>
      <c r="H150" s="257">
        <f>南华!D10</f>
        <v>10</v>
      </c>
      <c r="I150" s="202">
        <f>南华!E10</f>
        <v>11</v>
      </c>
      <c r="J150" s="202">
        <f>南华!F10</f>
        <v>1</v>
      </c>
      <c r="K150" s="202">
        <f>南华!G10</f>
        <v>1</v>
      </c>
      <c r="L150" s="202">
        <f>南华!H10</f>
        <v>1</v>
      </c>
      <c r="M150" s="202">
        <f>南华!I10</f>
        <v>1</v>
      </c>
      <c r="N150" s="202">
        <f>南华!J10</f>
        <v>1</v>
      </c>
      <c r="O150" s="202">
        <f>南华!K10</f>
        <v>1</v>
      </c>
      <c r="P150" s="202">
        <f>南华!L10</f>
        <v>1</v>
      </c>
      <c r="Q150" s="202">
        <f>南华!M10</f>
        <v>1</v>
      </c>
      <c r="R150" s="202">
        <f>南华!N10</f>
        <v>1</v>
      </c>
      <c r="S150" s="202">
        <f>南华!O10</f>
        <v>2</v>
      </c>
      <c r="T150" s="202">
        <f>南华!P10</f>
        <v>0</v>
      </c>
      <c r="U150" s="202">
        <f>南华!Q10</f>
        <v>0</v>
      </c>
      <c r="V150" s="202">
        <f>南华!R10</f>
        <v>0</v>
      </c>
      <c r="W150" s="202">
        <f>南华!S10</f>
        <v>0</v>
      </c>
      <c r="X150" s="202">
        <f>南华!T10</f>
        <v>0</v>
      </c>
      <c r="Y150" s="202">
        <f>南华!U10</f>
        <v>0</v>
      </c>
      <c r="Z150" s="202">
        <f>南华!V10</f>
        <v>0</v>
      </c>
      <c r="AA150" s="202">
        <f>南华!W10</f>
        <v>0</v>
      </c>
      <c r="AB150" s="202">
        <f>南华!X10</f>
        <v>0</v>
      </c>
      <c r="AC150" s="202">
        <f>南华!Y10</f>
        <v>0</v>
      </c>
      <c r="AD150" s="202">
        <f>南华!Z10</f>
        <v>0</v>
      </c>
      <c r="AE150" s="202">
        <f>南华!AA10</f>
        <v>0</v>
      </c>
      <c r="AF150" s="202">
        <f>南华!AB10</f>
        <v>0</v>
      </c>
      <c r="AG150" s="202">
        <f>南华!AC10</f>
        <v>0</v>
      </c>
      <c r="AH150" s="202">
        <f>南华!AD10</f>
        <v>0</v>
      </c>
      <c r="AI150" s="202">
        <f>南华!AE10</f>
        <v>0</v>
      </c>
      <c r="AJ150" s="202">
        <f>南华!AF10</f>
        <v>0</v>
      </c>
      <c r="AK150" s="202" t="str">
        <f>南华!AG10</f>
        <v>南华县兔街镇半坡村委会大荒田村</v>
      </c>
      <c r="AL150" s="202">
        <f>南华!AH10</f>
        <v>20160812</v>
      </c>
      <c r="AM150" s="202">
        <f>南华!AI10</f>
        <v>0</v>
      </c>
      <c r="AN150" s="202">
        <f>南华!AJ10</f>
        <v>0</v>
      </c>
      <c r="AO150" s="202">
        <f>南华!AK10</f>
        <v>0</v>
      </c>
      <c r="AP150" s="263">
        <v>10</v>
      </c>
      <c r="AQ150" s="261">
        <f>南华!AM10</f>
        <v>0</v>
      </c>
      <c r="AR150" s="295">
        <f>南华!AN10</f>
        <v>1</v>
      </c>
      <c r="AS150" s="201" t="str">
        <f>南华!AO10</f>
        <v>？？？</v>
      </c>
      <c r="AT150" s="201" t="str">
        <f>南华!AP10</f>
        <v>14769336960</v>
      </c>
    </row>
    <row r="151" spans="1:46">
      <c r="A151" t="s">
        <v>1927</v>
      </c>
      <c r="B151" s="202" t="str">
        <f>VLOOKUP(A151,databases!$A$2:$B$7, 2, FALSE)</f>
        <v>NanHua</v>
      </c>
      <c r="C151" t="str">
        <f>南华!B7</f>
        <v>李茂天</v>
      </c>
      <c r="D151" s="279" t="str">
        <f>VLOOKUP(C151,databases!$D$2:$E$145, 2, FALSE)</f>
        <v>R64</v>
      </c>
      <c r="E151" s="280" t="str">
        <f>INDEX(sample_database!$B$2:$B$506,MATCH(F151,sample_database!$L$2:$L$506,0))</f>
        <v>NA</v>
      </c>
      <c r="F151" s="202" t="str">
        <f>南华!A7</f>
        <v>NH06</v>
      </c>
      <c r="G151" s="257">
        <f>南华!C7</f>
        <v>0</v>
      </c>
      <c r="H151" s="257">
        <f>南华!D7</f>
        <v>2</v>
      </c>
      <c r="I151" s="202">
        <f>南华!E7</f>
        <v>2</v>
      </c>
      <c r="J151" s="202">
        <f>南华!F7</f>
        <v>1</v>
      </c>
      <c r="K151" s="202">
        <f>南华!G7</f>
        <v>1</v>
      </c>
      <c r="L151" s="202">
        <f>南华!H7</f>
        <v>0</v>
      </c>
      <c r="M151" s="202">
        <f>南华!I7</f>
        <v>0</v>
      </c>
      <c r="N151" s="202">
        <f>南华!J7</f>
        <v>0</v>
      </c>
      <c r="O151" s="202">
        <f>南华!K7</f>
        <v>0</v>
      </c>
      <c r="P151" s="202">
        <f>南华!L7</f>
        <v>0</v>
      </c>
      <c r="Q151" s="202">
        <f>南华!M7</f>
        <v>0</v>
      </c>
      <c r="R151" s="202">
        <f>南华!N7</f>
        <v>0</v>
      </c>
      <c r="S151" s="202">
        <f>南华!O7</f>
        <v>0</v>
      </c>
      <c r="T151" s="202">
        <f>南华!P7</f>
        <v>0</v>
      </c>
      <c r="U151" s="202">
        <f>南华!Q7</f>
        <v>0</v>
      </c>
      <c r="V151" s="202">
        <f>南华!R7</f>
        <v>0</v>
      </c>
      <c r="W151" s="202">
        <f>南华!S7</f>
        <v>0</v>
      </c>
      <c r="X151" s="202">
        <f>南华!T7</f>
        <v>0</v>
      </c>
      <c r="Y151" s="202">
        <f>南华!U7</f>
        <v>0</v>
      </c>
      <c r="Z151" s="202">
        <f>南华!V7</f>
        <v>0</v>
      </c>
      <c r="AA151" s="202">
        <f>南华!W7</f>
        <v>0</v>
      </c>
      <c r="AB151" s="202">
        <f>南华!X7</f>
        <v>0</v>
      </c>
      <c r="AC151" s="202">
        <f>南华!Y7</f>
        <v>0</v>
      </c>
      <c r="AD151" s="202">
        <f>南华!Z7</f>
        <v>0</v>
      </c>
      <c r="AE151" s="202">
        <f>南华!AA7</f>
        <v>0</v>
      </c>
      <c r="AF151" s="202">
        <f>南华!AB7</f>
        <v>0</v>
      </c>
      <c r="AG151" s="202">
        <f>南华!AC7</f>
        <v>0</v>
      </c>
      <c r="AH151" s="202">
        <f>南华!AD7</f>
        <v>0</v>
      </c>
      <c r="AI151" s="202">
        <f>南华!AE7</f>
        <v>0</v>
      </c>
      <c r="AJ151" s="202">
        <f>南华!AF7</f>
        <v>0</v>
      </c>
      <c r="AK151" s="202" t="str">
        <f>南华!AG7</f>
        <v>南华县五顶山乡王家村委会山花地小组</v>
      </c>
      <c r="AL151" s="202">
        <f>南华!AH7</f>
        <v>20160706</v>
      </c>
      <c r="AM151" s="202">
        <f>南华!AI7</f>
        <v>0</v>
      </c>
      <c r="AN151" s="202">
        <f>南华!AJ7</f>
        <v>0</v>
      </c>
      <c r="AO151" s="202">
        <f>南华!AK7</f>
        <v>0</v>
      </c>
      <c r="AP151" s="263">
        <v>1</v>
      </c>
      <c r="AQ151" s="261">
        <f>南华!AM7</f>
        <v>0</v>
      </c>
      <c r="AR151" s="295">
        <f>南华!AN7</f>
        <v>1</v>
      </c>
      <c r="AS151" s="201" t="str">
        <f>南华!AO7</f>
        <v>532324197705112112</v>
      </c>
      <c r="AT151" s="201" t="str">
        <f>南华!AP7</f>
        <v>13769251821</v>
      </c>
    </row>
    <row r="152" spans="1:46">
      <c r="A152" t="s">
        <v>1927</v>
      </c>
      <c r="B152" s="202" t="str">
        <f>VLOOKUP(A152,databases!$A$2:$B$7, 2, FALSE)</f>
        <v>NanHua</v>
      </c>
      <c r="C152" t="str">
        <f>南华!B13</f>
        <v>杨兆清</v>
      </c>
      <c r="D152" s="202" t="str">
        <f>VLOOKUP(C152,databases!$D$2:$E$145, 2, FALSE)</f>
        <v>R71</v>
      </c>
      <c r="E152" s="259">
        <f>INDEX(sample_database!$B$2:$B$506,MATCH(F152,sample_database!$L$2:$L$506,0))</f>
        <v>48</v>
      </c>
      <c r="F152" s="202" t="str">
        <f>南华!A13</f>
        <v>NH12</v>
      </c>
      <c r="G152" s="257">
        <f>南华!C13</f>
        <v>0</v>
      </c>
      <c r="H152" s="257">
        <f>南华!D13</f>
        <v>2</v>
      </c>
      <c r="I152" s="202">
        <f>南华!E13</f>
        <v>8</v>
      </c>
      <c r="J152" s="202">
        <f>南华!F13</f>
        <v>3</v>
      </c>
      <c r="K152" s="202">
        <f>南华!G13</f>
        <v>5</v>
      </c>
      <c r="L152" s="202">
        <f>南华!H13</f>
        <v>0</v>
      </c>
      <c r="M152" s="202">
        <f>南华!I13</f>
        <v>0</v>
      </c>
      <c r="N152" s="202">
        <f>南华!J13</f>
        <v>0</v>
      </c>
      <c r="O152" s="202">
        <f>南华!K13</f>
        <v>0</v>
      </c>
      <c r="P152" s="202">
        <f>南华!L13</f>
        <v>0</v>
      </c>
      <c r="Q152" s="202">
        <f>南华!M13</f>
        <v>0</v>
      </c>
      <c r="R152" s="202">
        <f>南华!N13</f>
        <v>0</v>
      </c>
      <c r="S152" s="202">
        <f>南华!O13</f>
        <v>0</v>
      </c>
      <c r="T152" s="202">
        <f>南华!P13</f>
        <v>0</v>
      </c>
      <c r="U152" s="202">
        <f>南华!Q13</f>
        <v>0</v>
      </c>
      <c r="V152" s="202">
        <f>南华!R13</f>
        <v>0</v>
      </c>
      <c r="W152" s="202">
        <f>南华!S13</f>
        <v>0</v>
      </c>
      <c r="X152" s="202">
        <f>南华!T13</f>
        <v>0</v>
      </c>
      <c r="Y152" s="202">
        <f>南华!U13</f>
        <v>0</v>
      </c>
      <c r="Z152" s="202">
        <f>南华!V13</f>
        <v>0</v>
      </c>
      <c r="AA152" s="202">
        <f>南华!W13</f>
        <v>0</v>
      </c>
      <c r="AB152" s="202">
        <f>南华!X13</f>
        <v>0</v>
      </c>
      <c r="AC152" s="202">
        <f>南华!Y13</f>
        <v>0</v>
      </c>
      <c r="AD152" s="202">
        <f>南华!Z13</f>
        <v>0</v>
      </c>
      <c r="AE152" s="202">
        <f>南华!AA13</f>
        <v>0</v>
      </c>
      <c r="AF152" s="202">
        <f>南华!AB13</f>
        <v>0</v>
      </c>
      <c r="AG152" s="202">
        <f>南华!AC13</f>
        <v>0</v>
      </c>
      <c r="AH152" s="202">
        <f>南华!AD13</f>
        <v>0</v>
      </c>
      <c r="AI152" s="202">
        <f>南华!AE13</f>
        <v>0</v>
      </c>
      <c r="AJ152" s="202">
        <f>南华!AF13</f>
        <v>0</v>
      </c>
      <c r="AK152" s="202" t="str">
        <f>南华!AG13</f>
        <v>南华县马街镇上村马街管理站</v>
      </c>
      <c r="AL152" s="202">
        <f>南华!AH13</f>
        <v>20160720</v>
      </c>
      <c r="AM152" s="202">
        <f>南华!AI13</f>
        <v>0</v>
      </c>
      <c r="AN152" s="202">
        <f>南华!AJ13</f>
        <v>0</v>
      </c>
      <c r="AO152" s="202">
        <f>南华!AK13</f>
        <v>0</v>
      </c>
      <c r="AP152" s="263">
        <v>2</v>
      </c>
      <c r="AQ152" s="261">
        <f>南华!AM13</f>
        <v>0</v>
      </c>
      <c r="AR152" s="295">
        <f>南华!AN13</f>
        <v>5</v>
      </c>
      <c r="AS152" s="201" t="str">
        <f>南华!AO13</f>
        <v>532324196407272316</v>
      </c>
      <c r="AT152" s="201" t="str">
        <f>南华!AP13</f>
        <v>15125782152</v>
      </c>
    </row>
    <row r="153" spans="1:46" s="252" customFormat="1">
      <c r="A153" s="252" t="s">
        <v>1927</v>
      </c>
      <c r="B153" s="236" t="str">
        <f>VLOOKUP(A153,databases!$A$2:$B$7, 2, FALSE)</f>
        <v>NanHua</v>
      </c>
      <c r="C153" s="252" t="str">
        <f>南华!B22</f>
        <v>杨子光</v>
      </c>
      <c r="D153" s="236" t="str">
        <f>VLOOKUP(C153,databases!$D$2:$E$145, 2, FALSE)</f>
        <v>R73</v>
      </c>
      <c r="E153" s="271">
        <f>INDEX(sample_database!$B$2:$B$506,MATCH(F153,sample_database!$L$2:$L$506,0))</f>
        <v>51</v>
      </c>
      <c r="F153" s="236" t="str">
        <f>南华!A22</f>
        <v>NH21</v>
      </c>
      <c r="G153" s="258">
        <f>南华!C22</f>
        <v>1</v>
      </c>
      <c r="H153" s="258">
        <f>南华!D22</f>
        <v>0</v>
      </c>
      <c r="I153" s="236">
        <f>南华!E22</f>
        <v>2</v>
      </c>
      <c r="J153" s="236">
        <f>南华!F22</f>
        <v>2</v>
      </c>
      <c r="K153" s="236">
        <f>南华!G22</f>
        <v>0</v>
      </c>
      <c r="L153" s="236">
        <f>南华!H22</f>
        <v>0</v>
      </c>
      <c r="M153" s="236">
        <f>南华!I22</f>
        <v>0</v>
      </c>
      <c r="N153" s="236">
        <f>南华!J22</f>
        <v>0</v>
      </c>
      <c r="O153" s="236">
        <f>南华!K22</f>
        <v>0</v>
      </c>
      <c r="P153" s="236">
        <f>南华!L22</f>
        <v>0</v>
      </c>
      <c r="Q153" s="236">
        <f>南华!M22</f>
        <v>0</v>
      </c>
      <c r="R153" s="236">
        <f>南华!N22</f>
        <v>0</v>
      </c>
      <c r="S153" s="236">
        <f>南华!O22</f>
        <v>0</v>
      </c>
      <c r="T153" s="236">
        <f>南华!P22</f>
        <v>0</v>
      </c>
      <c r="U153" s="236">
        <f>南华!Q22</f>
        <v>0</v>
      </c>
      <c r="V153" s="236">
        <f>南华!R22</f>
        <v>0</v>
      </c>
      <c r="W153" s="236">
        <f>南华!S22</f>
        <v>0</v>
      </c>
      <c r="X153" s="236">
        <f>南华!T22</f>
        <v>0</v>
      </c>
      <c r="Y153" s="236">
        <f>南华!U22</f>
        <v>0</v>
      </c>
      <c r="Z153" s="236">
        <f>南华!V22</f>
        <v>0</v>
      </c>
      <c r="AA153" s="236">
        <f>南华!W22</f>
        <v>0</v>
      </c>
      <c r="AB153" s="236">
        <f>南华!X22</f>
        <v>0</v>
      </c>
      <c r="AC153" s="236">
        <f>南华!Y22</f>
        <v>0</v>
      </c>
      <c r="AD153" s="236">
        <f>南华!Z22</f>
        <v>0</v>
      </c>
      <c r="AE153" s="236">
        <f>南华!AA22</f>
        <v>0</v>
      </c>
      <c r="AF153" s="236">
        <f>南华!AB22</f>
        <v>0</v>
      </c>
      <c r="AG153" s="236">
        <f>南华!AC22</f>
        <v>0</v>
      </c>
      <c r="AH153" s="236">
        <f>南华!AD22</f>
        <v>0</v>
      </c>
      <c r="AI153" s="236">
        <f>南华!AE22</f>
        <v>0</v>
      </c>
      <c r="AJ153" s="236">
        <f>南华!AF22</f>
        <v>0</v>
      </c>
      <c r="AK153" s="236" t="str">
        <f>南华!AG22</f>
        <v>南华县兔街镇长梁孜村委会长梁孜村19号</v>
      </c>
      <c r="AL153" s="236" t="str">
        <f>南华!AH22</f>
        <v>20160807-0815</v>
      </c>
      <c r="AM153" s="236">
        <f>南华!AI22</f>
        <v>0</v>
      </c>
      <c r="AN153" s="236">
        <f>南华!AJ22</f>
        <v>0</v>
      </c>
      <c r="AO153" s="236">
        <f>南华!AK22</f>
        <v>0</v>
      </c>
      <c r="AP153" s="264">
        <v>2.5</v>
      </c>
      <c r="AQ153" s="262">
        <f>南华!AM22</f>
        <v>0</v>
      </c>
      <c r="AR153" s="296" t="str">
        <f>南华!AN22</f>
        <v>？？？</v>
      </c>
      <c r="AS153" s="254" t="str">
        <f>南华!AO22</f>
        <v>532324197405042511</v>
      </c>
      <c r="AT153" s="254" t="str">
        <f>南华!AP22</f>
        <v>15096465131</v>
      </c>
    </row>
    <row r="154" spans="1:46" s="169" customFormat="1">
      <c r="A154" t="s">
        <v>1927</v>
      </c>
      <c r="B154" s="202" t="str">
        <f>VLOOKUP(A154,databases!$A$2:$B$7, 2, FALSE)</f>
        <v>NanHua</v>
      </c>
      <c r="C154" t="str">
        <f>南华!B3</f>
        <v>汪华才</v>
      </c>
      <c r="D154" s="202" t="str">
        <f>VLOOKUP(C154,databases!$D$2:$E$145, 2, FALSE)</f>
        <v>R78</v>
      </c>
      <c r="E154" s="259">
        <f>INDEX(sample_database!$B$2:$B$506,MATCH(F154,sample_database!$L$2:$L$506,0))</f>
        <v>66</v>
      </c>
      <c r="F154" s="202" t="str">
        <f>南华!A3</f>
        <v>NH02</v>
      </c>
      <c r="G154" s="257">
        <f>南华!C3</f>
        <v>0</v>
      </c>
      <c r="H154" s="257">
        <f>南华!D3</f>
        <v>2</v>
      </c>
      <c r="I154" s="202">
        <f>南华!E3</f>
        <v>9</v>
      </c>
      <c r="J154" s="202">
        <f>南华!F3</f>
        <v>4</v>
      </c>
      <c r="K154" s="202">
        <f>南华!G3</f>
        <v>5</v>
      </c>
      <c r="L154" s="202">
        <f>南华!H3</f>
        <v>0</v>
      </c>
      <c r="M154" s="202">
        <f>南华!I3</f>
        <v>0</v>
      </c>
      <c r="N154" s="202">
        <f>南华!J3</f>
        <v>0</v>
      </c>
      <c r="O154" s="202">
        <f>南华!K3</f>
        <v>0</v>
      </c>
      <c r="P154" s="202">
        <f>南华!L3</f>
        <v>0</v>
      </c>
      <c r="Q154" s="202">
        <f>南华!M3</f>
        <v>0</v>
      </c>
      <c r="R154" s="202">
        <f>南华!N3</f>
        <v>0</v>
      </c>
      <c r="S154" s="202">
        <f>南华!O3</f>
        <v>0</v>
      </c>
      <c r="T154" s="202">
        <f>南华!P3</f>
        <v>0</v>
      </c>
      <c r="U154" s="202">
        <f>南华!Q3</f>
        <v>0</v>
      </c>
      <c r="V154" s="202">
        <f>南华!R3</f>
        <v>0</v>
      </c>
      <c r="W154" s="202">
        <f>南华!S3</f>
        <v>0</v>
      </c>
      <c r="X154" s="202">
        <f>南华!T3</f>
        <v>0</v>
      </c>
      <c r="Y154" s="202">
        <f>南华!U3</f>
        <v>0</v>
      </c>
      <c r="Z154" s="202">
        <f>南华!V3</f>
        <v>0</v>
      </c>
      <c r="AA154" s="202">
        <f>南华!W3</f>
        <v>0</v>
      </c>
      <c r="AB154" s="202">
        <f>南华!X3</f>
        <v>0</v>
      </c>
      <c r="AC154" s="202">
        <f>南华!Y3</f>
        <v>0</v>
      </c>
      <c r="AD154" s="202">
        <f>南华!Z3</f>
        <v>0</v>
      </c>
      <c r="AE154" s="202">
        <f>南华!AA3</f>
        <v>0</v>
      </c>
      <c r="AF154" s="202">
        <f>南华!AB3</f>
        <v>0</v>
      </c>
      <c r="AG154" s="202">
        <f>南华!AC3</f>
        <v>0</v>
      </c>
      <c r="AH154" s="202">
        <f>南华!AD3</f>
        <v>0</v>
      </c>
      <c r="AI154" s="202">
        <f>南华!AE3</f>
        <v>0</v>
      </c>
      <c r="AJ154" s="202">
        <f>南华!AF3</f>
        <v>0</v>
      </c>
      <c r="AK154" s="202" t="str">
        <f>南华!AG3</f>
        <v>南华县马街镇后山村委会芹菜塘村，南华管理局</v>
      </c>
      <c r="AL154" s="202">
        <f>南华!AH3</f>
        <v>20160726</v>
      </c>
      <c r="AM154" s="202">
        <f>南华!AI3</f>
        <v>0</v>
      </c>
      <c r="AN154" s="202">
        <f>南华!AJ3</f>
        <v>0</v>
      </c>
      <c r="AO154" s="202">
        <f>南华!AK3</f>
        <v>0</v>
      </c>
      <c r="AP154" s="263">
        <v>2</v>
      </c>
      <c r="AQ154" s="261">
        <f>南华!AM3</f>
        <v>0</v>
      </c>
      <c r="AR154" s="295">
        <f>南华!AN3</f>
        <v>5</v>
      </c>
      <c r="AS154" s="201" t="str">
        <f>南华!AO3</f>
        <v>53230119770317311X</v>
      </c>
      <c r="AT154" s="201" t="str">
        <f>南华!AP3</f>
        <v>18787814424</v>
      </c>
    </row>
    <row r="155" spans="1:46">
      <c r="A155" t="s">
        <v>1927</v>
      </c>
      <c r="B155" s="202" t="str">
        <f>VLOOKUP(A155,databases!$A$2:$B$7, 2, FALSE)</f>
        <v>NanHua</v>
      </c>
      <c r="C155" t="str">
        <f>南华!B12</f>
        <v>涂思学</v>
      </c>
      <c r="D155" s="202" t="str">
        <f>VLOOKUP(C155,databases!$D$2:$E$145, 2, FALSE)</f>
        <v>R79</v>
      </c>
      <c r="E155" s="259">
        <f>INDEX(sample_database!$B$2:$B$506,MATCH(F155,sample_database!$L$2:$L$506,0))</f>
        <v>52</v>
      </c>
      <c r="F155" s="202" t="str">
        <f>南华!A12</f>
        <v>NH11</v>
      </c>
      <c r="G155" s="257">
        <f>南华!C12</f>
        <v>0</v>
      </c>
      <c r="H155" s="257">
        <f>南华!D12</f>
        <v>5</v>
      </c>
      <c r="I155" s="202">
        <f>南华!E12</f>
        <v>15</v>
      </c>
      <c r="J155" s="202">
        <f>南华!F12</f>
        <v>4</v>
      </c>
      <c r="K155" s="202">
        <f>南华!G12</f>
        <v>2</v>
      </c>
      <c r="L155" s="202">
        <f>南华!H12</f>
        <v>2</v>
      </c>
      <c r="M155" s="202">
        <f>南华!I12</f>
        <v>1</v>
      </c>
      <c r="N155" s="202">
        <f>南华!J12</f>
        <v>6</v>
      </c>
      <c r="O155" s="202">
        <f>南华!K12</f>
        <v>0</v>
      </c>
      <c r="P155" s="202">
        <f>南华!L12</f>
        <v>0</v>
      </c>
      <c r="Q155" s="202">
        <f>南华!M12</f>
        <v>0</v>
      </c>
      <c r="R155" s="202">
        <f>南华!N12</f>
        <v>0</v>
      </c>
      <c r="S155" s="202">
        <f>南华!O12</f>
        <v>0</v>
      </c>
      <c r="T155" s="202">
        <f>南华!P12</f>
        <v>0</v>
      </c>
      <c r="U155" s="202">
        <f>南华!Q12</f>
        <v>0</v>
      </c>
      <c r="V155" s="202">
        <f>南华!R12</f>
        <v>0</v>
      </c>
      <c r="W155" s="202">
        <f>南华!S12</f>
        <v>0</v>
      </c>
      <c r="X155" s="202">
        <f>南华!T12</f>
        <v>0</v>
      </c>
      <c r="Y155" s="202">
        <f>南华!U12</f>
        <v>0</v>
      </c>
      <c r="Z155" s="202">
        <f>南华!V12</f>
        <v>0</v>
      </c>
      <c r="AA155" s="202">
        <f>南华!W12</f>
        <v>0</v>
      </c>
      <c r="AB155" s="202">
        <f>南华!X12</f>
        <v>0</v>
      </c>
      <c r="AC155" s="202">
        <f>南华!Y12</f>
        <v>0</v>
      </c>
      <c r="AD155" s="202">
        <f>南华!Z12</f>
        <v>0</v>
      </c>
      <c r="AE155" s="202">
        <f>南华!AA12</f>
        <v>0</v>
      </c>
      <c r="AF155" s="202">
        <f>南华!AB12</f>
        <v>0</v>
      </c>
      <c r="AG155" s="202">
        <f>南华!AC12</f>
        <v>0</v>
      </c>
      <c r="AH155" s="202">
        <f>南华!AD12</f>
        <v>0</v>
      </c>
      <c r="AI155" s="202">
        <f>南华!AE12</f>
        <v>0</v>
      </c>
      <c r="AJ155" s="202">
        <f>南华!AF12</f>
        <v>0</v>
      </c>
      <c r="AK155" s="202" t="str">
        <f>南华!AG12</f>
        <v>南华县马街镇沙坦郎村</v>
      </c>
      <c r="AL155" s="202">
        <f>南华!AH12</f>
        <v>20160717</v>
      </c>
      <c r="AM155" s="202">
        <f>南华!AI12</f>
        <v>0</v>
      </c>
      <c r="AN155" s="202">
        <f>南华!AJ12</f>
        <v>0</v>
      </c>
      <c r="AO155" s="202">
        <f>南华!AK12</f>
        <v>0</v>
      </c>
      <c r="AP155" s="263">
        <v>3</v>
      </c>
      <c r="AQ155" s="261">
        <f>南华!AM12</f>
        <v>0</v>
      </c>
      <c r="AR155" s="295">
        <f>南华!AN12</f>
        <v>5</v>
      </c>
      <c r="AS155" s="201" t="str">
        <f>南华!AO12</f>
        <v>53232419820629231X</v>
      </c>
      <c r="AT155" s="201" t="str">
        <f>南华!AP12</f>
        <v>15969321758</v>
      </c>
    </row>
    <row r="156" spans="1:46">
      <c r="A156" t="s">
        <v>1927</v>
      </c>
      <c r="B156" s="202" t="str">
        <f>VLOOKUP(A156,databases!$A$2:$B$7, 2, FALSE)</f>
        <v>NanHua</v>
      </c>
      <c r="C156" t="str">
        <f>南华!B14</f>
        <v>罗先华</v>
      </c>
      <c r="D156" s="202" t="str">
        <f>VLOOKUP(C156,databases!$D$2:$E$145, 2, FALSE)</f>
        <v>R105</v>
      </c>
      <c r="E156" s="259">
        <f>INDEX(sample_database!$B$2:$B$506,MATCH(F156,sample_database!$L$2:$L$506,0))</f>
        <v>71</v>
      </c>
      <c r="F156" s="202" t="str">
        <f>南华!A14</f>
        <v>NH13</v>
      </c>
      <c r="G156" s="257">
        <f>南华!C14</f>
        <v>0</v>
      </c>
      <c r="H156" s="257">
        <f>南华!D14</f>
        <v>5</v>
      </c>
      <c r="I156" s="202">
        <f>南华!E14</f>
        <v>9</v>
      </c>
      <c r="J156" s="202">
        <f>南华!F14</f>
        <v>1</v>
      </c>
      <c r="K156" s="202">
        <f>南华!G14</f>
        <v>1</v>
      </c>
      <c r="L156" s="202">
        <f>南华!H14</f>
        <v>2</v>
      </c>
      <c r="M156" s="202">
        <f>南华!I14</f>
        <v>2</v>
      </c>
      <c r="N156" s="202">
        <f>南华!J14</f>
        <v>3</v>
      </c>
      <c r="O156" s="202">
        <f>南华!K14</f>
        <v>0</v>
      </c>
      <c r="P156" s="202">
        <f>南华!L14</f>
        <v>0</v>
      </c>
      <c r="Q156" s="202">
        <f>南华!M14</f>
        <v>0</v>
      </c>
      <c r="R156" s="202">
        <f>南华!N14</f>
        <v>0</v>
      </c>
      <c r="S156" s="202">
        <f>南华!O14</f>
        <v>0</v>
      </c>
      <c r="T156" s="202">
        <f>南华!P14</f>
        <v>0</v>
      </c>
      <c r="U156" s="202">
        <f>南华!Q14</f>
        <v>0</v>
      </c>
      <c r="V156" s="202">
        <f>南华!R14</f>
        <v>0</v>
      </c>
      <c r="W156" s="202">
        <f>南华!S14</f>
        <v>0</v>
      </c>
      <c r="X156" s="202">
        <f>南华!T14</f>
        <v>0</v>
      </c>
      <c r="Y156" s="202">
        <f>南华!U14</f>
        <v>0</v>
      </c>
      <c r="Z156" s="202">
        <f>南华!V14</f>
        <v>0</v>
      </c>
      <c r="AA156" s="202">
        <f>南华!W14</f>
        <v>0</v>
      </c>
      <c r="AB156" s="202">
        <f>南华!X14</f>
        <v>0</v>
      </c>
      <c r="AC156" s="202">
        <f>南华!Y14</f>
        <v>0</v>
      </c>
      <c r="AD156" s="202">
        <f>南华!Z14</f>
        <v>0</v>
      </c>
      <c r="AE156" s="202">
        <f>南华!AA14</f>
        <v>0</v>
      </c>
      <c r="AF156" s="202">
        <f>南华!AB14</f>
        <v>0</v>
      </c>
      <c r="AG156" s="202">
        <f>南华!AC14</f>
        <v>0</v>
      </c>
      <c r="AH156" s="202">
        <f>南华!AD14</f>
        <v>0</v>
      </c>
      <c r="AI156" s="202">
        <f>南华!AE14</f>
        <v>0</v>
      </c>
      <c r="AJ156" s="202">
        <f>南华!AF14</f>
        <v>0</v>
      </c>
      <c r="AK156" s="202" t="str">
        <f>南华!AG14</f>
        <v>南华管理局马街管理站</v>
      </c>
      <c r="AL156" s="202" t="str">
        <f>南华!AH14</f>
        <v>？？</v>
      </c>
      <c r="AM156" s="202">
        <f>南华!AI14</f>
        <v>0</v>
      </c>
      <c r="AN156" s="202">
        <f>南华!AJ14</f>
        <v>0</v>
      </c>
      <c r="AO156" s="202">
        <f>南华!AK14</f>
        <v>0</v>
      </c>
      <c r="AP156" s="263">
        <v>2.5</v>
      </c>
      <c r="AQ156" s="261">
        <f>南华!AM14</f>
        <v>0</v>
      </c>
      <c r="AR156" s="295">
        <f>南华!AN14</f>
        <v>3</v>
      </c>
      <c r="AS156" s="201" t="str">
        <f>南华!AO14</f>
        <v>532324197601103331</v>
      </c>
      <c r="AT156" s="201" t="str">
        <f>南华!AP14</f>
        <v>15057230320</v>
      </c>
    </row>
    <row r="157" spans="1:46">
      <c r="A157" t="s">
        <v>1927</v>
      </c>
      <c r="B157" s="202" t="str">
        <f>VLOOKUP(A157,databases!$A$2:$B$7, 2, FALSE)</f>
        <v>NanHua</v>
      </c>
      <c r="C157" t="str">
        <f>南华!B5</f>
        <v>罗发强</v>
      </c>
      <c r="D157" s="202" t="str">
        <f>VLOOKUP(C157,databases!$D$2:$E$145, 2, FALSE)</f>
        <v>R106</v>
      </c>
      <c r="E157" s="259">
        <f>INDEX(sample_database!$B$2:$B$506,MATCH(F157,sample_database!$L$2:$L$506,0))</f>
        <v>47</v>
      </c>
      <c r="F157" s="202" t="str">
        <f>南华!A5</f>
        <v>NH04</v>
      </c>
      <c r="G157" s="257">
        <f>南华!C5</f>
        <v>0</v>
      </c>
      <c r="H157" s="257">
        <f>南华!D5</f>
        <v>14</v>
      </c>
      <c r="I157" s="202">
        <f>南华!E5</f>
        <v>15</v>
      </c>
      <c r="J157" s="202">
        <f>南华!F5</f>
        <v>1</v>
      </c>
      <c r="K157" s="202">
        <f>南华!G5</f>
        <v>1</v>
      </c>
      <c r="L157" s="202">
        <f>南华!H5</f>
        <v>1</v>
      </c>
      <c r="M157" s="202">
        <f>南华!I5</f>
        <v>1</v>
      </c>
      <c r="N157" s="202">
        <f>南华!J5</f>
        <v>1</v>
      </c>
      <c r="O157" s="202">
        <f>南华!K5</f>
        <v>1</v>
      </c>
      <c r="P157" s="202">
        <f>南华!L5</f>
        <v>1</v>
      </c>
      <c r="Q157" s="202">
        <f>南华!M5</f>
        <v>1</v>
      </c>
      <c r="R157" s="202">
        <f>南华!N5</f>
        <v>1</v>
      </c>
      <c r="S157" s="202">
        <f>南华!O5</f>
        <v>1</v>
      </c>
      <c r="T157" s="202">
        <f>南华!P5</f>
        <v>1</v>
      </c>
      <c r="U157" s="202">
        <f>南华!Q5</f>
        <v>1</v>
      </c>
      <c r="V157" s="202">
        <f>南华!R5</f>
        <v>1</v>
      </c>
      <c r="W157" s="202">
        <f>南华!S5</f>
        <v>2</v>
      </c>
      <c r="X157" s="202">
        <f>南华!T5</f>
        <v>0</v>
      </c>
      <c r="Y157" s="202">
        <f>南华!U5</f>
        <v>0</v>
      </c>
      <c r="Z157" s="202">
        <f>南华!V5</f>
        <v>0</v>
      </c>
      <c r="AA157" s="202">
        <f>南华!W5</f>
        <v>0</v>
      </c>
      <c r="AB157" s="202">
        <f>南华!X5</f>
        <v>0</v>
      </c>
      <c r="AC157" s="202">
        <f>南华!Y5</f>
        <v>0</v>
      </c>
      <c r="AD157" s="202">
        <f>南华!Z5</f>
        <v>0</v>
      </c>
      <c r="AE157" s="202">
        <f>南华!AA5</f>
        <v>0</v>
      </c>
      <c r="AF157" s="202">
        <f>南华!AB5</f>
        <v>0</v>
      </c>
      <c r="AG157" s="202">
        <f>南华!AC5</f>
        <v>0</v>
      </c>
      <c r="AH157" s="202">
        <f>南华!AD5</f>
        <v>0</v>
      </c>
      <c r="AI157" s="202">
        <f>南华!AE5</f>
        <v>0</v>
      </c>
      <c r="AJ157" s="202">
        <f>南华!AF5</f>
        <v>0</v>
      </c>
      <c r="AK157" s="202" t="str">
        <f>南华!AG5</f>
        <v>南华县兔街镇半坡村委会大荒田村</v>
      </c>
      <c r="AL157" s="202">
        <f>南华!AH5</f>
        <v>20160810</v>
      </c>
      <c r="AM157" s="202">
        <f>南华!AI5</f>
        <v>0</v>
      </c>
      <c r="AN157" s="202">
        <f>南华!AJ5</f>
        <v>0</v>
      </c>
      <c r="AO157" s="202">
        <f>南华!AK5</f>
        <v>0</v>
      </c>
      <c r="AP157" s="263">
        <v>15</v>
      </c>
      <c r="AQ157" s="261">
        <f>南华!AM5</f>
        <v>0</v>
      </c>
      <c r="AR157" s="295">
        <f>南华!AN5</f>
        <v>3</v>
      </c>
      <c r="AS157" s="201" t="str">
        <f>南华!AO5</f>
        <v>？？？</v>
      </c>
      <c r="AT157" s="201" t="str">
        <f>南华!AP5</f>
        <v>15987847998</v>
      </c>
    </row>
    <row r="158" spans="1:46">
      <c r="A158" t="s">
        <v>1927</v>
      </c>
      <c r="B158" s="202" t="str">
        <f>VLOOKUP(A158,databases!$A$2:$B$7, 2, FALSE)</f>
        <v>NanHua</v>
      </c>
      <c r="C158" t="str">
        <f>南华!B6</f>
        <v>罗文洪</v>
      </c>
      <c r="D158" s="279" t="str">
        <f>VLOOKUP(C158,databases!$D$2:$E$145, 2, FALSE)</f>
        <v>R108</v>
      </c>
      <c r="E158" s="280" t="str">
        <f>INDEX(sample_database!$B$2:$B$506,MATCH(F158,sample_database!$L$2:$L$506,0))</f>
        <v>NA</v>
      </c>
      <c r="F158" s="202" t="str">
        <f>南华!A6</f>
        <v>NH05</v>
      </c>
      <c r="G158" s="257">
        <f>南华!C6</f>
        <v>2</v>
      </c>
      <c r="H158" s="257">
        <f>南华!D6</f>
        <v>0</v>
      </c>
      <c r="I158" s="202">
        <f>南华!E6</f>
        <v>5</v>
      </c>
      <c r="J158" s="202">
        <f>南华!F6</f>
        <v>3</v>
      </c>
      <c r="K158" s="202">
        <f>南华!G6</f>
        <v>2</v>
      </c>
      <c r="L158" s="202">
        <f>南华!H6</f>
        <v>0</v>
      </c>
      <c r="M158" s="202">
        <f>南华!I6</f>
        <v>0</v>
      </c>
      <c r="N158" s="202">
        <f>南华!J6</f>
        <v>0</v>
      </c>
      <c r="O158" s="202">
        <f>南华!K6</f>
        <v>0</v>
      </c>
      <c r="P158" s="202">
        <f>南华!L6</f>
        <v>0</v>
      </c>
      <c r="Q158" s="202">
        <f>南华!M6</f>
        <v>0</v>
      </c>
      <c r="R158" s="202">
        <f>南华!N6</f>
        <v>0</v>
      </c>
      <c r="S158" s="202">
        <f>南华!O6</f>
        <v>0</v>
      </c>
      <c r="T158" s="202">
        <f>南华!P6</f>
        <v>0</v>
      </c>
      <c r="U158" s="202">
        <f>南华!Q6</f>
        <v>0</v>
      </c>
      <c r="V158" s="202">
        <f>南华!R6</f>
        <v>0</v>
      </c>
      <c r="W158" s="202">
        <f>南华!S6</f>
        <v>0</v>
      </c>
      <c r="X158" s="202">
        <f>南华!T6</f>
        <v>0</v>
      </c>
      <c r="Y158" s="202">
        <f>南华!U6</f>
        <v>0</v>
      </c>
      <c r="Z158" s="202">
        <f>南华!V6</f>
        <v>0</v>
      </c>
      <c r="AA158" s="202">
        <f>南华!W6</f>
        <v>0</v>
      </c>
      <c r="AB158" s="202">
        <f>南华!X6</f>
        <v>0</v>
      </c>
      <c r="AC158" s="202">
        <f>南华!Y6</f>
        <v>0</v>
      </c>
      <c r="AD158" s="202">
        <f>南华!Z6</f>
        <v>0</v>
      </c>
      <c r="AE158" s="202">
        <f>南华!AA6</f>
        <v>0</v>
      </c>
      <c r="AF158" s="202">
        <f>南华!AB6</f>
        <v>0</v>
      </c>
      <c r="AG158" s="202">
        <f>南华!AC6</f>
        <v>0</v>
      </c>
      <c r="AH158" s="202">
        <f>南华!AD6</f>
        <v>0</v>
      </c>
      <c r="AI158" s="202">
        <f>南华!AE6</f>
        <v>0</v>
      </c>
      <c r="AJ158" s="202">
        <f>南华!AF6</f>
        <v>0</v>
      </c>
      <c r="AK158" s="202" t="str">
        <f>南华!AG6</f>
        <v>大中山</v>
      </c>
      <c r="AL158" s="202" t="str">
        <f>南华!AH6</f>
        <v>？？</v>
      </c>
      <c r="AM158" s="202">
        <f>南华!AI6</f>
        <v>0</v>
      </c>
      <c r="AN158" s="202">
        <f>南华!AJ6</f>
        <v>0</v>
      </c>
      <c r="AO158" s="202">
        <f>南华!AK6</f>
        <v>0</v>
      </c>
      <c r="AP158" s="263">
        <v>1.5</v>
      </c>
      <c r="AQ158" s="261">
        <f>南华!AM6</f>
        <v>0</v>
      </c>
      <c r="AR158" s="295">
        <f>南华!AN6</f>
        <v>3</v>
      </c>
      <c r="AS158" s="201" t="str">
        <f>南华!AO6</f>
        <v>？？？</v>
      </c>
      <c r="AT158" s="201" t="str">
        <f>南华!AP6</f>
        <v>？？</v>
      </c>
    </row>
    <row r="159" spans="1:46">
      <c r="A159" t="s">
        <v>1927</v>
      </c>
      <c r="B159" s="202" t="str">
        <f>VLOOKUP(A159,databases!$A$2:$B$7, 2, FALSE)</f>
        <v>NanHua</v>
      </c>
      <c r="C159" t="str">
        <f>南华!B18</f>
        <v>自国先</v>
      </c>
      <c r="D159" s="273" t="str">
        <f>VLOOKUP(C159,databases!$D$2:$E$145, 2, FALSE)</f>
        <v>R117</v>
      </c>
      <c r="E159" s="274" t="str">
        <f>INDEX(sample_database!$B$2:$B$506,MATCH(F159,sample_database!$L$2:$L$506,0))</f>
        <v>NA</v>
      </c>
      <c r="F159" s="202" t="str">
        <f>南华!A18</f>
        <v>NH17</v>
      </c>
      <c r="G159" s="257">
        <f>南华!C18</f>
        <v>5</v>
      </c>
      <c r="H159" s="257">
        <f>南华!D18</f>
        <v>0</v>
      </c>
      <c r="I159" s="202">
        <f>南华!E18</f>
        <v>5</v>
      </c>
      <c r="J159" s="202">
        <f>南华!F18</f>
        <v>1</v>
      </c>
      <c r="K159" s="202">
        <f>南华!G18</f>
        <v>1</v>
      </c>
      <c r="L159" s="202">
        <f>南华!H18</f>
        <v>1</v>
      </c>
      <c r="M159" s="202">
        <f>南华!I18</f>
        <v>1</v>
      </c>
      <c r="N159" s="202">
        <f>南华!J18</f>
        <v>1</v>
      </c>
      <c r="O159" s="202">
        <f>南华!K18</f>
        <v>0</v>
      </c>
      <c r="P159" s="202">
        <f>南华!L18</f>
        <v>0</v>
      </c>
      <c r="Q159" s="202">
        <f>南华!M18</f>
        <v>0</v>
      </c>
      <c r="R159" s="202">
        <f>南华!N18</f>
        <v>0</v>
      </c>
      <c r="S159" s="202">
        <f>南华!O18</f>
        <v>0</v>
      </c>
      <c r="T159" s="202">
        <f>南华!P18</f>
        <v>0</v>
      </c>
      <c r="U159" s="202">
        <f>南华!Q18</f>
        <v>0</v>
      </c>
      <c r="V159" s="202">
        <f>南华!R18</f>
        <v>0</v>
      </c>
      <c r="W159" s="202">
        <f>南华!S18</f>
        <v>0</v>
      </c>
      <c r="X159" s="202">
        <f>南华!T18</f>
        <v>0</v>
      </c>
      <c r="Y159" s="202">
        <f>南华!U18</f>
        <v>0</v>
      </c>
      <c r="Z159" s="202">
        <f>南华!V18</f>
        <v>0</v>
      </c>
      <c r="AA159" s="202">
        <f>南华!W18</f>
        <v>0</v>
      </c>
      <c r="AB159" s="202">
        <f>南华!X18</f>
        <v>0</v>
      </c>
      <c r="AC159" s="202">
        <f>南华!Y18</f>
        <v>0</v>
      </c>
      <c r="AD159" s="202">
        <f>南华!Z18</f>
        <v>0</v>
      </c>
      <c r="AE159" s="202">
        <f>南华!AA18</f>
        <v>0</v>
      </c>
      <c r="AF159" s="202">
        <f>南华!AB18</f>
        <v>0</v>
      </c>
      <c r="AG159" s="202">
        <f>南华!AC18</f>
        <v>0</v>
      </c>
      <c r="AH159" s="202">
        <f>南华!AD18</f>
        <v>0</v>
      </c>
      <c r="AI159" s="202">
        <f>南华!AE18</f>
        <v>0</v>
      </c>
      <c r="AJ159" s="202">
        <f>南华!AF18</f>
        <v>0</v>
      </c>
      <c r="AK159" s="202" t="str">
        <f>南华!AG18</f>
        <v>南华县兔街镇长梁孜中山村</v>
      </c>
      <c r="AL159" s="202" t="str">
        <f>南华!AH18</f>
        <v>20160729-0804</v>
      </c>
      <c r="AM159" s="202">
        <f>南华!AI18</f>
        <v>0</v>
      </c>
      <c r="AN159" s="202">
        <f>南华!AJ18</f>
        <v>0</v>
      </c>
      <c r="AO159" s="202">
        <f>南华!AK18</f>
        <v>0</v>
      </c>
      <c r="AP159" s="263">
        <v>1.5</v>
      </c>
      <c r="AQ159" s="261">
        <f>南华!AM18</f>
        <v>0</v>
      </c>
      <c r="AR159" s="295">
        <f>南华!AN18</f>
        <v>1</v>
      </c>
      <c r="AS159" s="201" t="str">
        <f>南华!AO18</f>
        <v>532324196808102553</v>
      </c>
      <c r="AT159" s="201" t="str">
        <f>南华!AP18</f>
        <v>13987848860</v>
      </c>
    </row>
    <row r="160" spans="1:46">
      <c r="A160" t="s">
        <v>1927</v>
      </c>
      <c r="B160" s="202" t="str">
        <f>VLOOKUP(A160,databases!$A$2:$B$7, 2, FALSE)</f>
        <v>NanHua</v>
      </c>
      <c r="C160" t="str">
        <f>南华!B19</f>
        <v>自国先</v>
      </c>
      <c r="D160" s="277" t="str">
        <f>VLOOKUP(C160,databases!$D$2:$E$145, 2, FALSE)</f>
        <v>R117</v>
      </c>
      <c r="E160" s="278" t="str">
        <f>INDEX(sample_database!$B$2:$B$506,MATCH(F160,sample_database!$L$2:$L$506,0))</f>
        <v>NA</v>
      </c>
      <c r="F160" s="202" t="str">
        <f>南华!A19</f>
        <v>NH18</v>
      </c>
      <c r="G160" s="257">
        <f>南华!C19</f>
        <v>5</v>
      </c>
      <c r="H160" s="257">
        <f>南华!D19</f>
        <v>0</v>
      </c>
      <c r="I160" s="202">
        <f>南华!E19</f>
        <v>5</v>
      </c>
      <c r="J160" s="202">
        <f>南华!F19</f>
        <v>1</v>
      </c>
      <c r="K160" s="202">
        <f>南华!G19</f>
        <v>1</v>
      </c>
      <c r="L160" s="202">
        <f>南华!H19</f>
        <v>1</v>
      </c>
      <c r="M160" s="202">
        <f>南华!I19</f>
        <v>1</v>
      </c>
      <c r="N160" s="202">
        <f>南华!J19</f>
        <v>1</v>
      </c>
      <c r="O160" s="202">
        <f>南华!K19</f>
        <v>0</v>
      </c>
      <c r="P160" s="202">
        <f>南华!L19</f>
        <v>0</v>
      </c>
      <c r="Q160" s="202">
        <f>南华!M19</f>
        <v>0</v>
      </c>
      <c r="R160" s="202">
        <f>南华!N19</f>
        <v>0</v>
      </c>
      <c r="S160" s="202">
        <f>南华!O19</f>
        <v>0</v>
      </c>
      <c r="T160" s="202">
        <f>南华!P19</f>
        <v>0</v>
      </c>
      <c r="U160" s="202">
        <f>南华!Q19</f>
        <v>0</v>
      </c>
      <c r="V160" s="202">
        <f>南华!R19</f>
        <v>0</v>
      </c>
      <c r="W160" s="202">
        <f>南华!S19</f>
        <v>0</v>
      </c>
      <c r="X160" s="202">
        <f>南华!T19</f>
        <v>0</v>
      </c>
      <c r="Y160" s="202">
        <f>南华!U19</f>
        <v>0</v>
      </c>
      <c r="Z160" s="202">
        <f>南华!V19</f>
        <v>0</v>
      </c>
      <c r="AA160" s="202">
        <f>南华!W19</f>
        <v>0</v>
      </c>
      <c r="AB160" s="202">
        <f>南华!X19</f>
        <v>0</v>
      </c>
      <c r="AC160" s="202">
        <f>南华!Y19</f>
        <v>0</v>
      </c>
      <c r="AD160" s="202">
        <f>南华!Z19</f>
        <v>0</v>
      </c>
      <c r="AE160" s="202">
        <f>南华!AA19</f>
        <v>0</v>
      </c>
      <c r="AF160" s="202">
        <f>南华!AB19</f>
        <v>0</v>
      </c>
      <c r="AG160" s="202">
        <f>南华!AC19</f>
        <v>0</v>
      </c>
      <c r="AH160" s="202">
        <f>南华!AD19</f>
        <v>0</v>
      </c>
      <c r="AI160" s="202">
        <f>南华!AE19</f>
        <v>0</v>
      </c>
      <c r="AJ160" s="202">
        <f>南华!AF19</f>
        <v>0</v>
      </c>
      <c r="AK160" s="202" t="str">
        <f>南华!AG19</f>
        <v>南华县兔街镇长梁孜中山村</v>
      </c>
      <c r="AL160" s="202" t="str">
        <f>南华!AH19</f>
        <v>20160805-0815</v>
      </c>
      <c r="AM160" s="202">
        <f>南华!AI19</f>
        <v>0</v>
      </c>
      <c r="AN160" s="202">
        <f>南华!AJ19</f>
        <v>0</v>
      </c>
      <c r="AO160" s="202">
        <f>南华!AK19</f>
        <v>0</v>
      </c>
      <c r="AP160" s="263">
        <v>1.5</v>
      </c>
      <c r="AQ160" s="261">
        <f>南华!AM19</f>
        <v>0</v>
      </c>
      <c r="AR160" s="295">
        <f>南华!AN19</f>
        <v>1</v>
      </c>
      <c r="AS160" s="201" t="str">
        <f>南华!AO19</f>
        <v>532324196808102553</v>
      </c>
      <c r="AT160" s="201" t="str">
        <f>南华!AP19</f>
        <v>13987848860</v>
      </c>
    </row>
    <row r="161" spans="1:46">
      <c r="A161" t="s">
        <v>1927</v>
      </c>
      <c r="B161" s="202" t="str">
        <f>VLOOKUP(A161,databases!$A$2:$B$7, 2, FALSE)</f>
        <v>NanHua</v>
      </c>
      <c r="C161" t="str">
        <f>南华!B8</f>
        <v>蒋文奎</v>
      </c>
      <c r="D161" s="202" t="str">
        <f>VLOOKUP(C161,databases!$D$2:$E$145, 2, FALSE)</f>
        <v>R120</v>
      </c>
      <c r="E161" s="259">
        <f>INDEX(sample_database!$B$2:$B$506,MATCH(F161,sample_database!$L$2:$L$506,0))</f>
        <v>43</v>
      </c>
      <c r="F161" s="202" t="str">
        <f>南华!A8</f>
        <v>NH07</v>
      </c>
      <c r="G161" s="257">
        <f>南华!C8</f>
        <v>0</v>
      </c>
      <c r="H161" s="257">
        <f>南华!D8</f>
        <v>1</v>
      </c>
      <c r="I161" s="202">
        <f>南华!E8</f>
        <v>1</v>
      </c>
      <c r="J161" s="202">
        <f>南华!F8</f>
        <v>1</v>
      </c>
      <c r="K161" s="202">
        <f>南华!G8</f>
        <v>0</v>
      </c>
      <c r="L161" s="202">
        <f>南华!H8</f>
        <v>0</v>
      </c>
      <c r="M161" s="202">
        <f>南华!I8</f>
        <v>0</v>
      </c>
      <c r="N161" s="202">
        <f>南华!J8</f>
        <v>0</v>
      </c>
      <c r="O161" s="202">
        <f>南华!K8</f>
        <v>0</v>
      </c>
      <c r="P161" s="202">
        <f>南华!L8</f>
        <v>0</v>
      </c>
      <c r="Q161" s="202">
        <f>南华!M8</f>
        <v>0</v>
      </c>
      <c r="R161" s="202">
        <f>南华!N8</f>
        <v>0</v>
      </c>
      <c r="S161" s="202">
        <f>南华!O8</f>
        <v>0</v>
      </c>
      <c r="T161" s="202">
        <f>南华!P8</f>
        <v>0</v>
      </c>
      <c r="U161" s="202">
        <f>南华!Q8</f>
        <v>0</v>
      </c>
      <c r="V161" s="202">
        <f>南华!R8</f>
        <v>0</v>
      </c>
      <c r="W161" s="202">
        <f>南华!S8</f>
        <v>0</v>
      </c>
      <c r="X161" s="202">
        <f>南华!T8</f>
        <v>0</v>
      </c>
      <c r="Y161" s="202">
        <f>南华!U8</f>
        <v>0</v>
      </c>
      <c r="Z161" s="202">
        <f>南华!V8</f>
        <v>0</v>
      </c>
      <c r="AA161" s="202">
        <f>南华!W8</f>
        <v>0</v>
      </c>
      <c r="AB161" s="202">
        <f>南华!X8</f>
        <v>0</v>
      </c>
      <c r="AC161" s="202">
        <f>南华!Y8</f>
        <v>0</v>
      </c>
      <c r="AD161" s="202">
        <f>南华!Z8</f>
        <v>0</v>
      </c>
      <c r="AE161" s="202">
        <f>南华!AA8</f>
        <v>0</v>
      </c>
      <c r="AF161" s="202">
        <f>南华!AB8</f>
        <v>0</v>
      </c>
      <c r="AG161" s="202">
        <f>南华!AC8</f>
        <v>0</v>
      </c>
      <c r="AH161" s="202">
        <f>南华!AD8</f>
        <v>0</v>
      </c>
      <c r="AI161" s="202">
        <f>南华!AE8</f>
        <v>0</v>
      </c>
      <c r="AJ161" s="202">
        <f>南华!AF8</f>
        <v>0</v>
      </c>
      <c r="AK161" s="202" t="str">
        <f>南华!AG8</f>
        <v>南华县兔街</v>
      </c>
      <c r="AL161" s="202">
        <f>南华!AH8</f>
        <v>20160729</v>
      </c>
      <c r="AM161" s="202">
        <f>南华!AI8</f>
        <v>0</v>
      </c>
      <c r="AN161" s="202">
        <f>南华!AJ8</f>
        <v>0</v>
      </c>
      <c r="AO161" s="202">
        <f>南华!AK8</f>
        <v>0</v>
      </c>
      <c r="AP161" s="263">
        <v>0.5</v>
      </c>
      <c r="AQ161" s="261" t="str">
        <f>南华!AM8</f>
        <v>PCR FAILED</v>
      </c>
      <c r="AR161" s="295">
        <f>南华!AN8</f>
        <v>1</v>
      </c>
      <c r="AS161" s="201" t="str">
        <f>南华!AO8</f>
        <v>？？？</v>
      </c>
      <c r="AT161" s="201" t="str">
        <f>南华!AP8</f>
        <v>？？</v>
      </c>
    </row>
    <row r="162" spans="1:46">
      <c r="A162" t="s">
        <v>1927</v>
      </c>
      <c r="B162" s="202" t="str">
        <f>VLOOKUP(A162,databases!$A$2:$B$7, 2, FALSE)</f>
        <v>NanHua</v>
      </c>
      <c r="C162" t="str">
        <f>南华!B23</f>
        <v>阿发旺</v>
      </c>
      <c r="D162" s="202" t="str">
        <f>VLOOKUP(C162,databases!$D$2:$E$145, 2, FALSE)</f>
        <v>R130</v>
      </c>
      <c r="E162" s="259">
        <f>INDEX(sample_database!$B$2:$B$506,MATCH(F162,sample_database!$L$2:$L$506,0))</f>
        <v>63</v>
      </c>
      <c r="F162" s="202" t="str">
        <f>南华!A23</f>
        <v>NH22</v>
      </c>
      <c r="G162" s="257">
        <f>南华!C23</f>
        <v>1</v>
      </c>
      <c r="H162" s="257">
        <f>南华!D23</f>
        <v>0</v>
      </c>
      <c r="I162" s="202">
        <f>南华!E23</f>
        <v>3</v>
      </c>
      <c r="J162" s="202">
        <f>南华!F23</f>
        <v>3</v>
      </c>
      <c r="K162" s="202">
        <f>南华!G23</f>
        <v>0</v>
      </c>
      <c r="L162" s="202">
        <f>南华!H23</f>
        <v>0</v>
      </c>
      <c r="M162" s="202">
        <f>南华!I23</f>
        <v>0</v>
      </c>
      <c r="N162" s="202">
        <f>南华!J23</f>
        <v>0</v>
      </c>
      <c r="O162" s="202">
        <f>南华!K23</f>
        <v>0</v>
      </c>
      <c r="P162" s="202">
        <f>南华!L23</f>
        <v>0</v>
      </c>
      <c r="Q162" s="202">
        <f>南华!M23</f>
        <v>0</v>
      </c>
      <c r="R162" s="202">
        <f>南华!N23</f>
        <v>0</v>
      </c>
      <c r="S162" s="202">
        <f>南华!O23</f>
        <v>0</v>
      </c>
      <c r="T162" s="202">
        <f>南华!P23</f>
        <v>0</v>
      </c>
      <c r="U162" s="202">
        <f>南华!Q23</f>
        <v>0</v>
      </c>
      <c r="V162" s="202">
        <f>南华!R23</f>
        <v>0</v>
      </c>
      <c r="W162" s="202">
        <f>南华!S23</f>
        <v>0</v>
      </c>
      <c r="X162" s="202">
        <f>南华!T23</f>
        <v>0</v>
      </c>
      <c r="Y162" s="202">
        <f>南华!U23</f>
        <v>0</v>
      </c>
      <c r="Z162" s="202">
        <f>南华!V23</f>
        <v>0</v>
      </c>
      <c r="AA162" s="202">
        <f>南华!W23</f>
        <v>0</v>
      </c>
      <c r="AB162" s="202">
        <f>南华!X23</f>
        <v>0</v>
      </c>
      <c r="AC162" s="202">
        <f>南华!Y23</f>
        <v>0</v>
      </c>
      <c r="AD162" s="202">
        <f>南华!Z23</f>
        <v>0</v>
      </c>
      <c r="AE162" s="202">
        <f>南华!AA23</f>
        <v>0</v>
      </c>
      <c r="AF162" s="202">
        <f>南华!AB23</f>
        <v>0</v>
      </c>
      <c r="AG162" s="202">
        <f>南华!AC23</f>
        <v>0</v>
      </c>
      <c r="AH162" s="202">
        <f>南华!AD23</f>
        <v>0</v>
      </c>
      <c r="AI162" s="202">
        <f>南华!AE23</f>
        <v>0</v>
      </c>
      <c r="AJ162" s="202">
        <f>南华!AF23</f>
        <v>0</v>
      </c>
      <c r="AK162" s="202" t="str">
        <f>南华!AG23</f>
        <v>南华县兔街镇半坡村委会望天坡小组</v>
      </c>
      <c r="AL162" s="202" t="str">
        <f>南华!AH23</f>
        <v>？？</v>
      </c>
      <c r="AM162" s="202">
        <f>南华!AI23</f>
        <v>0</v>
      </c>
      <c r="AN162" s="202">
        <f>南华!AJ23</f>
        <v>0</v>
      </c>
      <c r="AO162" s="202">
        <f>南华!AK23</f>
        <v>0</v>
      </c>
      <c r="AP162" s="263">
        <v>0.5</v>
      </c>
      <c r="AQ162" s="261" t="str">
        <f>南华!AM23</f>
        <v>PCR FAILED</v>
      </c>
      <c r="AR162" s="295">
        <f>南华!AN23</f>
        <v>3</v>
      </c>
      <c r="AS162" s="201" t="str">
        <f>南华!AO23</f>
        <v>？？？</v>
      </c>
      <c r="AT162" s="201" t="str">
        <f>南华!AP23</f>
        <v>15924785716</v>
      </c>
    </row>
    <row r="163" spans="1:46">
      <c r="A163" s="252" t="s">
        <v>1927</v>
      </c>
      <c r="B163" s="202" t="str">
        <f>VLOOKUP(A163,databases!$A$2:$B$7, 2, FALSE)</f>
        <v>NanHua</v>
      </c>
      <c r="C163" s="252" t="str">
        <f>南华!B24</f>
        <v>阿发旺</v>
      </c>
      <c r="D163" s="202" t="str">
        <f>VLOOKUP(C163,databases!$D$2:$E$145, 2, FALSE)</f>
        <v>R130</v>
      </c>
      <c r="E163" s="259">
        <f>INDEX(sample_database!$B$2:$B$506,MATCH(F163,sample_database!$L$2:$L$506,0))</f>
        <v>63</v>
      </c>
      <c r="F163" s="236" t="str">
        <f>南华!A24</f>
        <v>NH23</v>
      </c>
      <c r="G163" s="258">
        <f>南华!C24</f>
        <v>5</v>
      </c>
      <c r="H163" s="258">
        <f>南华!D24</f>
        <v>0</v>
      </c>
      <c r="I163" s="236">
        <f>南华!E24</f>
        <v>15</v>
      </c>
      <c r="J163" s="236">
        <f>南华!F24</f>
        <v>1</v>
      </c>
      <c r="K163" s="236">
        <f>南华!G24</f>
        <v>3</v>
      </c>
      <c r="L163" s="236">
        <f>南华!H24</f>
        <v>3</v>
      </c>
      <c r="M163" s="236">
        <f>南华!I24</f>
        <v>3</v>
      </c>
      <c r="N163" s="236">
        <f>南华!J24</f>
        <v>5</v>
      </c>
      <c r="O163" s="236">
        <f>南华!K24</f>
        <v>0</v>
      </c>
      <c r="P163" s="236">
        <f>南华!L24</f>
        <v>0</v>
      </c>
      <c r="Q163" s="236">
        <f>南华!M24</f>
        <v>0</v>
      </c>
      <c r="R163" s="236">
        <f>南华!N24</f>
        <v>0</v>
      </c>
      <c r="S163" s="236">
        <f>南华!O24</f>
        <v>0</v>
      </c>
      <c r="T163" s="236">
        <f>南华!P24</f>
        <v>0</v>
      </c>
      <c r="U163" s="236">
        <f>南华!Q24</f>
        <v>0</v>
      </c>
      <c r="V163" s="236">
        <f>南华!R24</f>
        <v>0</v>
      </c>
      <c r="W163" s="236">
        <f>南华!S24</f>
        <v>0</v>
      </c>
      <c r="X163" s="236">
        <f>南华!T24</f>
        <v>0</v>
      </c>
      <c r="Y163" s="236">
        <f>南华!U24</f>
        <v>0</v>
      </c>
      <c r="Z163" s="236">
        <f>南华!V24</f>
        <v>0</v>
      </c>
      <c r="AA163" s="236">
        <f>南华!W24</f>
        <v>0</v>
      </c>
      <c r="AB163" s="236">
        <f>南华!X24</f>
        <v>0</v>
      </c>
      <c r="AC163" s="236">
        <f>南华!Y24</f>
        <v>0</v>
      </c>
      <c r="AD163" s="236">
        <f>南华!Z24</f>
        <v>0</v>
      </c>
      <c r="AE163" s="236">
        <f>南华!AA24</f>
        <v>0</v>
      </c>
      <c r="AF163" s="236">
        <f>南华!AB24</f>
        <v>0</v>
      </c>
      <c r="AG163" s="236">
        <f>南华!AC24</f>
        <v>0</v>
      </c>
      <c r="AH163" s="236">
        <f>南华!AD24</f>
        <v>0</v>
      </c>
      <c r="AI163" s="236">
        <f>南华!AE24</f>
        <v>0</v>
      </c>
      <c r="AJ163" s="236">
        <f>南华!AF24</f>
        <v>0</v>
      </c>
      <c r="AK163" s="236" t="str">
        <f>南华!AG24</f>
        <v>南华县兔街镇半坡村委会望天坡小组</v>
      </c>
      <c r="AL163" s="236" t="str">
        <f>南华!AH24</f>
        <v>？？</v>
      </c>
      <c r="AM163" s="236">
        <f>南华!AI24</f>
        <v>0</v>
      </c>
      <c r="AN163" s="236">
        <f>南华!AJ24</f>
        <v>0</v>
      </c>
      <c r="AO163" s="236">
        <f>南华!AK24</f>
        <v>0</v>
      </c>
      <c r="AP163" s="264">
        <v>1</v>
      </c>
      <c r="AQ163" s="262">
        <f>南华!AM24</f>
        <v>0</v>
      </c>
      <c r="AR163" s="296">
        <f>南华!AN24</f>
        <v>5</v>
      </c>
      <c r="AS163" s="254" t="str">
        <f>南华!AO24</f>
        <v>？？？</v>
      </c>
      <c r="AT163" s="254" t="str">
        <f>南华!AP24</f>
        <v>15924785716</v>
      </c>
    </row>
    <row r="164" spans="1:46">
      <c r="A164" t="s">
        <v>1927</v>
      </c>
      <c r="B164" s="202" t="str">
        <f>VLOOKUP(A164,databases!$A$2:$B$7, 2, FALSE)</f>
        <v>NanHua</v>
      </c>
      <c r="C164" t="str">
        <f>南华!B11</f>
        <v>阿发科</v>
      </c>
      <c r="D164" s="202" t="str">
        <f>VLOOKUP(C164,databases!$D$2:$E$145, 2, FALSE)</f>
        <v>R131</v>
      </c>
      <c r="E164" s="259">
        <f>INDEX(sample_database!$B$2:$B$506,MATCH(F164,sample_database!$L$2:$L$506,0))</f>
        <v>61</v>
      </c>
      <c r="F164" s="202" t="str">
        <f>南华!A11</f>
        <v>NH10</v>
      </c>
      <c r="G164" s="257">
        <f>南华!C11</f>
        <v>0</v>
      </c>
      <c r="H164" s="257">
        <f>南华!D11</f>
        <v>11</v>
      </c>
      <c r="I164" s="202">
        <f>南华!E11</f>
        <v>13</v>
      </c>
      <c r="J164" s="202">
        <f>南华!F11</f>
        <v>1</v>
      </c>
      <c r="K164" s="202">
        <f>南华!G11</f>
        <v>1</v>
      </c>
      <c r="L164" s="202">
        <f>南华!H11</f>
        <v>1</v>
      </c>
      <c r="M164" s="202">
        <f>南华!I11</f>
        <v>1</v>
      </c>
      <c r="N164" s="202">
        <f>南华!J11</f>
        <v>1</v>
      </c>
      <c r="O164" s="202">
        <f>南华!K11</f>
        <v>1</v>
      </c>
      <c r="P164" s="202">
        <f>南华!L11</f>
        <v>1</v>
      </c>
      <c r="Q164" s="202">
        <f>南华!M11</f>
        <v>1</v>
      </c>
      <c r="R164" s="202">
        <f>南华!N11</f>
        <v>1</v>
      </c>
      <c r="S164" s="202">
        <f>南华!O11</f>
        <v>1</v>
      </c>
      <c r="T164" s="202">
        <f>南华!P11</f>
        <v>3</v>
      </c>
      <c r="U164" s="202">
        <f>南华!Q11</f>
        <v>0</v>
      </c>
      <c r="V164" s="202">
        <f>南华!R11</f>
        <v>0</v>
      </c>
      <c r="W164" s="202">
        <f>南华!S11</f>
        <v>0</v>
      </c>
      <c r="X164" s="202">
        <f>南华!T11</f>
        <v>0</v>
      </c>
      <c r="Y164" s="202">
        <f>南华!U11</f>
        <v>0</v>
      </c>
      <c r="Z164" s="202">
        <f>南华!V11</f>
        <v>0</v>
      </c>
      <c r="AA164" s="202">
        <f>南华!W11</f>
        <v>0</v>
      </c>
      <c r="AB164" s="202">
        <f>南华!X11</f>
        <v>0</v>
      </c>
      <c r="AC164" s="202">
        <f>南华!Y11</f>
        <v>0</v>
      </c>
      <c r="AD164" s="202">
        <f>南华!Z11</f>
        <v>0</v>
      </c>
      <c r="AE164" s="202">
        <f>南华!AA11</f>
        <v>0</v>
      </c>
      <c r="AF164" s="202">
        <f>南华!AB11</f>
        <v>0</v>
      </c>
      <c r="AG164" s="202">
        <f>南华!AC11</f>
        <v>0</v>
      </c>
      <c r="AH164" s="202">
        <f>南华!AD11</f>
        <v>0</v>
      </c>
      <c r="AI164" s="202">
        <f>南华!AE11</f>
        <v>0</v>
      </c>
      <c r="AJ164" s="202">
        <f>南华!AF11</f>
        <v>0</v>
      </c>
      <c r="AK164" s="202" t="str">
        <f>南华!AG11</f>
        <v>南华县兔街镇半坡村委会桃树村</v>
      </c>
      <c r="AL164" s="202">
        <f>南华!AH11</f>
        <v>20160815</v>
      </c>
      <c r="AM164" s="202">
        <f>南华!AI11</f>
        <v>0</v>
      </c>
      <c r="AN164" s="202">
        <f>南华!AJ11</f>
        <v>0</v>
      </c>
      <c r="AO164" s="202">
        <f>南华!AK11</f>
        <v>0</v>
      </c>
      <c r="AP164" s="263">
        <v>10</v>
      </c>
      <c r="AQ164" s="261">
        <f>南华!AM11</f>
        <v>0</v>
      </c>
      <c r="AR164" s="295">
        <f>南华!AN11</f>
        <v>2</v>
      </c>
      <c r="AS164" s="201" t="str">
        <f>南华!AO11</f>
        <v>？？？</v>
      </c>
      <c r="AT164" s="201" t="str">
        <f>南华!AP11</f>
        <v>15125969798</v>
      </c>
    </row>
    <row r="165" spans="1:46">
      <c r="A165" t="s">
        <v>1927</v>
      </c>
      <c r="B165" s="202" t="str">
        <f>VLOOKUP(A165,databases!$A$2:$B$7, 2, FALSE)</f>
        <v>NanHua</v>
      </c>
      <c r="C165" t="str">
        <f>南华!B25</f>
        <v>鲁发清</v>
      </c>
      <c r="D165" s="202" t="str">
        <f>VLOOKUP(C165,databases!$D$2:$E$145, 2, FALSE)</f>
        <v>R136</v>
      </c>
      <c r="E165" s="259">
        <f>INDEX(sample_database!$B$2:$B$506,MATCH(F165,sample_database!$L$2:$L$506,0))</f>
        <v>64</v>
      </c>
      <c r="F165" s="202" t="str">
        <f>南华!A25</f>
        <v>NH24</v>
      </c>
      <c r="G165" s="257">
        <f>南华!C25</f>
        <v>1</v>
      </c>
      <c r="H165" s="257">
        <f>南华!D25</f>
        <v>0</v>
      </c>
      <c r="I165" s="202">
        <f>南华!E25</f>
        <v>2</v>
      </c>
      <c r="J165" s="202">
        <f>南华!F25</f>
        <v>2</v>
      </c>
      <c r="K165" s="202">
        <f>南华!G25</f>
        <v>0</v>
      </c>
      <c r="L165" s="202">
        <f>南华!H25</f>
        <v>0</v>
      </c>
      <c r="M165" s="202">
        <f>南华!I25</f>
        <v>0</v>
      </c>
      <c r="N165" s="202">
        <f>南华!J25</f>
        <v>0</v>
      </c>
      <c r="O165" s="202">
        <f>南华!K25</f>
        <v>0</v>
      </c>
      <c r="P165" s="202">
        <f>南华!L25</f>
        <v>0</v>
      </c>
      <c r="Q165" s="202">
        <f>南华!M25</f>
        <v>0</v>
      </c>
      <c r="R165" s="202">
        <f>南华!N25</f>
        <v>0</v>
      </c>
      <c r="S165" s="202">
        <f>南华!O25</f>
        <v>0</v>
      </c>
      <c r="T165" s="202">
        <f>南华!P25</f>
        <v>0</v>
      </c>
      <c r="U165" s="202">
        <f>南华!Q25</f>
        <v>0</v>
      </c>
      <c r="V165" s="202">
        <f>南华!R25</f>
        <v>0</v>
      </c>
      <c r="W165" s="202">
        <f>南华!S25</f>
        <v>0</v>
      </c>
      <c r="X165" s="202">
        <f>南华!T25</f>
        <v>0</v>
      </c>
      <c r="Y165" s="202">
        <f>南华!U25</f>
        <v>0</v>
      </c>
      <c r="Z165" s="202">
        <f>南华!V25</f>
        <v>0</v>
      </c>
      <c r="AA165" s="202">
        <f>南华!W25</f>
        <v>0</v>
      </c>
      <c r="AB165" s="202">
        <f>南华!X25</f>
        <v>0</v>
      </c>
      <c r="AC165" s="202">
        <f>南华!Y25</f>
        <v>0</v>
      </c>
      <c r="AD165" s="202">
        <f>南华!Z25</f>
        <v>0</v>
      </c>
      <c r="AE165" s="202">
        <f>南华!AA25</f>
        <v>0</v>
      </c>
      <c r="AF165" s="202">
        <f>南华!AB25</f>
        <v>0</v>
      </c>
      <c r="AG165" s="202">
        <f>南华!AC25</f>
        <v>0</v>
      </c>
      <c r="AH165" s="202">
        <f>南华!AD25</f>
        <v>0</v>
      </c>
      <c r="AI165" s="202">
        <f>南华!AE25</f>
        <v>0</v>
      </c>
      <c r="AJ165" s="202">
        <f>南华!AF25</f>
        <v>0</v>
      </c>
      <c r="AK165" s="202" t="str">
        <f>南华!AG25</f>
        <v>南华县兔街镇小戈瓦村委会大村</v>
      </c>
      <c r="AL165" s="202">
        <f>南华!AH25</f>
        <v>20160730</v>
      </c>
      <c r="AM165" s="202">
        <f>南华!AI25</f>
        <v>0</v>
      </c>
      <c r="AN165" s="202">
        <f>南华!AJ25</f>
        <v>0</v>
      </c>
      <c r="AO165" s="202">
        <f>南华!AK25</f>
        <v>0</v>
      </c>
      <c r="AP165" s="263">
        <v>10</v>
      </c>
      <c r="AQ165" s="261">
        <f>南华!AM25</f>
        <v>0</v>
      </c>
      <c r="AR165" s="295">
        <f>南华!AN25</f>
        <v>1</v>
      </c>
      <c r="AS165" s="201" t="str">
        <f>南华!AO25</f>
        <v>532324196304142519</v>
      </c>
      <c r="AT165" s="201" t="str">
        <f>南华!AP25</f>
        <v>15125835818</v>
      </c>
    </row>
    <row r="166" spans="1:46">
      <c r="A166" s="252" t="s">
        <v>1927</v>
      </c>
      <c r="B166" s="202" t="str">
        <f>VLOOKUP(A166,databases!$A$2:$B$7, 2, FALSE)</f>
        <v>NanHua</v>
      </c>
      <c r="C166" s="252" t="str">
        <f>南华!B26</f>
        <v>鲁新正</v>
      </c>
      <c r="D166" s="273" t="str">
        <f>VLOOKUP(C166,databases!$D$2:$E$145, 2, FALSE)</f>
        <v>R139</v>
      </c>
      <c r="E166" s="274" t="str">
        <f>INDEX(sample_database!$B$2:$B$506,MATCH(F166,sample_database!$L$2:$L$506,0))</f>
        <v>NA</v>
      </c>
      <c r="F166" s="236" t="str">
        <f>南华!A26</f>
        <v>NH25</v>
      </c>
      <c r="G166" s="258">
        <f>南华!C26</f>
        <v>10</v>
      </c>
      <c r="H166" s="258">
        <f>南华!D26</f>
        <v>0</v>
      </c>
      <c r="I166" s="236">
        <f>南华!E26</f>
        <v>10</v>
      </c>
      <c r="J166" s="236">
        <f>南华!F26</f>
        <v>1</v>
      </c>
      <c r="K166" s="236">
        <f>南华!G26</f>
        <v>1</v>
      </c>
      <c r="L166" s="236">
        <f>南华!H26</f>
        <v>1</v>
      </c>
      <c r="M166" s="236">
        <f>南华!I26</f>
        <v>1</v>
      </c>
      <c r="N166" s="236">
        <f>南华!J26</f>
        <v>1</v>
      </c>
      <c r="O166" s="236">
        <f>南华!K26</f>
        <v>1</v>
      </c>
      <c r="P166" s="236">
        <f>南华!L26</f>
        <v>1</v>
      </c>
      <c r="Q166" s="236">
        <f>南华!M26</f>
        <v>1</v>
      </c>
      <c r="R166" s="236">
        <f>南华!N26</f>
        <v>1</v>
      </c>
      <c r="S166" s="236">
        <f>南华!O26</f>
        <v>1</v>
      </c>
      <c r="T166" s="236">
        <f>南华!P26</f>
        <v>0</v>
      </c>
      <c r="U166" s="236">
        <f>南华!Q26</f>
        <v>0</v>
      </c>
      <c r="V166" s="236">
        <f>南华!R26</f>
        <v>0</v>
      </c>
      <c r="W166" s="236">
        <f>南华!S26</f>
        <v>0</v>
      </c>
      <c r="X166" s="236">
        <f>南华!T26</f>
        <v>0</v>
      </c>
      <c r="Y166" s="236">
        <f>南华!U26</f>
        <v>0</v>
      </c>
      <c r="Z166" s="236">
        <f>南华!V26</f>
        <v>0</v>
      </c>
      <c r="AA166" s="236">
        <f>南华!W26</f>
        <v>0</v>
      </c>
      <c r="AB166" s="236">
        <f>南华!X26</f>
        <v>0</v>
      </c>
      <c r="AC166" s="236">
        <f>南华!Y26</f>
        <v>0</v>
      </c>
      <c r="AD166" s="236">
        <f>南华!Z26</f>
        <v>0</v>
      </c>
      <c r="AE166" s="236">
        <f>南华!AA26</f>
        <v>0</v>
      </c>
      <c r="AF166" s="236">
        <f>南华!AB26</f>
        <v>0</v>
      </c>
      <c r="AG166" s="236">
        <f>南华!AC26</f>
        <v>0</v>
      </c>
      <c r="AH166" s="236">
        <f>南华!AD26</f>
        <v>0</v>
      </c>
      <c r="AI166" s="236">
        <f>南华!AE26</f>
        <v>0</v>
      </c>
      <c r="AJ166" s="236">
        <f>南华!AF26</f>
        <v>0</v>
      </c>
      <c r="AK166" s="236" t="str">
        <f>南华!AG26</f>
        <v>南华县兔街镇干龙潭村委会上村</v>
      </c>
      <c r="AL166" s="236">
        <f>南华!AH26</f>
        <v>20160730</v>
      </c>
      <c r="AM166" s="236">
        <f>南华!AI26</f>
        <v>0</v>
      </c>
      <c r="AN166" s="236">
        <f>南华!AJ26</f>
        <v>0</v>
      </c>
      <c r="AO166" s="236">
        <f>南华!AK26</f>
        <v>0</v>
      </c>
      <c r="AP166" s="264">
        <v>7.5</v>
      </c>
      <c r="AQ166" s="262">
        <f>南华!AM26</f>
        <v>0</v>
      </c>
      <c r="AR166" s="296">
        <f>南华!AN26</f>
        <v>1</v>
      </c>
      <c r="AS166" s="254" t="str">
        <f>南华!AO26</f>
        <v>532324197611072519</v>
      </c>
      <c r="AT166" s="254" t="str">
        <f>南华!AP26</f>
        <v>15974785742</v>
      </c>
    </row>
    <row r="167" spans="1:46">
      <c r="A167" t="s">
        <v>1927</v>
      </c>
      <c r="B167" s="202" t="str">
        <f>VLOOKUP(A167,databases!$A$2:$B$7, 2, FALSE)</f>
        <v>NanHua</v>
      </c>
      <c r="C167" t="str">
        <f>南华!B27</f>
        <v>鲁新正</v>
      </c>
      <c r="D167" s="277" t="str">
        <f>VLOOKUP(C167,databases!$D$2:$E$145, 2, FALSE)</f>
        <v>R139</v>
      </c>
      <c r="E167" s="278" t="str">
        <f>INDEX(sample_database!$B$2:$B$506,MATCH(F167,sample_database!$L$2:$L$506,0))</f>
        <v>NA</v>
      </c>
      <c r="F167" s="202" t="str">
        <f>南华!A27</f>
        <v>NH26</v>
      </c>
      <c r="G167" s="257">
        <f>南华!C27</f>
        <v>4</v>
      </c>
      <c r="H167" s="257">
        <f>南华!D27</f>
        <v>0</v>
      </c>
      <c r="I167" s="202">
        <f>南华!E27</f>
        <v>4</v>
      </c>
      <c r="J167" s="202">
        <f>南华!F27</f>
        <v>1</v>
      </c>
      <c r="K167" s="202">
        <f>南华!G27</f>
        <v>1</v>
      </c>
      <c r="L167" s="202">
        <f>南华!H27</f>
        <v>1</v>
      </c>
      <c r="M167" s="202">
        <f>南华!I27</f>
        <v>1</v>
      </c>
      <c r="N167" s="202">
        <f>南华!J27</f>
        <v>0</v>
      </c>
      <c r="O167" s="202">
        <f>南华!K27</f>
        <v>0</v>
      </c>
      <c r="P167" s="202">
        <f>南华!L27</f>
        <v>0</v>
      </c>
      <c r="Q167" s="202">
        <f>南华!M27</f>
        <v>0</v>
      </c>
      <c r="R167" s="202">
        <f>南华!N27</f>
        <v>0</v>
      </c>
      <c r="S167" s="202">
        <f>南华!O27</f>
        <v>0</v>
      </c>
      <c r="T167" s="202">
        <f>南华!P27</f>
        <v>0</v>
      </c>
      <c r="U167" s="202">
        <f>南华!Q27</f>
        <v>0</v>
      </c>
      <c r="V167" s="202">
        <f>南华!R27</f>
        <v>0</v>
      </c>
      <c r="W167" s="202">
        <f>南华!S27</f>
        <v>0</v>
      </c>
      <c r="X167" s="202">
        <f>南华!T27</f>
        <v>0</v>
      </c>
      <c r="Y167" s="202">
        <f>南华!U27</f>
        <v>0</v>
      </c>
      <c r="Z167" s="202">
        <f>南华!V27</f>
        <v>0</v>
      </c>
      <c r="AA167" s="202">
        <f>南华!W27</f>
        <v>0</v>
      </c>
      <c r="AB167" s="202">
        <f>南华!X27</f>
        <v>0</v>
      </c>
      <c r="AC167" s="202">
        <f>南华!Y27</f>
        <v>0</v>
      </c>
      <c r="AD167" s="202">
        <f>南华!Z27</f>
        <v>0</v>
      </c>
      <c r="AE167" s="202">
        <f>南华!AA27</f>
        <v>0</v>
      </c>
      <c r="AF167" s="202">
        <f>南华!AB27</f>
        <v>0</v>
      </c>
      <c r="AG167" s="202">
        <f>南华!AC27</f>
        <v>0</v>
      </c>
      <c r="AH167" s="202">
        <f>南华!AD27</f>
        <v>0</v>
      </c>
      <c r="AI167" s="202">
        <f>南华!AE27</f>
        <v>0</v>
      </c>
      <c r="AJ167" s="202">
        <f>南华!AF27</f>
        <v>0</v>
      </c>
      <c r="AK167" s="202" t="str">
        <f>南华!AG27</f>
        <v>南华县兔街镇干龙潭村委会上村</v>
      </c>
      <c r="AL167" s="202">
        <f>南华!AH27</f>
        <v>20160801</v>
      </c>
      <c r="AM167" s="202">
        <f>南华!AI27</f>
        <v>0</v>
      </c>
      <c r="AN167" s="202">
        <f>南华!AJ27</f>
        <v>0</v>
      </c>
      <c r="AO167" s="202">
        <f>南华!AK27</f>
        <v>0</v>
      </c>
      <c r="AP167" s="263">
        <v>4</v>
      </c>
      <c r="AQ167" s="261">
        <f>南华!AM27</f>
        <v>0</v>
      </c>
      <c r="AR167" s="295">
        <f>南华!AN27</f>
        <v>10</v>
      </c>
      <c r="AS167" s="201" t="str">
        <f>南华!AO27</f>
        <v>532324197611072519</v>
      </c>
      <c r="AT167" s="201" t="str">
        <f>南华!AP27</f>
        <v>15974785742</v>
      </c>
    </row>
    <row r="168" spans="1:46">
      <c r="A168" t="s">
        <v>1921</v>
      </c>
      <c r="B168" s="202" t="str">
        <f>VLOOKUP(A168,databases!$A$2:$B$7, 2, FALSE)</f>
        <v>ShuangBai</v>
      </c>
      <c r="C168" s="165" t="str">
        <f>双柏!B104</f>
        <v>代发菜&amp;李学良</v>
      </c>
      <c r="D168" s="281" t="str">
        <f>VLOOKUP(C168,databases!$D$2:$E$145, 2, FALSE)</f>
        <v>R1</v>
      </c>
      <c r="E168" s="282">
        <f>INDEX(sample_database!$B$2:$B$506,MATCH(F168,sample_database!$L$2:$L$506,0))</f>
        <v>4</v>
      </c>
      <c r="F168" s="202" t="str">
        <f>双柏!A104</f>
        <v>SB103</v>
      </c>
      <c r="G168" s="257">
        <f>双柏!C104</f>
        <v>5</v>
      </c>
      <c r="H168" s="257">
        <f>双柏!D104</f>
        <v>0</v>
      </c>
      <c r="I168" s="202">
        <f>双柏!E104</f>
        <v>11</v>
      </c>
      <c r="J168" s="202">
        <f>双柏!F104</f>
        <v>2</v>
      </c>
      <c r="K168" s="202">
        <f>双柏!G104</f>
        <v>3</v>
      </c>
      <c r="L168" s="202">
        <f>双柏!H104</f>
        <v>2</v>
      </c>
      <c r="M168" s="202">
        <f>双柏!I104</f>
        <v>2</v>
      </c>
      <c r="N168" s="202">
        <f>双柏!J104</f>
        <v>2</v>
      </c>
      <c r="O168" s="202">
        <f>双柏!K104</f>
        <v>0</v>
      </c>
      <c r="P168" s="202">
        <f>双柏!L104</f>
        <v>0</v>
      </c>
      <c r="Q168" s="202">
        <f>双柏!M104</f>
        <v>0</v>
      </c>
      <c r="R168" s="202">
        <f>双柏!N104</f>
        <v>0</v>
      </c>
      <c r="S168" s="202">
        <f>双柏!O104</f>
        <v>0</v>
      </c>
      <c r="T168" s="202">
        <f>双柏!P104</f>
        <v>0</v>
      </c>
      <c r="U168" s="202">
        <f>双柏!Q104</f>
        <v>0</v>
      </c>
      <c r="V168" s="202">
        <f>双柏!R104</f>
        <v>0</v>
      </c>
      <c r="W168" s="202">
        <f>双柏!S104</f>
        <v>0</v>
      </c>
      <c r="X168" s="202">
        <f>双柏!T104</f>
        <v>0</v>
      </c>
      <c r="Y168" s="202">
        <f>双柏!U104</f>
        <v>0</v>
      </c>
      <c r="Z168" s="202">
        <f>双柏!V104</f>
        <v>0</v>
      </c>
      <c r="AA168" s="202">
        <f>双柏!W104</f>
        <v>0</v>
      </c>
      <c r="AB168" s="202">
        <f>双柏!X104</f>
        <v>0</v>
      </c>
      <c r="AC168" s="202">
        <f>双柏!Y104</f>
        <v>0</v>
      </c>
      <c r="AD168" s="202">
        <f>双柏!Z104</f>
        <v>0</v>
      </c>
      <c r="AE168" s="202">
        <f>双柏!AA104</f>
        <v>0</v>
      </c>
      <c r="AF168" s="202">
        <f>双柏!AB104</f>
        <v>0</v>
      </c>
      <c r="AG168" s="202">
        <f>双柏!AC104</f>
        <v>0</v>
      </c>
      <c r="AH168" s="202">
        <f>双柏!AD104</f>
        <v>0</v>
      </c>
      <c r="AI168" s="202">
        <f>双柏!AE104</f>
        <v>0</v>
      </c>
      <c r="AJ168" s="202">
        <f>双柏!AF104</f>
        <v>0</v>
      </c>
      <c r="AK168" s="165" t="str">
        <f>双柏!AG104</f>
        <v>双柏县鄂嘉镇义隆村委会上村村民小组</v>
      </c>
      <c r="AL168" s="165" t="str">
        <f>双柏!AH104</f>
        <v>2016/0819-0828</v>
      </c>
      <c r="AM168" s="165" t="str">
        <f>双柏!AI104</f>
        <v>2016/0819-0828</v>
      </c>
      <c r="AN168" s="165">
        <f>双柏!AJ104</f>
        <v>0</v>
      </c>
      <c r="AO168" s="165" t="str">
        <f>双柏!AK104</f>
        <v>海拔2771，N24°21′26.2″ E101°16′13.4″</v>
      </c>
      <c r="AP168" s="263">
        <v>2.5</v>
      </c>
      <c r="AQ168" s="209">
        <f>双柏!AM104</f>
        <v>0</v>
      </c>
      <c r="AR168" s="295">
        <f>双柏!AN104</f>
        <v>0.5</v>
      </c>
      <c r="AS168" s="199" t="str">
        <f>双柏!AO104</f>
        <v>532322196406160512</v>
      </c>
      <c r="AT168" s="199" t="str">
        <f>双柏!AP104</f>
        <v>18182984872</v>
      </c>
    </row>
    <row r="169" spans="1:46">
      <c r="A169" t="s">
        <v>1921</v>
      </c>
      <c r="B169" s="202" t="str">
        <f>VLOOKUP(A169,databases!$A$2:$B$7, 2, FALSE)</f>
        <v>ShuangBai</v>
      </c>
      <c r="C169" s="165" t="str">
        <f>双柏!B102</f>
        <v>代发菜&amp;李学良</v>
      </c>
      <c r="D169" s="283" t="str">
        <f>VLOOKUP(C169,databases!$D$2:$E$145, 2, FALSE)</f>
        <v>R1</v>
      </c>
      <c r="E169" s="284" t="str">
        <f>INDEX(sample_database!$B$2:$B$506,MATCH(F169,sample_database!$L$2:$L$506,0))</f>
        <v>NA</v>
      </c>
      <c r="F169" s="202" t="str">
        <f>双柏!A102</f>
        <v>SB101</v>
      </c>
      <c r="G169" s="257">
        <f>双柏!C102</f>
        <v>9</v>
      </c>
      <c r="H169" s="257">
        <f>双柏!D102</f>
        <v>0</v>
      </c>
      <c r="I169" s="202">
        <f>双柏!E102</f>
        <v>17</v>
      </c>
      <c r="J169" s="202">
        <f>双柏!F102</f>
        <v>1</v>
      </c>
      <c r="K169" s="202">
        <f>双柏!G102</f>
        <v>1</v>
      </c>
      <c r="L169" s="202">
        <f>双柏!H102</f>
        <v>1</v>
      </c>
      <c r="M169" s="202">
        <f>双柏!I102</f>
        <v>3</v>
      </c>
      <c r="N169" s="202">
        <f>双柏!J102</f>
        <v>2</v>
      </c>
      <c r="O169" s="202">
        <f>双柏!K102</f>
        <v>1</v>
      </c>
      <c r="P169" s="202">
        <f>双柏!L102</f>
        <v>2</v>
      </c>
      <c r="Q169" s="202">
        <f>双柏!M102</f>
        <v>3</v>
      </c>
      <c r="R169" s="202">
        <f>双柏!N102</f>
        <v>3</v>
      </c>
      <c r="S169" s="202">
        <f>双柏!O102</f>
        <v>0</v>
      </c>
      <c r="T169" s="202">
        <f>双柏!P102</f>
        <v>0</v>
      </c>
      <c r="U169" s="202">
        <f>双柏!Q102</f>
        <v>0</v>
      </c>
      <c r="V169" s="202">
        <f>双柏!R102</f>
        <v>0</v>
      </c>
      <c r="W169" s="202">
        <f>双柏!S102</f>
        <v>0</v>
      </c>
      <c r="X169" s="202">
        <f>双柏!T102</f>
        <v>0</v>
      </c>
      <c r="Y169" s="202">
        <f>双柏!U102</f>
        <v>0</v>
      </c>
      <c r="Z169" s="202">
        <f>双柏!V102</f>
        <v>0</v>
      </c>
      <c r="AA169" s="202">
        <f>双柏!W102</f>
        <v>0</v>
      </c>
      <c r="AB169" s="202">
        <f>双柏!X102</f>
        <v>0</v>
      </c>
      <c r="AC169" s="202">
        <f>双柏!Y102</f>
        <v>0</v>
      </c>
      <c r="AD169" s="202">
        <f>双柏!Z102</f>
        <v>0</v>
      </c>
      <c r="AE169" s="202">
        <f>双柏!AA102</f>
        <v>0</v>
      </c>
      <c r="AF169" s="202">
        <f>双柏!AB102</f>
        <v>0</v>
      </c>
      <c r="AG169" s="202">
        <f>双柏!AC102</f>
        <v>0</v>
      </c>
      <c r="AH169" s="202">
        <f>双柏!AD102</f>
        <v>0</v>
      </c>
      <c r="AI169" s="202">
        <f>双柏!AE102</f>
        <v>0</v>
      </c>
      <c r="AJ169" s="202">
        <f>双柏!AF102</f>
        <v>0</v>
      </c>
      <c r="AK169" s="165" t="str">
        <f>双柏!AG102</f>
        <v>双柏县鄂嘉镇义隆村委会上村村民小组</v>
      </c>
      <c r="AL169" s="165" t="str">
        <f>双柏!AH102</f>
        <v>2016/0718-0727</v>
      </c>
      <c r="AM169" s="165" t="str">
        <f>双柏!AI102</f>
        <v>2016/0718-0727</v>
      </c>
      <c r="AN169" s="165">
        <f>双柏!AJ102</f>
        <v>0</v>
      </c>
      <c r="AO169" s="165" t="str">
        <f>双柏!AK102</f>
        <v>海拔2551，N24°22′20.4″ E101°15′26.4″</v>
      </c>
      <c r="AP169" s="263">
        <v>2.5</v>
      </c>
      <c r="AQ169" s="209">
        <f>双柏!AM102</f>
        <v>0</v>
      </c>
      <c r="AR169" s="295">
        <f>双柏!AN102</f>
        <v>0.5</v>
      </c>
      <c r="AS169" s="199" t="str">
        <f>双柏!AO102</f>
        <v>532322196406160512</v>
      </c>
      <c r="AT169" s="199" t="str">
        <f>双柏!AP102</f>
        <v>18182984872</v>
      </c>
    </row>
    <row r="170" spans="1:46">
      <c r="A170" t="s">
        <v>1921</v>
      </c>
      <c r="B170" s="202" t="str">
        <f>VLOOKUP(A170,databases!$A$2:$B$7, 2, FALSE)</f>
        <v>ShuangBai</v>
      </c>
      <c r="C170" s="165" t="str">
        <f>双柏!B103</f>
        <v>代发菜&amp;李学良</v>
      </c>
      <c r="D170" s="283" t="str">
        <f>VLOOKUP(C170,databases!$D$2:$E$145, 2, FALSE)</f>
        <v>R1</v>
      </c>
      <c r="E170" s="284" t="str">
        <f>INDEX(sample_database!$B$2:$B$506,MATCH(F170,sample_database!$L$2:$L$506,0))</f>
        <v>NA</v>
      </c>
      <c r="F170" s="202" t="str">
        <f>双柏!A103</f>
        <v>SB102</v>
      </c>
      <c r="G170" s="257">
        <f>双柏!C103</f>
        <v>8</v>
      </c>
      <c r="H170" s="257">
        <f>双柏!D103</f>
        <v>0</v>
      </c>
      <c r="I170" s="202">
        <f>双柏!E103</f>
        <v>14</v>
      </c>
      <c r="J170" s="202">
        <f>双柏!F103</f>
        <v>2</v>
      </c>
      <c r="K170" s="202">
        <f>双柏!G103</f>
        <v>3</v>
      </c>
      <c r="L170" s="202">
        <f>双柏!H103</f>
        <v>1</v>
      </c>
      <c r="M170" s="202">
        <f>双柏!I103</f>
        <v>1</v>
      </c>
      <c r="N170" s="202">
        <f>双柏!J103</f>
        <v>2</v>
      </c>
      <c r="O170" s="202">
        <f>双柏!K103</f>
        <v>1</v>
      </c>
      <c r="P170" s="202">
        <f>双柏!L103</f>
        <v>2</v>
      </c>
      <c r="Q170" s="202">
        <f>双柏!M103</f>
        <v>2</v>
      </c>
      <c r="R170" s="202">
        <f>双柏!N103</f>
        <v>0</v>
      </c>
      <c r="S170" s="202">
        <f>双柏!O103</f>
        <v>0</v>
      </c>
      <c r="T170" s="202">
        <f>双柏!P103</f>
        <v>0</v>
      </c>
      <c r="U170" s="202">
        <f>双柏!Q103</f>
        <v>0</v>
      </c>
      <c r="V170" s="202">
        <f>双柏!R103</f>
        <v>0</v>
      </c>
      <c r="W170" s="202">
        <f>双柏!S103</f>
        <v>0</v>
      </c>
      <c r="X170" s="202">
        <f>双柏!T103</f>
        <v>0</v>
      </c>
      <c r="Y170" s="202">
        <f>双柏!U103</f>
        <v>0</v>
      </c>
      <c r="Z170" s="202">
        <f>双柏!V103</f>
        <v>0</v>
      </c>
      <c r="AA170" s="202">
        <f>双柏!W103</f>
        <v>0</v>
      </c>
      <c r="AB170" s="202">
        <f>双柏!X103</f>
        <v>0</v>
      </c>
      <c r="AC170" s="202">
        <f>双柏!Y103</f>
        <v>0</v>
      </c>
      <c r="AD170" s="202">
        <f>双柏!Z103</f>
        <v>0</v>
      </c>
      <c r="AE170" s="202">
        <f>双柏!AA103</f>
        <v>0</v>
      </c>
      <c r="AF170" s="202">
        <f>双柏!AB103</f>
        <v>0</v>
      </c>
      <c r="AG170" s="202">
        <f>双柏!AC103</f>
        <v>0</v>
      </c>
      <c r="AH170" s="202">
        <f>双柏!AD103</f>
        <v>0</v>
      </c>
      <c r="AI170" s="202">
        <f>双柏!AE103</f>
        <v>0</v>
      </c>
      <c r="AJ170" s="202">
        <f>双柏!AF103</f>
        <v>0</v>
      </c>
      <c r="AK170" s="165" t="str">
        <f>双柏!AG103</f>
        <v>双柏县鄂嘉镇义隆村委会上村村民小组</v>
      </c>
      <c r="AL170" s="165" t="str">
        <f>双柏!AH103</f>
        <v>2016/0728-0806</v>
      </c>
      <c r="AM170" s="165" t="str">
        <f>双柏!AI103</f>
        <v>2016/0728-0806</v>
      </c>
      <c r="AN170" s="165">
        <f>双柏!AJ103</f>
        <v>0</v>
      </c>
      <c r="AO170" s="165" t="str">
        <f>双柏!AK103</f>
        <v>海拔2329，N24°22′52.5″ E101°15′40.2″</v>
      </c>
      <c r="AP170" s="263">
        <v>2.5</v>
      </c>
      <c r="AQ170" s="209">
        <f>双柏!AM103</f>
        <v>0</v>
      </c>
      <c r="AR170" s="295">
        <f>双柏!AN103</f>
        <v>0.5</v>
      </c>
      <c r="AS170" s="199" t="str">
        <f>双柏!AO103</f>
        <v>532322196406160512</v>
      </c>
      <c r="AT170" s="199" t="str">
        <f>双柏!AP103</f>
        <v>18182984872</v>
      </c>
    </row>
    <row r="171" spans="1:46">
      <c r="A171" t="s">
        <v>1921</v>
      </c>
      <c r="B171" s="202" t="str">
        <f>VLOOKUP(A171,databases!$A$2:$B$7, 2, FALSE)</f>
        <v>ShuangBai</v>
      </c>
      <c r="C171" s="165" t="str">
        <f>双柏!B105</f>
        <v>代发菜&amp;李学良</v>
      </c>
      <c r="D171" s="283" t="str">
        <f>VLOOKUP(C171,databases!$D$2:$E$145, 2, FALSE)</f>
        <v>R1</v>
      </c>
      <c r="E171" s="284" t="str">
        <f>INDEX(sample_database!$B$2:$B$506,MATCH(F171,sample_database!$L$2:$L$506,0))</f>
        <v>NA</v>
      </c>
      <c r="F171" s="202" t="str">
        <f>双柏!A105</f>
        <v>SB104</v>
      </c>
      <c r="G171" s="257">
        <f>双柏!C105</f>
        <v>6</v>
      </c>
      <c r="H171" s="257">
        <f>双柏!D105</f>
        <v>0</v>
      </c>
      <c r="I171" s="202">
        <f>双柏!E105</f>
        <v>17</v>
      </c>
      <c r="J171" s="202">
        <f>双柏!F105</f>
        <v>2</v>
      </c>
      <c r="K171" s="202">
        <f>双柏!G105</f>
        <v>3</v>
      </c>
      <c r="L171" s="202">
        <f>双柏!H105</f>
        <v>3</v>
      </c>
      <c r="M171" s="202">
        <f>双柏!I105</f>
        <v>3</v>
      </c>
      <c r="N171" s="202">
        <f>双柏!J105</f>
        <v>3</v>
      </c>
      <c r="O171" s="202">
        <f>双柏!K105</f>
        <v>3</v>
      </c>
      <c r="P171" s="202">
        <f>双柏!L105</f>
        <v>0</v>
      </c>
      <c r="Q171" s="202">
        <f>双柏!M105</f>
        <v>0</v>
      </c>
      <c r="R171" s="202">
        <f>双柏!N105</f>
        <v>0</v>
      </c>
      <c r="S171" s="202">
        <f>双柏!O105</f>
        <v>0</v>
      </c>
      <c r="T171" s="202">
        <f>双柏!P105</f>
        <v>0</v>
      </c>
      <c r="U171" s="202">
        <f>双柏!Q105</f>
        <v>0</v>
      </c>
      <c r="V171" s="202">
        <f>双柏!R105</f>
        <v>0</v>
      </c>
      <c r="W171" s="202">
        <f>双柏!S105</f>
        <v>0</v>
      </c>
      <c r="X171" s="202">
        <f>双柏!T105</f>
        <v>0</v>
      </c>
      <c r="Y171" s="202">
        <f>双柏!U105</f>
        <v>0</v>
      </c>
      <c r="Z171" s="202">
        <f>双柏!V105</f>
        <v>0</v>
      </c>
      <c r="AA171" s="202">
        <f>双柏!W105</f>
        <v>0</v>
      </c>
      <c r="AB171" s="202">
        <f>双柏!X105</f>
        <v>0</v>
      </c>
      <c r="AC171" s="202">
        <f>双柏!Y105</f>
        <v>0</v>
      </c>
      <c r="AD171" s="202">
        <f>双柏!Z105</f>
        <v>0</v>
      </c>
      <c r="AE171" s="202">
        <f>双柏!AA105</f>
        <v>0</v>
      </c>
      <c r="AF171" s="202">
        <f>双柏!AB105</f>
        <v>0</v>
      </c>
      <c r="AG171" s="202">
        <f>双柏!AC105</f>
        <v>0</v>
      </c>
      <c r="AH171" s="202">
        <f>双柏!AD105</f>
        <v>0</v>
      </c>
      <c r="AI171" s="202">
        <f>双柏!AE105</f>
        <v>0</v>
      </c>
      <c r="AJ171" s="202">
        <f>双柏!AF105</f>
        <v>0</v>
      </c>
      <c r="AK171" s="165" t="str">
        <f>双柏!AG105</f>
        <v>双柏县鄂嘉镇义隆村委会上村村民小组</v>
      </c>
      <c r="AL171" s="165" t="str">
        <f>双柏!AH105</f>
        <v>2016/0829-0830</v>
      </c>
      <c r="AM171" s="165" t="str">
        <f>双柏!AI105</f>
        <v>2016/0829-0830</v>
      </c>
      <c r="AN171" s="165">
        <f>双柏!AJ105</f>
        <v>0</v>
      </c>
      <c r="AO171" s="165" t="str">
        <f>双柏!AK105</f>
        <v>海拔2453，N24°22′46.9″ E101°15′20.3″</v>
      </c>
      <c r="AP171" s="263">
        <v>3</v>
      </c>
      <c r="AQ171" s="209">
        <f>双柏!AM105</f>
        <v>0</v>
      </c>
      <c r="AR171" s="295">
        <f>双柏!AN105</f>
        <v>0.6</v>
      </c>
      <c r="AS171" s="199" t="str">
        <f>双柏!AO105</f>
        <v>532322196406160512</v>
      </c>
      <c r="AT171" s="199" t="str">
        <f>双柏!AP105</f>
        <v>18182984872</v>
      </c>
    </row>
    <row r="172" spans="1:46">
      <c r="A172" t="s">
        <v>1921</v>
      </c>
      <c r="B172" s="202" t="str">
        <f>VLOOKUP(A172,databases!$A$2:$B$7, 2, FALSE)</f>
        <v>ShuangBai</v>
      </c>
      <c r="C172" s="165" t="str">
        <f>双柏!B106</f>
        <v>代发菜&amp;李学良</v>
      </c>
      <c r="D172" s="285" t="str">
        <f>VLOOKUP(C172,databases!$D$2:$E$145, 2, FALSE)</f>
        <v>R1</v>
      </c>
      <c r="E172" s="286" t="str">
        <f>INDEX(sample_database!$B$2:$B$506,MATCH(F172,sample_database!$L$2:$L$506,0))</f>
        <v>NA</v>
      </c>
      <c r="F172" s="202" t="str">
        <f>双柏!A106</f>
        <v>SB105</v>
      </c>
      <c r="G172" s="257">
        <f>双柏!C106</f>
        <v>0</v>
      </c>
      <c r="H172" s="257">
        <f>双柏!D106</f>
        <v>4</v>
      </c>
      <c r="I172" s="202">
        <f>双柏!E106</f>
        <v>4</v>
      </c>
      <c r="J172" s="202">
        <f>双柏!F106</f>
        <v>1</v>
      </c>
      <c r="K172" s="202">
        <f>双柏!G106</f>
        <v>1</v>
      </c>
      <c r="L172" s="202">
        <f>双柏!H106</f>
        <v>1</v>
      </c>
      <c r="M172" s="202">
        <f>双柏!I106</f>
        <v>1</v>
      </c>
      <c r="N172" s="202">
        <f>双柏!J106</f>
        <v>0</v>
      </c>
      <c r="O172" s="202">
        <f>双柏!K106</f>
        <v>0</v>
      </c>
      <c r="P172" s="202">
        <f>双柏!L106</f>
        <v>0</v>
      </c>
      <c r="Q172" s="202">
        <f>双柏!M106</f>
        <v>0</v>
      </c>
      <c r="R172" s="202">
        <f>双柏!N106</f>
        <v>0</v>
      </c>
      <c r="S172" s="202">
        <f>双柏!O106</f>
        <v>0</v>
      </c>
      <c r="T172" s="202">
        <f>双柏!P106</f>
        <v>0</v>
      </c>
      <c r="U172" s="202">
        <f>双柏!Q106</f>
        <v>0</v>
      </c>
      <c r="V172" s="202">
        <f>双柏!R106</f>
        <v>0</v>
      </c>
      <c r="W172" s="202">
        <f>双柏!S106</f>
        <v>0</v>
      </c>
      <c r="X172" s="202">
        <f>双柏!T106</f>
        <v>0</v>
      </c>
      <c r="Y172" s="202">
        <f>双柏!U106</f>
        <v>0</v>
      </c>
      <c r="Z172" s="202">
        <f>双柏!V106</f>
        <v>0</v>
      </c>
      <c r="AA172" s="202">
        <f>双柏!W106</f>
        <v>0</v>
      </c>
      <c r="AB172" s="202">
        <f>双柏!X106</f>
        <v>0</v>
      </c>
      <c r="AC172" s="202">
        <f>双柏!Y106</f>
        <v>0</v>
      </c>
      <c r="AD172" s="202">
        <f>双柏!Z106</f>
        <v>0</v>
      </c>
      <c r="AE172" s="202">
        <f>双柏!AA106</f>
        <v>0</v>
      </c>
      <c r="AF172" s="202">
        <f>双柏!AB106</f>
        <v>0</v>
      </c>
      <c r="AG172" s="202">
        <f>双柏!AC106</f>
        <v>0</v>
      </c>
      <c r="AH172" s="202">
        <f>双柏!AD106</f>
        <v>0</v>
      </c>
      <c r="AI172" s="202">
        <f>双柏!AE106</f>
        <v>0</v>
      </c>
      <c r="AJ172" s="202">
        <f>双柏!AF106</f>
        <v>0</v>
      </c>
      <c r="AK172" s="165" t="str">
        <f>双柏!AG106</f>
        <v>双柏县鄂嘉镇义隆村委会上村村民小组</v>
      </c>
      <c r="AL172" s="165" t="str">
        <f>双柏!AH106</f>
        <v>2016/08</v>
      </c>
      <c r="AM172" s="165" t="str">
        <f>双柏!AI106</f>
        <v>2016/08</v>
      </c>
      <c r="AN172" s="165">
        <f>双柏!AJ106</f>
        <v>0</v>
      </c>
      <c r="AO172" s="165" t="str">
        <f>双柏!AK106</f>
        <v>海拔2225，N24°22′48.9″ E101°16′02.8″</v>
      </c>
      <c r="AP172" s="263">
        <v>1.5</v>
      </c>
      <c r="AQ172" s="209">
        <f>双柏!AM106</f>
        <v>0</v>
      </c>
      <c r="AR172" s="295">
        <f>双柏!AN106</f>
        <v>0.3</v>
      </c>
      <c r="AS172" s="199" t="str">
        <f>双柏!AO106</f>
        <v>532322196406160512</v>
      </c>
      <c r="AT172" s="199" t="str">
        <f>双柏!AP106</f>
        <v>18182984872</v>
      </c>
    </row>
    <row r="173" spans="1:46">
      <c r="A173" t="s">
        <v>1921</v>
      </c>
      <c r="B173" s="202" t="str">
        <f>VLOOKUP(A173,databases!$A$2:$B$7, 2, FALSE)</f>
        <v>ShuangBai</v>
      </c>
      <c r="C173" s="165" t="str">
        <f>双柏!B107</f>
        <v>刘文祥</v>
      </c>
      <c r="D173" s="273" t="str">
        <f>VLOOKUP(C173,databases!$D$2:$E$145, 2, FALSE)</f>
        <v>R5</v>
      </c>
      <c r="E173" s="274" t="str">
        <f>INDEX(sample_database!$B$2:$B$506,MATCH(F173,sample_database!$L$2:$L$506,0))</f>
        <v>NA</v>
      </c>
      <c r="F173" s="202" t="str">
        <f>双柏!A107</f>
        <v>SB106</v>
      </c>
      <c r="G173" s="257">
        <f>双柏!C107</f>
        <v>3</v>
      </c>
      <c r="H173" s="257">
        <f>双柏!D107</f>
        <v>0</v>
      </c>
      <c r="I173" s="202">
        <f>双柏!E107</f>
        <v>15</v>
      </c>
      <c r="J173" s="202">
        <f>双柏!F107</f>
        <v>5</v>
      </c>
      <c r="K173" s="202">
        <f>双柏!G107</f>
        <v>9</v>
      </c>
      <c r="L173" s="202">
        <f>双柏!H107</f>
        <v>1</v>
      </c>
      <c r="M173" s="202">
        <f>双柏!I107</f>
        <v>0</v>
      </c>
      <c r="N173" s="202">
        <f>双柏!J107</f>
        <v>0</v>
      </c>
      <c r="O173" s="202">
        <f>双柏!K107</f>
        <v>0</v>
      </c>
      <c r="P173" s="202">
        <f>双柏!L107</f>
        <v>0</v>
      </c>
      <c r="Q173" s="202">
        <f>双柏!M107</f>
        <v>0</v>
      </c>
      <c r="R173" s="202">
        <f>双柏!N107</f>
        <v>0</v>
      </c>
      <c r="S173" s="202">
        <f>双柏!O107</f>
        <v>0</v>
      </c>
      <c r="T173" s="202">
        <f>双柏!P107</f>
        <v>0</v>
      </c>
      <c r="U173" s="202">
        <f>双柏!Q107</f>
        <v>0</v>
      </c>
      <c r="V173" s="202">
        <f>双柏!R107</f>
        <v>0</v>
      </c>
      <c r="W173" s="202">
        <f>双柏!S107</f>
        <v>0</v>
      </c>
      <c r="X173" s="202">
        <f>双柏!T107</f>
        <v>0</v>
      </c>
      <c r="Y173" s="202">
        <f>双柏!U107</f>
        <v>0</v>
      </c>
      <c r="Z173" s="202">
        <f>双柏!V107</f>
        <v>0</v>
      </c>
      <c r="AA173" s="202">
        <f>双柏!W107</f>
        <v>0</v>
      </c>
      <c r="AB173" s="202">
        <f>双柏!X107</f>
        <v>0</v>
      </c>
      <c r="AC173" s="202">
        <f>双柏!Y107</f>
        <v>0</v>
      </c>
      <c r="AD173" s="202">
        <f>双柏!Z107</f>
        <v>0</v>
      </c>
      <c r="AE173" s="202">
        <f>双柏!AA107</f>
        <v>0</v>
      </c>
      <c r="AF173" s="202">
        <f>双柏!AB107</f>
        <v>0</v>
      </c>
      <c r="AG173" s="202">
        <f>双柏!AC107</f>
        <v>0</v>
      </c>
      <c r="AH173" s="202">
        <f>双柏!AD107</f>
        <v>0</v>
      </c>
      <c r="AI173" s="202">
        <f>双柏!AE107</f>
        <v>0</v>
      </c>
      <c r="AJ173" s="202">
        <f>双柏!AF107</f>
        <v>0</v>
      </c>
      <c r="AK173" s="165" t="str">
        <f>双柏!AG107</f>
        <v>双柏县鄂嘉镇新厂村大龙汤1号</v>
      </c>
      <c r="AL173" s="165" t="str">
        <f>双柏!AH107</f>
        <v>2016/0715</v>
      </c>
      <c r="AM173" s="165" t="str">
        <f>双柏!AI107</f>
        <v>2016/0715</v>
      </c>
      <c r="AN173" s="165">
        <f>双柏!AJ107</f>
        <v>0</v>
      </c>
      <c r="AO173" s="165" t="str">
        <f>双柏!AK107</f>
        <v>海拔2382 N24°26′48.89″，E101°7′41.65″</v>
      </c>
      <c r="AP173" s="263">
        <v>4</v>
      </c>
      <c r="AQ173" s="209">
        <f>双柏!AM107</f>
        <v>0</v>
      </c>
      <c r="AR173" s="295">
        <f>双柏!AN107</f>
        <v>0.8</v>
      </c>
      <c r="AS173" s="199" t="str">
        <f>双柏!AO107</f>
        <v>53232219810509053X</v>
      </c>
      <c r="AT173" s="199" t="str">
        <f>双柏!AP107</f>
        <v>18308789745</v>
      </c>
    </row>
    <row r="174" spans="1:46">
      <c r="A174" t="s">
        <v>1921</v>
      </c>
      <c r="B174" s="202" t="str">
        <f>VLOOKUP(A174,databases!$A$2:$B$7, 2, FALSE)</f>
        <v>ShuangBai</v>
      </c>
      <c r="C174" s="165" t="str">
        <f>双柏!B108</f>
        <v>刘文祥</v>
      </c>
      <c r="D174" s="275" t="str">
        <f>VLOOKUP(C174,databases!$D$2:$E$145, 2, FALSE)</f>
        <v>R5</v>
      </c>
      <c r="E174" s="276" t="str">
        <f>INDEX(sample_database!$B$2:$B$506,MATCH(F174,sample_database!$L$2:$L$506,0))</f>
        <v>NA</v>
      </c>
      <c r="F174" s="202" t="str">
        <f>双柏!A108</f>
        <v>SB107</v>
      </c>
      <c r="G174" s="257">
        <f>双柏!C108</f>
        <v>4</v>
      </c>
      <c r="H174" s="257">
        <f>双柏!D108</f>
        <v>0</v>
      </c>
      <c r="I174" s="202">
        <f>双柏!E108</f>
        <v>27</v>
      </c>
      <c r="J174" s="202">
        <f>双柏!F108</f>
        <v>6</v>
      </c>
      <c r="K174" s="202">
        <f>双柏!G108</f>
        <v>6</v>
      </c>
      <c r="L174" s="202">
        <f>双柏!H108</f>
        <v>8</v>
      </c>
      <c r="M174" s="202">
        <f>双柏!I108</f>
        <v>7</v>
      </c>
      <c r="N174" s="202">
        <f>双柏!J108</f>
        <v>0</v>
      </c>
      <c r="O174" s="202">
        <f>双柏!K108</f>
        <v>0</v>
      </c>
      <c r="P174" s="202">
        <f>双柏!L108</f>
        <v>0</v>
      </c>
      <c r="Q174" s="202">
        <f>双柏!M108</f>
        <v>0</v>
      </c>
      <c r="R174" s="202">
        <f>双柏!N108</f>
        <v>0</v>
      </c>
      <c r="S174" s="202">
        <f>双柏!O108</f>
        <v>0</v>
      </c>
      <c r="T174" s="202">
        <f>双柏!P108</f>
        <v>0</v>
      </c>
      <c r="U174" s="202">
        <f>双柏!Q108</f>
        <v>0</v>
      </c>
      <c r="V174" s="202">
        <f>双柏!R108</f>
        <v>0</v>
      </c>
      <c r="W174" s="202">
        <f>双柏!S108</f>
        <v>0</v>
      </c>
      <c r="X174" s="202">
        <f>双柏!T108</f>
        <v>0</v>
      </c>
      <c r="Y174" s="202">
        <f>双柏!U108</f>
        <v>0</v>
      </c>
      <c r="Z174" s="202">
        <f>双柏!V108</f>
        <v>0</v>
      </c>
      <c r="AA174" s="202">
        <f>双柏!W108</f>
        <v>0</v>
      </c>
      <c r="AB174" s="202">
        <f>双柏!X108</f>
        <v>0</v>
      </c>
      <c r="AC174" s="202">
        <f>双柏!Y108</f>
        <v>0</v>
      </c>
      <c r="AD174" s="202">
        <f>双柏!Z108</f>
        <v>0</v>
      </c>
      <c r="AE174" s="202">
        <f>双柏!AA108</f>
        <v>0</v>
      </c>
      <c r="AF174" s="202">
        <f>双柏!AB108</f>
        <v>0</v>
      </c>
      <c r="AG174" s="202">
        <f>双柏!AC108</f>
        <v>0</v>
      </c>
      <c r="AH174" s="202">
        <f>双柏!AD108</f>
        <v>0</v>
      </c>
      <c r="AI174" s="202">
        <f>双柏!AE108</f>
        <v>0</v>
      </c>
      <c r="AJ174" s="202">
        <f>双柏!AF108</f>
        <v>0</v>
      </c>
      <c r="AK174" s="165" t="str">
        <f>双柏!AG108</f>
        <v>双柏县鄂嘉镇新厂村大龙汤1号</v>
      </c>
      <c r="AL174" s="165" t="str">
        <f>双柏!AH108</f>
        <v>2016/0720</v>
      </c>
      <c r="AM174" s="165" t="str">
        <f>双柏!AI108</f>
        <v>2016/0720</v>
      </c>
      <c r="AN174" s="165">
        <f>双柏!AJ108</f>
        <v>0</v>
      </c>
      <c r="AO174" s="165" t="str">
        <f>双柏!AK108</f>
        <v>海拔2388 N24°26′32.63″，E101°7′35.87″</v>
      </c>
      <c r="AP174" s="263">
        <v>5</v>
      </c>
      <c r="AQ174" s="209">
        <f>双柏!AM108</f>
        <v>0</v>
      </c>
      <c r="AR174" s="295">
        <f>双柏!AN108</f>
        <v>1</v>
      </c>
      <c r="AS174" s="199" t="str">
        <f>双柏!AO108</f>
        <v>53232219810509053X</v>
      </c>
      <c r="AT174" s="199" t="str">
        <f>双柏!AP108</f>
        <v>18308789745</v>
      </c>
    </row>
    <row r="175" spans="1:46">
      <c r="A175" t="s">
        <v>1921</v>
      </c>
      <c r="B175" s="202" t="str">
        <f>VLOOKUP(A175,databases!$A$2:$B$7, 2, FALSE)</f>
        <v>ShuangBai</v>
      </c>
      <c r="C175" s="165" t="str">
        <f>双柏!B109</f>
        <v>刘文祥</v>
      </c>
      <c r="D175" s="275" t="str">
        <f>VLOOKUP(C175,databases!$D$2:$E$145, 2, FALSE)</f>
        <v>R5</v>
      </c>
      <c r="E175" s="276" t="str">
        <f>INDEX(sample_database!$B$2:$B$506,MATCH(F175,sample_database!$L$2:$L$506,0))</f>
        <v>NA</v>
      </c>
      <c r="F175" s="202" t="str">
        <f>双柏!A109</f>
        <v>SB108</v>
      </c>
      <c r="G175" s="257">
        <f>双柏!C109</f>
        <v>6</v>
      </c>
      <c r="H175" s="257">
        <f>双柏!D109</f>
        <v>0</v>
      </c>
      <c r="I175" s="202">
        <f>双柏!E109</f>
        <v>49</v>
      </c>
      <c r="J175" s="202">
        <f>双柏!F109</f>
        <v>8</v>
      </c>
      <c r="K175" s="202">
        <f>双柏!G109</f>
        <v>10</v>
      </c>
      <c r="L175" s="202">
        <f>双柏!H109</f>
        <v>5</v>
      </c>
      <c r="M175" s="202">
        <f>双柏!I109</f>
        <v>7</v>
      </c>
      <c r="N175" s="202">
        <f>双柏!J109</f>
        <v>11</v>
      </c>
      <c r="O175" s="202">
        <f>双柏!K109</f>
        <v>8</v>
      </c>
      <c r="P175" s="202">
        <f>双柏!L109</f>
        <v>0</v>
      </c>
      <c r="Q175" s="202">
        <f>双柏!M109</f>
        <v>0</v>
      </c>
      <c r="R175" s="202">
        <f>双柏!N109</f>
        <v>0</v>
      </c>
      <c r="S175" s="202">
        <f>双柏!O109</f>
        <v>0</v>
      </c>
      <c r="T175" s="202">
        <f>双柏!P109</f>
        <v>0</v>
      </c>
      <c r="U175" s="202">
        <f>双柏!Q109</f>
        <v>0</v>
      </c>
      <c r="V175" s="202">
        <f>双柏!R109</f>
        <v>0</v>
      </c>
      <c r="W175" s="202">
        <f>双柏!S109</f>
        <v>0</v>
      </c>
      <c r="X175" s="202">
        <f>双柏!T109</f>
        <v>0</v>
      </c>
      <c r="Y175" s="202">
        <f>双柏!U109</f>
        <v>0</v>
      </c>
      <c r="Z175" s="202">
        <f>双柏!V109</f>
        <v>0</v>
      </c>
      <c r="AA175" s="202">
        <f>双柏!W109</f>
        <v>0</v>
      </c>
      <c r="AB175" s="202">
        <f>双柏!X109</f>
        <v>0</v>
      </c>
      <c r="AC175" s="202">
        <f>双柏!Y109</f>
        <v>0</v>
      </c>
      <c r="AD175" s="202">
        <f>双柏!Z109</f>
        <v>0</v>
      </c>
      <c r="AE175" s="202">
        <f>双柏!AA109</f>
        <v>0</v>
      </c>
      <c r="AF175" s="202">
        <f>双柏!AB109</f>
        <v>0</v>
      </c>
      <c r="AG175" s="202">
        <f>双柏!AC109</f>
        <v>0</v>
      </c>
      <c r="AH175" s="202">
        <f>双柏!AD109</f>
        <v>0</v>
      </c>
      <c r="AI175" s="202">
        <f>双柏!AE109</f>
        <v>0</v>
      </c>
      <c r="AJ175" s="202">
        <f>双柏!AF109</f>
        <v>0</v>
      </c>
      <c r="AK175" s="165" t="str">
        <f>双柏!AG109</f>
        <v>双柏县鄂嘉镇新厂村大龙汤</v>
      </c>
      <c r="AL175" s="165" t="str">
        <f>双柏!AH109</f>
        <v>2016/0805</v>
      </c>
      <c r="AM175" s="165" t="str">
        <f>双柏!AI109</f>
        <v>2016/0805</v>
      </c>
      <c r="AN175" s="165">
        <f>双柏!AJ109</f>
        <v>0</v>
      </c>
      <c r="AO175" s="165" t="str">
        <f>双柏!AK109</f>
        <v>海拔2500-2529 E101°7′72.76″</v>
      </c>
      <c r="AP175" s="263">
        <v>6</v>
      </c>
      <c r="AQ175" s="209">
        <f>双柏!AM109</f>
        <v>0</v>
      </c>
      <c r="AR175" s="295">
        <f>双柏!AN109</f>
        <v>1.2</v>
      </c>
      <c r="AS175" s="199" t="str">
        <f>双柏!AO109</f>
        <v>53232219810509053X</v>
      </c>
      <c r="AT175" s="199" t="str">
        <f>双柏!AP109</f>
        <v>18308789745</v>
      </c>
    </row>
    <row r="176" spans="1:46">
      <c r="A176" t="s">
        <v>1921</v>
      </c>
      <c r="B176" s="202" t="str">
        <f>VLOOKUP(A176,databases!$A$2:$B$7, 2, FALSE)</f>
        <v>ShuangBai</v>
      </c>
      <c r="C176" s="165" t="str">
        <f>双柏!B110</f>
        <v>刘文祥</v>
      </c>
      <c r="D176" s="277" t="str">
        <f>VLOOKUP(C176,databases!$D$2:$E$145, 2, FALSE)</f>
        <v>R5</v>
      </c>
      <c r="E176" s="278" t="str">
        <f>INDEX(sample_database!$B$2:$B$506,MATCH(F176,sample_database!$L$2:$L$506,0))</f>
        <v>NA</v>
      </c>
      <c r="F176" s="202" t="str">
        <f>双柏!A110</f>
        <v>SB109</v>
      </c>
      <c r="G176" s="257">
        <f>双柏!C110</f>
        <v>3</v>
      </c>
      <c r="H176" s="257">
        <f>双柏!D110</f>
        <v>0</v>
      </c>
      <c r="I176" s="202">
        <f>双柏!E110</f>
        <v>36</v>
      </c>
      <c r="J176" s="202">
        <f>双柏!F110</f>
        <v>13</v>
      </c>
      <c r="K176" s="202">
        <f>双柏!G110</f>
        <v>11</v>
      </c>
      <c r="L176" s="202">
        <f>双柏!H110</f>
        <v>12</v>
      </c>
      <c r="M176" s="202">
        <f>双柏!I110</f>
        <v>0</v>
      </c>
      <c r="N176" s="202">
        <f>双柏!J110</f>
        <v>0</v>
      </c>
      <c r="O176" s="202">
        <f>双柏!K110</f>
        <v>0</v>
      </c>
      <c r="P176" s="202">
        <f>双柏!L110</f>
        <v>0</v>
      </c>
      <c r="Q176" s="202">
        <f>双柏!M110</f>
        <v>0</v>
      </c>
      <c r="R176" s="202">
        <f>双柏!N110</f>
        <v>0</v>
      </c>
      <c r="S176" s="202">
        <f>双柏!O110</f>
        <v>0</v>
      </c>
      <c r="T176" s="202">
        <f>双柏!P110</f>
        <v>0</v>
      </c>
      <c r="U176" s="202">
        <f>双柏!Q110</f>
        <v>0</v>
      </c>
      <c r="V176" s="202">
        <f>双柏!R110</f>
        <v>0</v>
      </c>
      <c r="W176" s="202">
        <f>双柏!S110</f>
        <v>0</v>
      </c>
      <c r="X176" s="202">
        <f>双柏!T110</f>
        <v>0</v>
      </c>
      <c r="Y176" s="202">
        <f>双柏!U110</f>
        <v>0</v>
      </c>
      <c r="Z176" s="202">
        <f>双柏!V110</f>
        <v>0</v>
      </c>
      <c r="AA176" s="202">
        <f>双柏!W110</f>
        <v>0</v>
      </c>
      <c r="AB176" s="202">
        <f>双柏!X110</f>
        <v>0</v>
      </c>
      <c r="AC176" s="202">
        <f>双柏!Y110</f>
        <v>0</v>
      </c>
      <c r="AD176" s="202">
        <f>双柏!Z110</f>
        <v>0</v>
      </c>
      <c r="AE176" s="202">
        <f>双柏!AA110</f>
        <v>0</v>
      </c>
      <c r="AF176" s="202">
        <f>双柏!AB110</f>
        <v>0</v>
      </c>
      <c r="AG176" s="202">
        <f>双柏!AC110</f>
        <v>0</v>
      </c>
      <c r="AH176" s="202">
        <f>双柏!AD110</f>
        <v>0</v>
      </c>
      <c r="AI176" s="202">
        <f>双柏!AE110</f>
        <v>0</v>
      </c>
      <c r="AJ176" s="202">
        <f>双柏!AF110</f>
        <v>0</v>
      </c>
      <c r="AK176" s="165" t="str">
        <f>双柏!AG110</f>
        <v>双柏县鄂嘉镇新厂村大龙汤</v>
      </c>
      <c r="AL176" s="165" t="str">
        <f>双柏!AH110</f>
        <v>2016/0817</v>
      </c>
      <c r="AM176" s="165" t="str">
        <f>双柏!AI110</f>
        <v>2016/0817</v>
      </c>
      <c r="AN176" s="165">
        <f>双柏!AJ110</f>
        <v>0</v>
      </c>
      <c r="AO176" s="165" t="str">
        <f>双柏!AK110</f>
        <v>海拔2387-2492 E101°7′35.87″</v>
      </c>
      <c r="AP176" s="263">
        <v>4</v>
      </c>
      <c r="AQ176" s="209">
        <f>双柏!AM110</f>
        <v>0</v>
      </c>
      <c r="AR176" s="295">
        <f>双柏!AN110</f>
        <v>0.8</v>
      </c>
      <c r="AS176" s="199" t="str">
        <f>双柏!AO110</f>
        <v>53232219810509053X</v>
      </c>
      <c r="AT176" s="199" t="str">
        <f>双柏!AP110</f>
        <v>18308789745</v>
      </c>
    </row>
    <row r="177" spans="1:46">
      <c r="A177" t="s">
        <v>1921</v>
      </c>
      <c r="B177" s="202" t="str">
        <f>VLOOKUP(A177,databases!$A$2:$B$7, 2, FALSE)</f>
        <v>ShuangBai</v>
      </c>
      <c r="C177" s="165" t="str">
        <f>双柏!B19</f>
        <v>周强&amp;李有国</v>
      </c>
      <c r="D177" s="202" t="str">
        <f>VLOOKUP(C177,databases!$D$2:$E$145, 2, FALSE)</f>
        <v>R10</v>
      </c>
      <c r="E177" s="259" t="str">
        <f>INDEX(sample_database!$B$2:$B$506,MATCH(F177,sample_database!$L$2:$L$506,0))</f>
        <v>25 or 24</v>
      </c>
      <c r="F177" s="202" t="str">
        <f>双柏!A19</f>
        <v>SB018</v>
      </c>
      <c r="G177" s="257">
        <f>双柏!C19</f>
        <v>10</v>
      </c>
      <c r="H177" s="257">
        <f>双柏!D19</f>
        <v>0</v>
      </c>
      <c r="I177" s="202">
        <f>双柏!E19</f>
        <v>54</v>
      </c>
      <c r="J177" s="202">
        <f>双柏!F19</f>
        <v>6</v>
      </c>
      <c r="K177" s="202">
        <f>双柏!G19</f>
        <v>12</v>
      </c>
      <c r="L177" s="202">
        <f>双柏!H19</f>
        <v>6</v>
      </c>
      <c r="M177" s="202">
        <f>双柏!I19</f>
        <v>3</v>
      </c>
      <c r="N177" s="202">
        <f>双柏!J19</f>
        <v>3</v>
      </c>
      <c r="O177" s="202">
        <f>双柏!K19</f>
        <v>4</v>
      </c>
      <c r="P177" s="202">
        <f>双柏!L19</f>
        <v>7</v>
      </c>
      <c r="Q177" s="202">
        <f>双柏!M19</f>
        <v>6</v>
      </c>
      <c r="R177" s="202">
        <f>双柏!N19</f>
        <v>2</v>
      </c>
      <c r="S177" s="202">
        <f>双柏!O19</f>
        <v>5</v>
      </c>
      <c r="T177" s="202">
        <f>双柏!P19</f>
        <v>0</v>
      </c>
      <c r="U177" s="202">
        <f>双柏!Q19</f>
        <v>0</v>
      </c>
      <c r="V177" s="202">
        <f>双柏!R19</f>
        <v>0</v>
      </c>
      <c r="W177" s="202">
        <f>双柏!S19</f>
        <v>0</v>
      </c>
      <c r="X177" s="202">
        <f>双柏!T19</f>
        <v>0</v>
      </c>
      <c r="Y177" s="202">
        <f>双柏!U19</f>
        <v>0</v>
      </c>
      <c r="Z177" s="202">
        <f>双柏!V19</f>
        <v>0</v>
      </c>
      <c r="AA177" s="202">
        <f>双柏!W19</f>
        <v>0</v>
      </c>
      <c r="AB177" s="202">
        <f>双柏!X19</f>
        <v>0</v>
      </c>
      <c r="AC177" s="202">
        <f>双柏!Y19</f>
        <v>0</v>
      </c>
      <c r="AD177" s="202">
        <f>双柏!Z19</f>
        <v>0</v>
      </c>
      <c r="AE177" s="202">
        <f>双柏!AA19</f>
        <v>0</v>
      </c>
      <c r="AF177" s="202">
        <f>双柏!AB19</f>
        <v>0</v>
      </c>
      <c r="AG177" s="202">
        <f>双柏!AC19</f>
        <v>0</v>
      </c>
      <c r="AH177" s="202">
        <f>双柏!AD19</f>
        <v>0</v>
      </c>
      <c r="AI177" s="202">
        <f>双柏!AE19</f>
        <v>0</v>
      </c>
      <c r="AJ177" s="202">
        <f>双柏!AF19</f>
        <v>0</v>
      </c>
      <c r="AK177" s="165" t="str">
        <f>双柏!AG19</f>
        <v>双柏县鄂嘉镇新树村委会</v>
      </c>
      <c r="AL177" s="165" t="str">
        <f>双柏!AH19</f>
        <v>2016/0720-0729</v>
      </c>
      <c r="AM177" s="165" t="str">
        <f>双柏!AI19</f>
        <v>2016/0720-0729</v>
      </c>
      <c r="AN177" s="165">
        <f>双柏!AJ19</f>
        <v>0</v>
      </c>
      <c r="AO177" s="165" t="str">
        <f>双柏!AK19</f>
        <v>海拔2570，N24°19′22.01″ E101°17′10.19″</v>
      </c>
      <c r="AP177" s="263">
        <v>6</v>
      </c>
      <c r="AQ177" s="209">
        <f>双柏!AM19</f>
        <v>0</v>
      </c>
      <c r="AR177" s="295">
        <f>双柏!AN19</f>
        <v>1.2</v>
      </c>
      <c r="AS177" s="199" t="str">
        <f>双柏!AO19</f>
        <v>532322198604170518</v>
      </c>
      <c r="AT177" s="199" t="str">
        <f>双柏!AP19</f>
        <v>13638703405</v>
      </c>
    </row>
    <row r="178" spans="1:46">
      <c r="A178" t="s">
        <v>1921</v>
      </c>
      <c r="B178" s="202" t="str">
        <f>VLOOKUP(A178,databases!$A$2:$B$7, 2, FALSE)</f>
        <v>ShuangBai</v>
      </c>
      <c r="C178" s="165" t="str">
        <f>双柏!B20</f>
        <v>周强&amp;李有国</v>
      </c>
      <c r="D178" s="202" t="str">
        <f>VLOOKUP(C178,databases!$D$2:$E$145, 2, FALSE)</f>
        <v>R10</v>
      </c>
      <c r="E178" s="259" t="str">
        <f>INDEX(sample_database!$B$2:$B$506,MATCH(F178,sample_database!$L$2:$L$506,0))</f>
        <v>25 or 24</v>
      </c>
      <c r="F178" s="202" t="str">
        <f>双柏!A20</f>
        <v>SB019</v>
      </c>
      <c r="G178" s="257">
        <f>双柏!C20</f>
        <v>10</v>
      </c>
      <c r="H178" s="257">
        <f>双柏!D20</f>
        <v>0</v>
      </c>
      <c r="I178" s="202">
        <f>双柏!E20</f>
        <v>39</v>
      </c>
      <c r="J178" s="202">
        <f>双柏!F20</f>
        <v>5</v>
      </c>
      <c r="K178" s="202">
        <f>双柏!G20</f>
        <v>3</v>
      </c>
      <c r="L178" s="202">
        <f>双柏!H20</f>
        <v>5</v>
      </c>
      <c r="M178" s="202">
        <f>双柏!I20</f>
        <v>5</v>
      </c>
      <c r="N178" s="202">
        <f>双柏!J20</f>
        <v>4</v>
      </c>
      <c r="O178" s="202">
        <f>双柏!K20</f>
        <v>3</v>
      </c>
      <c r="P178" s="202">
        <f>双柏!L20</f>
        <v>3</v>
      </c>
      <c r="Q178" s="202">
        <f>双柏!M20</f>
        <v>3</v>
      </c>
      <c r="R178" s="202">
        <f>双柏!N20</f>
        <v>4</v>
      </c>
      <c r="S178" s="202">
        <f>双柏!O20</f>
        <v>4</v>
      </c>
      <c r="T178" s="202">
        <f>双柏!P20</f>
        <v>0</v>
      </c>
      <c r="U178" s="202">
        <f>双柏!Q20</f>
        <v>0</v>
      </c>
      <c r="V178" s="202">
        <f>双柏!R20</f>
        <v>0</v>
      </c>
      <c r="W178" s="202">
        <f>双柏!S20</f>
        <v>0</v>
      </c>
      <c r="X178" s="202">
        <f>双柏!T20</f>
        <v>0</v>
      </c>
      <c r="Y178" s="202">
        <f>双柏!U20</f>
        <v>0</v>
      </c>
      <c r="Z178" s="202">
        <f>双柏!V20</f>
        <v>0</v>
      </c>
      <c r="AA178" s="202">
        <f>双柏!W20</f>
        <v>0</v>
      </c>
      <c r="AB178" s="202">
        <f>双柏!X20</f>
        <v>0</v>
      </c>
      <c r="AC178" s="202">
        <f>双柏!Y20</f>
        <v>0</v>
      </c>
      <c r="AD178" s="202">
        <f>双柏!Z20</f>
        <v>0</v>
      </c>
      <c r="AE178" s="202">
        <f>双柏!AA20</f>
        <v>0</v>
      </c>
      <c r="AF178" s="202">
        <f>双柏!AB20</f>
        <v>0</v>
      </c>
      <c r="AG178" s="202">
        <f>双柏!AC20</f>
        <v>0</v>
      </c>
      <c r="AH178" s="202">
        <f>双柏!AD20</f>
        <v>0</v>
      </c>
      <c r="AI178" s="202">
        <f>双柏!AE20</f>
        <v>0</v>
      </c>
      <c r="AJ178" s="202">
        <f>双柏!AF20</f>
        <v>0</v>
      </c>
      <c r="AK178" s="165" t="str">
        <f>双柏!AG20</f>
        <v>双柏县鄂嘉镇新树村委会</v>
      </c>
      <c r="AL178" s="165" t="str">
        <f>双柏!AH20</f>
        <v>2016/0729-0808</v>
      </c>
      <c r="AM178" s="165" t="str">
        <f>双柏!AI20</f>
        <v>2016/0729-0808</v>
      </c>
      <c r="AN178" s="165">
        <f>双柏!AJ20</f>
        <v>0</v>
      </c>
      <c r="AO178" s="165" t="str">
        <f>双柏!AK20</f>
        <v>海拔2570，N24°19′22.01″ E101°17′10.9″</v>
      </c>
      <c r="AP178" s="263">
        <v>6</v>
      </c>
      <c r="AQ178" s="209">
        <f>双柏!AM20</f>
        <v>0</v>
      </c>
      <c r="AR178" s="295">
        <f>双柏!AN20</f>
        <v>1.2</v>
      </c>
      <c r="AS178" s="199" t="str">
        <f>双柏!AO20</f>
        <v>532322198604170518</v>
      </c>
      <c r="AT178" s="199" t="str">
        <f>双柏!AP20</f>
        <v>13638703405</v>
      </c>
    </row>
    <row r="179" spans="1:46">
      <c r="A179" t="s">
        <v>1921</v>
      </c>
      <c r="B179" s="202" t="str">
        <f>VLOOKUP(A179,databases!$A$2:$B$7, 2, FALSE)</f>
        <v>ShuangBai</v>
      </c>
      <c r="C179" s="165" t="str">
        <f>双柏!B21</f>
        <v>周强&amp;李有国</v>
      </c>
      <c r="D179" s="202" t="str">
        <f>VLOOKUP(C179,databases!$D$2:$E$145, 2, FALSE)</f>
        <v>R10</v>
      </c>
      <c r="E179" s="259" t="str">
        <f>INDEX(sample_database!$B$2:$B$506,MATCH(F179,sample_database!$L$2:$L$506,0))</f>
        <v>25 or 24</v>
      </c>
      <c r="F179" s="202" t="str">
        <f>双柏!A21</f>
        <v>SB020</v>
      </c>
      <c r="G179" s="257">
        <f>双柏!C21</f>
        <v>10</v>
      </c>
      <c r="H179" s="257">
        <f>双柏!D21</f>
        <v>0</v>
      </c>
      <c r="I179" s="202">
        <f>双柏!E21</f>
        <v>40</v>
      </c>
      <c r="J179" s="202">
        <f>双柏!F21</f>
        <v>4</v>
      </c>
      <c r="K179" s="202">
        <f>双柏!G21</f>
        <v>3</v>
      </c>
      <c r="L179" s="202">
        <f>双柏!H21</f>
        <v>2</v>
      </c>
      <c r="M179" s="202">
        <f>双柏!I21</f>
        <v>5</v>
      </c>
      <c r="N179" s="202">
        <f>双柏!J21</f>
        <v>2</v>
      </c>
      <c r="O179" s="202">
        <f>双柏!K21</f>
        <v>4</v>
      </c>
      <c r="P179" s="202">
        <f>双柏!L21</f>
        <v>5</v>
      </c>
      <c r="Q179" s="202">
        <f>双柏!M21</f>
        <v>3</v>
      </c>
      <c r="R179" s="202">
        <f>双柏!N21</f>
        <v>6</v>
      </c>
      <c r="S179" s="202">
        <f>双柏!O21</f>
        <v>6</v>
      </c>
      <c r="T179" s="202">
        <f>双柏!P21</f>
        <v>0</v>
      </c>
      <c r="U179" s="202">
        <f>双柏!Q21</f>
        <v>0</v>
      </c>
      <c r="V179" s="202">
        <f>双柏!R21</f>
        <v>0</v>
      </c>
      <c r="W179" s="202">
        <f>双柏!S21</f>
        <v>0</v>
      </c>
      <c r="X179" s="202">
        <f>双柏!T21</f>
        <v>0</v>
      </c>
      <c r="Y179" s="202">
        <f>双柏!U21</f>
        <v>0</v>
      </c>
      <c r="Z179" s="202">
        <f>双柏!V21</f>
        <v>0</v>
      </c>
      <c r="AA179" s="202">
        <f>双柏!W21</f>
        <v>0</v>
      </c>
      <c r="AB179" s="202">
        <f>双柏!X21</f>
        <v>0</v>
      </c>
      <c r="AC179" s="202">
        <f>双柏!Y21</f>
        <v>0</v>
      </c>
      <c r="AD179" s="202">
        <f>双柏!Z21</f>
        <v>0</v>
      </c>
      <c r="AE179" s="202">
        <f>双柏!AA21</f>
        <v>0</v>
      </c>
      <c r="AF179" s="202">
        <f>双柏!AB21</f>
        <v>0</v>
      </c>
      <c r="AG179" s="202">
        <f>双柏!AC21</f>
        <v>0</v>
      </c>
      <c r="AH179" s="202">
        <f>双柏!AD21</f>
        <v>0</v>
      </c>
      <c r="AI179" s="202">
        <f>双柏!AE21</f>
        <v>0</v>
      </c>
      <c r="AJ179" s="202">
        <f>双柏!AF21</f>
        <v>0</v>
      </c>
      <c r="AK179" s="165" t="str">
        <f>双柏!AG21</f>
        <v>双柏县鄂嘉镇新树村委会</v>
      </c>
      <c r="AL179" s="165" t="str">
        <f>双柏!AH21</f>
        <v>2016/0808-0818</v>
      </c>
      <c r="AM179" s="165" t="str">
        <f>双柏!AI21</f>
        <v>2016/0808-0818</v>
      </c>
      <c r="AN179" s="165">
        <f>双柏!AJ21</f>
        <v>0</v>
      </c>
      <c r="AO179" s="165" t="str">
        <f>双柏!AK21</f>
        <v>海拔2570，N24°19′22.01″ E101°17′10.19″</v>
      </c>
      <c r="AP179" s="263">
        <v>6</v>
      </c>
      <c r="AQ179" s="209">
        <f>双柏!AM21</f>
        <v>0</v>
      </c>
      <c r="AR179" s="295">
        <f>双柏!AN21</f>
        <v>1.2</v>
      </c>
      <c r="AS179" s="199" t="str">
        <f>双柏!AO21</f>
        <v>532322198604170518</v>
      </c>
      <c r="AT179" s="199" t="str">
        <f>双柏!AP21</f>
        <v>13638703405</v>
      </c>
    </row>
    <row r="180" spans="1:46">
      <c r="A180" t="s">
        <v>1921</v>
      </c>
      <c r="B180" s="202" t="str">
        <f>VLOOKUP(A180,databases!$A$2:$B$7, 2, FALSE)</f>
        <v>ShuangBai</v>
      </c>
      <c r="C180" s="165" t="str">
        <f>双柏!B22</f>
        <v>周强&amp;李有国</v>
      </c>
      <c r="D180" s="202" t="str">
        <f>VLOOKUP(C180,databases!$D$2:$E$145, 2, FALSE)</f>
        <v>R10</v>
      </c>
      <c r="E180" s="259" t="str">
        <f>INDEX(sample_database!$B$2:$B$506,MATCH(F180,sample_database!$L$2:$L$506,0))</f>
        <v>25 or 24</v>
      </c>
      <c r="F180" s="202" t="str">
        <f>双柏!A22</f>
        <v>SB021</v>
      </c>
      <c r="G180" s="257">
        <f>双柏!C22</f>
        <v>10</v>
      </c>
      <c r="H180" s="257">
        <f>双柏!D22</f>
        <v>0</v>
      </c>
      <c r="I180" s="202">
        <f>双柏!E22</f>
        <v>39</v>
      </c>
      <c r="J180" s="202">
        <f>双柏!F22</f>
        <v>3</v>
      </c>
      <c r="K180" s="202">
        <f>双柏!G22</f>
        <v>4</v>
      </c>
      <c r="L180" s="202">
        <f>双柏!H22</f>
        <v>4</v>
      </c>
      <c r="M180" s="202">
        <f>双柏!I22</f>
        <v>2</v>
      </c>
      <c r="N180" s="202">
        <f>双柏!J22</f>
        <v>5</v>
      </c>
      <c r="O180" s="202">
        <f>双柏!K22</f>
        <v>4</v>
      </c>
      <c r="P180" s="202">
        <f>双柏!L22</f>
        <v>3</v>
      </c>
      <c r="Q180" s="202">
        <f>双柏!M22</f>
        <v>5</v>
      </c>
      <c r="R180" s="202">
        <f>双柏!N22</f>
        <v>5</v>
      </c>
      <c r="S180" s="202">
        <f>双柏!O22</f>
        <v>4</v>
      </c>
      <c r="T180" s="202">
        <f>双柏!P22</f>
        <v>0</v>
      </c>
      <c r="U180" s="202">
        <f>双柏!Q22</f>
        <v>0</v>
      </c>
      <c r="V180" s="202">
        <f>双柏!R22</f>
        <v>0</v>
      </c>
      <c r="W180" s="202">
        <f>双柏!S22</f>
        <v>0</v>
      </c>
      <c r="X180" s="202">
        <f>双柏!T22</f>
        <v>0</v>
      </c>
      <c r="Y180" s="202">
        <f>双柏!U22</f>
        <v>0</v>
      </c>
      <c r="Z180" s="202">
        <f>双柏!V22</f>
        <v>0</v>
      </c>
      <c r="AA180" s="202">
        <f>双柏!W22</f>
        <v>0</v>
      </c>
      <c r="AB180" s="202">
        <f>双柏!X22</f>
        <v>0</v>
      </c>
      <c r="AC180" s="202">
        <f>双柏!Y22</f>
        <v>0</v>
      </c>
      <c r="AD180" s="202">
        <f>双柏!Z22</f>
        <v>0</v>
      </c>
      <c r="AE180" s="202">
        <f>双柏!AA22</f>
        <v>0</v>
      </c>
      <c r="AF180" s="202">
        <f>双柏!AB22</f>
        <v>0</v>
      </c>
      <c r="AG180" s="202">
        <f>双柏!AC22</f>
        <v>0</v>
      </c>
      <c r="AH180" s="202">
        <f>双柏!AD22</f>
        <v>0</v>
      </c>
      <c r="AI180" s="202">
        <f>双柏!AE22</f>
        <v>0</v>
      </c>
      <c r="AJ180" s="202">
        <f>双柏!AF22</f>
        <v>0</v>
      </c>
      <c r="AK180" s="165" t="str">
        <f>双柏!AG22</f>
        <v>双柏县鄂嘉镇新树村委会</v>
      </c>
      <c r="AL180" s="165" t="str">
        <f>双柏!AH22</f>
        <v>2016/0818-0828</v>
      </c>
      <c r="AM180" s="165" t="str">
        <f>双柏!AI22</f>
        <v>2016/0818-0828</v>
      </c>
      <c r="AN180" s="165">
        <f>双柏!AJ22</f>
        <v>0</v>
      </c>
      <c r="AO180" s="165" t="str">
        <f>双柏!AK22</f>
        <v>海拔2570，N24°19′22.01″ E101°17′10.19″</v>
      </c>
      <c r="AP180" s="263">
        <v>6</v>
      </c>
      <c r="AQ180" s="209">
        <f>双柏!AM22</f>
        <v>0</v>
      </c>
      <c r="AR180" s="295">
        <f>双柏!AN22</f>
        <v>1.2</v>
      </c>
      <c r="AS180" s="199" t="str">
        <f>双柏!AO22</f>
        <v>532322198604170518</v>
      </c>
      <c r="AT180" s="199" t="str">
        <f>双柏!AP22</f>
        <v>13638703405</v>
      </c>
    </row>
    <row r="181" spans="1:46">
      <c r="A181" t="s">
        <v>1921</v>
      </c>
      <c r="B181" s="202" t="str">
        <f>VLOOKUP(A181,databases!$A$2:$B$7, 2, FALSE)</f>
        <v>ShuangBai</v>
      </c>
      <c r="C181" s="165" t="str">
        <f>双柏!B139</f>
        <v>张玉龙</v>
      </c>
      <c r="D181" s="281" t="str">
        <f>VLOOKUP(C181,databases!$D$2:$E$145, 2, FALSE)</f>
        <v>R24</v>
      </c>
      <c r="E181" s="282">
        <f>INDEX(sample_database!$B$2:$B$506,MATCH(F181,sample_database!$L$2:$L$506,0))</f>
        <v>11</v>
      </c>
      <c r="F181" s="202" t="str">
        <f>双柏!A139</f>
        <v>SB138</v>
      </c>
      <c r="G181" s="257">
        <f>双柏!C139</f>
        <v>3</v>
      </c>
      <c r="H181" s="257">
        <f>双柏!D139</f>
        <v>0</v>
      </c>
      <c r="I181" s="202">
        <f>双柏!E139</f>
        <v>11</v>
      </c>
      <c r="J181" s="202">
        <f>双柏!F139</f>
        <v>4</v>
      </c>
      <c r="K181" s="202">
        <f>双柏!G139</f>
        <v>4</v>
      </c>
      <c r="L181" s="202">
        <f>双柏!H139</f>
        <v>3</v>
      </c>
      <c r="M181" s="202">
        <f>双柏!I139</f>
        <v>0</v>
      </c>
      <c r="N181" s="202">
        <f>双柏!J139</f>
        <v>0</v>
      </c>
      <c r="O181" s="202">
        <f>双柏!K139</f>
        <v>0</v>
      </c>
      <c r="P181" s="202">
        <f>双柏!L139</f>
        <v>0</v>
      </c>
      <c r="Q181" s="202">
        <f>双柏!M139</f>
        <v>0</v>
      </c>
      <c r="R181" s="202">
        <f>双柏!N139</f>
        <v>0</v>
      </c>
      <c r="S181" s="202">
        <f>双柏!O139</f>
        <v>0</v>
      </c>
      <c r="T181" s="202">
        <f>双柏!P139</f>
        <v>0</v>
      </c>
      <c r="U181" s="202">
        <f>双柏!Q139</f>
        <v>0</v>
      </c>
      <c r="V181" s="202">
        <f>双柏!R139</f>
        <v>0</v>
      </c>
      <c r="W181" s="202">
        <f>双柏!S139</f>
        <v>0</v>
      </c>
      <c r="X181" s="202">
        <f>双柏!T139</f>
        <v>0</v>
      </c>
      <c r="Y181" s="202">
        <f>双柏!U139</f>
        <v>0</v>
      </c>
      <c r="Z181" s="202">
        <f>双柏!V139</f>
        <v>0</v>
      </c>
      <c r="AA181" s="202">
        <f>双柏!W139</f>
        <v>0</v>
      </c>
      <c r="AB181" s="202">
        <f>双柏!X139</f>
        <v>0</v>
      </c>
      <c r="AC181" s="202">
        <f>双柏!Y139</f>
        <v>0</v>
      </c>
      <c r="AD181" s="202">
        <f>双柏!Z139</f>
        <v>0</v>
      </c>
      <c r="AE181" s="202">
        <f>双柏!AA139</f>
        <v>0</v>
      </c>
      <c r="AF181" s="202">
        <f>双柏!AB139</f>
        <v>0</v>
      </c>
      <c r="AG181" s="202">
        <f>双柏!AC139</f>
        <v>0</v>
      </c>
      <c r="AH181" s="202">
        <f>双柏!AD139</f>
        <v>0</v>
      </c>
      <c r="AI181" s="202">
        <f>双柏!AE139</f>
        <v>0</v>
      </c>
      <c r="AJ181" s="202">
        <f>双柏!AF139</f>
        <v>0</v>
      </c>
      <c r="AK181" s="165" t="str">
        <f>双柏!AG139</f>
        <v>双柏县鄂嘉镇新厂村委会张家社</v>
      </c>
      <c r="AL181" s="165" t="str">
        <f>双柏!AH139</f>
        <v>2016/0724</v>
      </c>
      <c r="AM181" s="165" t="str">
        <f>双柏!AI139</f>
        <v>2016/0724</v>
      </c>
      <c r="AN181" s="165">
        <f>双柏!AJ139</f>
        <v>0</v>
      </c>
      <c r="AO181" s="165" t="str">
        <f>双柏!AK139</f>
        <v>海拔2614 N24°26′54.63″，E101°6′47.77″</v>
      </c>
      <c r="AP181" s="263">
        <v>2</v>
      </c>
      <c r="AQ181" s="209">
        <f>双柏!AM139</f>
        <v>0</v>
      </c>
      <c r="AR181" s="295">
        <f>双柏!AN139</f>
        <v>0.4</v>
      </c>
      <c r="AS181" s="199" t="str">
        <f>双柏!AO139</f>
        <v>532322196411020514</v>
      </c>
      <c r="AT181" s="199" t="str">
        <f>双柏!AP139</f>
        <v>15288546609</v>
      </c>
    </row>
    <row r="182" spans="1:46">
      <c r="A182" t="s">
        <v>1921</v>
      </c>
      <c r="B182" s="202" t="str">
        <f>VLOOKUP(A182,databases!$A$2:$B$7, 2, FALSE)</f>
        <v>ShuangBai</v>
      </c>
      <c r="C182" s="165" t="str">
        <f>双柏!B141</f>
        <v>张玉龙</v>
      </c>
      <c r="D182" s="283" t="str">
        <f>VLOOKUP(C182,databases!$D$2:$E$145, 2, FALSE)</f>
        <v>R24</v>
      </c>
      <c r="E182" s="284">
        <f>INDEX(sample_database!$B$2:$B$506,MATCH(F182,sample_database!$L$2:$L$506,0))</f>
        <v>11</v>
      </c>
      <c r="F182" s="202" t="str">
        <f>双柏!A141</f>
        <v>SB140</v>
      </c>
      <c r="G182" s="257">
        <f>双柏!C141</f>
        <v>5</v>
      </c>
      <c r="H182" s="257">
        <f>双柏!D141</f>
        <v>0</v>
      </c>
      <c r="I182" s="202">
        <f>双柏!E141</f>
        <v>18</v>
      </c>
      <c r="J182" s="202">
        <f>双柏!F141</f>
        <v>2</v>
      </c>
      <c r="K182" s="202">
        <f>双柏!G141</f>
        <v>4</v>
      </c>
      <c r="L182" s="202">
        <f>双柏!H141</f>
        <v>3</v>
      </c>
      <c r="M182" s="202">
        <f>双柏!I141</f>
        <v>3</v>
      </c>
      <c r="N182" s="202">
        <f>双柏!J141</f>
        <v>6</v>
      </c>
      <c r="O182" s="202">
        <f>双柏!K141</f>
        <v>0</v>
      </c>
      <c r="P182" s="202">
        <f>双柏!L141</f>
        <v>0</v>
      </c>
      <c r="Q182" s="202">
        <f>双柏!M141</f>
        <v>0</v>
      </c>
      <c r="R182" s="202">
        <f>双柏!N141</f>
        <v>0</v>
      </c>
      <c r="S182" s="202">
        <f>双柏!O141</f>
        <v>0</v>
      </c>
      <c r="T182" s="202">
        <f>双柏!P141</f>
        <v>0</v>
      </c>
      <c r="U182" s="202">
        <f>双柏!Q141</f>
        <v>0</v>
      </c>
      <c r="V182" s="202">
        <f>双柏!R141</f>
        <v>0</v>
      </c>
      <c r="W182" s="202">
        <f>双柏!S141</f>
        <v>0</v>
      </c>
      <c r="X182" s="202">
        <f>双柏!T141</f>
        <v>0</v>
      </c>
      <c r="Y182" s="202">
        <f>双柏!U141</f>
        <v>0</v>
      </c>
      <c r="Z182" s="202">
        <f>双柏!V141</f>
        <v>0</v>
      </c>
      <c r="AA182" s="202">
        <f>双柏!W141</f>
        <v>0</v>
      </c>
      <c r="AB182" s="202">
        <f>双柏!X141</f>
        <v>0</v>
      </c>
      <c r="AC182" s="202">
        <f>双柏!Y141</f>
        <v>0</v>
      </c>
      <c r="AD182" s="202">
        <f>双柏!Z141</f>
        <v>0</v>
      </c>
      <c r="AE182" s="202">
        <f>双柏!AA141</f>
        <v>0</v>
      </c>
      <c r="AF182" s="202">
        <f>双柏!AB141</f>
        <v>0</v>
      </c>
      <c r="AG182" s="202">
        <f>双柏!AC141</f>
        <v>0</v>
      </c>
      <c r="AH182" s="202">
        <f>双柏!AD141</f>
        <v>0</v>
      </c>
      <c r="AI182" s="202">
        <f>双柏!AE141</f>
        <v>0</v>
      </c>
      <c r="AJ182" s="202">
        <f>双柏!AF141</f>
        <v>0</v>
      </c>
      <c r="AK182" s="165" t="str">
        <f>双柏!AG141</f>
        <v>双柏县鄂嘉镇新厂村委会张家社</v>
      </c>
      <c r="AL182" s="165" t="str">
        <f>双柏!AH141</f>
        <v>2016/0805</v>
      </c>
      <c r="AM182" s="165" t="str">
        <f>双柏!AI141</f>
        <v>2016/0805</v>
      </c>
      <c r="AN182" s="165">
        <f>双柏!AJ141</f>
        <v>0</v>
      </c>
      <c r="AO182" s="165" t="str">
        <f>双柏!AK141</f>
        <v>海拔2508 N24°27′5.63″，E101°6′45.43″</v>
      </c>
      <c r="AP182" s="263">
        <v>5</v>
      </c>
      <c r="AQ182" s="209">
        <f>双柏!AM141</f>
        <v>0</v>
      </c>
      <c r="AR182" s="295">
        <f>双柏!AN141</f>
        <v>1</v>
      </c>
      <c r="AS182" s="199" t="str">
        <f>双柏!AO141</f>
        <v>532322196411020514</v>
      </c>
      <c r="AT182" s="199" t="str">
        <f>双柏!AP141</f>
        <v>15288546609</v>
      </c>
    </row>
    <row r="183" spans="1:46">
      <c r="A183" t="s">
        <v>1921</v>
      </c>
      <c r="B183" s="202" t="str">
        <f>VLOOKUP(A183,databases!$A$2:$B$7, 2, FALSE)</f>
        <v>ShuangBai</v>
      </c>
      <c r="C183" s="165" t="str">
        <f>双柏!B138</f>
        <v>张玉龙</v>
      </c>
      <c r="D183" s="283" t="str">
        <f>VLOOKUP(C183,databases!$D$2:$E$145, 2, FALSE)</f>
        <v>R24</v>
      </c>
      <c r="E183" s="284" t="str">
        <f>INDEX(sample_database!$B$2:$B$506,MATCH(F183,sample_database!$L$2:$L$506,0))</f>
        <v>NA</v>
      </c>
      <c r="F183" s="202" t="str">
        <f>双柏!A138</f>
        <v>SB137</v>
      </c>
      <c r="G183" s="257">
        <f>双柏!C138</f>
        <v>4</v>
      </c>
      <c r="H183" s="257">
        <f>双柏!D138</f>
        <v>0</v>
      </c>
      <c r="I183" s="202">
        <f>双柏!E138</f>
        <v>14</v>
      </c>
      <c r="J183" s="202">
        <f>双柏!F138</f>
        <v>4</v>
      </c>
      <c r="K183" s="202">
        <f>双柏!G138</f>
        <v>2</v>
      </c>
      <c r="L183" s="202">
        <f>双柏!H138</f>
        <v>5</v>
      </c>
      <c r="M183" s="202">
        <f>双柏!I138</f>
        <v>3</v>
      </c>
      <c r="N183" s="202">
        <f>双柏!J138</f>
        <v>0</v>
      </c>
      <c r="O183" s="202">
        <f>双柏!K138</f>
        <v>0</v>
      </c>
      <c r="P183" s="202">
        <f>双柏!L138</f>
        <v>0</v>
      </c>
      <c r="Q183" s="202">
        <f>双柏!M138</f>
        <v>0</v>
      </c>
      <c r="R183" s="202">
        <f>双柏!N138</f>
        <v>0</v>
      </c>
      <c r="S183" s="202">
        <f>双柏!O138</f>
        <v>0</v>
      </c>
      <c r="T183" s="202">
        <f>双柏!P138</f>
        <v>0</v>
      </c>
      <c r="U183" s="202">
        <f>双柏!Q138</f>
        <v>0</v>
      </c>
      <c r="V183" s="202">
        <f>双柏!R138</f>
        <v>0</v>
      </c>
      <c r="W183" s="202">
        <f>双柏!S138</f>
        <v>0</v>
      </c>
      <c r="X183" s="202">
        <f>双柏!T138</f>
        <v>0</v>
      </c>
      <c r="Y183" s="202">
        <f>双柏!U138</f>
        <v>0</v>
      </c>
      <c r="Z183" s="202">
        <f>双柏!V138</f>
        <v>0</v>
      </c>
      <c r="AA183" s="202">
        <f>双柏!W138</f>
        <v>0</v>
      </c>
      <c r="AB183" s="202">
        <f>双柏!X138</f>
        <v>0</v>
      </c>
      <c r="AC183" s="202">
        <f>双柏!Y138</f>
        <v>0</v>
      </c>
      <c r="AD183" s="202">
        <f>双柏!Z138</f>
        <v>0</v>
      </c>
      <c r="AE183" s="202">
        <f>双柏!AA138</f>
        <v>0</v>
      </c>
      <c r="AF183" s="202">
        <f>双柏!AB138</f>
        <v>0</v>
      </c>
      <c r="AG183" s="202">
        <f>双柏!AC138</f>
        <v>0</v>
      </c>
      <c r="AH183" s="202">
        <f>双柏!AD138</f>
        <v>0</v>
      </c>
      <c r="AI183" s="202">
        <f>双柏!AE138</f>
        <v>0</v>
      </c>
      <c r="AJ183" s="202">
        <f>双柏!AF138</f>
        <v>0</v>
      </c>
      <c r="AK183" s="165" t="str">
        <f>双柏!AG138</f>
        <v>双柏县鄂嘉镇新厂村委会张家社</v>
      </c>
      <c r="AL183" s="165" t="str">
        <f>双柏!AH138</f>
        <v>2016/0716</v>
      </c>
      <c r="AM183" s="165" t="str">
        <f>双柏!AI138</f>
        <v>2016/0716</v>
      </c>
      <c r="AN183" s="165">
        <f>双柏!AJ138</f>
        <v>0</v>
      </c>
      <c r="AO183" s="165" t="str">
        <f>双柏!AK138</f>
        <v>2483</v>
      </c>
      <c r="AP183" s="263">
        <v>2.5</v>
      </c>
      <c r="AQ183" s="209">
        <f>双柏!AM138</f>
        <v>0</v>
      </c>
      <c r="AR183" s="295">
        <f>双柏!AN138</f>
        <v>0.5</v>
      </c>
      <c r="AS183" s="199" t="str">
        <f>双柏!AO138</f>
        <v>532322196411020514</v>
      </c>
      <c r="AT183" s="199" t="str">
        <f>双柏!AP138</f>
        <v>15288546609</v>
      </c>
    </row>
    <row r="184" spans="1:46">
      <c r="A184" t="s">
        <v>1921</v>
      </c>
      <c r="B184" s="202" t="str">
        <f>VLOOKUP(A184,databases!$A$2:$B$7, 2, FALSE)</f>
        <v>ShuangBai</v>
      </c>
      <c r="C184" s="165" t="str">
        <f>双柏!B140</f>
        <v>张玉龙</v>
      </c>
      <c r="D184" s="285" t="str">
        <f>VLOOKUP(C184,databases!$D$2:$E$145, 2, FALSE)</f>
        <v>R24</v>
      </c>
      <c r="E184" s="286" t="str">
        <f>INDEX(sample_database!$B$2:$B$506,MATCH(F184,sample_database!$L$2:$L$506,0))</f>
        <v>NA</v>
      </c>
      <c r="F184" s="202" t="str">
        <f>双柏!A140</f>
        <v>SB139</v>
      </c>
      <c r="G184" s="257">
        <f>双柏!C140</f>
        <v>6</v>
      </c>
      <c r="H184" s="257">
        <f>双柏!D140</f>
        <v>0</v>
      </c>
      <c r="I184" s="202">
        <f>双柏!E140</f>
        <v>21</v>
      </c>
      <c r="J184" s="202">
        <f>双柏!F140</f>
        <v>2</v>
      </c>
      <c r="K184" s="202">
        <f>双柏!G140</f>
        <v>4</v>
      </c>
      <c r="L184" s="202">
        <f>双柏!H140</f>
        <v>1</v>
      </c>
      <c r="M184" s="202">
        <f>双柏!I140</f>
        <v>4</v>
      </c>
      <c r="N184" s="202">
        <f>双柏!J140</f>
        <v>6</v>
      </c>
      <c r="O184" s="202">
        <f>双柏!K140</f>
        <v>4</v>
      </c>
      <c r="P184" s="202">
        <f>双柏!L140</f>
        <v>0</v>
      </c>
      <c r="Q184" s="202">
        <f>双柏!M140</f>
        <v>0</v>
      </c>
      <c r="R184" s="202">
        <f>双柏!N140</f>
        <v>0</v>
      </c>
      <c r="S184" s="202">
        <f>双柏!O140</f>
        <v>0</v>
      </c>
      <c r="T184" s="202">
        <f>双柏!P140</f>
        <v>0</v>
      </c>
      <c r="U184" s="202">
        <f>双柏!Q140</f>
        <v>0</v>
      </c>
      <c r="V184" s="202">
        <f>双柏!R140</f>
        <v>0</v>
      </c>
      <c r="W184" s="202">
        <f>双柏!S140</f>
        <v>0</v>
      </c>
      <c r="X184" s="202">
        <f>双柏!T140</f>
        <v>0</v>
      </c>
      <c r="Y184" s="202">
        <f>双柏!U140</f>
        <v>0</v>
      </c>
      <c r="Z184" s="202">
        <f>双柏!V140</f>
        <v>0</v>
      </c>
      <c r="AA184" s="202">
        <f>双柏!W140</f>
        <v>0</v>
      </c>
      <c r="AB184" s="202">
        <f>双柏!X140</f>
        <v>0</v>
      </c>
      <c r="AC184" s="202">
        <f>双柏!Y140</f>
        <v>0</v>
      </c>
      <c r="AD184" s="202">
        <f>双柏!Z140</f>
        <v>0</v>
      </c>
      <c r="AE184" s="202">
        <f>双柏!AA140</f>
        <v>0</v>
      </c>
      <c r="AF184" s="202">
        <f>双柏!AB140</f>
        <v>0</v>
      </c>
      <c r="AG184" s="202">
        <f>双柏!AC140</f>
        <v>0</v>
      </c>
      <c r="AH184" s="202">
        <f>双柏!AD140</f>
        <v>0</v>
      </c>
      <c r="AI184" s="202">
        <f>双柏!AE140</f>
        <v>0</v>
      </c>
      <c r="AJ184" s="202">
        <f>双柏!AF140</f>
        <v>0</v>
      </c>
      <c r="AK184" s="165" t="str">
        <f>双柏!AG140</f>
        <v>双柏县鄂嘉镇新厂村委会张家社 季青林</v>
      </c>
      <c r="AL184" s="165" t="str">
        <f>双柏!AH140</f>
        <v>2016/0725</v>
      </c>
      <c r="AM184" s="165" t="str">
        <f>双柏!AI140</f>
        <v>2016/0725</v>
      </c>
      <c r="AN184" s="165">
        <f>双柏!AJ140</f>
        <v>0</v>
      </c>
      <c r="AO184" s="165" t="str">
        <f>双柏!AK140</f>
        <v>海拔2423 N24°17′64″，E101°6′51.1″</v>
      </c>
      <c r="AP184" s="263">
        <v>4</v>
      </c>
      <c r="AQ184" s="209">
        <f>双柏!AM140</f>
        <v>0</v>
      </c>
      <c r="AR184" s="295">
        <f>双柏!AN140</f>
        <v>0.8</v>
      </c>
      <c r="AS184" s="199" t="str">
        <f>双柏!AO140</f>
        <v>532322196411020514</v>
      </c>
      <c r="AT184" s="199" t="str">
        <f>双柏!AP140</f>
        <v>15288546609</v>
      </c>
    </row>
    <row r="185" spans="1:46">
      <c r="A185" t="s">
        <v>1921</v>
      </c>
      <c r="B185" s="202" t="str">
        <f>VLOOKUP(A185,databases!$A$2:$B$7, 2, FALSE)</f>
        <v>ShuangBai</v>
      </c>
      <c r="C185" s="165" t="str">
        <f>双柏!B97</f>
        <v>徐丕芳&amp;王开定</v>
      </c>
      <c r="D185" s="202" t="str">
        <f>VLOOKUP(C185,databases!$D$2:$E$145, 2, FALSE)</f>
        <v>R27</v>
      </c>
      <c r="E185" s="259">
        <f>INDEX(sample_database!$B$2:$B$506,MATCH(F185,sample_database!$L$2:$L$506,0))</f>
        <v>8</v>
      </c>
      <c r="F185" s="202" t="str">
        <f>双柏!A97</f>
        <v>SB096</v>
      </c>
      <c r="G185" s="257">
        <f>双柏!C97</f>
        <v>10</v>
      </c>
      <c r="H185" s="257">
        <f>双柏!D97</f>
        <v>0</v>
      </c>
      <c r="I185" s="202">
        <f>双柏!E97</f>
        <v>198</v>
      </c>
      <c r="J185" s="202">
        <f>双柏!F97</f>
        <v>8</v>
      </c>
      <c r="K185" s="202">
        <f>双柏!G97</f>
        <v>18</v>
      </c>
      <c r="L185" s="202">
        <f>双柏!H97</f>
        <v>12</v>
      </c>
      <c r="M185" s="202">
        <f>双柏!I97</f>
        <v>30</v>
      </c>
      <c r="N185" s="202">
        <f>双柏!J97</f>
        <v>24</v>
      </c>
      <c r="O185" s="202">
        <f>双柏!K97</f>
        <v>15</v>
      </c>
      <c r="P185" s="202">
        <f>双柏!L97</f>
        <v>23</v>
      </c>
      <c r="Q185" s="202">
        <f>双柏!M97</f>
        <v>11</v>
      </c>
      <c r="R185" s="202">
        <f>双柏!N97</f>
        <v>27</v>
      </c>
      <c r="S185" s="202">
        <f>双柏!O97</f>
        <v>30</v>
      </c>
      <c r="T185" s="202">
        <f>双柏!P97</f>
        <v>0</v>
      </c>
      <c r="U185" s="202">
        <f>双柏!Q97</f>
        <v>0</v>
      </c>
      <c r="V185" s="202">
        <f>双柏!R97</f>
        <v>0</v>
      </c>
      <c r="W185" s="202">
        <f>双柏!S97</f>
        <v>0</v>
      </c>
      <c r="X185" s="202">
        <f>双柏!T97</f>
        <v>0</v>
      </c>
      <c r="Y185" s="202">
        <f>双柏!U97</f>
        <v>0</v>
      </c>
      <c r="Z185" s="202">
        <f>双柏!V97</f>
        <v>0</v>
      </c>
      <c r="AA185" s="202">
        <f>双柏!W97</f>
        <v>0</v>
      </c>
      <c r="AB185" s="202">
        <f>双柏!X97</f>
        <v>0</v>
      </c>
      <c r="AC185" s="202">
        <f>双柏!Y97</f>
        <v>0</v>
      </c>
      <c r="AD185" s="202">
        <f>双柏!Z97</f>
        <v>0</v>
      </c>
      <c r="AE185" s="202">
        <f>双柏!AA97</f>
        <v>0</v>
      </c>
      <c r="AF185" s="202">
        <f>双柏!AB97</f>
        <v>0</v>
      </c>
      <c r="AG185" s="202">
        <f>双柏!AC97</f>
        <v>0</v>
      </c>
      <c r="AH185" s="202">
        <f>双柏!AD97</f>
        <v>0</v>
      </c>
      <c r="AI185" s="202">
        <f>双柏!AE97</f>
        <v>0</v>
      </c>
      <c r="AJ185" s="202">
        <f>双柏!AF97</f>
        <v>0</v>
      </c>
      <c r="AK185" s="165" t="str">
        <f>双柏!AG97</f>
        <v>双柏县鄂嘉镇茶叶村委会三岔河管护点</v>
      </c>
      <c r="AL185" s="165" t="str">
        <f>双柏!AH97</f>
        <v>2016/0709-0717</v>
      </c>
      <c r="AM185" s="165" t="str">
        <f>双柏!AI97</f>
        <v>2016/0709-0717</v>
      </c>
      <c r="AN185" s="165">
        <f>双柏!AJ97</f>
        <v>0</v>
      </c>
      <c r="AO185" s="165" t="str">
        <f>双柏!AK97</f>
        <v>海拔2191 N24°29′27.13″，E101°4′50.16″</v>
      </c>
      <c r="AP185" s="263">
        <v>46</v>
      </c>
      <c r="AQ185" s="209" t="str">
        <f>双柏!AM97</f>
        <v>2+2.5+1.1+2.5+1.1</v>
      </c>
      <c r="AR185" s="295">
        <f>双柏!AN97</f>
        <v>9.1999999999999993</v>
      </c>
      <c r="AS185" s="199" t="str">
        <f>双柏!AO97</f>
        <v>532322196704040519</v>
      </c>
      <c r="AT185" s="199" t="str">
        <f>双柏!AP97</f>
        <v>18187834612</v>
      </c>
    </row>
    <row r="186" spans="1:46">
      <c r="A186" t="s">
        <v>1921</v>
      </c>
      <c r="B186" s="202" t="str">
        <f>VLOOKUP(A186,databases!$A$2:$B$7, 2, FALSE)</f>
        <v>ShuangBai</v>
      </c>
      <c r="C186" s="165" t="str">
        <f>双柏!B98</f>
        <v>徐丕芳&amp;王开定</v>
      </c>
      <c r="D186" s="202" t="str">
        <f>VLOOKUP(C186,databases!$D$2:$E$145, 2, FALSE)</f>
        <v>R27</v>
      </c>
      <c r="E186" s="259">
        <f>INDEX(sample_database!$B$2:$B$506,MATCH(F186,sample_database!$L$2:$L$506,0))</f>
        <v>8</v>
      </c>
      <c r="F186" s="202" t="str">
        <f>双柏!A98</f>
        <v>SB097</v>
      </c>
      <c r="G186" s="257">
        <f>双柏!C98</f>
        <v>10</v>
      </c>
      <c r="H186" s="257">
        <f>双柏!D98</f>
        <v>0</v>
      </c>
      <c r="I186" s="202">
        <f>双柏!E98</f>
        <v>180</v>
      </c>
      <c r="J186" s="202">
        <f>双柏!F98</f>
        <v>19</v>
      </c>
      <c r="K186" s="202">
        <f>双柏!G98</f>
        <v>11</v>
      </c>
      <c r="L186" s="202">
        <f>双柏!H98</f>
        <v>21</v>
      </c>
      <c r="M186" s="202">
        <f>双柏!I98</f>
        <v>13</v>
      </c>
      <c r="N186" s="202">
        <f>双柏!J98</f>
        <v>18</v>
      </c>
      <c r="O186" s="202">
        <f>双柏!K98</f>
        <v>21</v>
      </c>
      <c r="P186" s="202">
        <f>双柏!L98</f>
        <v>19</v>
      </c>
      <c r="Q186" s="202">
        <f>双柏!M98</f>
        <v>12</v>
      </c>
      <c r="R186" s="202">
        <f>双柏!N98</f>
        <v>29</v>
      </c>
      <c r="S186" s="202">
        <f>双柏!O98</f>
        <v>17</v>
      </c>
      <c r="T186" s="202">
        <f>双柏!P98</f>
        <v>0</v>
      </c>
      <c r="U186" s="202">
        <f>双柏!Q98</f>
        <v>0</v>
      </c>
      <c r="V186" s="202">
        <f>双柏!R98</f>
        <v>0</v>
      </c>
      <c r="W186" s="202">
        <f>双柏!S98</f>
        <v>0</v>
      </c>
      <c r="X186" s="202">
        <f>双柏!T98</f>
        <v>0</v>
      </c>
      <c r="Y186" s="202">
        <f>双柏!U98</f>
        <v>0</v>
      </c>
      <c r="Z186" s="202">
        <f>双柏!V98</f>
        <v>0</v>
      </c>
      <c r="AA186" s="202">
        <f>双柏!W98</f>
        <v>0</v>
      </c>
      <c r="AB186" s="202">
        <f>双柏!X98</f>
        <v>0</v>
      </c>
      <c r="AC186" s="202">
        <f>双柏!Y98</f>
        <v>0</v>
      </c>
      <c r="AD186" s="202">
        <f>双柏!Z98</f>
        <v>0</v>
      </c>
      <c r="AE186" s="202">
        <f>双柏!AA98</f>
        <v>0</v>
      </c>
      <c r="AF186" s="202">
        <f>双柏!AB98</f>
        <v>0</v>
      </c>
      <c r="AG186" s="202">
        <f>双柏!AC98</f>
        <v>0</v>
      </c>
      <c r="AH186" s="202">
        <f>双柏!AD98</f>
        <v>0</v>
      </c>
      <c r="AI186" s="202">
        <f>双柏!AE98</f>
        <v>0</v>
      </c>
      <c r="AJ186" s="202">
        <f>双柏!AF98</f>
        <v>0</v>
      </c>
      <c r="AK186" s="165" t="str">
        <f>双柏!AG98</f>
        <v>双柏县鄂嘉镇茶叶村委会三岔河管护点</v>
      </c>
      <c r="AL186" s="165" t="str">
        <f>双柏!AH98</f>
        <v>2016/0718-0721</v>
      </c>
      <c r="AM186" s="165" t="str">
        <f>双柏!AI98</f>
        <v>2016/0718-0721</v>
      </c>
      <c r="AN186" s="165">
        <f>双柏!AJ98</f>
        <v>0</v>
      </c>
      <c r="AO186" s="165" t="str">
        <f>双柏!AK98</f>
        <v>海拔2414 N24°2′90.13″，E101°5′25.21″</v>
      </c>
      <c r="AP186" s="263">
        <v>47.5</v>
      </c>
      <c r="AQ186" s="209" t="str">
        <f>双柏!AM98</f>
        <v>2+2+2+1.5+2</v>
      </c>
      <c r="AR186" s="295">
        <f>双柏!AN98</f>
        <v>9.5</v>
      </c>
      <c r="AS186" s="199" t="str">
        <f>双柏!AO98</f>
        <v>532322196704040519</v>
      </c>
      <c r="AT186" s="199" t="str">
        <f>双柏!AP98</f>
        <v>18187834612</v>
      </c>
    </row>
    <row r="187" spans="1:46">
      <c r="A187" t="s">
        <v>1921</v>
      </c>
      <c r="B187" s="202" t="str">
        <f>VLOOKUP(A187,databases!$A$2:$B$7, 2, FALSE)</f>
        <v>ShuangBai</v>
      </c>
      <c r="C187" s="165" t="str">
        <f>双柏!B99</f>
        <v>徐丕芳&amp;王开定</v>
      </c>
      <c r="D187" s="202" t="str">
        <f>VLOOKUP(C187,databases!$D$2:$E$145, 2, FALSE)</f>
        <v>R27</v>
      </c>
      <c r="E187" s="259">
        <f>INDEX(sample_database!$B$2:$B$506,MATCH(F187,sample_database!$L$2:$L$506,0))</f>
        <v>8</v>
      </c>
      <c r="F187" s="202" t="str">
        <f>双柏!A99</f>
        <v>SB098</v>
      </c>
      <c r="G187" s="257">
        <f>双柏!C99</f>
        <v>9</v>
      </c>
      <c r="H187" s="257">
        <f>双柏!D99</f>
        <v>0</v>
      </c>
      <c r="I187" s="202">
        <f>双柏!E99</f>
        <v>279</v>
      </c>
      <c r="J187" s="202">
        <f>双柏!F99</f>
        <v>20</v>
      </c>
      <c r="K187" s="202">
        <f>双柏!G99</f>
        <v>40</v>
      </c>
      <c r="L187" s="202">
        <f>双柏!H99</f>
        <v>39</v>
      </c>
      <c r="M187" s="202">
        <f>双柏!I99</f>
        <v>46</v>
      </c>
      <c r="N187" s="202">
        <f>双柏!J99</f>
        <v>38</v>
      </c>
      <c r="O187" s="202">
        <f>双柏!K99</f>
        <v>28</v>
      </c>
      <c r="P187" s="202">
        <f>双柏!L99</f>
        <v>19</v>
      </c>
      <c r="Q187" s="202">
        <f>双柏!M99</f>
        <v>33</v>
      </c>
      <c r="R187" s="202">
        <f>双柏!N99</f>
        <v>16</v>
      </c>
      <c r="S187" s="202">
        <f>双柏!O99</f>
        <v>0</v>
      </c>
      <c r="T187" s="202">
        <f>双柏!P99</f>
        <v>0</v>
      </c>
      <c r="U187" s="202">
        <f>双柏!Q99</f>
        <v>0</v>
      </c>
      <c r="V187" s="202">
        <f>双柏!R99</f>
        <v>0</v>
      </c>
      <c r="W187" s="202">
        <f>双柏!S99</f>
        <v>0</v>
      </c>
      <c r="X187" s="202">
        <f>双柏!T99</f>
        <v>0</v>
      </c>
      <c r="Y187" s="202">
        <f>双柏!U99</f>
        <v>0</v>
      </c>
      <c r="Z187" s="202">
        <f>双柏!V99</f>
        <v>0</v>
      </c>
      <c r="AA187" s="202">
        <f>双柏!W99</f>
        <v>0</v>
      </c>
      <c r="AB187" s="202">
        <f>双柏!X99</f>
        <v>0</v>
      </c>
      <c r="AC187" s="202">
        <f>双柏!Y99</f>
        <v>0</v>
      </c>
      <c r="AD187" s="202">
        <f>双柏!Z99</f>
        <v>0</v>
      </c>
      <c r="AE187" s="202">
        <f>双柏!AA99</f>
        <v>0</v>
      </c>
      <c r="AF187" s="202">
        <f>双柏!AB99</f>
        <v>0</v>
      </c>
      <c r="AG187" s="202">
        <f>双柏!AC99</f>
        <v>0</v>
      </c>
      <c r="AH187" s="202">
        <f>双柏!AD99</f>
        <v>0</v>
      </c>
      <c r="AI187" s="202">
        <f>双柏!AE99</f>
        <v>0</v>
      </c>
      <c r="AJ187" s="202">
        <f>双柏!AF99</f>
        <v>0</v>
      </c>
      <c r="AK187" s="165" t="str">
        <f>双柏!AG99</f>
        <v>双柏县鄂嘉镇茶叶村委会三岔河管护点</v>
      </c>
      <c r="AL187" s="165" t="str">
        <f>双柏!AH99</f>
        <v>2016/0730</v>
      </c>
      <c r="AM187" s="165" t="str">
        <f>双柏!AI99</f>
        <v>2016/0730</v>
      </c>
      <c r="AN187" s="165">
        <f>双柏!AJ99</f>
        <v>0</v>
      </c>
      <c r="AO187" s="165" t="str">
        <f>双柏!AK99</f>
        <v>海拔2495 N24°27′36.43″，E101°5′39.00″</v>
      </c>
      <c r="AP187" s="263">
        <v>52</v>
      </c>
      <c r="AQ187" s="209" t="str">
        <f>双柏!AM99</f>
        <v>2.5+2.5+2.5+0.9+2</v>
      </c>
      <c r="AR187" s="295">
        <f>双柏!AN99</f>
        <v>10.4</v>
      </c>
      <c r="AS187" s="199" t="str">
        <f>双柏!AO99</f>
        <v>532322196704040519</v>
      </c>
      <c r="AT187" s="199" t="str">
        <f>双柏!AP99</f>
        <v>18187834612</v>
      </c>
    </row>
    <row r="188" spans="1:46">
      <c r="A188" t="s">
        <v>1921</v>
      </c>
      <c r="B188" s="202" t="str">
        <f>VLOOKUP(A188,databases!$A$2:$B$7, 2, FALSE)</f>
        <v>ShuangBai</v>
      </c>
      <c r="C188" s="165" t="str">
        <f>双柏!B100</f>
        <v>徐丕芳&amp;王开定</v>
      </c>
      <c r="D188" s="202" t="str">
        <f>VLOOKUP(C188,databases!$D$2:$E$145, 2, FALSE)</f>
        <v>R27</v>
      </c>
      <c r="E188" s="259">
        <f>INDEX(sample_database!$B$2:$B$506,MATCH(F188,sample_database!$L$2:$L$506,0))</f>
        <v>8</v>
      </c>
      <c r="F188" s="202" t="str">
        <f>双柏!A100</f>
        <v>SB099</v>
      </c>
      <c r="G188" s="257">
        <f>双柏!C100</f>
        <v>10</v>
      </c>
      <c r="H188" s="257">
        <f>双柏!D100</f>
        <v>0</v>
      </c>
      <c r="I188" s="202">
        <f>双柏!E100</f>
        <v>168</v>
      </c>
      <c r="J188" s="202">
        <f>双柏!F100</f>
        <v>14</v>
      </c>
      <c r="K188" s="202">
        <f>双柏!G100</f>
        <v>27</v>
      </c>
      <c r="L188" s="202">
        <f>双柏!H100</f>
        <v>11</v>
      </c>
      <c r="M188" s="202">
        <f>双柏!I100</f>
        <v>24</v>
      </c>
      <c r="N188" s="202">
        <f>双柏!J100</f>
        <v>24</v>
      </c>
      <c r="O188" s="202">
        <f>双柏!K100</f>
        <v>11</v>
      </c>
      <c r="P188" s="202">
        <f>双柏!L100</f>
        <v>13</v>
      </c>
      <c r="Q188" s="202">
        <f>双柏!M100</f>
        <v>13</v>
      </c>
      <c r="R188" s="202">
        <f>双柏!N100</f>
        <v>14</v>
      </c>
      <c r="S188" s="202">
        <f>双柏!O100</f>
        <v>17</v>
      </c>
      <c r="T188" s="202">
        <f>双柏!P100</f>
        <v>0</v>
      </c>
      <c r="U188" s="202">
        <f>双柏!Q100</f>
        <v>0</v>
      </c>
      <c r="V188" s="202">
        <f>双柏!R100</f>
        <v>0</v>
      </c>
      <c r="W188" s="202">
        <f>双柏!S100</f>
        <v>0</v>
      </c>
      <c r="X188" s="202">
        <f>双柏!T100</f>
        <v>0</v>
      </c>
      <c r="Y188" s="202">
        <f>双柏!U100</f>
        <v>0</v>
      </c>
      <c r="Z188" s="202">
        <f>双柏!V100</f>
        <v>0</v>
      </c>
      <c r="AA188" s="202">
        <f>双柏!W100</f>
        <v>0</v>
      </c>
      <c r="AB188" s="202">
        <f>双柏!X100</f>
        <v>0</v>
      </c>
      <c r="AC188" s="202">
        <f>双柏!Y100</f>
        <v>0</v>
      </c>
      <c r="AD188" s="202">
        <f>双柏!Z100</f>
        <v>0</v>
      </c>
      <c r="AE188" s="202">
        <f>双柏!AA100</f>
        <v>0</v>
      </c>
      <c r="AF188" s="202">
        <f>双柏!AB100</f>
        <v>0</v>
      </c>
      <c r="AG188" s="202">
        <f>双柏!AC100</f>
        <v>0</v>
      </c>
      <c r="AH188" s="202">
        <f>双柏!AD100</f>
        <v>0</v>
      </c>
      <c r="AI188" s="202">
        <f>双柏!AE100</f>
        <v>0</v>
      </c>
      <c r="AJ188" s="202">
        <f>双柏!AF100</f>
        <v>0</v>
      </c>
      <c r="AK188" s="165" t="str">
        <f>双柏!AG100</f>
        <v>双柏县鄂嘉镇茶叶村委会三岔河管护点</v>
      </c>
      <c r="AL188" s="165">
        <f>双柏!AH100</f>
        <v>0</v>
      </c>
      <c r="AM188" s="165">
        <f>双柏!AI100</f>
        <v>0</v>
      </c>
      <c r="AN188" s="165">
        <f>双柏!AJ100</f>
        <v>0</v>
      </c>
      <c r="AO188" s="165">
        <f>双柏!AK100</f>
        <v>0</v>
      </c>
      <c r="AP188" s="263">
        <v>43</v>
      </c>
      <c r="AQ188" s="209" t="str">
        <f>双柏!AM100</f>
        <v>1.5+2+2+1.1+2</v>
      </c>
      <c r="AR188" s="295">
        <f>双柏!AN100</f>
        <v>8.6</v>
      </c>
      <c r="AS188" s="199" t="str">
        <f>双柏!AO100</f>
        <v>532322196704040519</v>
      </c>
      <c r="AT188" s="199" t="str">
        <f>双柏!AP100</f>
        <v>18187834612</v>
      </c>
    </row>
    <row r="189" spans="1:46">
      <c r="A189" t="s">
        <v>1921</v>
      </c>
      <c r="B189" s="202" t="str">
        <f>VLOOKUP(A189,databases!$A$2:$B$7, 2, FALSE)</f>
        <v>ShuangBai</v>
      </c>
      <c r="C189" s="165" t="str">
        <f>双柏!B101</f>
        <v>徐丕芳&amp;王开定</v>
      </c>
      <c r="D189" s="202" t="str">
        <f>VLOOKUP(C189,databases!$D$2:$E$145, 2, FALSE)</f>
        <v>R27</v>
      </c>
      <c r="E189" s="259">
        <f>INDEX(sample_database!$B$2:$B$506,MATCH(F189,sample_database!$L$2:$L$506,0))</f>
        <v>8</v>
      </c>
      <c r="F189" s="202" t="str">
        <f>双柏!A101</f>
        <v>SB100</v>
      </c>
      <c r="G189" s="257">
        <f>双柏!C101</f>
        <v>0</v>
      </c>
      <c r="H189" s="257">
        <f>双柏!D101</f>
        <v>1</v>
      </c>
      <c r="I189" s="202">
        <f>双柏!E101</f>
        <v>2</v>
      </c>
      <c r="J189" s="202">
        <f>双柏!F101</f>
        <v>2</v>
      </c>
      <c r="K189" s="202">
        <f>双柏!G101</f>
        <v>0</v>
      </c>
      <c r="L189" s="202">
        <f>双柏!H101</f>
        <v>0</v>
      </c>
      <c r="M189" s="202">
        <f>双柏!I101</f>
        <v>0</v>
      </c>
      <c r="N189" s="202">
        <f>双柏!J101</f>
        <v>0</v>
      </c>
      <c r="O189" s="202">
        <f>双柏!K101</f>
        <v>0</v>
      </c>
      <c r="P189" s="202">
        <f>双柏!L101</f>
        <v>0</v>
      </c>
      <c r="Q189" s="202">
        <f>双柏!M101</f>
        <v>0</v>
      </c>
      <c r="R189" s="202">
        <f>双柏!N101</f>
        <v>0</v>
      </c>
      <c r="S189" s="202">
        <f>双柏!O101</f>
        <v>0</v>
      </c>
      <c r="T189" s="202">
        <f>双柏!P101</f>
        <v>0</v>
      </c>
      <c r="U189" s="202">
        <f>双柏!Q101</f>
        <v>0</v>
      </c>
      <c r="V189" s="202">
        <f>双柏!R101</f>
        <v>0</v>
      </c>
      <c r="W189" s="202">
        <f>双柏!S101</f>
        <v>0</v>
      </c>
      <c r="X189" s="202">
        <f>双柏!T101</f>
        <v>0</v>
      </c>
      <c r="Y189" s="202">
        <f>双柏!U101</f>
        <v>0</v>
      </c>
      <c r="Z189" s="202">
        <f>双柏!V101</f>
        <v>0</v>
      </c>
      <c r="AA189" s="202">
        <f>双柏!W101</f>
        <v>0</v>
      </c>
      <c r="AB189" s="202">
        <f>双柏!X101</f>
        <v>0</v>
      </c>
      <c r="AC189" s="202">
        <f>双柏!Y101</f>
        <v>0</v>
      </c>
      <c r="AD189" s="202">
        <f>双柏!Z101</f>
        <v>0</v>
      </c>
      <c r="AE189" s="202">
        <f>双柏!AA101</f>
        <v>0</v>
      </c>
      <c r="AF189" s="202">
        <f>双柏!AB101</f>
        <v>0</v>
      </c>
      <c r="AG189" s="202">
        <f>双柏!AC101</f>
        <v>0</v>
      </c>
      <c r="AH189" s="202">
        <f>双柏!AD101</f>
        <v>0</v>
      </c>
      <c r="AI189" s="202">
        <f>双柏!AE101</f>
        <v>0</v>
      </c>
      <c r="AJ189" s="202">
        <f>双柏!AF101</f>
        <v>0</v>
      </c>
      <c r="AK189" s="165" t="str">
        <f>双柏!AG101</f>
        <v>双柏县鄂嘉镇茶叶村委会三岔河管护点</v>
      </c>
      <c r="AL189" s="165">
        <f>双柏!AH101</f>
        <v>0</v>
      </c>
      <c r="AM189" s="165">
        <f>双柏!AI101</f>
        <v>0</v>
      </c>
      <c r="AN189" s="165">
        <f>双柏!AJ101</f>
        <v>0</v>
      </c>
      <c r="AO189" s="165" t="str">
        <f>双柏!AK101</f>
        <v>海拔2191 N24°29′27.13″，E101°4′50.20″</v>
      </c>
      <c r="AP189" s="263">
        <v>0.5</v>
      </c>
      <c r="AQ189" s="209">
        <f>双柏!AM101</f>
        <v>0</v>
      </c>
      <c r="AR189" s="295">
        <f>双柏!AN101</f>
        <v>0.1</v>
      </c>
      <c r="AS189" s="199" t="str">
        <f>双柏!AO101</f>
        <v>532322196704040519</v>
      </c>
      <c r="AT189" s="199" t="str">
        <f>双柏!AP101</f>
        <v>18187834612</v>
      </c>
    </row>
    <row r="190" spans="1:46">
      <c r="A190" t="s">
        <v>1921</v>
      </c>
      <c r="B190" s="202" t="str">
        <f>VLOOKUP(A190,databases!$A$2:$B$7, 2, FALSE)</f>
        <v>ShuangBai</v>
      </c>
      <c r="C190" s="165" t="str">
        <f>双柏!B85</f>
        <v>朱荣兴</v>
      </c>
      <c r="D190" s="202" t="str">
        <f>VLOOKUP(C190,databases!$D$2:$E$145, 2, FALSE)</f>
        <v>R34</v>
      </c>
      <c r="E190" s="259">
        <f>INDEX(sample_database!$B$2:$B$506,MATCH(F190,sample_database!$L$2:$L$506,0))</f>
        <v>13</v>
      </c>
      <c r="F190" s="202" t="str">
        <f>双柏!A85</f>
        <v>SB084</v>
      </c>
      <c r="G190" s="257">
        <f>双柏!C85</f>
        <v>4</v>
      </c>
      <c r="H190" s="257">
        <f>双柏!D85</f>
        <v>0</v>
      </c>
      <c r="I190" s="202">
        <f>双柏!E85</f>
        <v>39</v>
      </c>
      <c r="J190" s="202">
        <f>双柏!F85</f>
        <v>9</v>
      </c>
      <c r="K190" s="202">
        <f>双柏!G85</f>
        <v>10</v>
      </c>
      <c r="L190" s="202">
        <f>双柏!H85</f>
        <v>10</v>
      </c>
      <c r="M190" s="202">
        <f>双柏!I85</f>
        <v>10</v>
      </c>
      <c r="N190" s="202">
        <f>双柏!J85</f>
        <v>0</v>
      </c>
      <c r="O190" s="202">
        <f>双柏!K85</f>
        <v>0</v>
      </c>
      <c r="P190" s="202">
        <f>双柏!L85</f>
        <v>0</v>
      </c>
      <c r="Q190" s="202">
        <f>双柏!M85</f>
        <v>0</v>
      </c>
      <c r="R190" s="202">
        <f>双柏!N85</f>
        <v>0</v>
      </c>
      <c r="S190" s="202">
        <f>双柏!O85</f>
        <v>0</v>
      </c>
      <c r="T190" s="202">
        <f>双柏!P85</f>
        <v>0</v>
      </c>
      <c r="U190" s="202">
        <f>双柏!Q85</f>
        <v>0</v>
      </c>
      <c r="V190" s="202">
        <f>双柏!R85</f>
        <v>0</v>
      </c>
      <c r="W190" s="202">
        <f>双柏!S85</f>
        <v>0</v>
      </c>
      <c r="X190" s="202">
        <f>双柏!T85</f>
        <v>0</v>
      </c>
      <c r="Y190" s="202">
        <f>双柏!U85</f>
        <v>0</v>
      </c>
      <c r="Z190" s="202">
        <f>双柏!V85</f>
        <v>0</v>
      </c>
      <c r="AA190" s="202">
        <f>双柏!W85</f>
        <v>0</v>
      </c>
      <c r="AB190" s="202">
        <f>双柏!X85</f>
        <v>0</v>
      </c>
      <c r="AC190" s="202">
        <f>双柏!Y85</f>
        <v>0</v>
      </c>
      <c r="AD190" s="202">
        <f>双柏!Z85</f>
        <v>0</v>
      </c>
      <c r="AE190" s="202">
        <f>双柏!AA85</f>
        <v>0</v>
      </c>
      <c r="AF190" s="202">
        <f>双柏!AB85</f>
        <v>0</v>
      </c>
      <c r="AG190" s="202">
        <f>双柏!AC85</f>
        <v>0</v>
      </c>
      <c r="AH190" s="202">
        <f>双柏!AD85</f>
        <v>0</v>
      </c>
      <c r="AI190" s="202">
        <f>双柏!AE85</f>
        <v>0</v>
      </c>
      <c r="AJ190" s="202">
        <f>双柏!AF85</f>
        <v>0</v>
      </c>
      <c r="AK190" s="165" t="str">
        <f>双柏!AG85</f>
        <v>双柏县鄂嘉镇新厂村中厂</v>
      </c>
      <c r="AL190" s="165" t="str">
        <f>双柏!AH85</f>
        <v>2016/0708-0717</v>
      </c>
      <c r="AM190" s="165" t="str">
        <f>双柏!AI85</f>
        <v>2016/0708-0717</v>
      </c>
      <c r="AN190" s="165">
        <f>双柏!AJ85</f>
        <v>0</v>
      </c>
      <c r="AO190" s="165" t="str">
        <f>双柏!AK85</f>
        <v>2553-2575-2540</v>
      </c>
      <c r="AP190" s="263">
        <v>7.5</v>
      </c>
      <c r="AQ190" s="209">
        <f>双柏!AM85</f>
        <v>0</v>
      </c>
      <c r="AR190" s="295">
        <f>双柏!AN85</f>
        <v>1.5</v>
      </c>
      <c r="AS190" s="199" t="str">
        <f>双柏!AO85</f>
        <v>532322197010120519</v>
      </c>
      <c r="AT190" s="199" t="str">
        <f>双柏!AP85</f>
        <v>15912923610</v>
      </c>
    </row>
    <row r="191" spans="1:46">
      <c r="A191" t="s">
        <v>1921</v>
      </c>
      <c r="B191" s="202" t="str">
        <f>VLOOKUP(A191,databases!$A$2:$B$7, 2, FALSE)</f>
        <v>ShuangBai</v>
      </c>
      <c r="C191" s="165" t="str">
        <f>双柏!B86</f>
        <v>朱荣兴</v>
      </c>
      <c r="D191" s="202" t="str">
        <f>VLOOKUP(C191,databases!$D$2:$E$145, 2, FALSE)</f>
        <v>R34</v>
      </c>
      <c r="E191" s="259">
        <f>INDEX(sample_database!$B$2:$B$506,MATCH(F191,sample_database!$L$2:$L$506,0))</f>
        <v>13</v>
      </c>
      <c r="F191" s="202" t="str">
        <f>双柏!A86</f>
        <v>SB085</v>
      </c>
      <c r="G191" s="257">
        <f>双柏!C86</f>
        <v>8</v>
      </c>
      <c r="H191" s="257">
        <f>双柏!D86</f>
        <v>0</v>
      </c>
      <c r="I191" s="202">
        <f>双柏!E86</f>
        <v>85</v>
      </c>
      <c r="J191" s="202">
        <f>双柏!F86</f>
        <v>10</v>
      </c>
      <c r="K191" s="202">
        <f>双柏!G86</f>
        <v>10</v>
      </c>
      <c r="L191" s="202">
        <f>双柏!H86</f>
        <v>10</v>
      </c>
      <c r="M191" s="202">
        <f>双柏!I86</f>
        <v>11</v>
      </c>
      <c r="N191" s="202">
        <f>双柏!J86</f>
        <v>13</v>
      </c>
      <c r="O191" s="202">
        <f>双柏!K86</f>
        <v>10</v>
      </c>
      <c r="P191" s="202">
        <f>双柏!L86</f>
        <v>10</v>
      </c>
      <c r="Q191" s="202">
        <f>双柏!M86</f>
        <v>11</v>
      </c>
      <c r="R191" s="202">
        <f>双柏!N86</f>
        <v>0</v>
      </c>
      <c r="S191" s="202">
        <f>双柏!O86</f>
        <v>0</v>
      </c>
      <c r="T191" s="202">
        <f>双柏!P86</f>
        <v>0</v>
      </c>
      <c r="U191" s="202">
        <f>双柏!Q86</f>
        <v>0</v>
      </c>
      <c r="V191" s="202">
        <f>双柏!R86</f>
        <v>0</v>
      </c>
      <c r="W191" s="202">
        <f>双柏!S86</f>
        <v>0</v>
      </c>
      <c r="X191" s="202">
        <f>双柏!T86</f>
        <v>0</v>
      </c>
      <c r="Y191" s="202">
        <f>双柏!U86</f>
        <v>0</v>
      </c>
      <c r="Z191" s="202">
        <f>双柏!V86</f>
        <v>0</v>
      </c>
      <c r="AA191" s="202">
        <f>双柏!W86</f>
        <v>0</v>
      </c>
      <c r="AB191" s="202">
        <f>双柏!X86</f>
        <v>0</v>
      </c>
      <c r="AC191" s="202">
        <f>双柏!Y86</f>
        <v>0</v>
      </c>
      <c r="AD191" s="202">
        <f>双柏!Z86</f>
        <v>0</v>
      </c>
      <c r="AE191" s="202">
        <f>双柏!AA86</f>
        <v>0</v>
      </c>
      <c r="AF191" s="202">
        <f>双柏!AB86</f>
        <v>0</v>
      </c>
      <c r="AG191" s="202">
        <f>双柏!AC86</f>
        <v>0</v>
      </c>
      <c r="AH191" s="202">
        <f>双柏!AD86</f>
        <v>0</v>
      </c>
      <c r="AI191" s="202">
        <f>双柏!AE86</f>
        <v>0</v>
      </c>
      <c r="AJ191" s="202">
        <f>双柏!AF86</f>
        <v>0</v>
      </c>
      <c r="AK191" s="165" t="str">
        <f>双柏!AG86</f>
        <v>双柏县鄂嘉镇新厂村中厂</v>
      </c>
      <c r="AL191" s="165" t="str">
        <f>双柏!AH86</f>
        <v>2016/0718-0727</v>
      </c>
      <c r="AM191" s="165" t="str">
        <f>双柏!AI86</f>
        <v>2016/0718-0727</v>
      </c>
      <c r="AN191" s="165">
        <f>双柏!AJ86</f>
        <v>0</v>
      </c>
      <c r="AO191" s="165" t="str">
        <f>双柏!AK86</f>
        <v>2487-2480-2483-2503</v>
      </c>
      <c r="AP191" s="263">
        <v>15</v>
      </c>
      <c r="AQ191" s="209">
        <f>双柏!AM86</f>
        <v>0</v>
      </c>
      <c r="AR191" s="295">
        <f>双柏!AN86</f>
        <v>3</v>
      </c>
      <c r="AS191" s="199" t="str">
        <f>双柏!AO86</f>
        <v>532322197010120519</v>
      </c>
      <c r="AT191" s="199" t="str">
        <f>双柏!AP86</f>
        <v>15912923610</v>
      </c>
    </row>
    <row r="192" spans="1:46">
      <c r="A192" t="s">
        <v>1921</v>
      </c>
      <c r="B192" s="202" t="str">
        <f>VLOOKUP(A192,databases!$A$2:$B$7, 2, FALSE)</f>
        <v>ShuangBai</v>
      </c>
      <c r="C192" s="165" t="str">
        <f>双柏!B87</f>
        <v>朱荣兴</v>
      </c>
      <c r="D192" s="202" t="str">
        <f>VLOOKUP(C192,databases!$D$2:$E$145, 2, FALSE)</f>
        <v>R34</v>
      </c>
      <c r="E192" s="259">
        <f>INDEX(sample_database!$B$2:$B$506,MATCH(F192,sample_database!$L$2:$L$506,0))</f>
        <v>13</v>
      </c>
      <c r="F192" s="202" t="str">
        <f>双柏!A87</f>
        <v>SB086</v>
      </c>
      <c r="G192" s="257">
        <f>双柏!C87</f>
        <v>3</v>
      </c>
      <c r="H192" s="257">
        <f>双柏!D87</f>
        <v>0</v>
      </c>
      <c r="I192" s="202">
        <f>双柏!E87</f>
        <v>23</v>
      </c>
      <c r="J192" s="202">
        <f>双柏!F87</f>
        <v>11</v>
      </c>
      <c r="K192" s="202">
        <f>双柏!G87</f>
        <v>3</v>
      </c>
      <c r="L192" s="202">
        <f>双柏!H87</f>
        <v>9</v>
      </c>
      <c r="M192" s="202">
        <f>双柏!I87</f>
        <v>0</v>
      </c>
      <c r="N192" s="202">
        <f>双柏!J87</f>
        <v>0</v>
      </c>
      <c r="O192" s="202">
        <f>双柏!K87</f>
        <v>0</v>
      </c>
      <c r="P192" s="202">
        <f>双柏!L87</f>
        <v>0</v>
      </c>
      <c r="Q192" s="202">
        <f>双柏!M87</f>
        <v>0</v>
      </c>
      <c r="R192" s="202">
        <f>双柏!N87</f>
        <v>0</v>
      </c>
      <c r="S192" s="202">
        <f>双柏!O87</f>
        <v>0</v>
      </c>
      <c r="T192" s="202">
        <f>双柏!P87</f>
        <v>0</v>
      </c>
      <c r="U192" s="202">
        <f>双柏!Q87</f>
        <v>0</v>
      </c>
      <c r="V192" s="202">
        <f>双柏!R87</f>
        <v>0</v>
      </c>
      <c r="W192" s="202">
        <f>双柏!S87</f>
        <v>0</v>
      </c>
      <c r="X192" s="202">
        <f>双柏!T87</f>
        <v>0</v>
      </c>
      <c r="Y192" s="202">
        <f>双柏!U87</f>
        <v>0</v>
      </c>
      <c r="Z192" s="202">
        <f>双柏!V87</f>
        <v>0</v>
      </c>
      <c r="AA192" s="202">
        <f>双柏!W87</f>
        <v>0</v>
      </c>
      <c r="AB192" s="202">
        <f>双柏!X87</f>
        <v>0</v>
      </c>
      <c r="AC192" s="202">
        <f>双柏!Y87</f>
        <v>0</v>
      </c>
      <c r="AD192" s="202">
        <f>双柏!Z87</f>
        <v>0</v>
      </c>
      <c r="AE192" s="202">
        <f>双柏!AA87</f>
        <v>0</v>
      </c>
      <c r="AF192" s="202">
        <f>双柏!AB87</f>
        <v>0</v>
      </c>
      <c r="AG192" s="202">
        <f>双柏!AC87</f>
        <v>0</v>
      </c>
      <c r="AH192" s="202">
        <f>双柏!AD87</f>
        <v>0</v>
      </c>
      <c r="AI192" s="202">
        <f>双柏!AE87</f>
        <v>0</v>
      </c>
      <c r="AJ192" s="202">
        <f>双柏!AF87</f>
        <v>0</v>
      </c>
      <c r="AK192" s="165" t="str">
        <f>双柏!AG87</f>
        <v>双柏县鄂嘉镇新厂村中厂</v>
      </c>
      <c r="AL192" s="165" t="str">
        <f>双柏!AH87</f>
        <v>2016/0806-0814</v>
      </c>
      <c r="AM192" s="165" t="str">
        <f>双柏!AI87</f>
        <v>2016/0806-0814</v>
      </c>
      <c r="AN192" s="165">
        <f>双柏!AJ87</f>
        <v>0</v>
      </c>
      <c r="AO192" s="165" t="str">
        <f>双柏!AK87</f>
        <v>2571-2484</v>
      </c>
      <c r="AP192" s="263">
        <v>5</v>
      </c>
      <c r="AQ192" s="209">
        <f>双柏!AM87</f>
        <v>0</v>
      </c>
      <c r="AR192" s="295">
        <f>双柏!AN87</f>
        <v>1</v>
      </c>
      <c r="AS192" s="199" t="str">
        <f>双柏!AO87</f>
        <v>532322197010120519</v>
      </c>
      <c r="AT192" s="199" t="str">
        <f>双柏!AP87</f>
        <v>15912923610</v>
      </c>
    </row>
    <row r="193" spans="1:46">
      <c r="A193" t="s">
        <v>1921</v>
      </c>
      <c r="B193" s="202" t="str">
        <f>VLOOKUP(A193,databases!$A$2:$B$7, 2, FALSE)</f>
        <v>ShuangBai</v>
      </c>
      <c r="C193" s="165" t="str">
        <f>双柏!B54</f>
        <v>李先富&amp;何学会</v>
      </c>
      <c r="D193" s="281" t="str">
        <f>VLOOKUP(C193,databases!$D$2:$E$145, 2, FALSE)</f>
        <v>R36</v>
      </c>
      <c r="E193" s="282">
        <f>INDEX(sample_database!$B$2:$B$506,MATCH(F193,sample_database!$L$2:$L$506,0))</f>
        <v>30</v>
      </c>
      <c r="F193" s="202" t="str">
        <f>双柏!A54</f>
        <v>SB053</v>
      </c>
      <c r="G193" s="257">
        <f>双柏!C54</f>
        <v>8</v>
      </c>
      <c r="H193" s="257">
        <f>双柏!D54</f>
        <v>0</v>
      </c>
      <c r="I193" s="202">
        <f>双柏!E54</f>
        <v>17</v>
      </c>
      <c r="J193" s="202">
        <f>双柏!F54</f>
        <v>1</v>
      </c>
      <c r="K193" s="202">
        <f>双柏!G54</f>
        <v>1</v>
      </c>
      <c r="L193" s="202">
        <f>双柏!H54</f>
        <v>2</v>
      </c>
      <c r="M193" s="202">
        <f>双柏!I54</f>
        <v>2</v>
      </c>
      <c r="N193" s="202">
        <f>双柏!J54</f>
        <v>2</v>
      </c>
      <c r="O193" s="202">
        <f>双柏!K54</f>
        <v>3</v>
      </c>
      <c r="P193" s="202">
        <f>双柏!L54</f>
        <v>3</v>
      </c>
      <c r="Q193" s="202">
        <f>双柏!M54</f>
        <v>3</v>
      </c>
      <c r="R193" s="202">
        <f>双柏!N54</f>
        <v>0</v>
      </c>
      <c r="S193" s="202">
        <f>双柏!O54</f>
        <v>0</v>
      </c>
      <c r="T193" s="202">
        <f>双柏!P54</f>
        <v>0</v>
      </c>
      <c r="U193" s="202">
        <f>双柏!Q54</f>
        <v>0</v>
      </c>
      <c r="V193" s="202">
        <f>双柏!R54</f>
        <v>0</v>
      </c>
      <c r="W193" s="202">
        <f>双柏!S54</f>
        <v>0</v>
      </c>
      <c r="X193" s="202">
        <f>双柏!T54</f>
        <v>0</v>
      </c>
      <c r="Y193" s="202">
        <f>双柏!U54</f>
        <v>0</v>
      </c>
      <c r="Z193" s="202">
        <f>双柏!V54</f>
        <v>0</v>
      </c>
      <c r="AA193" s="202">
        <f>双柏!W54</f>
        <v>0</v>
      </c>
      <c r="AB193" s="202">
        <f>双柏!X54</f>
        <v>0</v>
      </c>
      <c r="AC193" s="202">
        <f>双柏!Y54</f>
        <v>0</v>
      </c>
      <c r="AD193" s="202">
        <f>双柏!Z54</f>
        <v>0</v>
      </c>
      <c r="AE193" s="202">
        <f>双柏!AA54</f>
        <v>0</v>
      </c>
      <c r="AF193" s="202">
        <f>双柏!AB54</f>
        <v>0</v>
      </c>
      <c r="AG193" s="202">
        <f>双柏!AC54</f>
        <v>0</v>
      </c>
      <c r="AH193" s="202">
        <f>双柏!AD54</f>
        <v>0</v>
      </c>
      <c r="AI193" s="202">
        <f>双柏!AE54</f>
        <v>0</v>
      </c>
      <c r="AJ193" s="202">
        <f>双柏!AF54</f>
        <v>0</v>
      </c>
      <c r="AK193" s="165" t="str">
        <f>双柏!AG54</f>
        <v>双柏县鄂嘉镇义隆村钠嫩村民小组</v>
      </c>
      <c r="AL193" s="165" t="str">
        <f>双柏!AH54</f>
        <v>2016/0723-0801</v>
      </c>
      <c r="AM193" s="165" t="str">
        <f>双柏!AI54</f>
        <v>2016/0723-0801</v>
      </c>
      <c r="AN193" s="165">
        <f>双柏!AJ54</f>
        <v>0</v>
      </c>
      <c r="AO193" s="165" t="str">
        <f>双柏!AK54</f>
        <v>海拔2706 N24°21′54.43″，E101°15′46.94″</v>
      </c>
      <c r="AP193" s="263">
        <v>4</v>
      </c>
      <c r="AQ193" s="209">
        <f>双柏!AM54</f>
        <v>0</v>
      </c>
      <c r="AR193" s="295">
        <f>双柏!AN54</f>
        <v>0.8</v>
      </c>
      <c r="AS193" s="199" t="str">
        <f>双柏!AO54</f>
        <v>532322195909080514</v>
      </c>
      <c r="AT193" s="199" t="str">
        <f>双柏!AP54</f>
        <v>13987886798</v>
      </c>
    </row>
    <row r="194" spans="1:46">
      <c r="A194" t="s">
        <v>1921</v>
      </c>
      <c r="B194" s="202" t="str">
        <f>VLOOKUP(A194,databases!$A$2:$B$7, 2, FALSE)</f>
        <v>ShuangBai</v>
      </c>
      <c r="C194" s="165" t="str">
        <f>双柏!B55</f>
        <v>李先富&amp;何学会</v>
      </c>
      <c r="D194" s="283" t="str">
        <f>VLOOKUP(C194,databases!$D$2:$E$145, 2, FALSE)</f>
        <v>R36</v>
      </c>
      <c r="E194" s="284" t="str">
        <f>INDEX(sample_database!$B$2:$B$506,MATCH(F194,sample_database!$L$2:$L$506,0))</f>
        <v>NA</v>
      </c>
      <c r="F194" s="202" t="str">
        <f>双柏!A55</f>
        <v>SB054</v>
      </c>
      <c r="G194" s="257">
        <f>双柏!C55</f>
        <v>10</v>
      </c>
      <c r="H194" s="257">
        <f>双柏!D55</f>
        <v>0</v>
      </c>
      <c r="I194" s="202">
        <f>双柏!E55</f>
        <v>63</v>
      </c>
      <c r="J194" s="202">
        <f>双柏!F55</f>
        <v>2</v>
      </c>
      <c r="K194" s="202">
        <f>双柏!G55</f>
        <v>5</v>
      </c>
      <c r="L194" s="202">
        <f>双柏!H55</f>
        <v>3</v>
      </c>
      <c r="M194" s="202">
        <f>双柏!I55</f>
        <v>4</v>
      </c>
      <c r="N194" s="202">
        <f>双柏!J55</f>
        <v>5</v>
      </c>
      <c r="O194" s="202">
        <f>双柏!K55</f>
        <v>7</v>
      </c>
      <c r="P194" s="202">
        <f>双柏!L55</f>
        <v>5</v>
      </c>
      <c r="Q194" s="202">
        <f>双柏!M55</f>
        <v>8</v>
      </c>
      <c r="R194" s="202">
        <f>双柏!N55</f>
        <v>15</v>
      </c>
      <c r="S194" s="202">
        <f>双柏!O55</f>
        <v>9</v>
      </c>
      <c r="T194" s="202">
        <f>双柏!P55</f>
        <v>0</v>
      </c>
      <c r="U194" s="202">
        <f>双柏!Q55</f>
        <v>0</v>
      </c>
      <c r="V194" s="202">
        <f>双柏!R55</f>
        <v>0</v>
      </c>
      <c r="W194" s="202">
        <f>双柏!S55</f>
        <v>0</v>
      </c>
      <c r="X194" s="202">
        <f>双柏!T55</f>
        <v>0</v>
      </c>
      <c r="Y194" s="202">
        <f>双柏!U55</f>
        <v>0</v>
      </c>
      <c r="Z194" s="202">
        <f>双柏!V55</f>
        <v>0</v>
      </c>
      <c r="AA194" s="202">
        <f>双柏!W55</f>
        <v>0</v>
      </c>
      <c r="AB194" s="202">
        <f>双柏!X55</f>
        <v>0</v>
      </c>
      <c r="AC194" s="202">
        <f>双柏!Y55</f>
        <v>0</v>
      </c>
      <c r="AD194" s="202">
        <f>双柏!Z55</f>
        <v>0</v>
      </c>
      <c r="AE194" s="202">
        <f>双柏!AA55</f>
        <v>0</v>
      </c>
      <c r="AF194" s="202">
        <f>双柏!AB55</f>
        <v>0</v>
      </c>
      <c r="AG194" s="202">
        <f>双柏!AC55</f>
        <v>0</v>
      </c>
      <c r="AH194" s="202">
        <f>双柏!AD55</f>
        <v>0</v>
      </c>
      <c r="AI194" s="202">
        <f>双柏!AE55</f>
        <v>0</v>
      </c>
      <c r="AJ194" s="202">
        <f>双柏!AF55</f>
        <v>0</v>
      </c>
      <c r="AK194" s="165" t="str">
        <f>双柏!AG55</f>
        <v>双柏县鄂嘉镇义隆村钠嫩村民小组</v>
      </c>
      <c r="AL194" s="165" t="str">
        <f>双柏!AH55</f>
        <v>2016/0802-0811</v>
      </c>
      <c r="AM194" s="165" t="str">
        <f>双柏!AI55</f>
        <v>2016/0802-0811</v>
      </c>
      <c r="AN194" s="165">
        <f>双柏!AJ55</f>
        <v>0</v>
      </c>
      <c r="AO194" s="165" t="str">
        <f>双柏!AK55</f>
        <v>海拔2416 N24°22′53.70″，E101°15′02.61″</v>
      </c>
      <c r="AP194" s="263">
        <v>12.5</v>
      </c>
      <c r="AQ194" s="209">
        <f>双柏!AM55</f>
        <v>0</v>
      </c>
      <c r="AR194" s="295">
        <f>双柏!AN55</f>
        <v>2.5</v>
      </c>
      <c r="AS194" s="199" t="str">
        <f>双柏!AO55</f>
        <v>532322195909080514</v>
      </c>
      <c r="AT194" s="199" t="str">
        <f>双柏!AP55</f>
        <v>13987886798</v>
      </c>
    </row>
    <row r="195" spans="1:46">
      <c r="A195" t="s">
        <v>1921</v>
      </c>
      <c r="B195" s="202" t="str">
        <f>VLOOKUP(A195,databases!$A$2:$B$7, 2, FALSE)</f>
        <v>ShuangBai</v>
      </c>
      <c r="C195" s="165" t="str">
        <f>双柏!B56</f>
        <v>李先富&amp;何学会</v>
      </c>
      <c r="D195" s="283" t="str">
        <f>VLOOKUP(C195,databases!$D$2:$E$145, 2, FALSE)</f>
        <v>R36</v>
      </c>
      <c r="E195" s="284" t="str">
        <f>INDEX(sample_database!$B$2:$B$506,MATCH(F195,sample_database!$L$2:$L$506,0))</f>
        <v>NA</v>
      </c>
      <c r="F195" s="202" t="str">
        <f>双柏!A56</f>
        <v>SB055</v>
      </c>
      <c r="G195" s="257">
        <f>双柏!C56</f>
        <v>10</v>
      </c>
      <c r="H195" s="257">
        <f>双柏!D56</f>
        <v>0</v>
      </c>
      <c r="I195" s="202">
        <f>双柏!E56</f>
        <v>53</v>
      </c>
      <c r="J195" s="202">
        <f>双柏!F56</f>
        <v>3</v>
      </c>
      <c r="K195" s="202">
        <f>双柏!G56</f>
        <v>4</v>
      </c>
      <c r="L195" s="202">
        <f>双柏!H56</f>
        <v>5</v>
      </c>
      <c r="M195" s="202">
        <f>双柏!I56</f>
        <v>3</v>
      </c>
      <c r="N195" s="202">
        <f>双柏!J56</f>
        <v>4</v>
      </c>
      <c r="O195" s="202">
        <f>双柏!K56</f>
        <v>8</v>
      </c>
      <c r="P195" s="202">
        <f>双柏!L56</f>
        <v>6</v>
      </c>
      <c r="Q195" s="202">
        <f>双柏!M56</f>
        <v>5</v>
      </c>
      <c r="R195" s="202">
        <f>双柏!N56</f>
        <v>4</v>
      </c>
      <c r="S195" s="202">
        <f>双柏!O56</f>
        <v>11</v>
      </c>
      <c r="T195" s="202">
        <f>双柏!P56</f>
        <v>0</v>
      </c>
      <c r="U195" s="202">
        <f>双柏!Q56</f>
        <v>0</v>
      </c>
      <c r="V195" s="202">
        <f>双柏!R56</f>
        <v>0</v>
      </c>
      <c r="W195" s="202">
        <f>双柏!S56</f>
        <v>0</v>
      </c>
      <c r="X195" s="202">
        <f>双柏!T56</f>
        <v>0</v>
      </c>
      <c r="Y195" s="202">
        <f>双柏!U56</f>
        <v>0</v>
      </c>
      <c r="Z195" s="202">
        <f>双柏!V56</f>
        <v>0</v>
      </c>
      <c r="AA195" s="202">
        <f>双柏!W56</f>
        <v>0</v>
      </c>
      <c r="AB195" s="202">
        <f>双柏!X56</f>
        <v>0</v>
      </c>
      <c r="AC195" s="202">
        <f>双柏!Y56</f>
        <v>0</v>
      </c>
      <c r="AD195" s="202">
        <f>双柏!Z56</f>
        <v>0</v>
      </c>
      <c r="AE195" s="202">
        <f>双柏!AA56</f>
        <v>0</v>
      </c>
      <c r="AF195" s="202">
        <f>双柏!AB56</f>
        <v>0</v>
      </c>
      <c r="AG195" s="202">
        <f>双柏!AC56</f>
        <v>0</v>
      </c>
      <c r="AH195" s="202">
        <f>双柏!AD56</f>
        <v>0</v>
      </c>
      <c r="AI195" s="202">
        <f>双柏!AE56</f>
        <v>0</v>
      </c>
      <c r="AJ195" s="202">
        <f>双柏!AF56</f>
        <v>0</v>
      </c>
      <c r="AK195" s="165" t="str">
        <f>双柏!AG56</f>
        <v>双柏县鄂嘉镇义隆村钠嫩村民小组</v>
      </c>
      <c r="AL195" s="165" t="str">
        <f>双柏!AH56</f>
        <v>2016/0812-0821</v>
      </c>
      <c r="AM195" s="165" t="str">
        <f>双柏!AI56</f>
        <v>2016/0812-0821</v>
      </c>
      <c r="AN195" s="165">
        <f>双柏!AJ56</f>
        <v>0</v>
      </c>
      <c r="AO195" s="165" t="str">
        <f>双柏!AK56</f>
        <v>海拔2502 N24°22′50.59″，E101°15′03.05″</v>
      </c>
      <c r="AP195" s="263">
        <v>12.5</v>
      </c>
      <c r="AQ195" s="209">
        <f>双柏!AM56</f>
        <v>0</v>
      </c>
      <c r="AR195" s="295">
        <f>双柏!AN56</f>
        <v>2.5</v>
      </c>
      <c r="AS195" s="199" t="str">
        <f>双柏!AO56</f>
        <v>532322195909080514</v>
      </c>
      <c r="AT195" s="199" t="str">
        <f>双柏!AP56</f>
        <v>13987886798</v>
      </c>
    </row>
    <row r="196" spans="1:46">
      <c r="A196" t="s">
        <v>1921</v>
      </c>
      <c r="B196" s="202" t="str">
        <f>VLOOKUP(A196,databases!$A$2:$B$7, 2, FALSE)</f>
        <v>ShuangBai</v>
      </c>
      <c r="C196" s="165" t="str">
        <f>双柏!B57</f>
        <v>李先富&amp;何学会</v>
      </c>
      <c r="D196" s="283" t="str">
        <f>VLOOKUP(C196,databases!$D$2:$E$145, 2, FALSE)</f>
        <v>R36</v>
      </c>
      <c r="E196" s="284" t="str">
        <f>INDEX(sample_database!$B$2:$B$506,MATCH(F196,sample_database!$L$2:$L$506,0))</f>
        <v>NA</v>
      </c>
      <c r="F196" s="202" t="str">
        <f>双柏!A57</f>
        <v>SB056</v>
      </c>
      <c r="G196" s="257">
        <f>双柏!C57</f>
        <v>9</v>
      </c>
      <c r="H196" s="257">
        <f>双柏!D57</f>
        <v>0</v>
      </c>
      <c r="I196" s="202">
        <f>双柏!E57</f>
        <v>29</v>
      </c>
      <c r="J196" s="202">
        <f>双柏!F57</f>
        <v>5</v>
      </c>
      <c r="K196" s="202">
        <f>双柏!G57</f>
        <v>2</v>
      </c>
      <c r="L196" s="202">
        <f>双柏!H57</f>
        <v>3</v>
      </c>
      <c r="M196" s="202">
        <f>双柏!I57</f>
        <v>4</v>
      </c>
      <c r="N196" s="202">
        <f>双柏!J57</f>
        <v>2</v>
      </c>
      <c r="O196" s="202">
        <f>双柏!K57</f>
        <v>2</v>
      </c>
      <c r="P196" s="202">
        <f>双柏!L57</f>
        <v>3</v>
      </c>
      <c r="Q196" s="202">
        <f>双柏!M57</f>
        <v>4</v>
      </c>
      <c r="R196" s="202">
        <f>双柏!N57</f>
        <v>4</v>
      </c>
      <c r="S196" s="202">
        <f>双柏!O57</f>
        <v>0</v>
      </c>
      <c r="T196" s="202">
        <f>双柏!P57</f>
        <v>0</v>
      </c>
      <c r="U196" s="202">
        <f>双柏!Q57</f>
        <v>0</v>
      </c>
      <c r="V196" s="202">
        <f>双柏!R57</f>
        <v>0</v>
      </c>
      <c r="W196" s="202">
        <f>双柏!S57</f>
        <v>0</v>
      </c>
      <c r="X196" s="202">
        <f>双柏!T57</f>
        <v>0</v>
      </c>
      <c r="Y196" s="202">
        <f>双柏!U57</f>
        <v>0</v>
      </c>
      <c r="Z196" s="202">
        <f>双柏!V57</f>
        <v>0</v>
      </c>
      <c r="AA196" s="202">
        <f>双柏!W57</f>
        <v>0</v>
      </c>
      <c r="AB196" s="202">
        <f>双柏!X57</f>
        <v>0</v>
      </c>
      <c r="AC196" s="202">
        <f>双柏!Y57</f>
        <v>0</v>
      </c>
      <c r="AD196" s="202">
        <f>双柏!Z57</f>
        <v>0</v>
      </c>
      <c r="AE196" s="202">
        <f>双柏!AA57</f>
        <v>0</v>
      </c>
      <c r="AF196" s="202">
        <f>双柏!AB57</f>
        <v>0</v>
      </c>
      <c r="AG196" s="202">
        <f>双柏!AC57</f>
        <v>0</v>
      </c>
      <c r="AH196" s="202">
        <f>双柏!AD57</f>
        <v>0</v>
      </c>
      <c r="AI196" s="202">
        <f>双柏!AE57</f>
        <v>0</v>
      </c>
      <c r="AJ196" s="202">
        <f>双柏!AF57</f>
        <v>0</v>
      </c>
      <c r="AK196" s="165" t="str">
        <f>双柏!AG57</f>
        <v>双柏县鄂嘉镇义隆村钠嫩村民小组</v>
      </c>
      <c r="AL196" s="165" t="str">
        <f>双柏!AH57</f>
        <v>2016/0822-0830</v>
      </c>
      <c r="AM196" s="165" t="str">
        <f>双柏!AI57</f>
        <v>2016/0822-0830</v>
      </c>
      <c r="AN196" s="165">
        <f>双柏!AJ57</f>
        <v>0</v>
      </c>
      <c r="AO196" s="165" t="str">
        <f>双柏!AK57</f>
        <v>海拔2475 N24°22′26.27″，E101°15′20.41″</v>
      </c>
      <c r="AP196" s="263">
        <v>10</v>
      </c>
      <c r="AQ196" s="209">
        <f>双柏!AM57</f>
        <v>0</v>
      </c>
      <c r="AR196" s="295">
        <f>双柏!AN57</f>
        <v>2</v>
      </c>
      <c r="AS196" s="199" t="str">
        <f>双柏!AO57</f>
        <v>532322195909080514</v>
      </c>
      <c r="AT196" s="199" t="str">
        <f>双柏!AP57</f>
        <v>13987886798</v>
      </c>
    </row>
    <row r="197" spans="1:46">
      <c r="A197" s="252" t="s">
        <v>1921</v>
      </c>
      <c r="B197" s="202" t="str">
        <f>VLOOKUP(A197,databases!$A$2:$B$7, 2, FALSE)</f>
        <v>ShuangBai</v>
      </c>
      <c r="C197" s="253" t="str">
        <f>双柏!B58</f>
        <v>李先富&amp;何学会</v>
      </c>
      <c r="D197" s="285" t="str">
        <f>VLOOKUP(C197,databases!$D$2:$E$145, 2, FALSE)</f>
        <v>R36</v>
      </c>
      <c r="E197" s="286" t="str">
        <f>INDEX(sample_database!$B$2:$B$506,MATCH(F197,sample_database!$L$2:$L$506,0))</f>
        <v>NA</v>
      </c>
      <c r="F197" s="236" t="str">
        <f>双柏!A58</f>
        <v>SB057</v>
      </c>
      <c r="G197" s="258">
        <f>双柏!C58</f>
        <v>0</v>
      </c>
      <c r="H197" s="258">
        <f>双柏!D58</f>
        <v>16</v>
      </c>
      <c r="I197" s="236">
        <f>双柏!E58</f>
        <v>52</v>
      </c>
      <c r="J197" s="236">
        <f>双柏!F58</f>
        <v>1</v>
      </c>
      <c r="K197" s="236">
        <f>双柏!G58</f>
        <v>1</v>
      </c>
      <c r="L197" s="236">
        <f>双柏!H58</f>
        <v>1</v>
      </c>
      <c r="M197" s="236">
        <f>双柏!I58</f>
        <v>2</v>
      </c>
      <c r="N197" s="236">
        <f>双柏!J58</f>
        <v>2</v>
      </c>
      <c r="O197" s="236">
        <f>双柏!K58</f>
        <v>2</v>
      </c>
      <c r="P197" s="236">
        <f>双柏!L58</f>
        <v>3</v>
      </c>
      <c r="Q197" s="236">
        <f>双柏!M58</f>
        <v>3</v>
      </c>
      <c r="R197" s="236">
        <f>双柏!N58</f>
        <v>4</v>
      </c>
      <c r="S197" s="236">
        <f>双柏!O58</f>
        <v>4</v>
      </c>
      <c r="T197" s="236">
        <f>双柏!P58</f>
        <v>4</v>
      </c>
      <c r="U197" s="236">
        <f>双柏!Q58</f>
        <v>4</v>
      </c>
      <c r="V197" s="236">
        <f>双柏!R58</f>
        <v>4</v>
      </c>
      <c r="W197" s="236">
        <f>双柏!S58</f>
        <v>4</v>
      </c>
      <c r="X197" s="236">
        <f>双柏!T58</f>
        <v>5</v>
      </c>
      <c r="Y197" s="236">
        <f>双柏!U58</f>
        <v>8</v>
      </c>
      <c r="Z197" s="236">
        <f>双柏!V58</f>
        <v>0</v>
      </c>
      <c r="AA197" s="236">
        <f>双柏!W58</f>
        <v>0</v>
      </c>
      <c r="AB197" s="236">
        <f>双柏!X58</f>
        <v>0</v>
      </c>
      <c r="AC197" s="236">
        <f>双柏!Y58</f>
        <v>0</v>
      </c>
      <c r="AD197" s="236">
        <f>双柏!Z58</f>
        <v>0</v>
      </c>
      <c r="AE197" s="236">
        <f>双柏!AA58</f>
        <v>0</v>
      </c>
      <c r="AF197" s="236">
        <f>双柏!AB58</f>
        <v>0</v>
      </c>
      <c r="AG197" s="236">
        <f>双柏!AC58</f>
        <v>0</v>
      </c>
      <c r="AH197" s="236">
        <f>双柏!AD58</f>
        <v>0</v>
      </c>
      <c r="AI197" s="236">
        <f>双柏!AE58</f>
        <v>0</v>
      </c>
      <c r="AJ197" s="236">
        <f>双柏!AF58</f>
        <v>0</v>
      </c>
      <c r="AK197" s="253" t="str">
        <f>双柏!AG58</f>
        <v>双柏县鄂嘉镇义隆村钠嫩村民小组</v>
      </c>
      <c r="AL197" s="253" t="str">
        <f>双柏!AH58</f>
        <v>2016/08</v>
      </c>
      <c r="AM197" s="253" t="str">
        <f>双柏!AI58</f>
        <v>2016/08</v>
      </c>
      <c r="AN197" s="253">
        <f>双柏!AJ58</f>
        <v>0</v>
      </c>
      <c r="AO197" s="253" t="str">
        <f>双柏!AK58</f>
        <v>海拔2213 N24°22′46.92″，E101°16′22.23″</v>
      </c>
      <c r="AP197" s="264">
        <v>10</v>
      </c>
      <c r="AQ197" s="260">
        <f>双柏!AM58</f>
        <v>0</v>
      </c>
      <c r="AR197" s="296">
        <f>双柏!AN58</f>
        <v>2</v>
      </c>
      <c r="AS197" s="255" t="str">
        <f>双柏!AO58</f>
        <v>532322195909080514</v>
      </c>
      <c r="AT197" s="255" t="str">
        <f>双柏!AP58</f>
        <v>13987886798</v>
      </c>
    </row>
    <row r="198" spans="1:46">
      <c r="A198" t="s">
        <v>1921</v>
      </c>
      <c r="B198" s="202" t="str">
        <f>VLOOKUP(A198,databases!$A$2:$B$7, 2, FALSE)</f>
        <v>ShuangBai</v>
      </c>
      <c r="C198" s="165" t="str">
        <f>双柏!B147</f>
        <v>李开应&amp;苏连发</v>
      </c>
      <c r="D198" s="202" t="str">
        <f>VLOOKUP(C198,databases!$D$2:$E$145, 2, FALSE)</f>
        <v>R49</v>
      </c>
      <c r="E198" s="259">
        <f>INDEX(sample_database!$B$2:$B$506,MATCH(F198,sample_database!$L$2:$L$506,0))</f>
        <v>4</v>
      </c>
      <c r="F198" s="202" t="str">
        <f>双柏!A147</f>
        <v>SB146</v>
      </c>
      <c r="G198" s="257">
        <f>双柏!C147</f>
        <v>10</v>
      </c>
      <c r="H198" s="257">
        <f>双柏!D147</f>
        <v>0</v>
      </c>
      <c r="I198" s="202">
        <f>双柏!E147</f>
        <v>75</v>
      </c>
      <c r="J198" s="202">
        <f>双柏!F147</f>
        <v>4</v>
      </c>
      <c r="K198" s="202">
        <f>双柏!G147</f>
        <v>7</v>
      </c>
      <c r="L198" s="202">
        <f>双柏!H147</f>
        <v>2</v>
      </c>
      <c r="M198" s="202">
        <f>双柏!I147</f>
        <v>7</v>
      </c>
      <c r="N198" s="202">
        <f>双柏!J147</f>
        <v>6</v>
      </c>
      <c r="O198" s="202">
        <f>双柏!K147</f>
        <v>5</v>
      </c>
      <c r="P198" s="202">
        <f>双柏!L147</f>
        <v>6</v>
      </c>
      <c r="Q198" s="202">
        <f>双柏!M147</f>
        <v>4</v>
      </c>
      <c r="R198" s="202">
        <f>双柏!N147</f>
        <v>14</v>
      </c>
      <c r="S198" s="202">
        <f>双柏!O147</f>
        <v>20</v>
      </c>
      <c r="T198" s="202">
        <f>双柏!P147</f>
        <v>0</v>
      </c>
      <c r="U198" s="202">
        <f>双柏!Q147</f>
        <v>0</v>
      </c>
      <c r="V198" s="202">
        <f>双柏!R147</f>
        <v>0</v>
      </c>
      <c r="W198" s="202">
        <f>双柏!S147</f>
        <v>0</v>
      </c>
      <c r="X198" s="202">
        <f>双柏!T147</f>
        <v>0</v>
      </c>
      <c r="Y198" s="202">
        <f>双柏!U147</f>
        <v>0</v>
      </c>
      <c r="Z198" s="202">
        <f>双柏!V147</f>
        <v>0</v>
      </c>
      <c r="AA198" s="202">
        <f>双柏!W147</f>
        <v>0</v>
      </c>
      <c r="AB198" s="202">
        <f>双柏!X147</f>
        <v>0</v>
      </c>
      <c r="AC198" s="202">
        <f>双柏!Y147</f>
        <v>0</v>
      </c>
      <c r="AD198" s="202">
        <f>双柏!Z147</f>
        <v>0</v>
      </c>
      <c r="AE198" s="202">
        <f>双柏!AA147</f>
        <v>0</v>
      </c>
      <c r="AF198" s="202">
        <f>双柏!AB147</f>
        <v>0</v>
      </c>
      <c r="AG198" s="202">
        <f>双柏!AC147</f>
        <v>0</v>
      </c>
      <c r="AH198" s="202">
        <f>双柏!AD147</f>
        <v>0</v>
      </c>
      <c r="AI198" s="202">
        <f>双柏!AE147</f>
        <v>0</v>
      </c>
      <c r="AJ198" s="202">
        <f>双柏!AF147</f>
        <v>0</v>
      </c>
      <c r="AK198" s="165" t="str">
        <f>双柏!AG147</f>
        <v>双柏县鄂嘉镇新树村</v>
      </c>
      <c r="AL198" s="165" t="str">
        <f>双柏!AH147</f>
        <v>2016/0720-0729</v>
      </c>
      <c r="AM198" s="165" t="str">
        <f>双柏!AI147</f>
        <v>2016/0720-0729</v>
      </c>
      <c r="AN198" s="165">
        <f>双柏!AJ147</f>
        <v>0</v>
      </c>
      <c r="AO198" s="165" t="str">
        <f>双柏!AK147</f>
        <v>2606</v>
      </c>
      <c r="AP198" s="263">
        <v>10</v>
      </c>
      <c r="AQ198" s="209">
        <f>双柏!AM147</f>
        <v>0</v>
      </c>
      <c r="AR198" s="295">
        <f>双柏!AN147</f>
        <v>2</v>
      </c>
      <c r="AS198" s="199" t="str">
        <f>双柏!AO147</f>
        <v>13769254755&amp;15288511032</v>
      </c>
      <c r="AT198" s="199" t="str">
        <f>双柏!AP147</f>
        <v>53232219640207051X</v>
      </c>
    </row>
    <row r="199" spans="1:46">
      <c r="A199" t="s">
        <v>1921</v>
      </c>
      <c r="B199" s="202" t="str">
        <f>VLOOKUP(A199,databases!$A$2:$B$7, 2, FALSE)</f>
        <v>ShuangBai</v>
      </c>
      <c r="C199" s="165" t="str">
        <f>双柏!B148</f>
        <v>李开应&amp;苏连发</v>
      </c>
      <c r="D199" s="202" t="str">
        <f>VLOOKUP(C199,databases!$D$2:$E$145, 2, FALSE)</f>
        <v>R49</v>
      </c>
      <c r="E199" s="259">
        <f>INDEX(sample_database!$B$2:$B$506,MATCH(F199,sample_database!$L$2:$L$506,0))</f>
        <v>4</v>
      </c>
      <c r="F199" s="202" t="str">
        <f>双柏!A148</f>
        <v>SB147</v>
      </c>
      <c r="G199" s="257">
        <f>双柏!C148</f>
        <v>10</v>
      </c>
      <c r="H199" s="257">
        <f>双柏!D148</f>
        <v>0</v>
      </c>
      <c r="I199" s="202">
        <f>双柏!E148</f>
        <v>59</v>
      </c>
      <c r="J199" s="202">
        <f>双柏!F148</f>
        <v>3</v>
      </c>
      <c r="K199" s="202">
        <f>双柏!G148</f>
        <v>4</v>
      </c>
      <c r="L199" s="202">
        <f>双柏!H148</f>
        <v>4</v>
      </c>
      <c r="M199" s="202">
        <f>双柏!I148</f>
        <v>5</v>
      </c>
      <c r="N199" s="202">
        <f>双柏!J148</f>
        <v>8</v>
      </c>
      <c r="O199" s="202">
        <f>双柏!K148</f>
        <v>7</v>
      </c>
      <c r="P199" s="202">
        <f>双柏!L148</f>
        <v>7</v>
      </c>
      <c r="Q199" s="202">
        <f>双柏!M148</f>
        <v>7</v>
      </c>
      <c r="R199" s="202">
        <f>双柏!N148</f>
        <v>7</v>
      </c>
      <c r="S199" s="202">
        <f>双柏!O148</f>
        <v>7</v>
      </c>
      <c r="T199" s="202">
        <f>双柏!P148</f>
        <v>0</v>
      </c>
      <c r="U199" s="202">
        <f>双柏!Q148</f>
        <v>0</v>
      </c>
      <c r="V199" s="202">
        <f>双柏!R148</f>
        <v>0</v>
      </c>
      <c r="W199" s="202">
        <f>双柏!S148</f>
        <v>0</v>
      </c>
      <c r="X199" s="202">
        <f>双柏!T148</f>
        <v>0</v>
      </c>
      <c r="Y199" s="202">
        <f>双柏!U148</f>
        <v>0</v>
      </c>
      <c r="Z199" s="202">
        <f>双柏!V148</f>
        <v>0</v>
      </c>
      <c r="AA199" s="202">
        <f>双柏!W148</f>
        <v>0</v>
      </c>
      <c r="AB199" s="202">
        <f>双柏!X148</f>
        <v>0</v>
      </c>
      <c r="AC199" s="202">
        <f>双柏!Y148</f>
        <v>0</v>
      </c>
      <c r="AD199" s="202">
        <f>双柏!Z148</f>
        <v>0</v>
      </c>
      <c r="AE199" s="202">
        <f>双柏!AA148</f>
        <v>0</v>
      </c>
      <c r="AF199" s="202">
        <f>双柏!AB148</f>
        <v>0</v>
      </c>
      <c r="AG199" s="202">
        <f>双柏!AC148</f>
        <v>0</v>
      </c>
      <c r="AH199" s="202">
        <f>双柏!AD148</f>
        <v>0</v>
      </c>
      <c r="AI199" s="202">
        <f>双柏!AE148</f>
        <v>0</v>
      </c>
      <c r="AJ199" s="202">
        <f>双柏!AF148</f>
        <v>0</v>
      </c>
      <c r="AK199" s="165" t="str">
        <f>双柏!AG148</f>
        <v>双柏县鄂嘉镇新树村</v>
      </c>
      <c r="AL199" s="165" t="str">
        <f>双柏!AH148</f>
        <v>2016/0730-0808</v>
      </c>
      <c r="AM199" s="165" t="str">
        <f>双柏!AI148</f>
        <v>2016/0730-0808</v>
      </c>
      <c r="AN199" s="165">
        <f>双柏!AJ148</f>
        <v>0</v>
      </c>
      <c r="AO199" s="165" t="str">
        <f>双柏!AK148</f>
        <v>2625</v>
      </c>
      <c r="AP199" s="263">
        <v>12.5</v>
      </c>
      <c r="AQ199" s="209">
        <f>双柏!AM148</f>
        <v>0</v>
      </c>
      <c r="AR199" s="295">
        <f>双柏!AN148</f>
        <v>2.5</v>
      </c>
      <c r="AS199" s="199" t="str">
        <f>双柏!AO148</f>
        <v>13769254755&amp;15288511032</v>
      </c>
      <c r="AT199" s="199" t="str">
        <f>双柏!AP148</f>
        <v>53232219640207051X</v>
      </c>
    </row>
    <row r="200" spans="1:46">
      <c r="A200" t="s">
        <v>1921</v>
      </c>
      <c r="B200" s="202" t="str">
        <f>VLOOKUP(A200,databases!$A$2:$B$7, 2, FALSE)</f>
        <v>ShuangBai</v>
      </c>
      <c r="C200" s="165" t="str">
        <f>双柏!B149</f>
        <v>李开应&amp;苏连发</v>
      </c>
      <c r="D200" s="202" t="str">
        <f>VLOOKUP(C200,databases!$D$2:$E$145, 2, FALSE)</f>
        <v>R49</v>
      </c>
      <c r="E200" s="259">
        <f>INDEX(sample_database!$B$2:$B$506,MATCH(F200,sample_database!$L$2:$L$506,0))</f>
        <v>4</v>
      </c>
      <c r="F200" s="202" t="str">
        <f>双柏!A149</f>
        <v>SB148</v>
      </c>
      <c r="G200" s="257">
        <f>双柏!C149</f>
        <v>10</v>
      </c>
      <c r="H200" s="257">
        <f>双柏!D149</f>
        <v>0</v>
      </c>
      <c r="I200" s="202">
        <f>双柏!E149</f>
        <v>71</v>
      </c>
      <c r="J200" s="202">
        <f>双柏!F149</f>
        <v>4</v>
      </c>
      <c r="K200" s="202">
        <f>双柏!G149</f>
        <v>4</v>
      </c>
      <c r="L200" s="202">
        <f>双柏!H149</f>
        <v>2</v>
      </c>
      <c r="M200" s="202">
        <f>双柏!I149</f>
        <v>3</v>
      </c>
      <c r="N200" s="202">
        <f>双柏!J149</f>
        <v>6</v>
      </c>
      <c r="O200" s="202">
        <f>双柏!K149</f>
        <v>4</v>
      </c>
      <c r="P200" s="202">
        <f>双柏!L149</f>
        <v>4</v>
      </c>
      <c r="Q200" s="202">
        <f>双柏!M149</f>
        <v>8</v>
      </c>
      <c r="R200" s="202">
        <f>双柏!N149</f>
        <v>6</v>
      </c>
      <c r="S200" s="202">
        <f>双柏!O149</f>
        <v>30</v>
      </c>
      <c r="T200" s="202">
        <f>双柏!P149</f>
        <v>0</v>
      </c>
      <c r="U200" s="202">
        <f>双柏!Q149</f>
        <v>0</v>
      </c>
      <c r="V200" s="202">
        <f>双柏!R149</f>
        <v>0</v>
      </c>
      <c r="W200" s="202">
        <f>双柏!S149</f>
        <v>0</v>
      </c>
      <c r="X200" s="202">
        <f>双柏!T149</f>
        <v>0</v>
      </c>
      <c r="Y200" s="202">
        <f>双柏!U149</f>
        <v>0</v>
      </c>
      <c r="Z200" s="202">
        <f>双柏!V149</f>
        <v>0</v>
      </c>
      <c r="AA200" s="202">
        <f>双柏!W149</f>
        <v>0</v>
      </c>
      <c r="AB200" s="202">
        <f>双柏!X149</f>
        <v>0</v>
      </c>
      <c r="AC200" s="202">
        <f>双柏!Y149</f>
        <v>0</v>
      </c>
      <c r="AD200" s="202">
        <f>双柏!Z149</f>
        <v>0</v>
      </c>
      <c r="AE200" s="202">
        <f>双柏!AA149</f>
        <v>0</v>
      </c>
      <c r="AF200" s="202">
        <f>双柏!AB149</f>
        <v>0</v>
      </c>
      <c r="AG200" s="202">
        <f>双柏!AC149</f>
        <v>0</v>
      </c>
      <c r="AH200" s="202">
        <f>双柏!AD149</f>
        <v>0</v>
      </c>
      <c r="AI200" s="202">
        <f>双柏!AE149</f>
        <v>0</v>
      </c>
      <c r="AJ200" s="202">
        <f>双柏!AF149</f>
        <v>0</v>
      </c>
      <c r="AK200" s="165" t="str">
        <f>双柏!AG149</f>
        <v>双柏县鄂嘉镇新树村</v>
      </c>
      <c r="AL200" s="165" t="str">
        <f>双柏!AH149</f>
        <v>2016/0809-0818</v>
      </c>
      <c r="AM200" s="165" t="str">
        <f>双柏!AI149</f>
        <v>2016/0809-0818</v>
      </c>
      <c r="AN200" s="165">
        <f>双柏!AJ149</f>
        <v>0</v>
      </c>
      <c r="AO200" s="165" t="str">
        <f>双柏!AK149</f>
        <v>2615</v>
      </c>
      <c r="AP200" s="263">
        <v>10</v>
      </c>
      <c r="AQ200" s="209">
        <f>双柏!AM149</f>
        <v>0</v>
      </c>
      <c r="AR200" s="295">
        <f>双柏!AN149</f>
        <v>2</v>
      </c>
      <c r="AS200" s="199" t="str">
        <f>双柏!AO149</f>
        <v>13769254755&amp;15288511032</v>
      </c>
      <c r="AT200" s="199" t="str">
        <f>双柏!AP149</f>
        <v>53232219640207051X</v>
      </c>
    </row>
    <row r="201" spans="1:46">
      <c r="A201" t="s">
        <v>1921</v>
      </c>
      <c r="B201" s="202" t="str">
        <f>VLOOKUP(A201,databases!$A$2:$B$7, 2, FALSE)</f>
        <v>ShuangBai</v>
      </c>
      <c r="C201" s="165" t="str">
        <f>双柏!B150</f>
        <v>李开应&amp;苏连发</v>
      </c>
      <c r="D201" s="202" t="str">
        <f>VLOOKUP(C201,databases!$D$2:$E$145, 2, FALSE)</f>
        <v>R49</v>
      </c>
      <c r="E201" s="259">
        <f>INDEX(sample_database!$B$2:$B$506,MATCH(F201,sample_database!$L$2:$L$506,0))</f>
        <v>4</v>
      </c>
      <c r="F201" s="202" t="str">
        <f>双柏!A150</f>
        <v>SB149</v>
      </c>
      <c r="G201" s="257">
        <f>双柏!C150</f>
        <v>10</v>
      </c>
      <c r="H201" s="257">
        <f>双柏!D150</f>
        <v>0</v>
      </c>
      <c r="I201" s="202">
        <f>双柏!E150</f>
        <v>77</v>
      </c>
      <c r="J201" s="202">
        <f>双柏!F150</f>
        <v>4</v>
      </c>
      <c r="K201" s="202">
        <f>双柏!G150</f>
        <v>4</v>
      </c>
      <c r="L201" s="202">
        <f>双柏!H150</f>
        <v>5</v>
      </c>
      <c r="M201" s="202">
        <f>双柏!I150</f>
        <v>5</v>
      </c>
      <c r="N201" s="202">
        <f>双柏!J150</f>
        <v>5</v>
      </c>
      <c r="O201" s="202">
        <f>双柏!K150</f>
        <v>6</v>
      </c>
      <c r="P201" s="202">
        <f>双柏!L150</f>
        <v>6</v>
      </c>
      <c r="Q201" s="202">
        <f>双柏!M150</f>
        <v>6</v>
      </c>
      <c r="R201" s="202">
        <f>双柏!N150</f>
        <v>8</v>
      </c>
      <c r="S201" s="202">
        <f>双柏!O150</f>
        <v>28</v>
      </c>
      <c r="T201" s="202">
        <f>双柏!P150</f>
        <v>0</v>
      </c>
      <c r="U201" s="202">
        <f>双柏!Q150</f>
        <v>0</v>
      </c>
      <c r="V201" s="202">
        <f>双柏!R150</f>
        <v>0</v>
      </c>
      <c r="W201" s="202">
        <f>双柏!S150</f>
        <v>0</v>
      </c>
      <c r="X201" s="202">
        <f>双柏!T150</f>
        <v>0</v>
      </c>
      <c r="Y201" s="202">
        <f>双柏!U150</f>
        <v>0</v>
      </c>
      <c r="Z201" s="202">
        <f>双柏!V150</f>
        <v>0</v>
      </c>
      <c r="AA201" s="202">
        <f>双柏!W150</f>
        <v>0</v>
      </c>
      <c r="AB201" s="202">
        <f>双柏!X150</f>
        <v>0</v>
      </c>
      <c r="AC201" s="202">
        <f>双柏!Y150</f>
        <v>0</v>
      </c>
      <c r="AD201" s="202">
        <f>双柏!Z150</f>
        <v>0</v>
      </c>
      <c r="AE201" s="202">
        <f>双柏!AA150</f>
        <v>0</v>
      </c>
      <c r="AF201" s="202">
        <f>双柏!AB150</f>
        <v>0</v>
      </c>
      <c r="AG201" s="202">
        <f>双柏!AC150</f>
        <v>0</v>
      </c>
      <c r="AH201" s="202">
        <f>双柏!AD150</f>
        <v>0</v>
      </c>
      <c r="AI201" s="202">
        <f>双柏!AE150</f>
        <v>0</v>
      </c>
      <c r="AJ201" s="202">
        <f>双柏!AF150</f>
        <v>0</v>
      </c>
      <c r="AK201" s="165" t="str">
        <f>双柏!AG150</f>
        <v>双柏县鄂嘉镇新树村</v>
      </c>
      <c r="AL201" s="165" t="str">
        <f>双柏!AH150</f>
        <v>2016/0819-0828</v>
      </c>
      <c r="AM201" s="165" t="str">
        <f>双柏!AI150</f>
        <v>2016/0819-0828</v>
      </c>
      <c r="AN201" s="165">
        <f>双柏!AJ150</f>
        <v>0</v>
      </c>
      <c r="AO201" s="165" t="str">
        <f>双柏!AK150</f>
        <v>2631</v>
      </c>
      <c r="AP201" s="263">
        <v>12.5</v>
      </c>
      <c r="AQ201" s="209">
        <f>双柏!AM150</f>
        <v>0</v>
      </c>
      <c r="AR201" s="295">
        <f>双柏!AN150</f>
        <v>2.5</v>
      </c>
      <c r="AS201" s="199" t="str">
        <f>双柏!AO150</f>
        <v>13769254755&amp;15288511032</v>
      </c>
      <c r="AT201" s="199" t="str">
        <f>双柏!AP150</f>
        <v>53232219640207051X</v>
      </c>
    </row>
    <row r="202" spans="1:46">
      <c r="A202" t="s">
        <v>1921</v>
      </c>
      <c r="B202" s="202" t="str">
        <f>VLOOKUP(A202,databases!$A$2:$B$7, 2, FALSE)</f>
        <v>ShuangBai</v>
      </c>
      <c r="C202" s="165" t="str">
        <f>双柏!B31</f>
        <v>李有华&amp;李廷梅</v>
      </c>
      <c r="D202" s="202" t="str">
        <f>VLOOKUP(C202,databases!$D$2:$E$145, 2, FALSE)</f>
        <v>R59</v>
      </c>
      <c r="E202" s="259">
        <f>INDEX(sample_database!$B$2:$B$506,MATCH(F202,sample_database!$L$2:$L$506,0))</f>
        <v>141</v>
      </c>
      <c r="F202" s="202" t="str">
        <f>双柏!A31</f>
        <v>SB030</v>
      </c>
      <c r="G202" s="257">
        <f>双柏!C31</f>
        <v>10</v>
      </c>
      <c r="H202" s="257">
        <f>双柏!D31</f>
        <v>0</v>
      </c>
      <c r="I202" s="202">
        <f>双柏!E31</f>
        <v>83</v>
      </c>
      <c r="J202" s="202">
        <f>双柏!F31</f>
        <v>10</v>
      </c>
      <c r="K202" s="202">
        <f>双柏!G31</f>
        <v>9</v>
      </c>
      <c r="L202" s="202">
        <f>双柏!H31</f>
        <v>7</v>
      </c>
      <c r="M202" s="202">
        <f>双柏!I31</f>
        <v>9</v>
      </c>
      <c r="N202" s="202">
        <f>双柏!J31</f>
        <v>9</v>
      </c>
      <c r="O202" s="202">
        <f>双柏!K31</f>
        <v>9</v>
      </c>
      <c r="P202" s="202">
        <f>双柏!L31</f>
        <v>8</v>
      </c>
      <c r="Q202" s="202">
        <f>双柏!M31</f>
        <v>7</v>
      </c>
      <c r="R202" s="202">
        <f>双柏!N31</f>
        <v>5</v>
      </c>
      <c r="S202" s="202">
        <f>双柏!O31</f>
        <v>10</v>
      </c>
      <c r="T202" s="202">
        <f>双柏!P31</f>
        <v>0</v>
      </c>
      <c r="U202" s="202">
        <f>双柏!Q31</f>
        <v>0</v>
      </c>
      <c r="V202" s="202">
        <f>双柏!R31</f>
        <v>0</v>
      </c>
      <c r="W202" s="202">
        <f>双柏!S31</f>
        <v>0</v>
      </c>
      <c r="X202" s="202">
        <f>双柏!T31</f>
        <v>0</v>
      </c>
      <c r="Y202" s="202">
        <f>双柏!U31</f>
        <v>0</v>
      </c>
      <c r="Z202" s="202">
        <f>双柏!V31</f>
        <v>0</v>
      </c>
      <c r="AA202" s="202">
        <f>双柏!W31</f>
        <v>0</v>
      </c>
      <c r="AB202" s="202">
        <f>双柏!X31</f>
        <v>0</v>
      </c>
      <c r="AC202" s="202">
        <f>双柏!Y31</f>
        <v>0</v>
      </c>
      <c r="AD202" s="202">
        <f>双柏!Z31</f>
        <v>0</v>
      </c>
      <c r="AE202" s="202">
        <f>双柏!AA31</f>
        <v>0</v>
      </c>
      <c r="AF202" s="202">
        <f>双柏!AB31</f>
        <v>0</v>
      </c>
      <c r="AG202" s="202">
        <f>双柏!AC31</f>
        <v>0</v>
      </c>
      <c r="AH202" s="202">
        <f>双柏!AD31</f>
        <v>0</v>
      </c>
      <c r="AI202" s="202">
        <f>双柏!AE31</f>
        <v>0</v>
      </c>
      <c r="AJ202" s="202">
        <f>双柏!AF31</f>
        <v>0</v>
      </c>
      <c r="AK202" s="165" t="str">
        <f>双柏!AG31</f>
        <v>双柏县鄂嘉镇新树村委会</v>
      </c>
      <c r="AL202" s="165" t="str">
        <f>双柏!AH31</f>
        <v>2016/0720-0728</v>
      </c>
      <c r="AM202" s="165" t="str">
        <f>双柏!AI31</f>
        <v>2016/0720-0728</v>
      </c>
      <c r="AN202" s="165">
        <f>双柏!AJ31</f>
        <v>0</v>
      </c>
      <c r="AO202" s="165" t="str">
        <f>双柏!AK31</f>
        <v>海拔2691 N24°17′22.03″，E101°17′10.24″</v>
      </c>
      <c r="AP202" s="263">
        <v>10</v>
      </c>
      <c r="AQ202" s="209">
        <f>双柏!AM31</f>
        <v>0</v>
      </c>
      <c r="AR202" s="295">
        <f>双柏!AN31</f>
        <v>2</v>
      </c>
      <c r="AS202" s="199" t="str">
        <f>双柏!AO31</f>
        <v>532322196812100515</v>
      </c>
      <c r="AT202" s="199" t="str">
        <f>双柏!AP31</f>
        <v>15288564767</v>
      </c>
    </row>
    <row r="203" spans="1:46">
      <c r="A203" t="s">
        <v>1921</v>
      </c>
      <c r="B203" s="202" t="str">
        <f>VLOOKUP(A203,databases!$A$2:$B$7, 2, FALSE)</f>
        <v>ShuangBai</v>
      </c>
      <c r="C203" s="165" t="str">
        <f>双柏!B32</f>
        <v>李有华&amp;李廷梅</v>
      </c>
      <c r="D203" s="202" t="str">
        <f>VLOOKUP(C203,databases!$D$2:$E$145, 2, FALSE)</f>
        <v>R59</v>
      </c>
      <c r="E203" s="259">
        <f>INDEX(sample_database!$B$2:$B$506,MATCH(F203,sample_database!$L$2:$L$506,0))</f>
        <v>141</v>
      </c>
      <c r="F203" s="202" t="str">
        <f>双柏!A32</f>
        <v>SB031</v>
      </c>
      <c r="G203" s="257">
        <f>双柏!C32</f>
        <v>9</v>
      </c>
      <c r="H203" s="257">
        <f>双柏!D32</f>
        <v>0</v>
      </c>
      <c r="I203" s="202">
        <f>双柏!E32</f>
        <v>95</v>
      </c>
      <c r="J203" s="202">
        <f>双柏!F32</f>
        <v>13</v>
      </c>
      <c r="K203" s="202">
        <f>双柏!G32</f>
        <v>10</v>
      </c>
      <c r="L203" s="202">
        <f>双柏!H32</f>
        <v>13</v>
      </c>
      <c r="M203" s="202">
        <f>双柏!I32</f>
        <v>8</v>
      </c>
      <c r="N203" s="202">
        <f>双柏!J32</f>
        <v>6</v>
      </c>
      <c r="O203" s="202">
        <f>双柏!K32</f>
        <v>8</v>
      </c>
      <c r="P203" s="202">
        <f>双柏!L32</f>
        <v>12</v>
      </c>
      <c r="Q203" s="202">
        <f>双柏!M32</f>
        <v>12</v>
      </c>
      <c r="R203" s="202">
        <f>双柏!N32</f>
        <v>13</v>
      </c>
      <c r="S203" s="202">
        <f>双柏!O32</f>
        <v>0</v>
      </c>
      <c r="T203" s="202">
        <f>双柏!P32</f>
        <v>0</v>
      </c>
      <c r="U203" s="202">
        <f>双柏!Q32</f>
        <v>0</v>
      </c>
      <c r="V203" s="202">
        <f>双柏!R32</f>
        <v>0</v>
      </c>
      <c r="W203" s="202">
        <f>双柏!S32</f>
        <v>0</v>
      </c>
      <c r="X203" s="202">
        <f>双柏!T32</f>
        <v>0</v>
      </c>
      <c r="Y203" s="202">
        <f>双柏!U32</f>
        <v>0</v>
      </c>
      <c r="Z203" s="202">
        <f>双柏!V32</f>
        <v>0</v>
      </c>
      <c r="AA203" s="202">
        <f>双柏!W32</f>
        <v>0</v>
      </c>
      <c r="AB203" s="202">
        <f>双柏!X32</f>
        <v>0</v>
      </c>
      <c r="AC203" s="202">
        <f>双柏!Y32</f>
        <v>0</v>
      </c>
      <c r="AD203" s="202">
        <f>双柏!Z32</f>
        <v>0</v>
      </c>
      <c r="AE203" s="202">
        <f>双柏!AA32</f>
        <v>0</v>
      </c>
      <c r="AF203" s="202">
        <f>双柏!AB32</f>
        <v>0</v>
      </c>
      <c r="AG203" s="202">
        <f>双柏!AC32</f>
        <v>0</v>
      </c>
      <c r="AH203" s="202">
        <f>双柏!AD32</f>
        <v>0</v>
      </c>
      <c r="AI203" s="202">
        <f>双柏!AE32</f>
        <v>0</v>
      </c>
      <c r="AJ203" s="202">
        <f>双柏!AF32</f>
        <v>0</v>
      </c>
      <c r="AK203" s="165" t="str">
        <f>双柏!AG32</f>
        <v>双柏县鄂嘉镇新树村委会</v>
      </c>
      <c r="AL203" s="165" t="str">
        <f>双柏!AH32</f>
        <v>2016/0729-0807</v>
      </c>
      <c r="AM203" s="165" t="str">
        <f>双柏!AI32</f>
        <v>2016/0729-0807</v>
      </c>
      <c r="AN203" s="165">
        <f>双柏!AJ32</f>
        <v>0</v>
      </c>
      <c r="AO203" s="165" t="str">
        <f>双柏!AK32</f>
        <v>海拔2691 N24°17′22.03″，E101°17′10.24″</v>
      </c>
      <c r="AP203" s="263">
        <v>10</v>
      </c>
      <c r="AQ203" s="209">
        <f>双柏!AM32</f>
        <v>0</v>
      </c>
      <c r="AR203" s="295">
        <f>双柏!AN32</f>
        <v>2</v>
      </c>
      <c r="AS203" s="199" t="str">
        <f>双柏!AO32</f>
        <v>532322196812100515</v>
      </c>
      <c r="AT203" s="199" t="str">
        <f>双柏!AP32</f>
        <v>15288564767</v>
      </c>
    </row>
    <row r="204" spans="1:46">
      <c r="A204" t="s">
        <v>1921</v>
      </c>
      <c r="B204" s="202" t="str">
        <f>VLOOKUP(A204,databases!$A$2:$B$7, 2, FALSE)</f>
        <v>ShuangBai</v>
      </c>
      <c r="C204" s="165" t="str">
        <f>双柏!B33</f>
        <v>李有华&amp;李廷梅</v>
      </c>
      <c r="D204" s="202" t="str">
        <f>VLOOKUP(C204,databases!$D$2:$E$145, 2, FALSE)</f>
        <v>R59</v>
      </c>
      <c r="E204" s="259">
        <f>INDEX(sample_database!$B$2:$B$506,MATCH(F204,sample_database!$L$2:$L$506,0))</f>
        <v>141</v>
      </c>
      <c r="F204" s="202" t="str">
        <f>双柏!A33</f>
        <v>SB032</v>
      </c>
      <c r="G204" s="257">
        <f>双柏!C33</f>
        <v>10</v>
      </c>
      <c r="H204" s="257">
        <f>双柏!D33</f>
        <v>0</v>
      </c>
      <c r="I204" s="202">
        <f>双柏!E33</f>
        <v>89</v>
      </c>
      <c r="J204" s="202">
        <f>双柏!F33</f>
        <v>6</v>
      </c>
      <c r="K204" s="202">
        <f>双柏!G33</f>
        <v>9</v>
      </c>
      <c r="L204" s="202">
        <f>双柏!H33</f>
        <v>10</v>
      </c>
      <c r="M204" s="202">
        <f>双柏!I33</f>
        <v>9</v>
      </c>
      <c r="N204" s="202">
        <f>双柏!J33</f>
        <v>10</v>
      </c>
      <c r="O204" s="202">
        <f>双柏!K33</f>
        <v>9</v>
      </c>
      <c r="P204" s="202">
        <f>双柏!L33</f>
        <v>6</v>
      </c>
      <c r="Q204" s="202">
        <f>双柏!M33</f>
        <v>11</v>
      </c>
      <c r="R204" s="202">
        <f>双柏!N33</f>
        <v>10</v>
      </c>
      <c r="S204" s="202">
        <f>双柏!O33</f>
        <v>9</v>
      </c>
      <c r="T204" s="202">
        <f>双柏!P33</f>
        <v>0</v>
      </c>
      <c r="U204" s="202">
        <f>双柏!Q33</f>
        <v>0</v>
      </c>
      <c r="V204" s="202">
        <f>双柏!R33</f>
        <v>0</v>
      </c>
      <c r="W204" s="202">
        <f>双柏!S33</f>
        <v>0</v>
      </c>
      <c r="X204" s="202">
        <f>双柏!T33</f>
        <v>0</v>
      </c>
      <c r="Y204" s="202">
        <f>双柏!U33</f>
        <v>0</v>
      </c>
      <c r="Z204" s="202">
        <f>双柏!V33</f>
        <v>0</v>
      </c>
      <c r="AA204" s="202">
        <f>双柏!W33</f>
        <v>0</v>
      </c>
      <c r="AB204" s="202">
        <f>双柏!X33</f>
        <v>0</v>
      </c>
      <c r="AC204" s="202">
        <f>双柏!Y33</f>
        <v>0</v>
      </c>
      <c r="AD204" s="202">
        <f>双柏!Z33</f>
        <v>0</v>
      </c>
      <c r="AE204" s="202">
        <f>双柏!AA33</f>
        <v>0</v>
      </c>
      <c r="AF204" s="202">
        <f>双柏!AB33</f>
        <v>0</v>
      </c>
      <c r="AG204" s="202">
        <f>双柏!AC33</f>
        <v>0</v>
      </c>
      <c r="AH204" s="202">
        <f>双柏!AD33</f>
        <v>0</v>
      </c>
      <c r="AI204" s="202">
        <f>双柏!AE33</f>
        <v>0</v>
      </c>
      <c r="AJ204" s="202">
        <f>双柏!AF33</f>
        <v>0</v>
      </c>
      <c r="AK204" s="165" t="str">
        <f>双柏!AG33</f>
        <v>双柏县鄂嘉镇新树村委会</v>
      </c>
      <c r="AL204" s="165" t="str">
        <f>双柏!AH33</f>
        <v>2016/0808-0817</v>
      </c>
      <c r="AM204" s="165" t="str">
        <f>双柏!AI33</f>
        <v>2016/0808-0817</v>
      </c>
      <c r="AN204" s="165">
        <f>双柏!AJ33</f>
        <v>0</v>
      </c>
      <c r="AO204" s="165" t="str">
        <f>双柏!AK33</f>
        <v>海拔2691 N24°17′22.03″，E101°17′10.24″</v>
      </c>
      <c r="AP204" s="263">
        <v>15</v>
      </c>
      <c r="AQ204" s="209">
        <f>双柏!AM33</f>
        <v>0</v>
      </c>
      <c r="AR204" s="295">
        <f>双柏!AN33</f>
        <v>3</v>
      </c>
      <c r="AS204" s="199" t="str">
        <f>双柏!AO33</f>
        <v>532322196812100515</v>
      </c>
      <c r="AT204" s="199" t="str">
        <f>双柏!AP33</f>
        <v>15288564767</v>
      </c>
    </row>
    <row r="205" spans="1:46">
      <c r="A205" t="s">
        <v>1921</v>
      </c>
      <c r="B205" s="202" t="str">
        <f>VLOOKUP(A205,databases!$A$2:$B$7, 2, FALSE)</f>
        <v>ShuangBai</v>
      </c>
      <c r="C205" s="165" t="str">
        <f>双柏!B34</f>
        <v>李有华&amp;李廷梅</v>
      </c>
      <c r="D205" s="202" t="str">
        <f>VLOOKUP(C205,databases!$D$2:$E$145, 2, FALSE)</f>
        <v>R59</v>
      </c>
      <c r="E205" s="259">
        <f>INDEX(sample_database!$B$2:$B$506,MATCH(F205,sample_database!$L$2:$L$506,0))</f>
        <v>141</v>
      </c>
      <c r="F205" s="202" t="str">
        <f>双柏!A34</f>
        <v>SB033</v>
      </c>
      <c r="G205" s="257">
        <f>双柏!C34</f>
        <v>10</v>
      </c>
      <c r="H205" s="257">
        <f>双柏!D34</f>
        <v>0</v>
      </c>
      <c r="I205" s="202">
        <f>双柏!E34</f>
        <v>65</v>
      </c>
      <c r="J205" s="202">
        <f>双柏!F34</f>
        <v>13</v>
      </c>
      <c r="K205" s="202">
        <f>双柏!G34</f>
        <v>4</v>
      </c>
      <c r="L205" s="202">
        <f>双柏!H34</f>
        <v>5</v>
      </c>
      <c r="M205" s="202">
        <f>双柏!I34</f>
        <v>6</v>
      </c>
      <c r="N205" s="202">
        <f>双柏!J34</f>
        <v>7</v>
      </c>
      <c r="O205" s="202">
        <f>双柏!K34</f>
        <v>5</v>
      </c>
      <c r="P205" s="202">
        <f>双柏!L34</f>
        <v>5</v>
      </c>
      <c r="Q205" s="202">
        <f>双柏!M34</f>
        <v>5</v>
      </c>
      <c r="R205" s="202">
        <f>双柏!N34</f>
        <v>9</v>
      </c>
      <c r="S205" s="202">
        <f>双柏!O34</f>
        <v>6</v>
      </c>
      <c r="T205" s="202">
        <f>双柏!P34</f>
        <v>0</v>
      </c>
      <c r="U205" s="202">
        <f>双柏!Q34</f>
        <v>0</v>
      </c>
      <c r="V205" s="202">
        <f>双柏!R34</f>
        <v>0</v>
      </c>
      <c r="W205" s="202">
        <f>双柏!S34</f>
        <v>0</v>
      </c>
      <c r="X205" s="202">
        <f>双柏!T34</f>
        <v>0</v>
      </c>
      <c r="Y205" s="202">
        <f>双柏!U34</f>
        <v>0</v>
      </c>
      <c r="Z205" s="202">
        <f>双柏!V34</f>
        <v>0</v>
      </c>
      <c r="AA205" s="202">
        <f>双柏!W34</f>
        <v>0</v>
      </c>
      <c r="AB205" s="202">
        <f>双柏!X34</f>
        <v>0</v>
      </c>
      <c r="AC205" s="202">
        <f>双柏!Y34</f>
        <v>0</v>
      </c>
      <c r="AD205" s="202">
        <f>双柏!Z34</f>
        <v>0</v>
      </c>
      <c r="AE205" s="202">
        <f>双柏!AA34</f>
        <v>0</v>
      </c>
      <c r="AF205" s="202">
        <f>双柏!AB34</f>
        <v>0</v>
      </c>
      <c r="AG205" s="202">
        <f>双柏!AC34</f>
        <v>0</v>
      </c>
      <c r="AH205" s="202">
        <f>双柏!AD34</f>
        <v>0</v>
      </c>
      <c r="AI205" s="202">
        <f>双柏!AE34</f>
        <v>0</v>
      </c>
      <c r="AJ205" s="202">
        <f>双柏!AF34</f>
        <v>0</v>
      </c>
      <c r="AK205" s="165" t="str">
        <f>双柏!AG34</f>
        <v>双柏县鄂嘉镇新树村委会</v>
      </c>
      <c r="AL205" s="165" t="str">
        <f>双柏!AH34</f>
        <v>2016/0818-27</v>
      </c>
      <c r="AM205" s="165" t="str">
        <f>双柏!AI34</f>
        <v>2016/0818-27</v>
      </c>
      <c r="AN205" s="165">
        <f>双柏!AJ34</f>
        <v>0</v>
      </c>
      <c r="AO205" s="165" t="str">
        <f>双柏!AK34</f>
        <v>海拔2691 N24°17′22.03″，E101°17′10.24″</v>
      </c>
      <c r="AP205" s="263">
        <v>12.5</v>
      </c>
      <c r="AQ205" s="209">
        <f>双柏!AM34</f>
        <v>0</v>
      </c>
      <c r="AR205" s="295">
        <f>双柏!AN34</f>
        <v>2.5</v>
      </c>
      <c r="AS205" s="199" t="str">
        <f>双柏!AO34</f>
        <v>532322196812100515</v>
      </c>
      <c r="AT205" s="199" t="str">
        <f>双柏!AP34</f>
        <v>15288564767</v>
      </c>
    </row>
    <row r="206" spans="1:46">
      <c r="A206" t="s">
        <v>1921</v>
      </c>
      <c r="B206" s="202" t="str">
        <f>VLOOKUP(A206,databases!$A$2:$B$7, 2, FALSE)</f>
        <v>ShuangBai</v>
      </c>
      <c r="C206" s="165" t="str">
        <f>双柏!B93</f>
        <v>李福安</v>
      </c>
      <c r="D206" s="273" t="str">
        <f>VLOOKUP(C206,databases!$D$2:$E$145, 2, FALSE)</f>
        <v>R62</v>
      </c>
      <c r="E206" s="274" t="str">
        <f>INDEX(sample_database!$B$2:$B$506,MATCH(F206,sample_database!$L$2:$L$506,0))</f>
        <v>NA</v>
      </c>
      <c r="F206" s="202" t="str">
        <f>双柏!A93</f>
        <v>SB092</v>
      </c>
      <c r="G206" s="257">
        <f>双柏!C93</f>
        <v>2</v>
      </c>
      <c r="H206" s="257">
        <f>双柏!D93</f>
        <v>0</v>
      </c>
      <c r="I206" s="202">
        <f>双柏!E93</f>
        <v>9</v>
      </c>
      <c r="J206" s="202">
        <f>双柏!F93</f>
        <v>5</v>
      </c>
      <c r="K206" s="202">
        <f>双柏!G93</f>
        <v>4</v>
      </c>
      <c r="L206" s="202">
        <f>双柏!H93</f>
        <v>0</v>
      </c>
      <c r="M206" s="202">
        <f>双柏!I93</f>
        <v>0</v>
      </c>
      <c r="N206" s="202">
        <f>双柏!J93</f>
        <v>0</v>
      </c>
      <c r="O206" s="202">
        <f>双柏!K93</f>
        <v>0</v>
      </c>
      <c r="P206" s="202">
        <f>双柏!L93</f>
        <v>0</v>
      </c>
      <c r="Q206" s="202">
        <f>双柏!M93</f>
        <v>0</v>
      </c>
      <c r="R206" s="202">
        <f>双柏!N93</f>
        <v>0</v>
      </c>
      <c r="S206" s="202">
        <f>双柏!O93</f>
        <v>0</v>
      </c>
      <c r="T206" s="202">
        <f>双柏!P93</f>
        <v>0</v>
      </c>
      <c r="U206" s="202">
        <f>双柏!Q93</f>
        <v>0</v>
      </c>
      <c r="V206" s="202">
        <f>双柏!R93</f>
        <v>0</v>
      </c>
      <c r="W206" s="202">
        <f>双柏!S93</f>
        <v>0</v>
      </c>
      <c r="X206" s="202">
        <f>双柏!T93</f>
        <v>0</v>
      </c>
      <c r="Y206" s="202">
        <f>双柏!U93</f>
        <v>0</v>
      </c>
      <c r="Z206" s="202">
        <f>双柏!V93</f>
        <v>0</v>
      </c>
      <c r="AA206" s="202">
        <f>双柏!W93</f>
        <v>0</v>
      </c>
      <c r="AB206" s="202">
        <f>双柏!X93</f>
        <v>0</v>
      </c>
      <c r="AC206" s="202">
        <f>双柏!Y93</f>
        <v>0</v>
      </c>
      <c r="AD206" s="202">
        <f>双柏!Z93</f>
        <v>0</v>
      </c>
      <c r="AE206" s="202">
        <f>双柏!AA93</f>
        <v>0</v>
      </c>
      <c r="AF206" s="202">
        <f>双柏!AB93</f>
        <v>0</v>
      </c>
      <c r="AG206" s="202">
        <f>双柏!AC93</f>
        <v>0</v>
      </c>
      <c r="AH206" s="202">
        <f>双柏!AD93</f>
        <v>0</v>
      </c>
      <c r="AI206" s="202">
        <f>双柏!AE93</f>
        <v>0</v>
      </c>
      <c r="AJ206" s="202">
        <f>双柏!AF93</f>
        <v>0</v>
      </c>
      <c r="AK206" s="165" t="str">
        <f>双柏!AG93</f>
        <v>双柏县鄂嘉镇老厂村委会龙打坝小组</v>
      </c>
      <c r="AL206" s="165" t="str">
        <f>双柏!AH93</f>
        <v>2016/0711-0720</v>
      </c>
      <c r="AM206" s="165" t="str">
        <f>双柏!AI93</f>
        <v>2016/0711-0720</v>
      </c>
      <c r="AN206" s="165">
        <f>双柏!AJ93</f>
        <v>0</v>
      </c>
      <c r="AO206" s="165" t="str">
        <f>双柏!AK93</f>
        <v>2476</v>
      </c>
      <c r="AP206" s="263">
        <v>2</v>
      </c>
      <c r="AQ206" s="209">
        <f>双柏!AM93</f>
        <v>0</v>
      </c>
      <c r="AR206" s="295">
        <f>双柏!AN93</f>
        <v>0.4</v>
      </c>
      <c r="AS206" s="199" t="str">
        <f>双柏!AO93</f>
        <v>532322196403090339</v>
      </c>
      <c r="AT206" s="199" t="str">
        <f>双柏!AP93</f>
        <v>15891827894</v>
      </c>
    </row>
    <row r="207" spans="1:46">
      <c r="A207" t="s">
        <v>1921</v>
      </c>
      <c r="B207" s="202" t="str">
        <f>VLOOKUP(A207,databases!$A$2:$B$7, 2, FALSE)</f>
        <v>ShuangBai</v>
      </c>
      <c r="C207" s="165" t="str">
        <f>双柏!B94</f>
        <v>李福安</v>
      </c>
      <c r="D207" s="275" t="str">
        <f>VLOOKUP(C207,databases!$D$2:$E$145, 2, FALSE)</f>
        <v>R62</v>
      </c>
      <c r="E207" s="276" t="str">
        <f>INDEX(sample_database!$B$2:$B$506,MATCH(F207,sample_database!$L$2:$L$506,0))</f>
        <v>NA</v>
      </c>
      <c r="F207" s="202" t="str">
        <f>双柏!A94</f>
        <v>SB093</v>
      </c>
      <c r="G207" s="257">
        <f>双柏!C94</f>
        <v>2</v>
      </c>
      <c r="H207" s="257">
        <f>双柏!D94</f>
        <v>0</v>
      </c>
      <c r="I207" s="202">
        <f>双柏!E94</f>
        <v>9</v>
      </c>
      <c r="J207" s="202">
        <f>双柏!F94</f>
        <v>6</v>
      </c>
      <c r="K207" s="202">
        <f>双柏!G94</f>
        <v>3</v>
      </c>
      <c r="L207" s="202">
        <f>双柏!H94</f>
        <v>0</v>
      </c>
      <c r="M207" s="202">
        <f>双柏!I94</f>
        <v>0</v>
      </c>
      <c r="N207" s="202">
        <f>双柏!J94</f>
        <v>0</v>
      </c>
      <c r="O207" s="202">
        <f>双柏!K94</f>
        <v>0</v>
      </c>
      <c r="P207" s="202">
        <f>双柏!L94</f>
        <v>0</v>
      </c>
      <c r="Q207" s="202">
        <f>双柏!M94</f>
        <v>0</v>
      </c>
      <c r="R207" s="202">
        <f>双柏!N94</f>
        <v>0</v>
      </c>
      <c r="S207" s="202">
        <f>双柏!O94</f>
        <v>0</v>
      </c>
      <c r="T207" s="202">
        <f>双柏!P94</f>
        <v>0</v>
      </c>
      <c r="U207" s="202">
        <f>双柏!Q94</f>
        <v>0</v>
      </c>
      <c r="V207" s="202">
        <f>双柏!R94</f>
        <v>0</v>
      </c>
      <c r="W207" s="202">
        <f>双柏!S94</f>
        <v>0</v>
      </c>
      <c r="X207" s="202">
        <f>双柏!T94</f>
        <v>0</v>
      </c>
      <c r="Y207" s="202">
        <f>双柏!U94</f>
        <v>0</v>
      </c>
      <c r="Z207" s="202">
        <f>双柏!V94</f>
        <v>0</v>
      </c>
      <c r="AA207" s="202">
        <f>双柏!W94</f>
        <v>0</v>
      </c>
      <c r="AB207" s="202">
        <f>双柏!X94</f>
        <v>0</v>
      </c>
      <c r="AC207" s="202">
        <f>双柏!Y94</f>
        <v>0</v>
      </c>
      <c r="AD207" s="202">
        <f>双柏!Z94</f>
        <v>0</v>
      </c>
      <c r="AE207" s="202">
        <f>双柏!AA94</f>
        <v>0</v>
      </c>
      <c r="AF207" s="202">
        <f>双柏!AB94</f>
        <v>0</v>
      </c>
      <c r="AG207" s="202">
        <f>双柏!AC94</f>
        <v>0</v>
      </c>
      <c r="AH207" s="202">
        <f>双柏!AD94</f>
        <v>0</v>
      </c>
      <c r="AI207" s="202">
        <f>双柏!AE94</f>
        <v>0</v>
      </c>
      <c r="AJ207" s="202">
        <f>双柏!AF94</f>
        <v>0</v>
      </c>
      <c r="AK207" s="165" t="str">
        <f>双柏!AG94</f>
        <v>双柏县鄂嘉镇老厂村委会龙打坝小组</v>
      </c>
      <c r="AL207" s="165" t="str">
        <f>双柏!AH94</f>
        <v>2016/0721-0730</v>
      </c>
      <c r="AM207" s="165" t="str">
        <f>双柏!AI94</f>
        <v>2016/0721-0730</v>
      </c>
      <c r="AN207" s="165">
        <f>双柏!AJ94</f>
        <v>0</v>
      </c>
      <c r="AO207" s="165" t="str">
        <f>双柏!AK94</f>
        <v>2524</v>
      </c>
      <c r="AP207" s="263">
        <v>2.5</v>
      </c>
      <c r="AQ207" s="209">
        <f>双柏!AM94</f>
        <v>0</v>
      </c>
      <c r="AR207" s="295">
        <f>双柏!AN94</f>
        <v>0.5</v>
      </c>
      <c r="AS207" s="199" t="str">
        <f>双柏!AO94</f>
        <v>532322196403090339</v>
      </c>
      <c r="AT207" s="199" t="str">
        <f>双柏!AP94</f>
        <v>15891827894</v>
      </c>
    </row>
    <row r="208" spans="1:46">
      <c r="A208" t="s">
        <v>1921</v>
      </c>
      <c r="B208" s="202" t="str">
        <f>VLOOKUP(A208,databases!$A$2:$B$7, 2, FALSE)</f>
        <v>ShuangBai</v>
      </c>
      <c r="C208" s="165" t="str">
        <f>双柏!B95</f>
        <v>李福安</v>
      </c>
      <c r="D208" s="275" t="str">
        <f>VLOOKUP(C208,databases!$D$2:$E$145, 2, FALSE)</f>
        <v>R62</v>
      </c>
      <c r="E208" s="276" t="str">
        <f>INDEX(sample_database!$B$2:$B$506,MATCH(F208,sample_database!$L$2:$L$506,0))</f>
        <v>NA</v>
      </c>
      <c r="F208" s="202" t="str">
        <f>双柏!A95</f>
        <v>SB094</v>
      </c>
      <c r="G208" s="257">
        <f>双柏!C95</f>
        <v>3</v>
      </c>
      <c r="H208" s="257">
        <f>双柏!D95</f>
        <v>0</v>
      </c>
      <c r="I208" s="202">
        <f>双柏!E95</f>
        <v>9</v>
      </c>
      <c r="J208" s="202">
        <f>双柏!F95</f>
        <v>4</v>
      </c>
      <c r="K208" s="202">
        <f>双柏!G95</f>
        <v>3</v>
      </c>
      <c r="L208" s="202">
        <f>双柏!H95</f>
        <v>2</v>
      </c>
      <c r="M208" s="202">
        <f>双柏!I95</f>
        <v>0</v>
      </c>
      <c r="N208" s="202">
        <f>双柏!J95</f>
        <v>0</v>
      </c>
      <c r="O208" s="202">
        <f>双柏!K95</f>
        <v>0</v>
      </c>
      <c r="P208" s="202">
        <f>双柏!L95</f>
        <v>0</v>
      </c>
      <c r="Q208" s="202">
        <f>双柏!M95</f>
        <v>0</v>
      </c>
      <c r="R208" s="202">
        <f>双柏!N95</f>
        <v>0</v>
      </c>
      <c r="S208" s="202">
        <f>双柏!O95</f>
        <v>0</v>
      </c>
      <c r="T208" s="202">
        <f>双柏!P95</f>
        <v>0</v>
      </c>
      <c r="U208" s="202">
        <f>双柏!Q95</f>
        <v>0</v>
      </c>
      <c r="V208" s="202">
        <f>双柏!R95</f>
        <v>0</v>
      </c>
      <c r="W208" s="202">
        <f>双柏!S95</f>
        <v>0</v>
      </c>
      <c r="X208" s="202">
        <f>双柏!T95</f>
        <v>0</v>
      </c>
      <c r="Y208" s="202">
        <f>双柏!U95</f>
        <v>0</v>
      </c>
      <c r="Z208" s="202">
        <f>双柏!V95</f>
        <v>0</v>
      </c>
      <c r="AA208" s="202">
        <f>双柏!W95</f>
        <v>0</v>
      </c>
      <c r="AB208" s="202">
        <f>双柏!X95</f>
        <v>0</v>
      </c>
      <c r="AC208" s="202">
        <f>双柏!Y95</f>
        <v>0</v>
      </c>
      <c r="AD208" s="202">
        <f>双柏!Z95</f>
        <v>0</v>
      </c>
      <c r="AE208" s="202">
        <f>双柏!AA95</f>
        <v>0</v>
      </c>
      <c r="AF208" s="202">
        <f>双柏!AB95</f>
        <v>0</v>
      </c>
      <c r="AG208" s="202">
        <f>双柏!AC95</f>
        <v>0</v>
      </c>
      <c r="AH208" s="202">
        <f>双柏!AD95</f>
        <v>0</v>
      </c>
      <c r="AI208" s="202">
        <f>双柏!AE95</f>
        <v>0</v>
      </c>
      <c r="AJ208" s="202">
        <f>双柏!AF95</f>
        <v>0</v>
      </c>
      <c r="AK208" s="165" t="str">
        <f>双柏!AG95</f>
        <v>双柏县鄂嘉镇老厂村委会龙打坝小组</v>
      </c>
      <c r="AL208" s="165" t="str">
        <f>双柏!AH95</f>
        <v>2016/0731-0809</v>
      </c>
      <c r="AM208" s="165" t="str">
        <f>双柏!AI95</f>
        <v>2016/0731-0809</v>
      </c>
      <c r="AN208" s="165">
        <f>双柏!AJ95</f>
        <v>0</v>
      </c>
      <c r="AO208" s="165" t="str">
        <f>双柏!AK95</f>
        <v>2423</v>
      </c>
      <c r="AP208" s="263">
        <v>3</v>
      </c>
      <c r="AQ208" s="209">
        <f>双柏!AM95</f>
        <v>0</v>
      </c>
      <c r="AR208" s="295">
        <f>双柏!AN95</f>
        <v>0.6</v>
      </c>
      <c r="AS208" s="199" t="str">
        <f>双柏!AO95</f>
        <v>532322196403090339</v>
      </c>
      <c r="AT208" s="199" t="str">
        <f>双柏!AP95</f>
        <v>15891827894</v>
      </c>
    </row>
    <row r="209" spans="1:46">
      <c r="A209" t="s">
        <v>1921</v>
      </c>
      <c r="B209" s="202" t="str">
        <f>VLOOKUP(A209,databases!$A$2:$B$7, 2, FALSE)</f>
        <v>ShuangBai</v>
      </c>
      <c r="C209" s="165" t="str">
        <f>双柏!B96</f>
        <v>李福安</v>
      </c>
      <c r="D209" s="277" t="str">
        <f>VLOOKUP(C209,databases!$D$2:$E$145, 2, FALSE)</f>
        <v>R62</v>
      </c>
      <c r="E209" s="278" t="str">
        <f>INDEX(sample_database!$B$2:$B$506,MATCH(F209,sample_database!$L$2:$L$506,0))</f>
        <v>NA</v>
      </c>
      <c r="F209" s="202" t="str">
        <f>双柏!A96</f>
        <v>SB095</v>
      </c>
      <c r="G209" s="257">
        <f>双柏!C96</f>
        <v>2</v>
      </c>
      <c r="H209" s="257">
        <f>双柏!D96</f>
        <v>0</v>
      </c>
      <c r="I209" s="202">
        <f>双柏!E96</f>
        <v>11</v>
      </c>
      <c r="J209" s="202">
        <f>双柏!F96</f>
        <v>4</v>
      </c>
      <c r="K209" s="202">
        <f>双柏!G96</f>
        <v>7</v>
      </c>
      <c r="L209" s="202">
        <f>双柏!H96</f>
        <v>0</v>
      </c>
      <c r="M209" s="202">
        <f>双柏!I96</f>
        <v>0</v>
      </c>
      <c r="N209" s="202">
        <f>双柏!J96</f>
        <v>0</v>
      </c>
      <c r="O209" s="202">
        <f>双柏!K96</f>
        <v>0</v>
      </c>
      <c r="P209" s="202">
        <f>双柏!L96</f>
        <v>0</v>
      </c>
      <c r="Q209" s="202">
        <f>双柏!M96</f>
        <v>0</v>
      </c>
      <c r="R209" s="202">
        <f>双柏!N96</f>
        <v>0</v>
      </c>
      <c r="S209" s="202">
        <f>双柏!O96</f>
        <v>0</v>
      </c>
      <c r="T209" s="202">
        <f>双柏!P96</f>
        <v>0</v>
      </c>
      <c r="U209" s="202">
        <f>双柏!Q96</f>
        <v>0</v>
      </c>
      <c r="V209" s="202">
        <f>双柏!R96</f>
        <v>0</v>
      </c>
      <c r="W209" s="202">
        <f>双柏!S96</f>
        <v>0</v>
      </c>
      <c r="X209" s="202">
        <f>双柏!T96</f>
        <v>0</v>
      </c>
      <c r="Y209" s="202">
        <f>双柏!U96</f>
        <v>0</v>
      </c>
      <c r="Z209" s="202">
        <f>双柏!V96</f>
        <v>0</v>
      </c>
      <c r="AA209" s="202">
        <f>双柏!W96</f>
        <v>0</v>
      </c>
      <c r="AB209" s="202">
        <f>双柏!X96</f>
        <v>0</v>
      </c>
      <c r="AC209" s="202">
        <f>双柏!Y96</f>
        <v>0</v>
      </c>
      <c r="AD209" s="202">
        <f>双柏!Z96</f>
        <v>0</v>
      </c>
      <c r="AE209" s="202">
        <f>双柏!AA96</f>
        <v>0</v>
      </c>
      <c r="AF209" s="202">
        <f>双柏!AB96</f>
        <v>0</v>
      </c>
      <c r="AG209" s="202">
        <f>双柏!AC96</f>
        <v>0</v>
      </c>
      <c r="AH209" s="202">
        <f>双柏!AD96</f>
        <v>0</v>
      </c>
      <c r="AI209" s="202">
        <f>双柏!AE96</f>
        <v>0</v>
      </c>
      <c r="AJ209" s="202">
        <f>双柏!AF96</f>
        <v>0</v>
      </c>
      <c r="AK209" s="165" t="str">
        <f>双柏!AG96</f>
        <v>双柏县鄂嘉镇老厂村委会龙打坝小组</v>
      </c>
      <c r="AL209" s="165" t="str">
        <f>双柏!AH96</f>
        <v>2016/0810-0819</v>
      </c>
      <c r="AM209" s="165" t="str">
        <f>双柏!AI96</f>
        <v>2016/0810-0819</v>
      </c>
      <c r="AN209" s="165">
        <f>双柏!AJ96</f>
        <v>0</v>
      </c>
      <c r="AO209" s="165" t="str">
        <f>双柏!AK96</f>
        <v>2386</v>
      </c>
      <c r="AP209" s="263">
        <v>3</v>
      </c>
      <c r="AQ209" s="209">
        <f>双柏!AM96</f>
        <v>0</v>
      </c>
      <c r="AR209" s="295">
        <f>双柏!AN96</f>
        <v>0.6</v>
      </c>
      <c r="AS209" s="199" t="str">
        <f>双柏!AO96</f>
        <v>532322196403090339</v>
      </c>
      <c r="AT209" s="199" t="str">
        <f>双柏!AP96</f>
        <v>15891827894</v>
      </c>
    </row>
    <row r="210" spans="1:46">
      <c r="A210" t="s">
        <v>1921</v>
      </c>
      <c r="B210" s="202" t="str">
        <f>VLOOKUP(A210,databases!$A$2:$B$7, 2, FALSE)</f>
        <v>ShuangBai</v>
      </c>
      <c r="C210" s="165" t="str">
        <f>双柏!B72</f>
        <v>李荣</v>
      </c>
      <c r="D210" s="273" t="str">
        <f>VLOOKUP(C210,databases!$D$2:$E$145, 2, FALSE)</f>
        <v>R65</v>
      </c>
      <c r="E210" s="274" t="str">
        <f>INDEX(sample_database!$B$2:$B$506,MATCH(F210,sample_database!$L$2:$L$506,0))</f>
        <v>NA</v>
      </c>
      <c r="F210" s="202" t="str">
        <f>双柏!A72</f>
        <v>SB071</v>
      </c>
      <c r="G210" s="257">
        <f>双柏!C72</f>
        <v>4</v>
      </c>
      <c r="H210" s="257">
        <f>双柏!D72</f>
        <v>0</v>
      </c>
      <c r="I210" s="202">
        <f>双柏!E72</f>
        <v>20</v>
      </c>
      <c r="J210" s="202">
        <f>双柏!F72</f>
        <v>7</v>
      </c>
      <c r="K210" s="202">
        <f>双柏!G72</f>
        <v>6</v>
      </c>
      <c r="L210" s="202">
        <f>双柏!H72</f>
        <v>2</v>
      </c>
      <c r="M210" s="202">
        <f>双柏!I72</f>
        <v>5</v>
      </c>
      <c r="N210" s="202">
        <f>双柏!J72</f>
        <v>0</v>
      </c>
      <c r="O210" s="202">
        <f>双柏!K72</f>
        <v>0</v>
      </c>
      <c r="P210" s="202">
        <f>双柏!L72</f>
        <v>0</v>
      </c>
      <c r="Q210" s="202">
        <f>双柏!M72</f>
        <v>0</v>
      </c>
      <c r="R210" s="202">
        <f>双柏!N72</f>
        <v>0</v>
      </c>
      <c r="S210" s="202">
        <f>双柏!O72</f>
        <v>0</v>
      </c>
      <c r="T210" s="202">
        <f>双柏!P72</f>
        <v>0</v>
      </c>
      <c r="U210" s="202">
        <f>双柏!Q72</f>
        <v>0</v>
      </c>
      <c r="V210" s="202">
        <f>双柏!R72</f>
        <v>0</v>
      </c>
      <c r="W210" s="202">
        <f>双柏!S72</f>
        <v>0</v>
      </c>
      <c r="X210" s="202">
        <f>双柏!T72</f>
        <v>0</v>
      </c>
      <c r="Y210" s="202">
        <f>双柏!U72</f>
        <v>0</v>
      </c>
      <c r="Z210" s="202">
        <f>双柏!V72</f>
        <v>0</v>
      </c>
      <c r="AA210" s="202">
        <f>双柏!W72</f>
        <v>0</v>
      </c>
      <c r="AB210" s="202">
        <f>双柏!X72</f>
        <v>0</v>
      </c>
      <c r="AC210" s="202">
        <f>双柏!Y72</f>
        <v>0</v>
      </c>
      <c r="AD210" s="202">
        <f>双柏!Z72</f>
        <v>0</v>
      </c>
      <c r="AE210" s="202">
        <f>双柏!AA72</f>
        <v>0</v>
      </c>
      <c r="AF210" s="202">
        <f>双柏!AB72</f>
        <v>0</v>
      </c>
      <c r="AG210" s="202">
        <f>双柏!AC72</f>
        <v>0</v>
      </c>
      <c r="AH210" s="202">
        <f>双柏!AD72</f>
        <v>0</v>
      </c>
      <c r="AI210" s="202">
        <f>双柏!AE72</f>
        <v>0</v>
      </c>
      <c r="AJ210" s="202">
        <f>双柏!AF72</f>
        <v>0</v>
      </c>
      <c r="AK210" s="165" t="str">
        <f>双柏!AG72</f>
        <v>双柏县鄂嘉镇鄂嘉村成外小组</v>
      </c>
      <c r="AL210" s="165" t="str">
        <f>双柏!AH72</f>
        <v>2016/0711-0720</v>
      </c>
      <c r="AM210" s="165" t="str">
        <f>双柏!AI72</f>
        <v>2016/0711-0720</v>
      </c>
      <c r="AN210" s="165">
        <f>双柏!AJ72</f>
        <v>0</v>
      </c>
      <c r="AO210" s="165" t="str">
        <f>双柏!AK72</f>
        <v>2456-2376</v>
      </c>
      <c r="AP210" s="263">
        <v>4</v>
      </c>
      <c r="AQ210" s="209">
        <f>双柏!AM72</f>
        <v>0</v>
      </c>
      <c r="AR210" s="295">
        <f>双柏!AN72</f>
        <v>0.8</v>
      </c>
      <c r="AS210" s="199" t="str">
        <f>双柏!AO72</f>
        <v>532322196110080556</v>
      </c>
      <c r="AT210" s="199" t="str">
        <f>双柏!AP72</f>
        <v>15987222209</v>
      </c>
    </row>
    <row r="211" spans="1:46">
      <c r="A211" t="s">
        <v>1921</v>
      </c>
      <c r="B211" s="202" t="str">
        <f>VLOOKUP(A211,databases!$A$2:$B$7, 2, FALSE)</f>
        <v>ShuangBai</v>
      </c>
      <c r="C211" s="165" t="str">
        <f>双柏!B73</f>
        <v>李荣</v>
      </c>
      <c r="D211" s="275" t="str">
        <f>VLOOKUP(C211,databases!$D$2:$E$145, 2, FALSE)</f>
        <v>R65</v>
      </c>
      <c r="E211" s="276" t="str">
        <f>INDEX(sample_database!$B$2:$B$506,MATCH(F211,sample_database!$L$2:$L$506,0))</f>
        <v>NA</v>
      </c>
      <c r="F211" s="202" t="str">
        <f>双柏!A73</f>
        <v>SB072</v>
      </c>
      <c r="G211" s="257">
        <f>双柏!C73</f>
        <v>4</v>
      </c>
      <c r="H211" s="257">
        <f>双柏!D73</f>
        <v>0</v>
      </c>
      <c r="I211" s="202">
        <f>双柏!E73</f>
        <v>19</v>
      </c>
      <c r="J211" s="202">
        <f>双柏!F73</f>
        <v>7</v>
      </c>
      <c r="K211" s="202">
        <f>双柏!G73</f>
        <v>2</v>
      </c>
      <c r="L211" s="202">
        <f>双柏!H73</f>
        <v>5</v>
      </c>
      <c r="M211" s="202">
        <f>双柏!I73</f>
        <v>5</v>
      </c>
      <c r="N211" s="202">
        <f>双柏!J73</f>
        <v>0</v>
      </c>
      <c r="O211" s="202">
        <f>双柏!K73</f>
        <v>0</v>
      </c>
      <c r="P211" s="202">
        <f>双柏!L73</f>
        <v>0</v>
      </c>
      <c r="Q211" s="202">
        <f>双柏!M73</f>
        <v>0</v>
      </c>
      <c r="R211" s="202">
        <f>双柏!N73</f>
        <v>0</v>
      </c>
      <c r="S211" s="202">
        <f>双柏!O73</f>
        <v>0</v>
      </c>
      <c r="T211" s="202">
        <f>双柏!P73</f>
        <v>0</v>
      </c>
      <c r="U211" s="202">
        <f>双柏!Q73</f>
        <v>0</v>
      </c>
      <c r="V211" s="202">
        <f>双柏!R73</f>
        <v>0</v>
      </c>
      <c r="W211" s="202">
        <f>双柏!S73</f>
        <v>0</v>
      </c>
      <c r="X211" s="202">
        <f>双柏!T73</f>
        <v>0</v>
      </c>
      <c r="Y211" s="202">
        <f>双柏!U73</f>
        <v>0</v>
      </c>
      <c r="Z211" s="202">
        <f>双柏!V73</f>
        <v>0</v>
      </c>
      <c r="AA211" s="202">
        <f>双柏!W73</f>
        <v>0</v>
      </c>
      <c r="AB211" s="202">
        <f>双柏!X73</f>
        <v>0</v>
      </c>
      <c r="AC211" s="202">
        <f>双柏!Y73</f>
        <v>0</v>
      </c>
      <c r="AD211" s="202">
        <f>双柏!Z73</f>
        <v>0</v>
      </c>
      <c r="AE211" s="202">
        <f>双柏!AA73</f>
        <v>0</v>
      </c>
      <c r="AF211" s="202">
        <f>双柏!AB73</f>
        <v>0</v>
      </c>
      <c r="AG211" s="202">
        <f>双柏!AC73</f>
        <v>0</v>
      </c>
      <c r="AH211" s="202">
        <f>双柏!AD73</f>
        <v>0</v>
      </c>
      <c r="AI211" s="202">
        <f>双柏!AE73</f>
        <v>0</v>
      </c>
      <c r="AJ211" s="202">
        <f>双柏!AF73</f>
        <v>0</v>
      </c>
      <c r="AK211" s="165" t="str">
        <f>双柏!AG73</f>
        <v>双柏县鄂嘉镇鄂嘉村成外小组</v>
      </c>
      <c r="AL211" s="165" t="str">
        <f>双柏!AH73</f>
        <v>2016/0721-0730</v>
      </c>
      <c r="AM211" s="165" t="str">
        <f>双柏!AI73</f>
        <v>2016/0721-0730</v>
      </c>
      <c r="AN211" s="165">
        <f>双柏!AJ73</f>
        <v>0</v>
      </c>
      <c r="AO211" s="165" t="str">
        <f>双柏!AK73</f>
        <v>2640-2348</v>
      </c>
      <c r="AP211" s="263">
        <v>3</v>
      </c>
      <c r="AQ211" s="209">
        <f>双柏!AM73</f>
        <v>0</v>
      </c>
      <c r="AR211" s="295">
        <f>双柏!AN73</f>
        <v>0.6</v>
      </c>
      <c r="AS211" s="199" t="str">
        <f>双柏!AO73</f>
        <v>532322196110080556</v>
      </c>
      <c r="AT211" s="199" t="str">
        <f>双柏!AP73</f>
        <v>15987222209</v>
      </c>
    </row>
    <row r="212" spans="1:46">
      <c r="A212" t="s">
        <v>1921</v>
      </c>
      <c r="B212" s="202" t="str">
        <f>VLOOKUP(A212,databases!$A$2:$B$7, 2, FALSE)</f>
        <v>ShuangBai</v>
      </c>
      <c r="C212" s="165" t="str">
        <f>双柏!B74</f>
        <v>李荣</v>
      </c>
      <c r="D212" s="275" t="str">
        <f>VLOOKUP(C212,databases!$D$2:$E$145, 2, FALSE)</f>
        <v>R65</v>
      </c>
      <c r="E212" s="276" t="str">
        <f>INDEX(sample_database!$B$2:$B$506,MATCH(F212,sample_database!$L$2:$L$506,0))</f>
        <v>NA</v>
      </c>
      <c r="F212" s="202" t="str">
        <f>双柏!A74</f>
        <v>SB073</v>
      </c>
      <c r="G212" s="257">
        <f>双柏!C74</f>
        <v>2</v>
      </c>
      <c r="H212" s="257">
        <f>双柏!D74</f>
        <v>0</v>
      </c>
      <c r="I212" s="202">
        <f>双柏!E74</f>
        <v>15</v>
      </c>
      <c r="J212" s="202">
        <f>双柏!F74</f>
        <v>5</v>
      </c>
      <c r="K212" s="202">
        <f>双柏!G74</f>
        <v>10</v>
      </c>
      <c r="L212" s="202">
        <f>双柏!H74</f>
        <v>0</v>
      </c>
      <c r="M212" s="202">
        <f>双柏!I74</f>
        <v>0</v>
      </c>
      <c r="N212" s="202">
        <f>双柏!J74</f>
        <v>0</v>
      </c>
      <c r="O212" s="202">
        <f>双柏!K74</f>
        <v>0</v>
      </c>
      <c r="P212" s="202">
        <f>双柏!L74</f>
        <v>0</v>
      </c>
      <c r="Q212" s="202">
        <f>双柏!M74</f>
        <v>0</v>
      </c>
      <c r="R212" s="202">
        <f>双柏!N74</f>
        <v>0</v>
      </c>
      <c r="S212" s="202">
        <f>双柏!O74</f>
        <v>0</v>
      </c>
      <c r="T212" s="202">
        <f>双柏!P74</f>
        <v>0</v>
      </c>
      <c r="U212" s="202">
        <f>双柏!Q74</f>
        <v>0</v>
      </c>
      <c r="V212" s="202">
        <f>双柏!R74</f>
        <v>0</v>
      </c>
      <c r="W212" s="202">
        <f>双柏!S74</f>
        <v>0</v>
      </c>
      <c r="X212" s="202">
        <f>双柏!T74</f>
        <v>0</v>
      </c>
      <c r="Y212" s="202">
        <f>双柏!U74</f>
        <v>0</v>
      </c>
      <c r="Z212" s="202">
        <f>双柏!V74</f>
        <v>0</v>
      </c>
      <c r="AA212" s="202">
        <f>双柏!W74</f>
        <v>0</v>
      </c>
      <c r="AB212" s="202">
        <f>双柏!X74</f>
        <v>0</v>
      </c>
      <c r="AC212" s="202">
        <f>双柏!Y74</f>
        <v>0</v>
      </c>
      <c r="AD212" s="202">
        <f>双柏!Z74</f>
        <v>0</v>
      </c>
      <c r="AE212" s="202">
        <f>双柏!AA74</f>
        <v>0</v>
      </c>
      <c r="AF212" s="202">
        <f>双柏!AB74</f>
        <v>0</v>
      </c>
      <c r="AG212" s="202">
        <f>双柏!AC74</f>
        <v>0</v>
      </c>
      <c r="AH212" s="202">
        <f>双柏!AD74</f>
        <v>0</v>
      </c>
      <c r="AI212" s="202">
        <f>双柏!AE74</f>
        <v>0</v>
      </c>
      <c r="AJ212" s="202">
        <f>双柏!AF74</f>
        <v>0</v>
      </c>
      <c r="AK212" s="165" t="str">
        <f>双柏!AG74</f>
        <v>双柏县鄂嘉镇鄂嘉村成外小组</v>
      </c>
      <c r="AL212" s="165" t="str">
        <f>双柏!AH74</f>
        <v>2016/0801-0810</v>
      </c>
      <c r="AM212" s="165" t="str">
        <f>双柏!AI74</f>
        <v>2016/0801-0810</v>
      </c>
      <c r="AN212" s="165">
        <f>双柏!AJ74</f>
        <v>0</v>
      </c>
      <c r="AO212" s="165" t="str">
        <f>双柏!AK74</f>
        <v>2544-2328</v>
      </c>
      <c r="AP212" s="263">
        <v>4</v>
      </c>
      <c r="AQ212" s="209">
        <f>双柏!AM74</f>
        <v>0</v>
      </c>
      <c r="AR212" s="295">
        <f>双柏!AN74</f>
        <v>0.8</v>
      </c>
      <c r="AS212" s="199" t="str">
        <f>双柏!AO74</f>
        <v>532322196110080556</v>
      </c>
      <c r="AT212" s="199" t="str">
        <f>双柏!AP74</f>
        <v>15987222209</v>
      </c>
    </row>
    <row r="213" spans="1:46">
      <c r="A213" t="s">
        <v>1921</v>
      </c>
      <c r="B213" s="202" t="str">
        <f>VLOOKUP(A213,databases!$A$2:$B$7, 2, FALSE)</f>
        <v>ShuangBai</v>
      </c>
      <c r="C213" s="165" t="str">
        <f>双柏!B75</f>
        <v>李荣</v>
      </c>
      <c r="D213" s="277" t="str">
        <f>VLOOKUP(C213,databases!$D$2:$E$145, 2, FALSE)</f>
        <v>R65</v>
      </c>
      <c r="E213" s="278" t="str">
        <f>INDEX(sample_database!$B$2:$B$506,MATCH(F213,sample_database!$L$2:$L$506,0))</f>
        <v>NA</v>
      </c>
      <c r="F213" s="202" t="str">
        <f>双柏!A75</f>
        <v>SB074</v>
      </c>
      <c r="G213" s="257">
        <f>双柏!C75</f>
        <v>4</v>
      </c>
      <c r="H213" s="257">
        <f>双柏!D75</f>
        <v>0</v>
      </c>
      <c r="I213" s="202">
        <f>双柏!E75</f>
        <v>15</v>
      </c>
      <c r="J213" s="202">
        <f>双柏!F75</f>
        <v>2</v>
      </c>
      <c r="K213" s="202">
        <f>双柏!G75</f>
        <v>1</v>
      </c>
      <c r="L213" s="202">
        <f>双柏!H75</f>
        <v>6</v>
      </c>
      <c r="M213" s="202">
        <f>双柏!I75</f>
        <v>6</v>
      </c>
      <c r="N213" s="202">
        <f>双柏!J75</f>
        <v>0</v>
      </c>
      <c r="O213" s="202">
        <f>双柏!K75</f>
        <v>0</v>
      </c>
      <c r="P213" s="202">
        <f>双柏!L75</f>
        <v>0</v>
      </c>
      <c r="Q213" s="202">
        <f>双柏!M75</f>
        <v>0</v>
      </c>
      <c r="R213" s="202">
        <f>双柏!N75</f>
        <v>0</v>
      </c>
      <c r="S213" s="202">
        <f>双柏!O75</f>
        <v>0</v>
      </c>
      <c r="T213" s="202">
        <f>双柏!P75</f>
        <v>0</v>
      </c>
      <c r="U213" s="202">
        <f>双柏!Q75</f>
        <v>0</v>
      </c>
      <c r="V213" s="202">
        <f>双柏!R75</f>
        <v>0</v>
      </c>
      <c r="W213" s="202">
        <f>双柏!S75</f>
        <v>0</v>
      </c>
      <c r="X213" s="202">
        <f>双柏!T75</f>
        <v>0</v>
      </c>
      <c r="Y213" s="202">
        <f>双柏!U75</f>
        <v>0</v>
      </c>
      <c r="Z213" s="202">
        <f>双柏!V75</f>
        <v>0</v>
      </c>
      <c r="AA213" s="202">
        <f>双柏!W75</f>
        <v>0</v>
      </c>
      <c r="AB213" s="202">
        <f>双柏!X75</f>
        <v>0</v>
      </c>
      <c r="AC213" s="202">
        <f>双柏!Y75</f>
        <v>0</v>
      </c>
      <c r="AD213" s="202">
        <f>双柏!Z75</f>
        <v>0</v>
      </c>
      <c r="AE213" s="202">
        <f>双柏!AA75</f>
        <v>0</v>
      </c>
      <c r="AF213" s="202">
        <f>双柏!AB75</f>
        <v>0</v>
      </c>
      <c r="AG213" s="202">
        <f>双柏!AC75</f>
        <v>0</v>
      </c>
      <c r="AH213" s="202">
        <f>双柏!AD75</f>
        <v>0</v>
      </c>
      <c r="AI213" s="202">
        <f>双柏!AE75</f>
        <v>0</v>
      </c>
      <c r="AJ213" s="202">
        <f>双柏!AF75</f>
        <v>0</v>
      </c>
      <c r="AK213" s="165" t="str">
        <f>双柏!AG75</f>
        <v>双柏县鄂嘉镇鄂嘉村成外小组</v>
      </c>
      <c r="AL213" s="165" t="str">
        <f>双柏!AH75</f>
        <v>2016/0811-0821</v>
      </c>
      <c r="AM213" s="165" t="str">
        <f>双柏!AI75</f>
        <v>2016/0811-0821</v>
      </c>
      <c r="AN213" s="165">
        <f>双柏!AJ75</f>
        <v>0</v>
      </c>
      <c r="AO213" s="165" t="str">
        <f>双柏!AK75</f>
        <v>2485-2356</v>
      </c>
      <c r="AP213" s="263">
        <v>4</v>
      </c>
      <c r="AQ213" s="209">
        <f>双柏!AM75</f>
        <v>0</v>
      </c>
      <c r="AR213" s="295">
        <f>双柏!AN75</f>
        <v>0.8</v>
      </c>
      <c r="AS213" s="199" t="str">
        <f>双柏!AO75</f>
        <v>532322196110080556</v>
      </c>
      <c r="AT213" s="199" t="str">
        <f>双柏!AP75</f>
        <v>15987222209</v>
      </c>
    </row>
    <row r="214" spans="1:46">
      <c r="A214" t="s">
        <v>1921</v>
      </c>
      <c r="B214" s="202" t="str">
        <f>VLOOKUP(A214,databases!$A$2:$B$7, 2, FALSE)</f>
        <v>ShuangBai</v>
      </c>
      <c r="C214" s="165" t="str">
        <f>双柏!B142</f>
        <v>李贵华&amp;李富全</v>
      </c>
      <c r="D214" s="202" t="str">
        <f>VLOOKUP(C214,databases!$D$2:$E$145, 2, FALSE)</f>
        <v>R69</v>
      </c>
      <c r="E214" s="259">
        <f>INDEX(sample_database!$B$2:$B$506,MATCH(F214,sample_database!$L$2:$L$506,0))</f>
        <v>35</v>
      </c>
      <c r="F214" s="202" t="str">
        <f>双柏!A142</f>
        <v>SB141</v>
      </c>
      <c r="G214" s="257">
        <f>双柏!C142</f>
        <v>10</v>
      </c>
      <c r="H214" s="257">
        <f>双柏!D142</f>
        <v>0</v>
      </c>
      <c r="I214" s="202">
        <f>双柏!E142</f>
        <v>43</v>
      </c>
      <c r="J214" s="202">
        <f>双柏!F142</f>
        <v>3</v>
      </c>
      <c r="K214" s="202">
        <f>双柏!G142</f>
        <v>3</v>
      </c>
      <c r="L214" s="202">
        <f>双柏!H142</f>
        <v>3</v>
      </c>
      <c r="M214" s="202">
        <f>双柏!I142</f>
        <v>3</v>
      </c>
      <c r="N214" s="202">
        <f>双柏!J142</f>
        <v>4</v>
      </c>
      <c r="O214" s="202">
        <f>双柏!K142</f>
        <v>4</v>
      </c>
      <c r="P214" s="202">
        <f>双柏!L142</f>
        <v>4</v>
      </c>
      <c r="Q214" s="202">
        <f>双柏!M142</f>
        <v>6</v>
      </c>
      <c r="R214" s="202">
        <f>双柏!N142</f>
        <v>6</v>
      </c>
      <c r="S214" s="202">
        <f>双柏!O142</f>
        <v>7</v>
      </c>
      <c r="T214" s="202">
        <f>双柏!P142</f>
        <v>0</v>
      </c>
      <c r="U214" s="202">
        <f>双柏!Q142</f>
        <v>0</v>
      </c>
      <c r="V214" s="202">
        <f>双柏!R142</f>
        <v>0</v>
      </c>
      <c r="W214" s="202">
        <f>双柏!S142</f>
        <v>0</v>
      </c>
      <c r="X214" s="202">
        <f>双柏!T142</f>
        <v>0</v>
      </c>
      <c r="Y214" s="202">
        <f>双柏!U142</f>
        <v>0</v>
      </c>
      <c r="Z214" s="202">
        <f>双柏!V142</f>
        <v>0</v>
      </c>
      <c r="AA214" s="202">
        <f>双柏!W142</f>
        <v>0</v>
      </c>
      <c r="AB214" s="202">
        <f>双柏!X142</f>
        <v>0</v>
      </c>
      <c r="AC214" s="202">
        <f>双柏!Y142</f>
        <v>0</v>
      </c>
      <c r="AD214" s="202">
        <f>双柏!Z142</f>
        <v>0</v>
      </c>
      <c r="AE214" s="202">
        <f>双柏!AA142</f>
        <v>0</v>
      </c>
      <c r="AF214" s="202">
        <f>双柏!AB142</f>
        <v>0</v>
      </c>
      <c r="AG214" s="202">
        <f>双柏!AC142</f>
        <v>0</v>
      </c>
      <c r="AH214" s="202">
        <f>双柏!AD142</f>
        <v>0</v>
      </c>
      <c r="AI214" s="202">
        <f>双柏!AE142</f>
        <v>0</v>
      </c>
      <c r="AJ214" s="202">
        <f>双柏!AF142</f>
        <v>0</v>
      </c>
      <c r="AK214" s="165" t="str">
        <f>双柏!AG142</f>
        <v>双柏县鄂嘉镇义隆村</v>
      </c>
      <c r="AL214" s="165" t="str">
        <f>双柏!AH142</f>
        <v>2016/0723-0801</v>
      </c>
      <c r="AM214" s="165" t="str">
        <f>双柏!AI142</f>
        <v>2016/0723-0801</v>
      </c>
      <c r="AN214" s="165">
        <f>双柏!AJ142</f>
        <v>0</v>
      </c>
      <c r="AO214" s="165" t="str">
        <f>双柏!AK142</f>
        <v>海拔2506，N24°22′33.32″ E101°15′21.18″</v>
      </c>
      <c r="AP214" s="263">
        <v>10</v>
      </c>
      <c r="AQ214" s="209">
        <f>双柏!AM142</f>
        <v>0</v>
      </c>
      <c r="AR214" s="295">
        <f>双柏!AN142</f>
        <v>2</v>
      </c>
      <c r="AS214" s="199" t="str">
        <f>双柏!AO142</f>
        <v>53232219801007536</v>
      </c>
      <c r="AT214" s="199" t="str">
        <f>双柏!AP142</f>
        <v>15987245764</v>
      </c>
    </row>
    <row r="215" spans="1:46">
      <c r="A215" t="s">
        <v>1921</v>
      </c>
      <c r="B215" s="202" t="str">
        <f>VLOOKUP(A215,databases!$A$2:$B$7, 2, FALSE)</f>
        <v>ShuangBai</v>
      </c>
      <c r="C215" s="165" t="str">
        <f>双柏!B143</f>
        <v>李贵华&amp;李富全</v>
      </c>
      <c r="D215" s="202" t="str">
        <f>VLOOKUP(C215,databases!$D$2:$E$145, 2, FALSE)</f>
        <v>R69</v>
      </c>
      <c r="E215" s="259">
        <f>INDEX(sample_database!$B$2:$B$506,MATCH(F215,sample_database!$L$2:$L$506,0))</f>
        <v>35</v>
      </c>
      <c r="F215" s="202" t="str">
        <f>双柏!A143</f>
        <v>SB142</v>
      </c>
      <c r="G215" s="257">
        <f>双柏!C143</f>
        <v>10</v>
      </c>
      <c r="H215" s="257">
        <f>双柏!D143</f>
        <v>0</v>
      </c>
      <c r="I215" s="202">
        <f>双柏!E143</f>
        <v>38</v>
      </c>
      <c r="J215" s="202">
        <f>双柏!F143</f>
        <v>3</v>
      </c>
      <c r="K215" s="202">
        <f>双柏!G143</f>
        <v>3</v>
      </c>
      <c r="L215" s="202">
        <f>双柏!H143</f>
        <v>3</v>
      </c>
      <c r="M215" s="202">
        <f>双柏!I143</f>
        <v>4</v>
      </c>
      <c r="N215" s="202">
        <f>双柏!J143</f>
        <v>4</v>
      </c>
      <c r="O215" s="202">
        <f>双柏!K143</f>
        <v>4</v>
      </c>
      <c r="P215" s="202">
        <f>双柏!L143</f>
        <v>4</v>
      </c>
      <c r="Q215" s="202">
        <f>双柏!M143</f>
        <v>4</v>
      </c>
      <c r="R215" s="202">
        <f>双柏!N143</f>
        <v>4</v>
      </c>
      <c r="S215" s="202">
        <f>双柏!O143</f>
        <v>5</v>
      </c>
      <c r="T215" s="202">
        <f>双柏!P143</f>
        <v>0</v>
      </c>
      <c r="U215" s="202">
        <f>双柏!Q143</f>
        <v>0</v>
      </c>
      <c r="V215" s="202">
        <f>双柏!R143</f>
        <v>0</v>
      </c>
      <c r="W215" s="202">
        <f>双柏!S143</f>
        <v>0</v>
      </c>
      <c r="X215" s="202">
        <f>双柏!T143</f>
        <v>0</v>
      </c>
      <c r="Y215" s="202">
        <f>双柏!U143</f>
        <v>0</v>
      </c>
      <c r="Z215" s="202">
        <f>双柏!V143</f>
        <v>0</v>
      </c>
      <c r="AA215" s="202">
        <f>双柏!W143</f>
        <v>0</v>
      </c>
      <c r="AB215" s="202">
        <f>双柏!X143</f>
        <v>0</v>
      </c>
      <c r="AC215" s="202">
        <f>双柏!Y143</f>
        <v>0</v>
      </c>
      <c r="AD215" s="202">
        <f>双柏!Z143</f>
        <v>0</v>
      </c>
      <c r="AE215" s="202">
        <f>双柏!AA143</f>
        <v>0</v>
      </c>
      <c r="AF215" s="202">
        <f>双柏!AB143</f>
        <v>0</v>
      </c>
      <c r="AG215" s="202">
        <f>双柏!AC143</f>
        <v>0</v>
      </c>
      <c r="AH215" s="202">
        <f>双柏!AD143</f>
        <v>0</v>
      </c>
      <c r="AI215" s="202">
        <f>双柏!AE143</f>
        <v>0</v>
      </c>
      <c r="AJ215" s="202">
        <f>双柏!AF143</f>
        <v>0</v>
      </c>
      <c r="AK215" s="165" t="str">
        <f>双柏!AG143</f>
        <v>双柏县鄂嘉镇义隆村</v>
      </c>
      <c r="AL215" s="165" t="str">
        <f>双柏!AH143</f>
        <v>2016/0802-0811</v>
      </c>
      <c r="AM215" s="165" t="str">
        <f>双柏!AI143</f>
        <v>2016/0802-0811</v>
      </c>
      <c r="AN215" s="165">
        <f>双柏!AJ143</f>
        <v>0</v>
      </c>
      <c r="AO215" s="165" t="str">
        <f>双柏!AK143</f>
        <v>海拔2801，N24°21′59.88″ E101°16′00.95″</v>
      </c>
      <c r="AP215" s="263">
        <v>7.5</v>
      </c>
      <c r="AQ215" s="209">
        <f>双柏!AM143</f>
        <v>0</v>
      </c>
      <c r="AR215" s="295">
        <f>双柏!AN143</f>
        <v>1.5</v>
      </c>
      <c r="AS215" s="199" t="str">
        <f>双柏!AO143</f>
        <v>53232219801007536</v>
      </c>
      <c r="AT215" s="199" t="str">
        <f>双柏!AP143</f>
        <v>15987245764</v>
      </c>
    </row>
    <row r="216" spans="1:46">
      <c r="A216" t="s">
        <v>1921</v>
      </c>
      <c r="B216" s="202" t="str">
        <f>VLOOKUP(A216,databases!$A$2:$B$7, 2, FALSE)</f>
        <v>ShuangBai</v>
      </c>
      <c r="C216" s="165" t="str">
        <f>双柏!B144</f>
        <v>李贵华&amp;李富全</v>
      </c>
      <c r="D216" s="202" t="str">
        <f>VLOOKUP(C216,databases!$D$2:$E$145, 2, FALSE)</f>
        <v>R69</v>
      </c>
      <c r="E216" s="259">
        <f>INDEX(sample_database!$B$2:$B$506,MATCH(F216,sample_database!$L$2:$L$506,0))</f>
        <v>35</v>
      </c>
      <c r="F216" s="202" t="str">
        <f>双柏!A144</f>
        <v>SB143</v>
      </c>
      <c r="G216" s="257">
        <f>双柏!C144</f>
        <v>10</v>
      </c>
      <c r="H216" s="257">
        <f>双柏!D144</f>
        <v>0</v>
      </c>
      <c r="I216" s="202">
        <f>双柏!E144</f>
        <v>47</v>
      </c>
      <c r="J216" s="202">
        <f>双柏!F144</f>
        <v>3</v>
      </c>
      <c r="K216" s="202">
        <f>双柏!G144</f>
        <v>4</v>
      </c>
      <c r="L216" s="202">
        <f>双柏!H144</f>
        <v>4</v>
      </c>
      <c r="M216" s="202">
        <f>双柏!I144</f>
        <v>4</v>
      </c>
      <c r="N216" s="202">
        <f>双柏!J144</f>
        <v>4</v>
      </c>
      <c r="O216" s="202">
        <f>双柏!K144</f>
        <v>4</v>
      </c>
      <c r="P216" s="202">
        <f>双柏!L144</f>
        <v>5</v>
      </c>
      <c r="Q216" s="202">
        <f>双柏!M144</f>
        <v>6</v>
      </c>
      <c r="R216" s="202">
        <f>双柏!N144</f>
        <v>6</v>
      </c>
      <c r="S216" s="202">
        <f>双柏!O144</f>
        <v>7</v>
      </c>
      <c r="T216" s="202">
        <f>双柏!P144</f>
        <v>0</v>
      </c>
      <c r="U216" s="202">
        <f>双柏!Q144</f>
        <v>0</v>
      </c>
      <c r="V216" s="202">
        <f>双柏!R144</f>
        <v>0</v>
      </c>
      <c r="W216" s="202">
        <f>双柏!S144</f>
        <v>0</v>
      </c>
      <c r="X216" s="202">
        <f>双柏!T144</f>
        <v>0</v>
      </c>
      <c r="Y216" s="202">
        <f>双柏!U144</f>
        <v>0</v>
      </c>
      <c r="Z216" s="202">
        <f>双柏!V144</f>
        <v>0</v>
      </c>
      <c r="AA216" s="202">
        <f>双柏!W144</f>
        <v>0</v>
      </c>
      <c r="AB216" s="202">
        <f>双柏!X144</f>
        <v>0</v>
      </c>
      <c r="AC216" s="202">
        <f>双柏!Y144</f>
        <v>0</v>
      </c>
      <c r="AD216" s="202">
        <f>双柏!Z144</f>
        <v>0</v>
      </c>
      <c r="AE216" s="202">
        <f>双柏!AA144</f>
        <v>0</v>
      </c>
      <c r="AF216" s="202">
        <f>双柏!AB144</f>
        <v>0</v>
      </c>
      <c r="AG216" s="202">
        <f>双柏!AC144</f>
        <v>0</v>
      </c>
      <c r="AH216" s="202">
        <f>双柏!AD144</f>
        <v>0</v>
      </c>
      <c r="AI216" s="202">
        <f>双柏!AE144</f>
        <v>0</v>
      </c>
      <c r="AJ216" s="202">
        <f>双柏!AF144</f>
        <v>0</v>
      </c>
      <c r="AK216" s="165" t="str">
        <f>双柏!AG144</f>
        <v>双柏县鄂嘉镇义隆村</v>
      </c>
      <c r="AL216" s="165" t="str">
        <f>双柏!AH144</f>
        <v>2016/0812-0821</v>
      </c>
      <c r="AM216" s="165" t="str">
        <f>双柏!AI144</f>
        <v>2016/0812-0821</v>
      </c>
      <c r="AN216" s="165">
        <f>双柏!AJ144</f>
        <v>0</v>
      </c>
      <c r="AO216" s="165" t="str">
        <f>双柏!AK144</f>
        <v>海拔2517，N24°22′45.21″ E101°15′05.22″</v>
      </c>
      <c r="AP216" s="263">
        <v>7.5</v>
      </c>
      <c r="AQ216" s="209">
        <f>双柏!AM144</f>
        <v>0</v>
      </c>
      <c r="AR216" s="295">
        <f>双柏!AN144</f>
        <v>1.5</v>
      </c>
      <c r="AS216" s="199" t="str">
        <f>双柏!AO144</f>
        <v>53232219801007536</v>
      </c>
      <c r="AT216" s="199" t="str">
        <f>双柏!AP144</f>
        <v>15987245764</v>
      </c>
    </row>
    <row r="217" spans="1:46">
      <c r="A217" t="s">
        <v>1921</v>
      </c>
      <c r="B217" s="202" t="str">
        <f>VLOOKUP(A217,databases!$A$2:$B$7, 2, FALSE)</f>
        <v>ShuangBai</v>
      </c>
      <c r="C217" s="165" t="str">
        <f>双柏!B145</f>
        <v>李贵华&amp;李富全</v>
      </c>
      <c r="D217" s="202" t="str">
        <f>VLOOKUP(C217,databases!$D$2:$E$145, 2, FALSE)</f>
        <v>R69</v>
      </c>
      <c r="E217" s="259">
        <f>INDEX(sample_database!$B$2:$B$506,MATCH(F217,sample_database!$L$2:$L$506,0))</f>
        <v>35</v>
      </c>
      <c r="F217" s="202" t="str">
        <f>双柏!A145</f>
        <v>SB144</v>
      </c>
      <c r="G217" s="257">
        <f>双柏!C145</f>
        <v>7</v>
      </c>
      <c r="H217" s="257">
        <f>双柏!D145</f>
        <v>0</v>
      </c>
      <c r="I217" s="202">
        <f>双柏!E145</f>
        <v>27</v>
      </c>
      <c r="J217" s="202">
        <f>双柏!F145</f>
        <v>3</v>
      </c>
      <c r="K217" s="202">
        <f>双柏!G145</f>
        <v>3</v>
      </c>
      <c r="L217" s="202">
        <f>双柏!H145</f>
        <v>3</v>
      </c>
      <c r="M217" s="202">
        <f>双柏!I145</f>
        <v>4</v>
      </c>
      <c r="N217" s="202">
        <f>双柏!J145</f>
        <v>4</v>
      </c>
      <c r="O217" s="202">
        <f>双柏!K145</f>
        <v>4</v>
      </c>
      <c r="P217" s="202">
        <f>双柏!L145</f>
        <v>6</v>
      </c>
      <c r="Q217" s="202">
        <f>双柏!M145</f>
        <v>0</v>
      </c>
      <c r="R217" s="202">
        <f>双柏!N145</f>
        <v>0</v>
      </c>
      <c r="S217" s="202">
        <f>双柏!O145</f>
        <v>0</v>
      </c>
      <c r="T217" s="202">
        <f>双柏!P145</f>
        <v>0</v>
      </c>
      <c r="U217" s="202">
        <f>双柏!Q145</f>
        <v>0</v>
      </c>
      <c r="V217" s="202">
        <f>双柏!R145</f>
        <v>0</v>
      </c>
      <c r="W217" s="202">
        <f>双柏!S145</f>
        <v>0</v>
      </c>
      <c r="X217" s="202">
        <f>双柏!T145</f>
        <v>0</v>
      </c>
      <c r="Y217" s="202">
        <f>双柏!U145</f>
        <v>0</v>
      </c>
      <c r="Z217" s="202">
        <f>双柏!V145</f>
        <v>0</v>
      </c>
      <c r="AA217" s="202">
        <f>双柏!W145</f>
        <v>0</v>
      </c>
      <c r="AB217" s="202">
        <f>双柏!X145</f>
        <v>0</v>
      </c>
      <c r="AC217" s="202">
        <f>双柏!Y145</f>
        <v>0</v>
      </c>
      <c r="AD217" s="202">
        <f>双柏!Z145</f>
        <v>0</v>
      </c>
      <c r="AE217" s="202">
        <f>双柏!AA145</f>
        <v>0</v>
      </c>
      <c r="AF217" s="202">
        <f>双柏!AB145</f>
        <v>0</v>
      </c>
      <c r="AG217" s="202">
        <f>双柏!AC145</f>
        <v>0</v>
      </c>
      <c r="AH217" s="202">
        <f>双柏!AD145</f>
        <v>0</v>
      </c>
      <c r="AI217" s="202">
        <f>双柏!AE145</f>
        <v>0</v>
      </c>
      <c r="AJ217" s="202">
        <f>双柏!AF145</f>
        <v>0</v>
      </c>
      <c r="AK217" s="165" t="str">
        <f>双柏!AG145</f>
        <v>双柏县鄂嘉镇义隆村</v>
      </c>
      <c r="AL217" s="165" t="str">
        <f>双柏!AH145</f>
        <v>2016/0822-0830</v>
      </c>
      <c r="AM217" s="165" t="str">
        <f>双柏!AI145</f>
        <v>2016/0822-0830</v>
      </c>
      <c r="AN217" s="165">
        <f>双柏!AJ145</f>
        <v>0</v>
      </c>
      <c r="AO217" s="165" t="str">
        <f>双柏!AK145</f>
        <v>海拔2811，N24°21′44.90″ E101°15′27.96″</v>
      </c>
      <c r="AP217" s="263">
        <v>6</v>
      </c>
      <c r="AQ217" s="209">
        <f>双柏!AM145</f>
        <v>0</v>
      </c>
      <c r="AR217" s="295">
        <f>双柏!AN145</f>
        <v>1.2</v>
      </c>
      <c r="AS217" s="199" t="str">
        <f>双柏!AO145</f>
        <v>53232219801007536</v>
      </c>
      <c r="AT217" s="199" t="str">
        <f>双柏!AP145</f>
        <v>15987245764</v>
      </c>
    </row>
    <row r="218" spans="1:46">
      <c r="A218" t="s">
        <v>1921</v>
      </c>
      <c r="B218" s="202" t="str">
        <f>VLOOKUP(A218,databases!$A$2:$B$7, 2, FALSE)</f>
        <v>ShuangBai</v>
      </c>
      <c r="C218" s="165" t="str">
        <f>双柏!B146</f>
        <v>李贵华&amp;李富全</v>
      </c>
      <c r="D218" s="202" t="str">
        <f>VLOOKUP(C218,databases!$D$2:$E$145, 2, FALSE)</f>
        <v>R69</v>
      </c>
      <c r="E218" s="259">
        <f>INDEX(sample_database!$B$2:$B$506,MATCH(F218,sample_database!$L$2:$L$506,0))</f>
        <v>35</v>
      </c>
      <c r="F218" s="202" t="str">
        <f>双柏!A146</f>
        <v>SB145</v>
      </c>
      <c r="G218" s="257">
        <f>双柏!C146</f>
        <v>0</v>
      </c>
      <c r="H218" s="257">
        <f>双柏!D146</f>
        <v>16</v>
      </c>
      <c r="I218" s="202">
        <f>双柏!E146</f>
        <v>43</v>
      </c>
      <c r="J218" s="202">
        <f>双柏!F146</f>
        <v>1</v>
      </c>
      <c r="K218" s="202">
        <f>双柏!G146</f>
        <v>1</v>
      </c>
      <c r="L218" s="202">
        <f>双柏!H146</f>
        <v>1</v>
      </c>
      <c r="M218" s="202">
        <f>双柏!I146</f>
        <v>1</v>
      </c>
      <c r="N218" s="202">
        <f>双柏!J146</f>
        <v>2</v>
      </c>
      <c r="O218" s="202">
        <f>双柏!K146</f>
        <v>2</v>
      </c>
      <c r="P218" s="202">
        <f>双柏!L146</f>
        <v>2</v>
      </c>
      <c r="Q218" s="202">
        <f>双柏!M146</f>
        <v>2</v>
      </c>
      <c r="R218" s="202">
        <f>双柏!N146</f>
        <v>3</v>
      </c>
      <c r="S218" s="202">
        <f>双柏!O146</f>
        <v>3</v>
      </c>
      <c r="T218" s="202">
        <f>双柏!P146</f>
        <v>4</v>
      </c>
      <c r="U218" s="202">
        <f>双柏!Q146</f>
        <v>4</v>
      </c>
      <c r="V218" s="202">
        <f>双柏!R146</f>
        <v>4</v>
      </c>
      <c r="W218" s="202">
        <f>双柏!S146</f>
        <v>4</v>
      </c>
      <c r="X218" s="202">
        <f>双柏!T146</f>
        <v>4</v>
      </c>
      <c r="Y218" s="202">
        <f>双柏!U146</f>
        <v>5</v>
      </c>
      <c r="Z218" s="202">
        <f>双柏!V146</f>
        <v>0</v>
      </c>
      <c r="AA218" s="202">
        <f>双柏!W146</f>
        <v>0</v>
      </c>
      <c r="AB218" s="202">
        <f>双柏!X146</f>
        <v>0</v>
      </c>
      <c r="AC218" s="202">
        <f>双柏!Y146</f>
        <v>0</v>
      </c>
      <c r="AD218" s="202">
        <f>双柏!Z146</f>
        <v>0</v>
      </c>
      <c r="AE218" s="202">
        <f>双柏!AA146</f>
        <v>0</v>
      </c>
      <c r="AF218" s="202">
        <f>双柏!AB146</f>
        <v>0</v>
      </c>
      <c r="AG218" s="202">
        <f>双柏!AC146</f>
        <v>0</v>
      </c>
      <c r="AH218" s="202">
        <f>双柏!AD146</f>
        <v>0</v>
      </c>
      <c r="AI218" s="202">
        <f>双柏!AE146</f>
        <v>0</v>
      </c>
      <c r="AJ218" s="202">
        <f>双柏!AF146</f>
        <v>0</v>
      </c>
      <c r="AK218" s="165" t="str">
        <f>双柏!AG146</f>
        <v>双柏县鄂嘉镇义隆村</v>
      </c>
      <c r="AL218" s="165" t="str">
        <f>双柏!AH146</f>
        <v>2016/08</v>
      </c>
      <c r="AM218" s="165" t="str">
        <f>双柏!AI146</f>
        <v>2016/08</v>
      </c>
      <c r="AN218" s="165">
        <f>双柏!AJ146</f>
        <v>0</v>
      </c>
      <c r="AO218" s="165" t="str">
        <f>双柏!AK146</f>
        <v>海拔2361，N24°22′37.53″ E101°5′21.48″</v>
      </c>
      <c r="AP218" s="263">
        <v>10</v>
      </c>
      <c r="AQ218" s="209">
        <f>双柏!AM146</f>
        <v>0</v>
      </c>
      <c r="AR218" s="295">
        <f>双柏!AN146</f>
        <v>2</v>
      </c>
      <c r="AS218" s="199" t="str">
        <f>双柏!AO146</f>
        <v>53232219801007536</v>
      </c>
      <c r="AT218" s="199" t="str">
        <f>双柏!AP146</f>
        <v>15987245764</v>
      </c>
    </row>
    <row r="219" spans="1:46">
      <c r="A219" t="s">
        <v>1921</v>
      </c>
      <c r="B219" s="202" t="str">
        <f>VLOOKUP(A219,databases!$A$2:$B$7, 2, FALSE)</f>
        <v>ShuangBai</v>
      </c>
      <c r="C219" s="165" t="str">
        <f>双柏!B71</f>
        <v>李进才</v>
      </c>
      <c r="D219" s="281" t="str">
        <f>VLOOKUP(C219,databases!$D$2:$E$145, 2, FALSE)</f>
        <v>R70</v>
      </c>
      <c r="E219" s="289">
        <f>INDEX(sample_database!$B$2:$B$506,MATCH(F219,sample_database!$L$2:$L$506,0))</f>
        <v>19</v>
      </c>
      <c r="F219" s="202" t="str">
        <f>双柏!A71</f>
        <v>SB070</v>
      </c>
      <c r="G219" s="257">
        <f>双柏!C71</f>
        <v>0</v>
      </c>
      <c r="H219" s="257">
        <f>双柏!D71</f>
        <v>7</v>
      </c>
      <c r="I219" s="202">
        <f>双柏!E71</f>
        <v>7</v>
      </c>
      <c r="J219" s="202">
        <f>双柏!F71</f>
        <v>1</v>
      </c>
      <c r="K219" s="202">
        <f>双柏!G71</f>
        <v>1</v>
      </c>
      <c r="L219" s="202">
        <f>双柏!H71</f>
        <v>1</v>
      </c>
      <c r="M219" s="202">
        <f>双柏!I71</f>
        <v>1</v>
      </c>
      <c r="N219" s="202">
        <f>双柏!J71</f>
        <v>1</v>
      </c>
      <c r="O219" s="202">
        <f>双柏!K71</f>
        <v>1</v>
      </c>
      <c r="P219" s="202">
        <f>双柏!L71</f>
        <v>1</v>
      </c>
      <c r="Q219" s="202">
        <f>双柏!M71</f>
        <v>0</v>
      </c>
      <c r="R219" s="202">
        <f>双柏!N71</f>
        <v>0</v>
      </c>
      <c r="S219" s="202">
        <f>双柏!O71</f>
        <v>0</v>
      </c>
      <c r="T219" s="202">
        <f>双柏!P71</f>
        <v>0</v>
      </c>
      <c r="U219" s="202">
        <f>双柏!Q71</f>
        <v>0</v>
      </c>
      <c r="V219" s="202">
        <f>双柏!R71</f>
        <v>0</v>
      </c>
      <c r="W219" s="202">
        <f>双柏!S71</f>
        <v>0</v>
      </c>
      <c r="X219" s="202">
        <f>双柏!T71</f>
        <v>0</v>
      </c>
      <c r="Y219" s="202">
        <f>双柏!U71</f>
        <v>0</v>
      </c>
      <c r="Z219" s="202">
        <f>双柏!V71</f>
        <v>0</v>
      </c>
      <c r="AA219" s="202">
        <f>双柏!W71</f>
        <v>0</v>
      </c>
      <c r="AB219" s="202">
        <f>双柏!X71</f>
        <v>0</v>
      </c>
      <c r="AC219" s="202">
        <f>双柏!Y71</f>
        <v>0</v>
      </c>
      <c r="AD219" s="202">
        <f>双柏!Z71</f>
        <v>0</v>
      </c>
      <c r="AE219" s="202">
        <f>双柏!AA71</f>
        <v>0</v>
      </c>
      <c r="AF219" s="202">
        <f>双柏!AB71</f>
        <v>0</v>
      </c>
      <c r="AG219" s="202">
        <f>双柏!AC71</f>
        <v>0</v>
      </c>
      <c r="AH219" s="202">
        <f>双柏!AD71</f>
        <v>0</v>
      </c>
      <c r="AI219" s="202">
        <f>双柏!AE71</f>
        <v>0</v>
      </c>
      <c r="AJ219" s="202">
        <f>双柏!AF71</f>
        <v>0</v>
      </c>
      <c r="AK219" s="165" t="str">
        <f>双柏!AG71</f>
        <v>双柏县鄂嘉镇义隆村</v>
      </c>
      <c r="AL219" s="165" t="str">
        <f>双柏!AH71</f>
        <v>2016/0818-0827</v>
      </c>
      <c r="AM219" s="165" t="str">
        <f>双柏!AI71</f>
        <v>2016/0818-0827</v>
      </c>
      <c r="AN219" s="165">
        <f>双柏!AJ71</f>
        <v>0</v>
      </c>
      <c r="AO219" s="165" t="str">
        <f>双柏!AK71</f>
        <v>海拔2188，N24°22′49.1″ E101°10′08.9″</v>
      </c>
      <c r="AP219" s="263">
        <v>1.5</v>
      </c>
      <c r="AQ219" s="209">
        <f>双柏!AM71</f>
        <v>0</v>
      </c>
      <c r="AR219" s="295">
        <f>双柏!AN71</f>
        <v>0.3</v>
      </c>
      <c r="AS219" s="199" t="str">
        <f>双柏!AO71</f>
        <v>53232219671115053X</v>
      </c>
      <c r="AT219" s="199" t="str">
        <f>双柏!AP71</f>
        <v>15987207162</v>
      </c>
    </row>
    <row r="220" spans="1:46">
      <c r="A220" t="s">
        <v>1921</v>
      </c>
      <c r="B220" s="202" t="str">
        <f>VLOOKUP(A220,databases!$A$2:$B$7, 2, FALSE)</f>
        <v>ShuangBai</v>
      </c>
      <c r="C220" s="165" t="str">
        <f>双柏!B68</f>
        <v>李进才</v>
      </c>
      <c r="D220" s="283" t="str">
        <f>VLOOKUP(C220,databases!$D$2:$E$145, 2, FALSE)</f>
        <v>R70</v>
      </c>
      <c r="E220" s="290">
        <f>INDEX(sample_database!$B$2:$B$506,MATCH(F220,sample_database!$L$2:$L$506,0))</f>
        <v>30</v>
      </c>
      <c r="F220" s="202" t="str">
        <f>双柏!A68</f>
        <v>SB067</v>
      </c>
      <c r="G220" s="257">
        <f>双柏!C68</f>
        <v>10</v>
      </c>
      <c r="H220" s="257">
        <f>双柏!D68</f>
        <v>0</v>
      </c>
      <c r="I220" s="202">
        <f>双柏!E68</f>
        <v>15</v>
      </c>
      <c r="J220" s="202">
        <f>双柏!F68</f>
        <v>1</v>
      </c>
      <c r="K220" s="202">
        <f>双柏!G68</f>
        <v>1</v>
      </c>
      <c r="L220" s="202">
        <f>双柏!H68</f>
        <v>1</v>
      </c>
      <c r="M220" s="202">
        <f>双柏!I68</f>
        <v>1</v>
      </c>
      <c r="N220" s="202">
        <f>双柏!J68</f>
        <v>1</v>
      </c>
      <c r="O220" s="202">
        <f>双柏!K68</f>
        <v>1</v>
      </c>
      <c r="P220" s="202">
        <f>双柏!L68</f>
        <v>1</v>
      </c>
      <c r="Q220" s="202">
        <f>双柏!M68</f>
        <v>2</v>
      </c>
      <c r="R220" s="202">
        <f>双柏!N68</f>
        <v>3</v>
      </c>
      <c r="S220" s="202">
        <f>双柏!O68</f>
        <v>3</v>
      </c>
      <c r="T220" s="202">
        <f>双柏!P68</f>
        <v>0</v>
      </c>
      <c r="U220" s="202">
        <f>双柏!Q68</f>
        <v>0</v>
      </c>
      <c r="V220" s="202">
        <f>双柏!R68</f>
        <v>0</v>
      </c>
      <c r="W220" s="202">
        <f>双柏!S68</f>
        <v>0</v>
      </c>
      <c r="X220" s="202">
        <f>双柏!T68</f>
        <v>0</v>
      </c>
      <c r="Y220" s="202">
        <f>双柏!U68</f>
        <v>0</v>
      </c>
      <c r="Z220" s="202">
        <f>双柏!V68</f>
        <v>0</v>
      </c>
      <c r="AA220" s="202">
        <f>双柏!W68</f>
        <v>0</v>
      </c>
      <c r="AB220" s="202">
        <f>双柏!X68</f>
        <v>0</v>
      </c>
      <c r="AC220" s="202">
        <f>双柏!Y68</f>
        <v>0</v>
      </c>
      <c r="AD220" s="202">
        <f>双柏!Z68</f>
        <v>0</v>
      </c>
      <c r="AE220" s="202">
        <f>双柏!AA68</f>
        <v>0</v>
      </c>
      <c r="AF220" s="202">
        <f>双柏!AB68</f>
        <v>0</v>
      </c>
      <c r="AG220" s="202">
        <f>双柏!AC68</f>
        <v>0</v>
      </c>
      <c r="AH220" s="202">
        <f>双柏!AD68</f>
        <v>0</v>
      </c>
      <c r="AI220" s="202">
        <f>双柏!AE68</f>
        <v>0</v>
      </c>
      <c r="AJ220" s="202">
        <f>双柏!AF68</f>
        <v>0</v>
      </c>
      <c r="AK220" s="165" t="str">
        <f>双柏!AG68</f>
        <v>双柏县鄂嘉镇义隆村</v>
      </c>
      <c r="AL220" s="165" t="str">
        <f>双柏!AH68</f>
        <v>2016/0728-0806</v>
      </c>
      <c r="AM220" s="165" t="str">
        <f>双柏!AI68</f>
        <v>2016/0728-0806</v>
      </c>
      <c r="AN220" s="165">
        <f>双柏!AJ68</f>
        <v>0</v>
      </c>
      <c r="AO220" s="165" t="str">
        <f>双柏!AK68</f>
        <v>海拔2751，N24°21′44.4″ E101°15′56.41″</v>
      </c>
      <c r="AP220" s="263">
        <v>3</v>
      </c>
      <c r="AQ220" s="209">
        <f>双柏!AM68</f>
        <v>0</v>
      </c>
      <c r="AR220" s="295">
        <f>双柏!AN68</f>
        <v>0.6</v>
      </c>
      <c r="AS220" s="199" t="str">
        <f>双柏!AO68</f>
        <v>53232219671115053X</v>
      </c>
      <c r="AT220" s="199" t="str">
        <f>双柏!AP68</f>
        <v>15987207162</v>
      </c>
    </row>
    <row r="221" spans="1:46">
      <c r="A221" t="s">
        <v>1921</v>
      </c>
      <c r="B221" s="202" t="str">
        <f>VLOOKUP(A221,databases!$A$2:$B$7, 2, FALSE)</f>
        <v>ShuangBai</v>
      </c>
      <c r="C221" s="165" t="str">
        <f>双柏!B67</f>
        <v>李进才</v>
      </c>
      <c r="D221" s="283" t="str">
        <f>VLOOKUP(C221,databases!$D$2:$E$145, 2, FALSE)</f>
        <v>R70</v>
      </c>
      <c r="E221" s="284" t="str">
        <f>INDEX(sample_database!$B$2:$B$506,MATCH(F221,sample_database!$L$2:$L$506,0))</f>
        <v>NA</v>
      </c>
      <c r="F221" s="202" t="str">
        <f>双柏!A67</f>
        <v>SB066</v>
      </c>
      <c r="G221" s="257">
        <f>双柏!C67</f>
        <v>10</v>
      </c>
      <c r="H221" s="257">
        <f>双柏!D67</f>
        <v>0</v>
      </c>
      <c r="I221" s="202">
        <f>双柏!E67</f>
        <v>11</v>
      </c>
      <c r="J221" s="202">
        <f>双柏!F67</f>
        <v>1</v>
      </c>
      <c r="K221" s="202">
        <f>双柏!G67</f>
        <v>1</v>
      </c>
      <c r="L221" s="202">
        <f>双柏!H67</f>
        <v>1</v>
      </c>
      <c r="M221" s="202">
        <f>双柏!I67</f>
        <v>1</v>
      </c>
      <c r="N221" s="202">
        <f>双柏!J67</f>
        <v>1</v>
      </c>
      <c r="O221" s="202">
        <f>双柏!K67</f>
        <v>1</v>
      </c>
      <c r="P221" s="202">
        <f>双柏!L67</f>
        <v>1</v>
      </c>
      <c r="Q221" s="202">
        <f>双柏!M67</f>
        <v>1</v>
      </c>
      <c r="R221" s="202">
        <f>双柏!N67</f>
        <v>1</v>
      </c>
      <c r="S221" s="202">
        <f>双柏!O67</f>
        <v>2</v>
      </c>
      <c r="T221" s="202">
        <f>双柏!P67</f>
        <v>0</v>
      </c>
      <c r="U221" s="202">
        <f>双柏!Q67</f>
        <v>0</v>
      </c>
      <c r="V221" s="202">
        <f>双柏!R67</f>
        <v>0</v>
      </c>
      <c r="W221" s="202">
        <f>双柏!S67</f>
        <v>0</v>
      </c>
      <c r="X221" s="202">
        <f>双柏!T67</f>
        <v>0</v>
      </c>
      <c r="Y221" s="202">
        <f>双柏!U67</f>
        <v>0</v>
      </c>
      <c r="Z221" s="202">
        <f>双柏!V67</f>
        <v>0</v>
      </c>
      <c r="AA221" s="202">
        <f>双柏!W67</f>
        <v>0</v>
      </c>
      <c r="AB221" s="202">
        <f>双柏!X67</f>
        <v>0</v>
      </c>
      <c r="AC221" s="202">
        <f>双柏!Y67</f>
        <v>0</v>
      </c>
      <c r="AD221" s="202">
        <f>双柏!Z67</f>
        <v>0</v>
      </c>
      <c r="AE221" s="202">
        <f>双柏!AA67</f>
        <v>0</v>
      </c>
      <c r="AF221" s="202">
        <f>双柏!AB67</f>
        <v>0</v>
      </c>
      <c r="AG221" s="202">
        <f>双柏!AC67</f>
        <v>0</v>
      </c>
      <c r="AH221" s="202">
        <f>双柏!AD67</f>
        <v>0</v>
      </c>
      <c r="AI221" s="202">
        <f>双柏!AE67</f>
        <v>0</v>
      </c>
      <c r="AJ221" s="202">
        <f>双柏!AF67</f>
        <v>0</v>
      </c>
      <c r="AK221" s="165" t="str">
        <f>双柏!AG67</f>
        <v>双柏县鄂嘉镇义隆村</v>
      </c>
      <c r="AL221" s="165" t="str">
        <f>双柏!AH67</f>
        <v>2016/0718-0727</v>
      </c>
      <c r="AM221" s="165" t="str">
        <f>双柏!AI67</f>
        <v>2016/0718-0727</v>
      </c>
      <c r="AN221" s="165">
        <f>双柏!AJ67</f>
        <v>0</v>
      </c>
      <c r="AO221" s="165" t="str">
        <f>双柏!AK67</f>
        <v>海拔2329，N24°22′52.5″ E101°95′40.2″</v>
      </c>
      <c r="AP221" s="263">
        <v>3</v>
      </c>
      <c r="AQ221" s="209">
        <f>双柏!AM67</f>
        <v>0</v>
      </c>
      <c r="AR221" s="295">
        <f>双柏!AN67</f>
        <v>0.6</v>
      </c>
      <c r="AS221" s="199" t="str">
        <f>双柏!AO67</f>
        <v>53232219671115053X</v>
      </c>
      <c r="AT221" s="199" t="str">
        <f>双柏!AP67</f>
        <v>15987207162</v>
      </c>
    </row>
    <row r="222" spans="1:46">
      <c r="A222" t="s">
        <v>1921</v>
      </c>
      <c r="B222" s="202" t="str">
        <f>VLOOKUP(A222,databases!$A$2:$B$7, 2, FALSE)</f>
        <v>ShuangBai</v>
      </c>
      <c r="C222" s="165" t="str">
        <f>双柏!B69</f>
        <v>李进才</v>
      </c>
      <c r="D222" s="283" t="str">
        <f>VLOOKUP(C222,databases!$D$2:$E$145, 2, FALSE)</f>
        <v>R70</v>
      </c>
      <c r="E222" s="284" t="str">
        <f>INDEX(sample_database!$B$2:$B$506,MATCH(F222,sample_database!$L$2:$L$506,0))</f>
        <v>NA</v>
      </c>
      <c r="F222" s="202" t="str">
        <f>双柏!A69</f>
        <v>SB068</v>
      </c>
      <c r="G222" s="257">
        <f>双柏!C69</f>
        <v>10</v>
      </c>
      <c r="H222" s="257">
        <f>双柏!D69</f>
        <v>0</v>
      </c>
      <c r="I222" s="202">
        <f>双柏!E69</f>
        <v>11</v>
      </c>
      <c r="J222" s="202">
        <f>双柏!F69</f>
        <v>1</v>
      </c>
      <c r="K222" s="202">
        <f>双柏!G69</f>
        <v>1</v>
      </c>
      <c r="L222" s="202">
        <f>双柏!H69</f>
        <v>1</v>
      </c>
      <c r="M222" s="202">
        <f>双柏!I69</f>
        <v>1</v>
      </c>
      <c r="N222" s="202">
        <f>双柏!J69</f>
        <v>1</v>
      </c>
      <c r="O222" s="202">
        <f>双柏!K69</f>
        <v>1</v>
      </c>
      <c r="P222" s="202">
        <f>双柏!L69</f>
        <v>1</v>
      </c>
      <c r="Q222" s="202">
        <f>双柏!M69</f>
        <v>1</v>
      </c>
      <c r="R222" s="202">
        <f>双柏!N69</f>
        <v>1</v>
      </c>
      <c r="S222" s="202">
        <f>双柏!O69</f>
        <v>2</v>
      </c>
      <c r="T222" s="202">
        <f>双柏!P69</f>
        <v>0</v>
      </c>
      <c r="U222" s="202">
        <f>双柏!Q69</f>
        <v>0</v>
      </c>
      <c r="V222" s="202">
        <f>双柏!R69</f>
        <v>0</v>
      </c>
      <c r="W222" s="202">
        <f>双柏!S69</f>
        <v>0</v>
      </c>
      <c r="X222" s="202">
        <f>双柏!T69</f>
        <v>0</v>
      </c>
      <c r="Y222" s="202">
        <f>双柏!U69</f>
        <v>0</v>
      </c>
      <c r="Z222" s="202">
        <f>双柏!V69</f>
        <v>0</v>
      </c>
      <c r="AA222" s="202">
        <f>双柏!W69</f>
        <v>0</v>
      </c>
      <c r="AB222" s="202">
        <f>双柏!X69</f>
        <v>0</v>
      </c>
      <c r="AC222" s="202">
        <f>双柏!Y69</f>
        <v>0</v>
      </c>
      <c r="AD222" s="202">
        <f>双柏!Z69</f>
        <v>0</v>
      </c>
      <c r="AE222" s="202">
        <f>双柏!AA69</f>
        <v>0</v>
      </c>
      <c r="AF222" s="202">
        <f>双柏!AB69</f>
        <v>0</v>
      </c>
      <c r="AG222" s="202">
        <f>双柏!AC69</f>
        <v>0</v>
      </c>
      <c r="AH222" s="202">
        <f>双柏!AD69</f>
        <v>0</v>
      </c>
      <c r="AI222" s="202">
        <f>双柏!AE69</f>
        <v>0</v>
      </c>
      <c r="AJ222" s="202">
        <f>双柏!AF69</f>
        <v>0</v>
      </c>
      <c r="AK222" s="165" t="str">
        <f>双柏!AG69</f>
        <v>双柏县鄂嘉镇义隆村</v>
      </c>
      <c r="AL222" s="165" t="str">
        <f>双柏!AH69</f>
        <v>2016/0819-0828</v>
      </c>
      <c r="AM222" s="165" t="str">
        <f>双柏!AI69</f>
        <v>2016/0819-0828</v>
      </c>
      <c r="AN222" s="165">
        <f>双柏!AJ69</f>
        <v>0</v>
      </c>
      <c r="AO222" s="165" t="str">
        <f>双柏!AK69</f>
        <v>海拔2369，N24°22′54.0″ E101°15′27.5″</v>
      </c>
      <c r="AP222" s="263">
        <v>3</v>
      </c>
      <c r="AQ222" s="209">
        <f>双柏!AM69</f>
        <v>0</v>
      </c>
      <c r="AR222" s="295">
        <f>双柏!AN69</f>
        <v>0.6</v>
      </c>
      <c r="AS222" s="199" t="str">
        <f>双柏!AO69</f>
        <v>53232219671115053X</v>
      </c>
      <c r="AT222" s="199" t="str">
        <f>双柏!AP69</f>
        <v>15987207162</v>
      </c>
    </row>
    <row r="223" spans="1:46">
      <c r="A223" t="s">
        <v>1921</v>
      </c>
      <c r="B223" s="202" t="str">
        <f>VLOOKUP(A223,databases!$A$2:$B$7, 2, FALSE)</f>
        <v>ShuangBai</v>
      </c>
      <c r="C223" s="165" t="str">
        <f>双柏!B70</f>
        <v>李进才</v>
      </c>
      <c r="D223" s="285" t="str">
        <f>VLOOKUP(C223,databases!$D$2:$E$145, 2, FALSE)</f>
        <v>R70</v>
      </c>
      <c r="E223" s="286" t="str">
        <f>INDEX(sample_database!$B$2:$B$506,MATCH(F223,sample_database!$L$2:$L$506,0))</f>
        <v>NA</v>
      </c>
      <c r="F223" s="202" t="str">
        <f>双柏!A70</f>
        <v>SB069</v>
      </c>
      <c r="G223" s="257">
        <f>双柏!C70</f>
        <v>6</v>
      </c>
      <c r="H223" s="257">
        <f>双柏!D70</f>
        <v>0</v>
      </c>
      <c r="I223" s="202">
        <f>双柏!E70</f>
        <v>6</v>
      </c>
      <c r="J223" s="202">
        <f>双柏!F70</f>
        <v>1</v>
      </c>
      <c r="K223" s="202">
        <f>双柏!G70</f>
        <v>1</v>
      </c>
      <c r="L223" s="202">
        <f>双柏!H70</f>
        <v>1</v>
      </c>
      <c r="M223" s="202">
        <f>双柏!I70</f>
        <v>1</v>
      </c>
      <c r="N223" s="202">
        <f>双柏!J70</f>
        <v>1</v>
      </c>
      <c r="O223" s="202">
        <f>双柏!K70</f>
        <v>1</v>
      </c>
      <c r="P223" s="202">
        <f>双柏!L70</f>
        <v>0</v>
      </c>
      <c r="Q223" s="202">
        <f>双柏!M70</f>
        <v>0</v>
      </c>
      <c r="R223" s="202">
        <f>双柏!N70</f>
        <v>0</v>
      </c>
      <c r="S223" s="202">
        <f>双柏!O70</f>
        <v>0</v>
      </c>
      <c r="T223" s="202">
        <f>双柏!P70</f>
        <v>0</v>
      </c>
      <c r="U223" s="202">
        <f>双柏!Q70</f>
        <v>0</v>
      </c>
      <c r="V223" s="202">
        <f>双柏!R70</f>
        <v>0</v>
      </c>
      <c r="W223" s="202">
        <f>双柏!S70</f>
        <v>0</v>
      </c>
      <c r="X223" s="202">
        <f>双柏!T70</f>
        <v>0</v>
      </c>
      <c r="Y223" s="202">
        <f>双柏!U70</f>
        <v>0</v>
      </c>
      <c r="Z223" s="202">
        <f>双柏!V70</f>
        <v>0</v>
      </c>
      <c r="AA223" s="202">
        <f>双柏!W70</f>
        <v>0</v>
      </c>
      <c r="AB223" s="202">
        <f>双柏!X70</f>
        <v>0</v>
      </c>
      <c r="AC223" s="202">
        <f>双柏!Y70</f>
        <v>0</v>
      </c>
      <c r="AD223" s="202">
        <f>双柏!Z70</f>
        <v>0</v>
      </c>
      <c r="AE223" s="202">
        <f>双柏!AA70</f>
        <v>0</v>
      </c>
      <c r="AF223" s="202">
        <f>双柏!AB70</f>
        <v>0</v>
      </c>
      <c r="AG223" s="202">
        <f>双柏!AC70</f>
        <v>0</v>
      </c>
      <c r="AH223" s="202">
        <f>双柏!AD70</f>
        <v>0</v>
      </c>
      <c r="AI223" s="202">
        <f>双柏!AE70</f>
        <v>0</v>
      </c>
      <c r="AJ223" s="202">
        <f>双柏!AF70</f>
        <v>0</v>
      </c>
      <c r="AK223" s="165" t="str">
        <f>双柏!AG70</f>
        <v>双柏县鄂嘉镇义隆村</v>
      </c>
      <c r="AL223" s="165" t="str">
        <f>双柏!AH70</f>
        <v>2016/0829-0830</v>
      </c>
      <c r="AM223" s="165" t="str">
        <f>双柏!AI70</f>
        <v>2016/0829-0830</v>
      </c>
      <c r="AN223" s="165">
        <f>双柏!AJ70</f>
        <v>0</v>
      </c>
      <c r="AO223" s="165" t="str">
        <f>双柏!AK70</f>
        <v>海拔2481，N24°22′46.9″ E101°15′19.8″</v>
      </c>
      <c r="AP223" s="263">
        <v>2</v>
      </c>
      <c r="AQ223" s="209">
        <f>双柏!AM70</f>
        <v>0</v>
      </c>
      <c r="AR223" s="295">
        <f>双柏!AN70</f>
        <v>0.4</v>
      </c>
      <c r="AS223" s="199" t="str">
        <f>双柏!AO70</f>
        <v>53232219671115053X</v>
      </c>
      <c r="AT223" s="199" t="str">
        <f>双柏!AP70</f>
        <v>15987207162</v>
      </c>
    </row>
    <row r="224" spans="1:46">
      <c r="A224" t="s">
        <v>1921</v>
      </c>
      <c r="B224" s="202" t="str">
        <f>VLOOKUP(A224,databases!$A$2:$B$7, 2, FALSE)</f>
        <v>ShuangBai</v>
      </c>
      <c r="C224" s="165" t="str">
        <f>双柏!B35</f>
        <v>杨荣高&amp;李波</v>
      </c>
      <c r="D224" s="273" t="str">
        <f>VLOOKUP(C224,databases!$D$2:$E$145, 2, FALSE)</f>
        <v>R76</v>
      </c>
      <c r="E224" s="274" t="str">
        <f>INDEX(sample_database!$B$2:$B$506,MATCH(F224,sample_database!$L$2:$L$506,0))</f>
        <v>NA</v>
      </c>
      <c r="F224" s="202" t="str">
        <f>双柏!A35</f>
        <v>SB034</v>
      </c>
      <c r="G224" s="257">
        <f>双柏!C35</f>
        <v>8</v>
      </c>
      <c r="H224" s="257">
        <f>双柏!D35</f>
        <v>0</v>
      </c>
      <c r="I224" s="202">
        <f>双柏!E35</f>
        <v>31</v>
      </c>
      <c r="J224" s="202">
        <f>双柏!F35</f>
        <v>3</v>
      </c>
      <c r="K224" s="202">
        <f>双柏!G35</f>
        <v>4</v>
      </c>
      <c r="L224" s="202">
        <f>双柏!H35</f>
        <v>3</v>
      </c>
      <c r="M224" s="202">
        <f>双柏!I35</f>
        <v>4</v>
      </c>
      <c r="N224" s="202">
        <f>双柏!J35</f>
        <v>4</v>
      </c>
      <c r="O224" s="202">
        <f>双柏!K35</f>
        <v>5</v>
      </c>
      <c r="P224" s="202">
        <f>双柏!L35</f>
        <v>4</v>
      </c>
      <c r="Q224" s="202">
        <f>双柏!M35</f>
        <v>4</v>
      </c>
      <c r="R224" s="202">
        <f>双柏!N35</f>
        <v>0</v>
      </c>
      <c r="S224" s="202">
        <f>双柏!O35</f>
        <v>0</v>
      </c>
      <c r="T224" s="202">
        <f>双柏!P35</f>
        <v>0</v>
      </c>
      <c r="U224" s="202">
        <f>双柏!Q35</f>
        <v>0</v>
      </c>
      <c r="V224" s="202">
        <f>双柏!R35</f>
        <v>0</v>
      </c>
      <c r="W224" s="202">
        <f>双柏!S35</f>
        <v>0</v>
      </c>
      <c r="X224" s="202">
        <f>双柏!T35</f>
        <v>0</v>
      </c>
      <c r="Y224" s="202">
        <f>双柏!U35</f>
        <v>0</v>
      </c>
      <c r="Z224" s="202">
        <f>双柏!V35</f>
        <v>0</v>
      </c>
      <c r="AA224" s="202">
        <f>双柏!W35</f>
        <v>0</v>
      </c>
      <c r="AB224" s="202">
        <f>双柏!X35</f>
        <v>0</v>
      </c>
      <c r="AC224" s="202">
        <f>双柏!Y35</f>
        <v>0</v>
      </c>
      <c r="AD224" s="202">
        <f>双柏!Z35</f>
        <v>0</v>
      </c>
      <c r="AE224" s="202">
        <f>双柏!AA35</f>
        <v>0</v>
      </c>
      <c r="AF224" s="202">
        <f>双柏!AB35</f>
        <v>0</v>
      </c>
      <c r="AG224" s="202">
        <f>双柏!AC35</f>
        <v>0</v>
      </c>
      <c r="AH224" s="202">
        <f>双柏!AD35</f>
        <v>0</v>
      </c>
      <c r="AI224" s="202">
        <f>双柏!AE35</f>
        <v>0</v>
      </c>
      <c r="AJ224" s="202">
        <f>双柏!AF35</f>
        <v>0</v>
      </c>
      <c r="AK224" s="165" t="str">
        <f>双柏!AG35</f>
        <v>双柏县鄂嘉镇义隆村</v>
      </c>
      <c r="AL224" s="165" t="str">
        <f>双柏!AH35</f>
        <v>2016/0723-0801</v>
      </c>
      <c r="AM224" s="165" t="str">
        <f>双柏!AI35</f>
        <v>2016/0723-0801</v>
      </c>
      <c r="AN224" s="165">
        <f>双柏!AJ35</f>
        <v>0</v>
      </c>
      <c r="AO224" s="165" t="str">
        <f>双柏!AK35</f>
        <v>海拔2501，N24°23′56.35″ E101°15′01.84″</v>
      </c>
      <c r="AP224" s="263">
        <v>5</v>
      </c>
      <c r="AQ224" s="209">
        <f>双柏!AM35</f>
        <v>0</v>
      </c>
      <c r="AR224" s="295">
        <f>双柏!AN35</f>
        <v>1</v>
      </c>
      <c r="AS224" s="199" t="str">
        <f>双柏!AO35</f>
        <v>532322196401260514</v>
      </c>
      <c r="AT224" s="199" t="str">
        <f>双柏!AP35</f>
        <v>13987859414</v>
      </c>
    </row>
    <row r="225" spans="1:46">
      <c r="A225" t="s">
        <v>1921</v>
      </c>
      <c r="B225" s="202" t="str">
        <f>VLOOKUP(A225,databases!$A$2:$B$7, 2, FALSE)</f>
        <v>ShuangBai</v>
      </c>
      <c r="C225" s="165" t="str">
        <f>双柏!B36</f>
        <v>杨荣高&amp;李波</v>
      </c>
      <c r="D225" s="275" t="str">
        <f>VLOOKUP(C225,databases!$D$2:$E$145, 2, FALSE)</f>
        <v>R76</v>
      </c>
      <c r="E225" s="276" t="str">
        <f>INDEX(sample_database!$B$2:$B$506,MATCH(F225,sample_database!$L$2:$L$506,0))</f>
        <v>NA</v>
      </c>
      <c r="F225" s="202" t="str">
        <f>双柏!A36</f>
        <v>SB035</v>
      </c>
      <c r="G225" s="257">
        <f>双柏!C36</f>
        <v>10</v>
      </c>
      <c r="H225" s="257">
        <f>双柏!D36</f>
        <v>0</v>
      </c>
      <c r="I225" s="202">
        <f>双柏!E36</f>
        <v>32</v>
      </c>
      <c r="J225" s="202">
        <f>双柏!F36</f>
        <v>1</v>
      </c>
      <c r="K225" s="202">
        <f>双柏!G36</f>
        <v>4</v>
      </c>
      <c r="L225" s="202">
        <f>双柏!H36</f>
        <v>3</v>
      </c>
      <c r="M225" s="202">
        <f>双柏!I36</f>
        <v>4</v>
      </c>
      <c r="N225" s="202">
        <f>双柏!J36</f>
        <v>3</v>
      </c>
      <c r="O225" s="202">
        <f>双柏!K36</f>
        <v>4</v>
      </c>
      <c r="P225" s="202">
        <f>双柏!L36</f>
        <v>3</v>
      </c>
      <c r="Q225" s="202">
        <f>双柏!M36</f>
        <v>4</v>
      </c>
      <c r="R225" s="202">
        <f>双柏!N36</f>
        <v>3</v>
      </c>
      <c r="S225" s="202">
        <f>双柏!O36</f>
        <v>3</v>
      </c>
      <c r="T225" s="202">
        <f>双柏!P36</f>
        <v>0</v>
      </c>
      <c r="U225" s="202">
        <f>双柏!Q36</f>
        <v>0</v>
      </c>
      <c r="V225" s="202">
        <f>双柏!R36</f>
        <v>0</v>
      </c>
      <c r="W225" s="202">
        <f>双柏!S36</f>
        <v>0</v>
      </c>
      <c r="X225" s="202">
        <f>双柏!T36</f>
        <v>0</v>
      </c>
      <c r="Y225" s="202">
        <f>双柏!U36</f>
        <v>0</v>
      </c>
      <c r="Z225" s="202">
        <f>双柏!V36</f>
        <v>0</v>
      </c>
      <c r="AA225" s="202">
        <f>双柏!W36</f>
        <v>0</v>
      </c>
      <c r="AB225" s="202">
        <f>双柏!X36</f>
        <v>0</v>
      </c>
      <c r="AC225" s="202">
        <f>双柏!Y36</f>
        <v>0</v>
      </c>
      <c r="AD225" s="202">
        <f>双柏!Z36</f>
        <v>0</v>
      </c>
      <c r="AE225" s="202">
        <f>双柏!AA36</f>
        <v>0</v>
      </c>
      <c r="AF225" s="202">
        <f>双柏!AB36</f>
        <v>0</v>
      </c>
      <c r="AG225" s="202">
        <f>双柏!AC36</f>
        <v>0</v>
      </c>
      <c r="AH225" s="202">
        <f>双柏!AD36</f>
        <v>0</v>
      </c>
      <c r="AI225" s="202">
        <f>双柏!AE36</f>
        <v>0</v>
      </c>
      <c r="AJ225" s="202">
        <f>双柏!AF36</f>
        <v>0</v>
      </c>
      <c r="AK225" s="165" t="str">
        <f>双柏!AG36</f>
        <v>双柏县鄂嘉镇义隆村</v>
      </c>
      <c r="AL225" s="165" t="str">
        <f>双柏!AH36</f>
        <v>2016/0802-0811</v>
      </c>
      <c r="AM225" s="165" t="str">
        <f>双柏!AI36</f>
        <v>2016/0802-0811</v>
      </c>
      <c r="AN225" s="165">
        <f>双柏!AJ36</f>
        <v>0</v>
      </c>
      <c r="AO225" s="165" t="str">
        <f>双柏!AK36</f>
        <v>海拔2640，N24°22′07.02″ E101°15′25.82″</v>
      </c>
      <c r="AP225" s="263">
        <v>10</v>
      </c>
      <c r="AQ225" s="209">
        <f>双柏!AM36</f>
        <v>0</v>
      </c>
      <c r="AR225" s="295">
        <f>双柏!AN36</f>
        <v>2</v>
      </c>
      <c r="AS225" s="199" t="str">
        <f>双柏!AO36</f>
        <v>532322196401260514</v>
      </c>
      <c r="AT225" s="199" t="str">
        <f>双柏!AP36</f>
        <v>13987859414</v>
      </c>
    </row>
    <row r="226" spans="1:46">
      <c r="A226" t="s">
        <v>1921</v>
      </c>
      <c r="B226" s="202" t="str">
        <f>VLOOKUP(A226,databases!$A$2:$B$7, 2, FALSE)</f>
        <v>ShuangBai</v>
      </c>
      <c r="C226" s="165" t="str">
        <f>双柏!B37</f>
        <v>杨荣高&amp;李波</v>
      </c>
      <c r="D226" s="275" t="str">
        <f>VLOOKUP(C226,databases!$D$2:$E$145, 2, FALSE)</f>
        <v>R76</v>
      </c>
      <c r="E226" s="276" t="str">
        <f>INDEX(sample_database!$B$2:$B$506,MATCH(F226,sample_database!$L$2:$L$506,0))</f>
        <v>NA</v>
      </c>
      <c r="F226" s="202" t="str">
        <f>双柏!A37</f>
        <v>SB036</v>
      </c>
      <c r="G226" s="257">
        <f>双柏!C37</f>
        <v>10</v>
      </c>
      <c r="H226" s="257">
        <f>双柏!D37</f>
        <v>0</v>
      </c>
      <c r="I226" s="202">
        <f>双柏!E37</f>
        <v>33</v>
      </c>
      <c r="J226" s="202">
        <f>双柏!F37</f>
        <v>1</v>
      </c>
      <c r="K226" s="202">
        <f>双柏!G37</f>
        <v>3</v>
      </c>
      <c r="L226" s="202">
        <f>双柏!H37</f>
        <v>5</v>
      </c>
      <c r="M226" s="202">
        <f>双柏!I37</f>
        <v>3</v>
      </c>
      <c r="N226" s="202">
        <f>双柏!J37</f>
        <v>2</v>
      </c>
      <c r="O226" s="202">
        <f>双柏!K37</f>
        <v>2</v>
      </c>
      <c r="P226" s="202">
        <f>双柏!L37</f>
        <v>2</v>
      </c>
      <c r="Q226" s="202">
        <f>双柏!M37</f>
        <v>4</v>
      </c>
      <c r="R226" s="202">
        <f>双柏!N37</f>
        <v>6</v>
      </c>
      <c r="S226" s="202">
        <f>双柏!O37</f>
        <v>5</v>
      </c>
      <c r="T226" s="202">
        <f>双柏!P37</f>
        <v>0</v>
      </c>
      <c r="U226" s="202">
        <f>双柏!Q37</f>
        <v>0</v>
      </c>
      <c r="V226" s="202">
        <f>双柏!R37</f>
        <v>0</v>
      </c>
      <c r="W226" s="202">
        <f>双柏!S37</f>
        <v>0</v>
      </c>
      <c r="X226" s="202">
        <f>双柏!T37</f>
        <v>0</v>
      </c>
      <c r="Y226" s="202">
        <f>双柏!U37</f>
        <v>0</v>
      </c>
      <c r="Z226" s="202">
        <f>双柏!V37</f>
        <v>0</v>
      </c>
      <c r="AA226" s="202">
        <f>双柏!W37</f>
        <v>0</v>
      </c>
      <c r="AB226" s="202">
        <f>双柏!X37</f>
        <v>0</v>
      </c>
      <c r="AC226" s="202">
        <f>双柏!Y37</f>
        <v>0</v>
      </c>
      <c r="AD226" s="202">
        <f>双柏!Z37</f>
        <v>0</v>
      </c>
      <c r="AE226" s="202">
        <f>双柏!AA37</f>
        <v>0</v>
      </c>
      <c r="AF226" s="202">
        <f>双柏!AB37</f>
        <v>0</v>
      </c>
      <c r="AG226" s="202">
        <f>双柏!AC37</f>
        <v>0</v>
      </c>
      <c r="AH226" s="202">
        <f>双柏!AD37</f>
        <v>0</v>
      </c>
      <c r="AI226" s="202">
        <f>双柏!AE37</f>
        <v>0</v>
      </c>
      <c r="AJ226" s="202">
        <f>双柏!AF37</f>
        <v>0</v>
      </c>
      <c r="AK226" s="165" t="str">
        <f>双柏!AG37</f>
        <v>双柏县鄂嘉镇义隆村</v>
      </c>
      <c r="AL226" s="165" t="str">
        <f>双柏!AH37</f>
        <v>2016/0812-0821</v>
      </c>
      <c r="AM226" s="165" t="str">
        <f>双柏!AI37</f>
        <v>2016/0812-0821</v>
      </c>
      <c r="AN226" s="165">
        <f>双柏!AJ37</f>
        <v>0</v>
      </c>
      <c r="AO226" s="165" t="str">
        <f>双柏!AK37</f>
        <v>海拔2640，N24°22′07.02″ E101°15′25.82″</v>
      </c>
      <c r="AP226" s="263">
        <v>10</v>
      </c>
      <c r="AQ226" s="209">
        <f>双柏!AM37</f>
        <v>0</v>
      </c>
      <c r="AR226" s="295">
        <f>双柏!AN37</f>
        <v>2</v>
      </c>
      <c r="AS226" s="199" t="str">
        <f>双柏!AO37</f>
        <v>532322196401260514</v>
      </c>
      <c r="AT226" s="199" t="str">
        <f>双柏!AP37</f>
        <v>13987859414</v>
      </c>
    </row>
    <row r="227" spans="1:46">
      <c r="A227" t="s">
        <v>1921</v>
      </c>
      <c r="B227" s="202" t="str">
        <f>VLOOKUP(A227,databases!$A$2:$B$7, 2, FALSE)</f>
        <v>ShuangBai</v>
      </c>
      <c r="C227" s="165" t="str">
        <f>双柏!B38</f>
        <v>杨荣高&amp;李波</v>
      </c>
      <c r="D227" s="275" t="str">
        <f>VLOOKUP(C227,databases!$D$2:$E$145, 2, FALSE)</f>
        <v>R76</v>
      </c>
      <c r="E227" s="276" t="str">
        <f>INDEX(sample_database!$B$2:$B$506,MATCH(F227,sample_database!$L$2:$L$506,0))</f>
        <v>NA</v>
      </c>
      <c r="F227" s="202" t="str">
        <f>双柏!A38</f>
        <v>SB037</v>
      </c>
      <c r="G227" s="257">
        <f>双柏!C38</f>
        <v>10</v>
      </c>
      <c r="H227" s="257">
        <f>双柏!D38</f>
        <v>0</v>
      </c>
      <c r="I227" s="202">
        <f>双柏!E38</f>
        <v>41</v>
      </c>
      <c r="J227" s="202">
        <f>双柏!F38</f>
        <v>6</v>
      </c>
      <c r="K227" s="202">
        <f>双柏!G38</f>
        <v>5</v>
      </c>
      <c r="L227" s="202">
        <f>双柏!H38</f>
        <v>3</v>
      </c>
      <c r="M227" s="202">
        <f>双柏!I38</f>
        <v>4</v>
      </c>
      <c r="N227" s="202">
        <f>双柏!J38</f>
        <v>3</v>
      </c>
      <c r="O227" s="202">
        <f>双柏!K38</f>
        <v>3</v>
      </c>
      <c r="P227" s="202">
        <f>双柏!L38</f>
        <v>5</v>
      </c>
      <c r="Q227" s="202">
        <f>双柏!M38</f>
        <v>3</v>
      </c>
      <c r="R227" s="202">
        <f>双柏!N38</f>
        <v>4</v>
      </c>
      <c r="S227" s="202">
        <f>双柏!O38</f>
        <v>5</v>
      </c>
      <c r="T227" s="202">
        <f>双柏!P38</f>
        <v>0</v>
      </c>
      <c r="U227" s="202">
        <f>双柏!Q38</f>
        <v>0</v>
      </c>
      <c r="V227" s="202">
        <f>双柏!R38</f>
        <v>0</v>
      </c>
      <c r="W227" s="202">
        <f>双柏!S38</f>
        <v>0</v>
      </c>
      <c r="X227" s="202">
        <f>双柏!T38</f>
        <v>0</v>
      </c>
      <c r="Y227" s="202">
        <f>双柏!U38</f>
        <v>0</v>
      </c>
      <c r="Z227" s="202">
        <f>双柏!V38</f>
        <v>0</v>
      </c>
      <c r="AA227" s="202">
        <f>双柏!W38</f>
        <v>0</v>
      </c>
      <c r="AB227" s="202">
        <f>双柏!X38</f>
        <v>0</v>
      </c>
      <c r="AC227" s="202">
        <f>双柏!Y38</f>
        <v>0</v>
      </c>
      <c r="AD227" s="202">
        <f>双柏!Z38</f>
        <v>0</v>
      </c>
      <c r="AE227" s="202">
        <f>双柏!AA38</f>
        <v>0</v>
      </c>
      <c r="AF227" s="202">
        <f>双柏!AB38</f>
        <v>0</v>
      </c>
      <c r="AG227" s="202">
        <f>双柏!AC38</f>
        <v>0</v>
      </c>
      <c r="AH227" s="202">
        <f>双柏!AD38</f>
        <v>0</v>
      </c>
      <c r="AI227" s="202">
        <f>双柏!AE38</f>
        <v>0</v>
      </c>
      <c r="AJ227" s="202">
        <f>双柏!AF38</f>
        <v>0</v>
      </c>
      <c r="AK227" s="165" t="str">
        <f>双柏!AG38</f>
        <v>双柏县鄂嘉镇义隆村</v>
      </c>
      <c r="AL227" s="165" t="str">
        <f>双柏!AH38</f>
        <v>2016/0822-0830</v>
      </c>
      <c r="AM227" s="165" t="str">
        <f>双柏!AI38</f>
        <v>2016/0822-0830</v>
      </c>
      <c r="AN227" s="165">
        <f>双柏!AJ38</f>
        <v>0</v>
      </c>
      <c r="AO227" s="165" t="str">
        <f>双柏!AK38</f>
        <v>海拔2750，N24°21′49.51″ E101°21′49.51″</v>
      </c>
      <c r="AP227" s="263">
        <v>5</v>
      </c>
      <c r="AQ227" s="209">
        <f>双柏!AM38</f>
        <v>0</v>
      </c>
      <c r="AR227" s="295">
        <f>双柏!AN38</f>
        <v>1</v>
      </c>
      <c r="AS227" s="199" t="str">
        <f>双柏!AO38</f>
        <v>532322196401260514</v>
      </c>
      <c r="AT227" s="199" t="str">
        <f>双柏!AP38</f>
        <v>13987859414</v>
      </c>
    </row>
    <row r="228" spans="1:46">
      <c r="A228" t="s">
        <v>1921</v>
      </c>
      <c r="B228" s="202" t="str">
        <f>VLOOKUP(A228,databases!$A$2:$B$7, 2, FALSE)</f>
        <v>ShuangBai</v>
      </c>
      <c r="C228" s="165" t="str">
        <f>双柏!B39</f>
        <v>杨荣高&amp;李波</v>
      </c>
      <c r="D228" s="277" t="str">
        <f>VLOOKUP(C228,databases!$D$2:$E$145, 2, FALSE)</f>
        <v>R76</v>
      </c>
      <c r="E228" s="278" t="str">
        <f>INDEX(sample_database!$B$2:$B$506,MATCH(F228,sample_database!$L$2:$L$506,0))</f>
        <v>NA</v>
      </c>
      <c r="F228" s="202" t="str">
        <f>双柏!A39</f>
        <v>SB038</v>
      </c>
      <c r="G228" s="257">
        <f>双柏!C39</f>
        <v>0</v>
      </c>
      <c r="H228" s="257">
        <f>双柏!D39</f>
        <v>14</v>
      </c>
      <c r="I228" s="202">
        <f>双柏!E39</f>
        <v>44</v>
      </c>
      <c r="J228" s="202">
        <f>双柏!F39</f>
        <v>1</v>
      </c>
      <c r="K228" s="202">
        <f>双柏!G39</f>
        <v>2</v>
      </c>
      <c r="L228" s="202">
        <f>双柏!H39</f>
        <v>2</v>
      </c>
      <c r="M228" s="202">
        <f>双柏!I39</f>
        <v>2</v>
      </c>
      <c r="N228" s="202">
        <f>双柏!J39</f>
        <v>3</v>
      </c>
      <c r="O228" s="202">
        <f>双柏!K39</f>
        <v>3</v>
      </c>
      <c r="P228" s="202">
        <f>双柏!L39</f>
        <v>3</v>
      </c>
      <c r="Q228" s="202">
        <f>双柏!M39</f>
        <v>4</v>
      </c>
      <c r="R228" s="202">
        <f>双柏!N39</f>
        <v>4</v>
      </c>
      <c r="S228" s="202">
        <f>双柏!O39</f>
        <v>4</v>
      </c>
      <c r="T228" s="202">
        <f>双柏!P39</f>
        <v>4</v>
      </c>
      <c r="U228" s="202">
        <f>双柏!Q39</f>
        <v>4</v>
      </c>
      <c r="V228" s="202">
        <f>双柏!R39</f>
        <v>4</v>
      </c>
      <c r="W228" s="202">
        <f>双柏!S39</f>
        <v>4</v>
      </c>
      <c r="X228" s="202">
        <f>双柏!T39</f>
        <v>0</v>
      </c>
      <c r="Y228" s="202">
        <f>双柏!U39</f>
        <v>0</v>
      </c>
      <c r="Z228" s="202">
        <f>双柏!V39</f>
        <v>0</v>
      </c>
      <c r="AA228" s="202">
        <f>双柏!W39</f>
        <v>0</v>
      </c>
      <c r="AB228" s="202">
        <f>双柏!X39</f>
        <v>0</v>
      </c>
      <c r="AC228" s="202">
        <f>双柏!Y39</f>
        <v>0</v>
      </c>
      <c r="AD228" s="202">
        <f>双柏!Z39</f>
        <v>0</v>
      </c>
      <c r="AE228" s="202">
        <f>双柏!AA39</f>
        <v>0</v>
      </c>
      <c r="AF228" s="202">
        <f>双柏!AB39</f>
        <v>0</v>
      </c>
      <c r="AG228" s="202">
        <f>双柏!AC39</f>
        <v>0</v>
      </c>
      <c r="AH228" s="202">
        <f>双柏!AD39</f>
        <v>0</v>
      </c>
      <c r="AI228" s="202">
        <f>双柏!AE39</f>
        <v>0</v>
      </c>
      <c r="AJ228" s="202">
        <f>双柏!AF39</f>
        <v>0</v>
      </c>
      <c r="AK228" s="165" t="str">
        <f>双柏!AG39</f>
        <v>双柏县鄂嘉镇义隆村</v>
      </c>
      <c r="AL228" s="165" t="str">
        <f>双柏!AH39</f>
        <v>2016/08</v>
      </c>
      <c r="AM228" s="165" t="str">
        <f>双柏!AI39</f>
        <v>2016/08</v>
      </c>
      <c r="AN228" s="165">
        <f>双柏!AJ39</f>
        <v>0</v>
      </c>
      <c r="AO228" s="165" t="str">
        <f>双柏!AK39</f>
        <v>海拔2361，N24°22′46.92″ E101°15′45.10″</v>
      </c>
      <c r="AP228" s="263">
        <v>10</v>
      </c>
      <c r="AQ228" s="209">
        <f>双柏!AM39</f>
        <v>0</v>
      </c>
      <c r="AR228" s="295">
        <f>双柏!AN39</f>
        <v>2</v>
      </c>
      <c r="AS228" s="199" t="str">
        <f>双柏!AO39</f>
        <v>532322196401260514</v>
      </c>
      <c r="AT228" s="199" t="str">
        <f>双柏!AP39</f>
        <v>13987859414</v>
      </c>
    </row>
    <row r="229" spans="1:46">
      <c r="A229" t="s">
        <v>1921</v>
      </c>
      <c r="B229" s="202" t="str">
        <f>VLOOKUP(A229,databases!$A$2:$B$7, 2, FALSE)</f>
        <v>ShuangBai</v>
      </c>
      <c r="C229" s="165" t="str">
        <f>双柏!B111</f>
        <v>王以华&amp;鲁光荣</v>
      </c>
      <c r="D229" s="281" t="str">
        <f>VLOOKUP(C229,databases!$D$2:$E$145, 2, FALSE)</f>
        <v>R81</v>
      </c>
      <c r="E229" s="282">
        <f>INDEX(sample_database!$B$2:$B$506,MATCH(F229,sample_database!$L$2:$L$506,0))</f>
        <v>17</v>
      </c>
      <c r="F229" s="202" t="str">
        <f>双柏!A111</f>
        <v>SB110</v>
      </c>
      <c r="G229" s="257">
        <f>双柏!C111</f>
        <v>3</v>
      </c>
      <c r="H229" s="257">
        <f>双柏!D111</f>
        <v>0</v>
      </c>
      <c r="I229" s="202">
        <f>双柏!E111</f>
        <v>6</v>
      </c>
      <c r="J229" s="202">
        <f>双柏!F111</f>
        <v>3</v>
      </c>
      <c r="K229" s="202">
        <f>双柏!G111</f>
        <v>2</v>
      </c>
      <c r="L229" s="202">
        <f>双柏!H111</f>
        <v>1</v>
      </c>
      <c r="M229" s="202">
        <f>双柏!I111</f>
        <v>0</v>
      </c>
      <c r="N229" s="202">
        <f>双柏!J111</f>
        <v>0</v>
      </c>
      <c r="O229" s="202">
        <f>双柏!K111</f>
        <v>0</v>
      </c>
      <c r="P229" s="202">
        <f>双柏!L111</f>
        <v>0</v>
      </c>
      <c r="Q229" s="202">
        <f>双柏!M111</f>
        <v>0</v>
      </c>
      <c r="R229" s="202">
        <f>双柏!N111</f>
        <v>0</v>
      </c>
      <c r="S229" s="202">
        <f>双柏!O111</f>
        <v>0</v>
      </c>
      <c r="T229" s="202">
        <f>双柏!P111</f>
        <v>0</v>
      </c>
      <c r="U229" s="202">
        <f>双柏!Q111</f>
        <v>0</v>
      </c>
      <c r="V229" s="202">
        <f>双柏!R111</f>
        <v>0</v>
      </c>
      <c r="W229" s="202">
        <f>双柏!S111</f>
        <v>0</v>
      </c>
      <c r="X229" s="202">
        <f>双柏!T111</f>
        <v>0</v>
      </c>
      <c r="Y229" s="202">
        <f>双柏!U111</f>
        <v>0</v>
      </c>
      <c r="Z229" s="202">
        <f>双柏!V111</f>
        <v>0</v>
      </c>
      <c r="AA229" s="202">
        <f>双柏!W111</f>
        <v>0</v>
      </c>
      <c r="AB229" s="202">
        <f>双柏!X111</f>
        <v>0</v>
      </c>
      <c r="AC229" s="202">
        <f>双柏!Y111</f>
        <v>0</v>
      </c>
      <c r="AD229" s="202">
        <f>双柏!Z111</f>
        <v>0</v>
      </c>
      <c r="AE229" s="202">
        <f>双柏!AA111</f>
        <v>0</v>
      </c>
      <c r="AF229" s="202">
        <f>双柏!AB111</f>
        <v>0</v>
      </c>
      <c r="AG229" s="202">
        <f>双柏!AC111</f>
        <v>0</v>
      </c>
      <c r="AH229" s="202">
        <f>双柏!AD111</f>
        <v>0</v>
      </c>
      <c r="AI229" s="202">
        <f>双柏!AE111</f>
        <v>0</v>
      </c>
      <c r="AJ229" s="202">
        <f>双柏!AF111</f>
        <v>0</v>
      </c>
      <c r="AK229" s="165" t="str">
        <f>双柏!AG111</f>
        <v>双柏县鄂嘉镇老厂村委会岔河大亳山</v>
      </c>
      <c r="AL229" s="165" t="str">
        <f>双柏!AH111</f>
        <v>2016/0714</v>
      </c>
      <c r="AM229" s="165" t="str">
        <f>双柏!AI111</f>
        <v>2016/0714</v>
      </c>
      <c r="AN229" s="165">
        <f>双柏!AJ111</f>
        <v>0</v>
      </c>
      <c r="AO229" s="165" t="str">
        <f>双柏!AK111</f>
        <v>海拔2487，N24°23′40.46″ E101°9′46.24″</v>
      </c>
      <c r="AP229" s="263">
        <v>2</v>
      </c>
      <c r="AQ229" s="209">
        <f>双柏!AM111</f>
        <v>0</v>
      </c>
      <c r="AR229" s="295">
        <f>双柏!AN111</f>
        <v>0.4</v>
      </c>
      <c r="AS229" s="199" t="str">
        <f>双柏!AO111</f>
        <v>532322196606240517</v>
      </c>
      <c r="AT229" s="199" t="str">
        <f>双柏!AP111</f>
        <v>18787867656</v>
      </c>
    </row>
    <row r="230" spans="1:46">
      <c r="A230" t="s">
        <v>1921</v>
      </c>
      <c r="B230" s="202" t="str">
        <f>VLOOKUP(A230,databases!$A$2:$B$7, 2, FALSE)</f>
        <v>ShuangBai</v>
      </c>
      <c r="C230" s="165" t="str">
        <f>双柏!B114</f>
        <v>王以华&amp;鲁光荣</v>
      </c>
      <c r="D230" s="283" t="str">
        <f>VLOOKUP(C230,databases!$D$2:$E$145, 2, FALSE)</f>
        <v>R81</v>
      </c>
      <c r="E230" s="284">
        <f>INDEX(sample_database!$B$2:$B$506,MATCH(F230,sample_database!$L$2:$L$506,0))</f>
        <v>17</v>
      </c>
      <c r="F230" s="202" t="str">
        <f>双柏!A114</f>
        <v>SB113</v>
      </c>
      <c r="G230" s="257">
        <f>双柏!C114</f>
        <v>4</v>
      </c>
      <c r="H230" s="257">
        <f>双柏!D114</f>
        <v>0</v>
      </c>
      <c r="I230" s="202">
        <f>双柏!E114</f>
        <v>21</v>
      </c>
      <c r="J230" s="202">
        <f>双柏!F114</f>
        <v>3</v>
      </c>
      <c r="K230" s="202">
        <f>双柏!G114</f>
        <v>9</v>
      </c>
      <c r="L230" s="202">
        <f>双柏!H114</f>
        <v>8</v>
      </c>
      <c r="M230" s="202">
        <f>双柏!I114</f>
        <v>1</v>
      </c>
      <c r="N230" s="202">
        <f>双柏!J114</f>
        <v>0</v>
      </c>
      <c r="O230" s="202">
        <f>双柏!K114</f>
        <v>0</v>
      </c>
      <c r="P230" s="202">
        <f>双柏!L114</f>
        <v>0</v>
      </c>
      <c r="Q230" s="202">
        <f>双柏!M114</f>
        <v>0</v>
      </c>
      <c r="R230" s="202">
        <f>双柏!N114</f>
        <v>0</v>
      </c>
      <c r="S230" s="202">
        <f>双柏!O114</f>
        <v>0</v>
      </c>
      <c r="T230" s="202">
        <f>双柏!P114</f>
        <v>0</v>
      </c>
      <c r="U230" s="202">
        <f>双柏!Q114</f>
        <v>0</v>
      </c>
      <c r="V230" s="202">
        <f>双柏!R114</f>
        <v>0</v>
      </c>
      <c r="W230" s="202">
        <f>双柏!S114</f>
        <v>0</v>
      </c>
      <c r="X230" s="202">
        <f>双柏!T114</f>
        <v>0</v>
      </c>
      <c r="Y230" s="202">
        <f>双柏!U114</f>
        <v>0</v>
      </c>
      <c r="Z230" s="202">
        <f>双柏!V114</f>
        <v>0</v>
      </c>
      <c r="AA230" s="202">
        <f>双柏!W114</f>
        <v>0</v>
      </c>
      <c r="AB230" s="202">
        <f>双柏!X114</f>
        <v>0</v>
      </c>
      <c r="AC230" s="202">
        <f>双柏!Y114</f>
        <v>0</v>
      </c>
      <c r="AD230" s="202">
        <f>双柏!Z114</f>
        <v>0</v>
      </c>
      <c r="AE230" s="202">
        <f>双柏!AA114</f>
        <v>0</v>
      </c>
      <c r="AF230" s="202">
        <f>双柏!AB114</f>
        <v>0</v>
      </c>
      <c r="AG230" s="202">
        <f>双柏!AC114</f>
        <v>0</v>
      </c>
      <c r="AH230" s="202">
        <f>双柏!AD114</f>
        <v>0</v>
      </c>
      <c r="AI230" s="202">
        <f>双柏!AE114</f>
        <v>0</v>
      </c>
      <c r="AJ230" s="202">
        <f>双柏!AF114</f>
        <v>0</v>
      </c>
      <c r="AK230" s="165" t="str">
        <f>双柏!AG114</f>
        <v>双柏县鄂嘉镇老厂村委会铺子</v>
      </c>
      <c r="AL230" s="165" t="str">
        <f>双柏!AH114</f>
        <v>2016/0820</v>
      </c>
      <c r="AM230" s="165" t="str">
        <f>双柏!AI114</f>
        <v>2016/0820</v>
      </c>
      <c r="AN230" s="165">
        <f>双柏!AJ114</f>
        <v>0</v>
      </c>
      <c r="AO230" s="165" t="str">
        <f>双柏!AK114</f>
        <v>海拔2351，N24°23′41.38″ E101°9′42.71″</v>
      </c>
      <c r="AP230" s="263">
        <v>4</v>
      </c>
      <c r="AQ230" s="209">
        <f>双柏!AM114</f>
        <v>0</v>
      </c>
      <c r="AR230" s="295">
        <f>双柏!AN114</f>
        <v>0.8</v>
      </c>
      <c r="AS230" s="199" t="str">
        <f>双柏!AO114</f>
        <v>532322196606240517</v>
      </c>
      <c r="AT230" s="199" t="str">
        <f>双柏!AP114</f>
        <v>18787867656</v>
      </c>
    </row>
    <row r="231" spans="1:46">
      <c r="A231" t="s">
        <v>1921</v>
      </c>
      <c r="B231" s="202" t="str">
        <f>VLOOKUP(A231,databases!$A$2:$B$7, 2, FALSE)</f>
        <v>ShuangBai</v>
      </c>
      <c r="C231" s="165" t="str">
        <f>双柏!B112</f>
        <v>王以华&amp;鲁光荣</v>
      </c>
      <c r="D231" s="283" t="str">
        <f>VLOOKUP(C231,databases!$D$2:$E$145, 2, FALSE)</f>
        <v>R81</v>
      </c>
      <c r="E231" s="284" t="str">
        <f>INDEX(sample_database!$B$2:$B$506,MATCH(F231,sample_database!$L$2:$L$506,0))</f>
        <v>NA</v>
      </c>
      <c r="F231" s="202" t="str">
        <f>双柏!A112</f>
        <v>SB111</v>
      </c>
      <c r="G231" s="257">
        <f>双柏!C112</f>
        <v>4</v>
      </c>
      <c r="H231" s="257">
        <f>双柏!D112</f>
        <v>0</v>
      </c>
      <c r="I231" s="202">
        <f>双柏!E112</f>
        <v>19</v>
      </c>
      <c r="J231" s="202">
        <f>双柏!F112</f>
        <v>4</v>
      </c>
      <c r="K231" s="202">
        <f>双柏!G112</f>
        <v>5</v>
      </c>
      <c r="L231" s="202">
        <f>双柏!H112</f>
        <v>6</v>
      </c>
      <c r="M231" s="202">
        <f>双柏!I112</f>
        <v>4</v>
      </c>
      <c r="N231" s="202">
        <f>双柏!J112</f>
        <v>0</v>
      </c>
      <c r="O231" s="202">
        <f>双柏!K112</f>
        <v>0</v>
      </c>
      <c r="P231" s="202">
        <f>双柏!L112</f>
        <v>0</v>
      </c>
      <c r="Q231" s="202">
        <f>双柏!M112</f>
        <v>0</v>
      </c>
      <c r="R231" s="202">
        <f>双柏!N112</f>
        <v>0</v>
      </c>
      <c r="S231" s="202">
        <f>双柏!O112</f>
        <v>0</v>
      </c>
      <c r="T231" s="202">
        <f>双柏!P112</f>
        <v>0</v>
      </c>
      <c r="U231" s="202">
        <f>双柏!Q112</f>
        <v>0</v>
      </c>
      <c r="V231" s="202">
        <f>双柏!R112</f>
        <v>0</v>
      </c>
      <c r="W231" s="202">
        <f>双柏!S112</f>
        <v>0</v>
      </c>
      <c r="X231" s="202">
        <f>双柏!T112</f>
        <v>0</v>
      </c>
      <c r="Y231" s="202">
        <f>双柏!U112</f>
        <v>0</v>
      </c>
      <c r="Z231" s="202">
        <f>双柏!V112</f>
        <v>0</v>
      </c>
      <c r="AA231" s="202">
        <f>双柏!W112</f>
        <v>0</v>
      </c>
      <c r="AB231" s="202">
        <f>双柏!X112</f>
        <v>0</v>
      </c>
      <c r="AC231" s="202">
        <f>双柏!Y112</f>
        <v>0</v>
      </c>
      <c r="AD231" s="202">
        <f>双柏!Z112</f>
        <v>0</v>
      </c>
      <c r="AE231" s="202">
        <f>双柏!AA112</f>
        <v>0</v>
      </c>
      <c r="AF231" s="202">
        <f>双柏!AB112</f>
        <v>0</v>
      </c>
      <c r="AG231" s="202">
        <f>双柏!AC112</f>
        <v>0</v>
      </c>
      <c r="AH231" s="202">
        <f>双柏!AD112</f>
        <v>0</v>
      </c>
      <c r="AI231" s="202">
        <f>双柏!AE112</f>
        <v>0</v>
      </c>
      <c r="AJ231" s="202">
        <f>双柏!AF112</f>
        <v>0</v>
      </c>
      <c r="AK231" s="165" t="str">
        <f>双柏!AG112</f>
        <v>双柏县鄂嘉镇老厂村委会铺子</v>
      </c>
      <c r="AL231" s="165" t="str">
        <f>双柏!AH112</f>
        <v>2016/0725</v>
      </c>
      <c r="AM231" s="165" t="str">
        <f>双柏!AI112</f>
        <v>2016/0725</v>
      </c>
      <c r="AN231" s="165">
        <f>双柏!AJ112</f>
        <v>0</v>
      </c>
      <c r="AO231" s="165" t="str">
        <f>双柏!AK112</f>
        <v>海拔2405，N24°23′42.8″ E101°10′21.5″</v>
      </c>
      <c r="AP231" s="263">
        <v>4</v>
      </c>
      <c r="AQ231" s="209">
        <f>双柏!AM112</f>
        <v>0</v>
      </c>
      <c r="AR231" s="295">
        <f>双柏!AN112</f>
        <v>0.8</v>
      </c>
      <c r="AS231" s="199" t="str">
        <f>双柏!AO112</f>
        <v>532322196606240517</v>
      </c>
      <c r="AT231" s="199" t="str">
        <f>双柏!AP112</f>
        <v>18787867656</v>
      </c>
    </row>
    <row r="232" spans="1:46">
      <c r="A232" t="s">
        <v>1921</v>
      </c>
      <c r="B232" s="202" t="str">
        <f>VLOOKUP(A232,databases!$A$2:$B$7, 2, FALSE)</f>
        <v>ShuangBai</v>
      </c>
      <c r="C232" s="165" t="str">
        <f>双柏!B113</f>
        <v>王以华&amp;鲁光荣</v>
      </c>
      <c r="D232" s="283" t="str">
        <f>VLOOKUP(C232,databases!$D$2:$E$145, 2, FALSE)</f>
        <v>R81</v>
      </c>
      <c r="E232" s="284" t="str">
        <f>INDEX(sample_database!$B$2:$B$506,MATCH(F232,sample_database!$L$2:$L$506,0))</f>
        <v>NA</v>
      </c>
      <c r="F232" s="202" t="str">
        <f>双柏!A113</f>
        <v>SB112</v>
      </c>
      <c r="G232" s="257">
        <f>双柏!C113</f>
        <v>2</v>
      </c>
      <c r="H232" s="257">
        <f>双柏!D113</f>
        <v>0</v>
      </c>
      <c r="I232" s="202">
        <f>双柏!E113</f>
        <v>6</v>
      </c>
      <c r="J232" s="202">
        <f>双柏!F113</f>
        <v>4</v>
      </c>
      <c r="K232" s="202">
        <f>双柏!G113</f>
        <v>2</v>
      </c>
      <c r="L232" s="202">
        <f>双柏!H113</f>
        <v>0</v>
      </c>
      <c r="M232" s="202">
        <f>双柏!I113</f>
        <v>0</v>
      </c>
      <c r="N232" s="202">
        <f>双柏!J113</f>
        <v>0</v>
      </c>
      <c r="O232" s="202">
        <f>双柏!K113</f>
        <v>0</v>
      </c>
      <c r="P232" s="202">
        <f>双柏!L113</f>
        <v>0</v>
      </c>
      <c r="Q232" s="202">
        <f>双柏!M113</f>
        <v>0</v>
      </c>
      <c r="R232" s="202">
        <f>双柏!N113</f>
        <v>0</v>
      </c>
      <c r="S232" s="202">
        <f>双柏!O113</f>
        <v>0</v>
      </c>
      <c r="T232" s="202">
        <f>双柏!P113</f>
        <v>0</v>
      </c>
      <c r="U232" s="202">
        <f>双柏!Q113</f>
        <v>0</v>
      </c>
      <c r="V232" s="202">
        <f>双柏!R113</f>
        <v>0</v>
      </c>
      <c r="W232" s="202">
        <f>双柏!S113</f>
        <v>0</v>
      </c>
      <c r="X232" s="202">
        <f>双柏!T113</f>
        <v>0</v>
      </c>
      <c r="Y232" s="202">
        <f>双柏!U113</f>
        <v>0</v>
      </c>
      <c r="Z232" s="202">
        <f>双柏!V113</f>
        <v>0</v>
      </c>
      <c r="AA232" s="202">
        <f>双柏!W113</f>
        <v>0</v>
      </c>
      <c r="AB232" s="202">
        <f>双柏!X113</f>
        <v>0</v>
      </c>
      <c r="AC232" s="202">
        <f>双柏!Y113</f>
        <v>0</v>
      </c>
      <c r="AD232" s="202">
        <f>双柏!Z113</f>
        <v>0</v>
      </c>
      <c r="AE232" s="202">
        <f>双柏!AA113</f>
        <v>0</v>
      </c>
      <c r="AF232" s="202">
        <f>双柏!AB113</f>
        <v>0</v>
      </c>
      <c r="AG232" s="202">
        <f>双柏!AC113</f>
        <v>0</v>
      </c>
      <c r="AH232" s="202">
        <f>双柏!AD113</f>
        <v>0</v>
      </c>
      <c r="AI232" s="202">
        <f>双柏!AE113</f>
        <v>0</v>
      </c>
      <c r="AJ232" s="202">
        <f>双柏!AF113</f>
        <v>0</v>
      </c>
      <c r="AK232" s="165" t="str">
        <f>双柏!AG113</f>
        <v>双柏县鄂嘉镇老厂村委会铺子</v>
      </c>
      <c r="AL232" s="165" t="str">
        <f>双柏!AH113</f>
        <v>2016/0805</v>
      </c>
      <c r="AM232" s="165" t="str">
        <f>双柏!AI113</f>
        <v>2016/0805</v>
      </c>
      <c r="AN232" s="165">
        <f>双柏!AJ113</f>
        <v>0</v>
      </c>
      <c r="AO232" s="165" t="str">
        <f>双柏!AK113</f>
        <v>海拔2504，N24°23′40.57″ E101°7′45.24″</v>
      </c>
      <c r="AP232" s="263">
        <v>3</v>
      </c>
      <c r="AQ232" s="209">
        <f>双柏!AM113</f>
        <v>0</v>
      </c>
      <c r="AR232" s="295">
        <f>双柏!AN113</f>
        <v>0.6</v>
      </c>
      <c r="AS232" s="199" t="str">
        <f>双柏!AO113</f>
        <v>532322196606240517</v>
      </c>
      <c r="AT232" s="199" t="str">
        <f>双柏!AP113</f>
        <v>18787867656</v>
      </c>
    </row>
    <row r="233" spans="1:46">
      <c r="A233" t="s">
        <v>1921</v>
      </c>
      <c r="B233" s="202" t="str">
        <f>VLOOKUP(A233,databases!$A$2:$B$7, 2, FALSE)</f>
        <v>ShuangBai</v>
      </c>
      <c r="C233" s="165" t="str">
        <f>双柏!B115</f>
        <v>王以华&amp;鲁光荣</v>
      </c>
      <c r="D233" s="285" t="str">
        <f>VLOOKUP(C233,databases!$D$2:$E$145, 2, FALSE)</f>
        <v>R81</v>
      </c>
      <c r="E233" s="286" t="str">
        <f>INDEX(sample_database!$B$2:$B$506,MATCH(F233,sample_database!$L$2:$L$506,0))</f>
        <v>NA</v>
      </c>
      <c r="F233" s="202" t="str">
        <f>双柏!A115</f>
        <v>SB114</v>
      </c>
      <c r="G233" s="257">
        <f>双柏!C115</f>
        <v>0</v>
      </c>
      <c r="H233" s="257">
        <f>双柏!D115</f>
        <v>3</v>
      </c>
      <c r="I233" s="202">
        <f>双柏!E115</f>
        <v>8</v>
      </c>
      <c r="J233" s="202">
        <f>双柏!F115</f>
        <v>2</v>
      </c>
      <c r="K233" s="202">
        <f>双柏!G115</f>
        <v>4</v>
      </c>
      <c r="L233" s="202">
        <f>双柏!H115</f>
        <v>2</v>
      </c>
      <c r="M233" s="202">
        <f>双柏!I115</f>
        <v>0</v>
      </c>
      <c r="N233" s="202">
        <f>双柏!J115</f>
        <v>0</v>
      </c>
      <c r="O233" s="202">
        <f>双柏!K115</f>
        <v>0</v>
      </c>
      <c r="P233" s="202">
        <f>双柏!L115</f>
        <v>0</v>
      </c>
      <c r="Q233" s="202">
        <f>双柏!M115</f>
        <v>0</v>
      </c>
      <c r="R233" s="202">
        <f>双柏!N115</f>
        <v>0</v>
      </c>
      <c r="S233" s="202">
        <f>双柏!O115</f>
        <v>0</v>
      </c>
      <c r="T233" s="202">
        <f>双柏!P115</f>
        <v>0</v>
      </c>
      <c r="U233" s="202">
        <f>双柏!Q115</f>
        <v>0</v>
      </c>
      <c r="V233" s="202">
        <f>双柏!R115</f>
        <v>0</v>
      </c>
      <c r="W233" s="202">
        <f>双柏!S115</f>
        <v>0</v>
      </c>
      <c r="X233" s="202">
        <f>双柏!T115</f>
        <v>0</v>
      </c>
      <c r="Y233" s="202">
        <f>双柏!U115</f>
        <v>0</v>
      </c>
      <c r="Z233" s="202">
        <f>双柏!V115</f>
        <v>0</v>
      </c>
      <c r="AA233" s="202">
        <f>双柏!W115</f>
        <v>0</v>
      </c>
      <c r="AB233" s="202">
        <f>双柏!X115</f>
        <v>0</v>
      </c>
      <c r="AC233" s="202">
        <f>双柏!Y115</f>
        <v>0</v>
      </c>
      <c r="AD233" s="202">
        <f>双柏!Z115</f>
        <v>0</v>
      </c>
      <c r="AE233" s="202">
        <f>双柏!AA115</f>
        <v>0</v>
      </c>
      <c r="AF233" s="202">
        <f>双柏!AB115</f>
        <v>0</v>
      </c>
      <c r="AG233" s="202">
        <f>双柏!AC115</f>
        <v>0</v>
      </c>
      <c r="AH233" s="202">
        <f>双柏!AD115</f>
        <v>0</v>
      </c>
      <c r="AI233" s="202">
        <f>双柏!AE115</f>
        <v>0</v>
      </c>
      <c r="AJ233" s="202">
        <f>双柏!AF115</f>
        <v>0</v>
      </c>
      <c r="AK233" s="165" t="str">
        <f>双柏!AG115</f>
        <v>双柏县鄂嘉镇老厂村委会铺子</v>
      </c>
      <c r="AL233" s="165" t="str">
        <f>双柏!AH115</f>
        <v>2016/0819</v>
      </c>
      <c r="AM233" s="165" t="str">
        <f>双柏!AI115</f>
        <v>2016/0819</v>
      </c>
      <c r="AN233" s="165">
        <f>双柏!AJ115</f>
        <v>0</v>
      </c>
      <c r="AO233" s="165" t="str">
        <f>双柏!AK115</f>
        <v>海拔2305，N24°21′51.47″ E101°7′42.74″</v>
      </c>
      <c r="AP233" s="263">
        <v>2.5</v>
      </c>
      <c r="AQ233" s="209">
        <f>双柏!AM115</f>
        <v>0</v>
      </c>
      <c r="AR233" s="295">
        <f>双柏!AN115</f>
        <v>0.5</v>
      </c>
      <c r="AS233" s="199" t="str">
        <f>双柏!AO115</f>
        <v>532322196606240517</v>
      </c>
      <c r="AT233" s="199" t="str">
        <f>双柏!AP115</f>
        <v>18787867656</v>
      </c>
    </row>
    <row r="234" spans="1:46">
      <c r="A234" t="s">
        <v>1921</v>
      </c>
      <c r="B234" s="202" t="str">
        <f>VLOOKUP(A234,databases!$A$2:$B$7, 2, FALSE)</f>
        <v>ShuangBai</v>
      </c>
      <c r="C234" s="165" t="str">
        <f>双柏!B80</f>
        <v>王光鹏&amp;王开岳</v>
      </c>
      <c r="D234" s="202" t="str">
        <f>VLOOKUP(C234,databases!$D$2:$E$145, 2, FALSE)</f>
        <v>R82</v>
      </c>
      <c r="E234" s="259">
        <f>INDEX(sample_database!$B$2:$B$506,MATCH(F234,sample_database!$L$2:$L$506,0))</f>
        <v>6</v>
      </c>
      <c r="F234" s="202" t="str">
        <f>双柏!A80</f>
        <v>SB079</v>
      </c>
      <c r="G234" s="257">
        <f>双柏!C80</f>
        <v>10</v>
      </c>
      <c r="H234" s="257">
        <f>双柏!D80</f>
        <v>0</v>
      </c>
      <c r="I234" s="202">
        <f>双柏!E80</f>
        <v>177</v>
      </c>
      <c r="J234" s="202">
        <f>双柏!F80</f>
        <v>26</v>
      </c>
      <c r="K234" s="202">
        <f>双柏!G80</f>
        <v>23</v>
      </c>
      <c r="L234" s="202">
        <f>双柏!H80</f>
        <v>18</v>
      </c>
      <c r="M234" s="202">
        <f>双柏!I80</f>
        <v>15</v>
      </c>
      <c r="N234" s="202">
        <f>双柏!J80</f>
        <v>25</v>
      </c>
      <c r="O234" s="202">
        <f>双柏!K80</f>
        <v>26</v>
      </c>
      <c r="P234" s="202">
        <f>双柏!L80</f>
        <v>17</v>
      </c>
      <c r="Q234" s="202">
        <f>双柏!M80</f>
        <v>12</v>
      </c>
      <c r="R234" s="202">
        <f>双柏!N80</f>
        <v>9</v>
      </c>
      <c r="S234" s="202">
        <f>双柏!O80</f>
        <v>6</v>
      </c>
      <c r="T234" s="202">
        <f>双柏!P80</f>
        <v>0</v>
      </c>
      <c r="U234" s="202">
        <f>双柏!Q80</f>
        <v>0</v>
      </c>
      <c r="V234" s="202">
        <f>双柏!R80</f>
        <v>0</v>
      </c>
      <c r="W234" s="202">
        <f>双柏!S80</f>
        <v>0</v>
      </c>
      <c r="X234" s="202">
        <f>双柏!T80</f>
        <v>0</v>
      </c>
      <c r="Y234" s="202">
        <f>双柏!U80</f>
        <v>0</v>
      </c>
      <c r="Z234" s="202">
        <f>双柏!V80</f>
        <v>0</v>
      </c>
      <c r="AA234" s="202">
        <f>双柏!W80</f>
        <v>0</v>
      </c>
      <c r="AB234" s="202">
        <f>双柏!X80</f>
        <v>0</v>
      </c>
      <c r="AC234" s="202">
        <f>双柏!Y80</f>
        <v>0</v>
      </c>
      <c r="AD234" s="202">
        <f>双柏!Z80</f>
        <v>0</v>
      </c>
      <c r="AE234" s="202">
        <f>双柏!AA80</f>
        <v>0</v>
      </c>
      <c r="AF234" s="202">
        <f>双柏!AB80</f>
        <v>0</v>
      </c>
      <c r="AG234" s="202">
        <f>双柏!AC80</f>
        <v>0</v>
      </c>
      <c r="AH234" s="202">
        <f>双柏!AD80</f>
        <v>0</v>
      </c>
      <c r="AI234" s="202">
        <f>双柏!AE80</f>
        <v>0</v>
      </c>
      <c r="AJ234" s="202">
        <f>双柏!AF80</f>
        <v>0</v>
      </c>
      <c r="AK234" s="165" t="str">
        <f>双柏!AG80</f>
        <v>双柏县鄂嘉镇茶叶村委会茶叶山下村三岔河管护点</v>
      </c>
      <c r="AL234" s="165" t="str">
        <f>双柏!AH80</f>
        <v>2016/0709</v>
      </c>
      <c r="AM234" s="165" t="str">
        <f>双柏!AI80</f>
        <v>2016/0709</v>
      </c>
      <c r="AN234" s="165">
        <f>双柏!AJ80</f>
        <v>0</v>
      </c>
      <c r="AO234" s="165" t="str">
        <f>双柏!AK80</f>
        <v>海拔2411 N24°28′43.49″，E101°5′45.98″</v>
      </c>
      <c r="AP234" s="263">
        <v>52.5</v>
      </c>
      <c r="AQ234" s="209" t="str">
        <f>双柏!AM80</f>
        <v>2+2+2.5+2.5+1.5</v>
      </c>
      <c r="AR234" s="295">
        <f>双柏!AN80</f>
        <v>10.5</v>
      </c>
      <c r="AS234" s="199" t="str">
        <f>双柏!AO80</f>
        <v>532322198911130516</v>
      </c>
      <c r="AT234" s="199" t="str">
        <f>双柏!AP80</f>
        <v>15368550436</v>
      </c>
    </row>
    <row r="235" spans="1:46">
      <c r="A235" t="s">
        <v>1921</v>
      </c>
      <c r="B235" s="202" t="str">
        <f>VLOOKUP(A235,databases!$A$2:$B$7, 2, FALSE)</f>
        <v>ShuangBai</v>
      </c>
      <c r="C235" s="165" t="str">
        <f>双柏!B81</f>
        <v>王光鹏&amp;王开岳</v>
      </c>
      <c r="D235" s="202" t="str">
        <f>VLOOKUP(C235,databases!$D$2:$E$145, 2, FALSE)</f>
        <v>R82</v>
      </c>
      <c r="E235" s="259">
        <f>INDEX(sample_database!$B$2:$B$506,MATCH(F235,sample_database!$L$2:$L$506,0))</f>
        <v>6</v>
      </c>
      <c r="F235" s="202" t="str">
        <f>双柏!A81</f>
        <v>SB080</v>
      </c>
      <c r="G235" s="257">
        <f>双柏!C81</f>
        <v>10</v>
      </c>
      <c r="H235" s="257">
        <f>双柏!D81</f>
        <v>0</v>
      </c>
      <c r="I235" s="202">
        <f>双柏!E81</f>
        <v>186</v>
      </c>
      <c r="J235" s="202">
        <f>双柏!F81</f>
        <v>17</v>
      </c>
      <c r="K235" s="202">
        <f>双柏!G81</f>
        <v>19</v>
      </c>
      <c r="L235" s="202">
        <f>双柏!H81</f>
        <v>27</v>
      </c>
      <c r="M235" s="202">
        <f>双柏!I81</f>
        <v>20</v>
      </c>
      <c r="N235" s="202">
        <f>双柏!J81</f>
        <v>22</v>
      </c>
      <c r="O235" s="202">
        <f>双柏!K81</f>
        <v>13</v>
      </c>
      <c r="P235" s="202">
        <f>双柏!L81</f>
        <v>20</v>
      </c>
      <c r="Q235" s="202">
        <f>双柏!M81</f>
        <v>14</v>
      </c>
      <c r="R235" s="202">
        <f>双柏!N81</f>
        <v>14</v>
      </c>
      <c r="S235" s="202">
        <f>双柏!O81</f>
        <v>20</v>
      </c>
      <c r="T235" s="202">
        <f>双柏!P81</f>
        <v>0</v>
      </c>
      <c r="U235" s="202">
        <f>双柏!Q81</f>
        <v>0</v>
      </c>
      <c r="V235" s="202">
        <f>双柏!R81</f>
        <v>0</v>
      </c>
      <c r="W235" s="202">
        <f>双柏!S81</f>
        <v>0</v>
      </c>
      <c r="X235" s="202">
        <f>双柏!T81</f>
        <v>0</v>
      </c>
      <c r="Y235" s="202">
        <f>双柏!U81</f>
        <v>0</v>
      </c>
      <c r="Z235" s="202">
        <f>双柏!V81</f>
        <v>0</v>
      </c>
      <c r="AA235" s="202">
        <f>双柏!W81</f>
        <v>0</v>
      </c>
      <c r="AB235" s="202">
        <f>双柏!X81</f>
        <v>0</v>
      </c>
      <c r="AC235" s="202">
        <f>双柏!Y81</f>
        <v>0</v>
      </c>
      <c r="AD235" s="202">
        <f>双柏!Z81</f>
        <v>0</v>
      </c>
      <c r="AE235" s="202">
        <f>双柏!AA81</f>
        <v>0</v>
      </c>
      <c r="AF235" s="202">
        <f>双柏!AB81</f>
        <v>0</v>
      </c>
      <c r="AG235" s="202">
        <f>双柏!AC81</f>
        <v>0</v>
      </c>
      <c r="AH235" s="202">
        <f>双柏!AD81</f>
        <v>0</v>
      </c>
      <c r="AI235" s="202">
        <f>双柏!AE81</f>
        <v>0</v>
      </c>
      <c r="AJ235" s="202">
        <f>双柏!AF81</f>
        <v>0</v>
      </c>
      <c r="AK235" s="165" t="str">
        <f>双柏!AG81</f>
        <v>双柏县鄂嘉镇茶叶村委会</v>
      </c>
      <c r="AL235" s="165" t="str">
        <f>双柏!AH81</f>
        <v>2016/0719-0725</v>
      </c>
      <c r="AM235" s="165" t="str">
        <f>双柏!AI81</f>
        <v>2016/0719-0725</v>
      </c>
      <c r="AN235" s="165">
        <f>双柏!AJ81</f>
        <v>0</v>
      </c>
      <c r="AO235" s="165" t="str">
        <f>双柏!AK81</f>
        <v>海拔2426 N24°28′24.25″，E101°5′38.03″</v>
      </c>
      <c r="AP235" s="263">
        <v>60</v>
      </c>
      <c r="AQ235" s="209" t="str">
        <f>双柏!AM81</f>
        <v>2.5+2.5+2.5+2+2.5</v>
      </c>
      <c r="AR235" s="295">
        <f>双柏!AN81</f>
        <v>12</v>
      </c>
      <c r="AS235" s="199" t="str">
        <f>双柏!AO81</f>
        <v>532322198911130516</v>
      </c>
      <c r="AT235" s="199" t="str">
        <f>双柏!AP81</f>
        <v>15368550436</v>
      </c>
    </row>
    <row r="236" spans="1:46">
      <c r="A236" t="s">
        <v>1921</v>
      </c>
      <c r="B236" s="202" t="str">
        <f>VLOOKUP(A236,databases!$A$2:$B$7, 2, FALSE)</f>
        <v>ShuangBai</v>
      </c>
      <c r="C236" s="165" t="str">
        <f>双柏!B82</f>
        <v>王光鹏&amp;王开岳</v>
      </c>
      <c r="D236" s="202" t="str">
        <f>VLOOKUP(C236,databases!$D$2:$E$145, 2, FALSE)</f>
        <v>R82</v>
      </c>
      <c r="E236" s="259">
        <f>INDEX(sample_database!$B$2:$B$506,MATCH(F236,sample_database!$L$2:$L$506,0))</f>
        <v>6</v>
      </c>
      <c r="F236" s="202" t="str">
        <f>双柏!A82</f>
        <v>SB081</v>
      </c>
      <c r="G236" s="257">
        <f>双柏!C82</f>
        <v>9</v>
      </c>
      <c r="H236" s="257">
        <f>双柏!D82</f>
        <v>0</v>
      </c>
      <c r="I236" s="202">
        <f>双柏!E82</f>
        <v>189</v>
      </c>
      <c r="J236" s="202">
        <f>双柏!F82</f>
        <v>21</v>
      </c>
      <c r="K236" s="202">
        <f>双柏!G82</f>
        <v>16</v>
      </c>
      <c r="L236" s="202">
        <f>双柏!H82</f>
        <v>25</v>
      </c>
      <c r="M236" s="202">
        <f>双柏!I82</f>
        <v>14</v>
      </c>
      <c r="N236" s="202">
        <f>双柏!J82</f>
        <v>14</v>
      </c>
      <c r="O236" s="202">
        <f>双柏!K82</f>
        <v>25</v>
      </c>
      <c r="P236" s="202">
        <f>双柏!L82</f>
        <v>29</v>
      </c>
      <c r="Q236" s="202">
        <f>双柏!M82</f>
        <v>25</v>
      </c>
      <c r="R236" s="202">
        <f>双柏!N82</f>
        <v>20</v>
      </c>
      <c r="S236" s="202">
        <f>双柏!O82</f>
        <v>0</v>
      </c>
      <c r="T236" s="202">
        <f>双柏!P82</f>
        <v>0</v>
      </c>
      <c r="U236" s="202">
        <f>双柏!Q82</f>
        <v>0</v>
      </c>
      <c r="V236" s="202">
        <f>双柏!R82</f>
        <v>0</v>
      </c>
      <c r="W236" s="202">
        <f>双柏!S82</f>
        <v>0</v>
      </c>
      <c r="X236" s="202">
        <f>双柏!T82</f>
        <v>0</v>
      </c>
      <c r="Y236" s="202">
        <f>双柏!U82</f>
        <v>0</v>
      </c>
      <c r="Z236" s="202">
        <f>双柏!V82</f>
        <v>0</v>
      </c>
      <c r="AA236" s="202">
        <f>双柏!W82</f>
        <v>0</v>
      </c>
      <c r="AB236" s="202">
        <f>双柏!X82</f>
        <v>0</v>
      </c>
      <c r="AC236" s="202">
        <f>双柏!Y82</f>
        <v>0</v>
      </c>
      <c r="AD236" s="202">
        <f>双柏!Z82</f>
        <v>0</v>
      </c>
      <c r="AE236" s="202">
        <f>双柏!AA82</f>
        <v>0</v>
      </c>
      <c r="AF236" s="202">
        <f>双柏!AB82</f>
        <v>0</v>
      </c>
      <c r="AG236" s="202">
        <f>双柏!AC82</f>
        <v>0</v>
      </c>
      <c r="AH236" s="202">
        <f>双柏!AD82</f>
        <v>0</v>
      </c>
      <c r="AI236" s="202">
        <f>双柏!AE82</f>
        <v>0</v>
      </c>
      <c r="AJ236" s="202">
        <f>双柏!AF82</f>
        <v>0</v>
      </c>
      <c r="AK236" s="165" t="str">
        <f>双柏!AG82</f>
        <v>双柏县鄂嘉镇茶叶村委会茶叶山</v>
      </c>
      <c r="AL236" s="165" t="str">
        <f>双柏!AH82</f>
        <v>2016/0725-0727</v>
      </c>
      <c r="AM236" s="165" t="str">
        <f>双柏!AI82</f>
        <v>2016/0725-0727</v>
      </c>
      <c r="AN236" s="165">
        <f>双柏!AJ82</f>
        <v>0</v>
      </c>
      <c r="AO236" s="165" t="str">
        <f>双柏!AK82</f>
        <v>海拔2398 N24°27′39.70″，E101°5′37.97″</v>
      </c>
      <c r="AP236" s="263">
        <v>38.5</v>
      </c>
      <c r="AQ236" s="209" t="str">
        <f>双柏!AM82</f>
        <v>1.5+2+2+1.5+0.7</v>
      </c>
      <c r="AR236" s="295">
        <f>双柏!AN82</f>
        <v>7.7</v>
      </c>
      <c r="AS236" s="199" t="str">
        <f>双柏!AO82</f>
        <v>532322198911130516</v>
      </c>
      <c r="AT236" s="199" t="str">
        <f>双柏!AP82</f>
        <v>15368550436</v>
      </c>
    </row>
    <row r="237" spans="1:46">
      <c r="A237" t="s">
        <v>1921</v>
      </c>
      <c r="B237" s="202" t="str">
        <f>VLOOKUP(A237,databases!$A$2:$B$7, 2, FALSE)</f>
        <v>ShuangBai</v>
      </c>
      <c r="C237" s="165" t="str">
        <f>双柏!B83</f>
        <v>王光鹏&amp;王开岳</v>
      </c>
      <c r="D237" s="202" t="str">
        <f>VLOOKUP(C237,databases!$D$2:$E$145, 2, FALSE)</f>
        <v>R82</v>
      </c>
      <c r="E237" s="259">
        <f>INDEX(sample_database!$B$2:$B$506,MATCH(F237,sample_database!$L$2:$L$506,0))</f>
        <v>6</v>
      </c>
      <c r="F237" s="202" t="str">
        <f>双柏!A83</f>
        <v>SB082</v>
      </c>
      <c r="G237" s="257">
        <f>双柏!C83</f>
        <v>9</v>
      </c>
      <c r="H237" s="257">
        <f>双柏!D83</f>
        <v>0</v>
      </c>
      <c r="I237" s="202">
        <f>双柏!E83</f>
        <v>202</v>
      </c>
      <c r="J237" s="202">
        <f>双柏!F83</f>
        <v>17</v>
      </c>
      <c r="K237" s="202">
        <f>双柏!G83</f>
        <v>15</v>
      </c>
      <c r="L237" s="202">
        <f>双柏!H83</f>
        <v>25</v>
      </c>
      <c r="M237" s="202">
        <f>双柏!I83</f>
        <v>32</v>
      </c>
      <c r="N237" s="202">
        <f>双柏!J83</f>
        <v>33</v>
      </c>
      <c r="O237" s="202">
        <f>双柏!K83</f>
        <v>22</v>
      </c>
      <c r="P237" s="202">
        <f>双柏!L83</f>
        <v>20</v>
      </c>
      <c r="Q237" s="202">
        <f>双柏!M83</f>
        <v>23</v>
      </c>
      <c r="R237" s="202">
        <f>双柏!N83</f>
        <v>15</v>
      </c>
      <c r="S237" s="202">
        <f>双柏!O83</f>
        <v>0</v>
      </c>
      <c r="T237" s="202">
        <f>双柏!P83</f>
        <v>0</v>
      </c>
      <c r="U237" s="202">
        <f>双柏!Q83</f>
        <v>0</v>
      </c>
      <c r="V237" s="202">
        <f>双柏!R83</f>
        <v>0</v>
      </c>
      <c r="W237" s="202">
        <f>双柏!S83</f>
        <v>0</v>
      </c>
      <c r="X237" s="202">
        <f>双柏!T83</f>
        <v>0</v>
      </c>
      <c r="Y237" s="202">
        <f>双柏!U83</f>
        <v>0</v>
      </c>
      <c r="Z237" s="202">
        <f>双柏!V83</f>
        <v>0</v>
      </c>
      <c r="AA237" s="202">
        <f>双柏!W83</f>
        <v>0</v>
      </c>
      <c r="AB237" s="202">
        <f>双柏!X83</f>
        <v>0</v>
      </c>
      <c r="AC237" s="202">
        <f>双柏!Y83</f>
        <v>0</v>
      </c>
      <c r="AD237" s="202">
        <f>双柏!Z83</f>
        <v>0</v>
      </c>
      <c r="AE237" s="202">
        <f>双柏!AA83</f>
        <v>0</v>
      </c>
      <c r="AF237" s="202">
        <f>双柏!AB83</f>
        <v>0</v>
      </c>
      <c r="AG237" s="202">
        <f>双柏!AC83</f>
        <v>0</v>
      </c>
      <c r="AH237" s="202">
        <f>双柏!AD83</f>
        <v>0</v>
      </c>
      <c r="AI237" s="202">
        <f>双柏!AE83</f>
        <v>0</v>
      </c>
      <c r="AJ237" s="202">
        <f>双柏!AF83</f>
        <v>0</v>
      </c>
      <c r="AK237" s="165" t="str">
        <f>双柏!AG83</f>
        <v>双柏县鄂嘉镇茶叶村委会茶叶山</v>
      </c>
      <c r="AL237" s="165" t="str">
        <f>双柏!AH83</f>
        <v>2016/0727-0729</v>
      </c>
      <c r="AM237" s="165" t="str">
        <f>双柏!AI83</f>
        <v>2016/0727-0729</v>
      </c>
      <c r="AN237" s="165">
        <f>双柏!AJ83</f>
        <v>0</v>
      </c>
      <c r="AO237" s="165" t="str">
        <f>双柏!AK83</f>
        <v>海拔2454 N24°27′38.53″，E101°5′34.79″</v>
      </c>
      <c r="AP237" s="263">
        <v>45.5</v>
      </c>
      <c r="AQ237" s="209" t="str">
        <f>双柏!AM83</f>
        <v>2+2+2+1.1+2</v>
      </c>
      <c r="AR237" s="295">
        <f>双柏!AN83</f>
        <v>9.1</v>
      </c>
      <c r="AS237" s="199" t="str">
        <f>双柏!AO83</f>
        <v>532322198911130516</v>
      </c>
      <c r="AT237" s="199" t="str">
        <f>双柏!AP83</f>
        <v>15368550436</v>
      </c>
    </row>
    <row r="238" spans="1:46">
      <c r="A238" t="s">
        <v>1921</v>
      </c>
      <c r="B238" s="202" t="str">
        <f>VLOOKUP(A238,databases!$A$2:$B$7, 2, FALSE)</f>
        <v>ShuangBai</v>
      </c>
      <c r="C238" s="165" t="str">
        <f>双柏!B84</f>
        <v>王光鹏&amp;王开岳</v>
      </c>
      <c r="D238" s="202" t="str">
        <f>VLOOKUP(C238,databases!$D$2:$E$145, 2, FALSE)</f>
        <v>R82</v>
      </c>
      <c r="E238" s="259">
        <f>INDEX(sample_database!$B$2:$B$506,MATCH(F238,sample_database!$L$2:$L$506,0))</f>
        <v>6</v>
      </c>
      <c r="F238" s="202" t="str">
        <f>双柏!A84</f>
        <v>SB083</v>
      </c>
      <c r="G238" s="257">
        <f>双柏!C84</f>
        <v>0</v>
      </c>
      <c r="H238" s="257">
        <f>双柏!D84</f>
        <v>1</v>
      </c>
      <c r="I238" s="202">
        <f>双柏!E84</f>
        <v>1</v>
      </c>
      <c r="J238" s="202">
        <f>双柏!F84</f>
        <v>1</v>
      </c>
      <c r="K238" s="202">
        <f>双柏!G84</f>
        <v>0</v>
      </c>
      <c r="L238" s="202">
        <f>双柏!H84</f>
        <v>0</v>
      </c>
      <c r="M238" s="202">
        <f>双柏!I84</f>
        <v>0</v>
      </c>
      <c r="N238" s="202">
        <f>双柏!J84</f>
        <v>0</v>
      </c>
      <c r="O238" s="202">
        <f>双柏!K84</f>
        <v>0</v>
      </c>
      <c r="P238" s="202">
        <f>双柏!L84</f>
        <v>0</v>
      </c>
      <c r="Q238" s="202">
        <f>双柏!M84</f>
        <v>0</v>
      </c>
      <c r="R238" s="202">
        <f>双柏!N84</f>
        <v>0</v>
      </c>
      <c r="S238" s="202">
        <f>双柏!O84</f>
        <v>0</v>
      </c>
      <c r="T238" s="202">
        <f>双柏!P84</f>
        <v>0</v>
      </c>
      <c r="U238" s="202">
        <f>双柏!Q84</f>
        <v>0</v>
      </c>
      <c r="V238" s="202">
        <f>双柏!R84</f>
        <v>0</v>
      </c>
      <c r="W238" s="202">
        <f>双柏!S84</f>
        <v>0</v>
      </c>
      <c r="X238" s="202">
        <f>双柏!T84</f>
        <v>0</v>
      </c>
      <c r="Y238" s="202">
        <f>双柏!U84</f>
        <v>0</v>
      </c>
      <c r="Z238" s="202">
        <f>双柏!V84</f>
        <v>0</v>
      </c>
      <c r="AA238" s="202">
        <f>双柏!W84</f>
        <v>0</v>
      </c>
      <c r="AB238" s="202">
        <f>双柏!X84</f>
        <v>0</v>
      </c>
      <c r="AC238" s="202">
        <f>双柏!Y84</f>
        <v>0</v>
      </c>
      <c r="AD238" s="202">
        <f>双柏!Z84</f>
        <v>0</v>
      </c>
      <c r="AE238" s="202">
        <f>双柏!AA84</f>
        <v>0</v>
      </c>
      <c r="AF238" s="202">
        <f>双柏!AB84</f>
        <v>0</v>
      </c>
      <c r="AG238" s="202">
        <f>双柏!AC84</f>
        <v>0</v>
      </c>
      <c r="AH238" s="202">
        <f>双柏!AD84</f>
        <v>0</v>
      </c>
      <c r="AI238" s="202">
        <f>双柏!AE84</f>
        <v>0</v>
      </c>
      <c r="AJ238" s="202">
        <f>双柏!AF84</f>
        <v>0</v>
      </c>
      <c r="AK238" s="165" t="str">
        <f>双柏!AG84</f>
        <v>双柏县鄂嘉镇茶叶村委会茶叶山</v>
      </c>
      <c r="AL238" s="165">
        <f>双柏!AH84</f>
        <v>0</v>
      </c>
      <c r="AM238" s="165">
        <f>双柏!AI84</f>
        <v>0</v>
      </c>
      <c r="AN238" s="165">
        <f>双柏!AJ84</f>
        <v>0</v>
      </c>
      <c r="AO238" s="165" t="str">
        <f>双柏!AK84</f>
        <v>海拔2540 N24°29′7.69″，E101°8′24.79″</v>
      </c>
      <c r="AP238" s="263">
        <v>0</v>
      </c>
      <c r="AQ238" s="209" t="str">
        <f>双柏!AM84</f>
        <v>PCR FAILED</v>
      </c>
      <c r="AR238" s="295">
        <f>双柏!AN84</f>
        <v>0</v>
      </c>
      <c r="AS238" s="199" t="str">
        <f>双柏!AO84</f>
        <v>532322198911130516</v>
      </c>
      <c r="AT238" s="199" t="str">
        <f>双柏!AP84</f>
        <v>15368550436</v>
      </c>
    </row>
    <row r="239" spans="1:46">
      <c r="A239" t="s">
        <v>1921</v>
      </c>
      <c r="B239" s="202" t="str">
        <f>VLOOKUP(A239,databases!$A$2:$B$7, 2, FALSE)</f>
        <v>ShuangBai</v>
      </c>
      <c r="C239" s="165" t="str">
        <f>双柏!B76</f>
        <v>王开丙&amp;董应付</v>
      </c>
      <c r="D239" s="281" t="str">
        <f>VLOOKUP(C239,databases!$D$2:$E$145, 2, FALSE)</f>
        <v>R86</v>
      </c>
      <c r="E239" s="287">
        <f>INDEX(sample_database!$B$2:$B$506,MATCH(F239,sample_database!$L$2:$L$506,0))</f>
        <v>6</v>
      </c>
      <c r="F239" s="202" t="str">
        <f>双柏!A76</f>
        <v>SB075</v>
      </c>
      <c r="G239" s="257">
        <f>双柏!C76</f>
        <v>10</v>
      </c>
      <c r="H239" s="257">
        <f>双柏!D76</f>
        <v>0</v>
      </c>
      <c r="I239" s="202">
        <f>双柏!E76</f>
        <v>175</v>
      </c>
      <c r="J239" s="202">
        <f>双柏!F76</f>
        <v>22</v>
      </c>
      <c r="K239" s="202">
        <f>双柏!G76</f>
        <v>13</v>
      </c>
      <c r="L239" s="202">
        <f>双柏!H76</f>
        <v>21</v>
      </c>
      <c r="M239" s="202">
        <f>双柏!I76</f>
        <v>20</v>
      </c>
      <c r="N239" s="202">
        <f>双柏!J76</f>
        <v>16</v>
      </c>
      <c r="O239" s="202">
        <f>双柏!K76</f>
        <v>25</v>
      </c>
      <c r="P239" s="202">
        <f>双柏!L76</f>
        <v>8</v>
      </c>
      <c r="Q239" s="202">
        <f>双柏!M76</f>
        <v>13</v>
      </c>
      <c r="R239" s="202">
        <f>双柏!N76</f>
        <v>25</v>
      </c>
      <c r="S239" s="202">
        <f>双柏!O76</f>
        <v>12</v>
      </c>
      <c r="T239" s="202">
        <f>双柏!P76</f>
        <v>0</v>
      </c>
      <c r="U239" s="202">
        <f>双柏!Q76</f>
        <v>0</v>
      </c>
      <c r="V239" s="202">
        <f>双柏!R76</f>
        <v>0</v>
      </c>
      <c r="W239" s="202">
        <f>双柏!S76</f>
        <v>0</v>
      </c>
      <c r="X239" s="202">
        <f>双柏!T76</f>
        <v>0</v>
      </c>
      <c r="Y239" s="202">
        <f>双柏!U76</f>
        <v>0</v>
      </c>
      <c r="Z239" s="202">
        <f>双柏!V76</f>
        <v>0</v>
      </c>
      <c r="AA239" s="202">
        <f>双柏!W76</f>
        <v>0</v>
      </c>
      <c r="AB239" s="202">
        <f>双柏!X76</f>
        <v>0</v>
      </c>
      <c r="AC239" s="202">
        <f>双柏!Y76</f>
        <v>0</v>
      </c>
      <c r="AD239" s="202">
        <f>双柏!Z76</f>
        <v>0</v>
      </c>
      <c r="AE239" s="202">
        <f>双柏!AA76</f>
        <v>0</v>
      </c>
      <c r="AF239" s="202">
        <f>双柏!AB76</f>
        <v>0</v>
      </c>
      <c r="AG239" s="202">
        <f>双柏!AC76</f>
        <v>0</v>
      </c>
      <c r="AH239" s="202">
        <f>双柏!AD76</f>
        <v>0</v>
      </c>
      <c r="AI239" s="202">
        <f>双柏!AE76</f>
        <v>0</v>
      </c>
      <c r="AJ239" s="202">
        <f>双柏!AF76</f>
        <v>0</v>
      </c>
      <c r="AK239" s="165" t="str">
        <f>双柏!AG76</f>
        <v>双柏县鄂嘉镇茶叶村委会三岔河管护点</v>
      </c>
      <c r="AL239" s="165" t="str">
        <f>双柏!AH76</f>
        <v>2016/0709-0716</v>
      </c>
      <c r="AM239" s="165" t="str">
        <f>双柏!AI76</f>
        <v>2016/0709-0716</v>
      </c>
      <c r="AN239" s="165">
        <f>双柏!AJ76</f>
        <v>0</v>
      </c>
      <c r="AO239" s="165" t="str">
        <f>双柏!AK76</f>
        <v>海拔2246，N24°29′28.19″ E101°4′49.22″</v>
      </c>
      <c r="AP239" s="263">
        <v>45.5</v>
      </c>
      <c r="AQ239" s="209" t="str">
        <f>双柏!AM76</f>
        <v>2.5+1.1+1.5+2+2</v>
      </c>
      <c r="AR239" s="295">
        <f>双柏!AN76</f>
        <v>9.1</v>
      </c>
      <c r="AS239" s="199" t="str">
        <f>双柏!AO76</f>
        <v>532322197508260551</v>
      </c>
      <c r="AT239" s="199" t="str">
        <f>双柏!AP76</f>
        <v>18183788915</v>
      </c>
    </row>
    <row r="240" spans="1:46">
      <c r="A240" t="s">
        <v>1921</v>
      </c>
      <c r="B240" s="202" t="str">
        <f>VLOOKUP(A240,databases!$A$2:$B$7, 2, FALSE)</f>
        <v>ShuangBai</v>
      </c>
      <c r="C240" s="165" t="str">
        <f>双柏!B77</f>
        <v>王开丙&amp;董应付</v>
      </c>
      <c r="D240" s="283" t="str">
        <f>VLOOKUP(C240,databases!$D$2:$E$145, 2, FALSE)</f>
        <v>R86</v>
      </c>
      <c r="E240" s="288">
        <f>INDEX(sample_database!$B$2:$B$506,MATCH(F240,sample_database!$L$2:$L$506,0))</f>
        <v>9</v>
      </c>
      <c r="F240" s="202" t="str">
        <f>双柏!A77</f>
        <v>SB076</v>
      </c>
      <c r="G240" s="257">
        <f>双柏!C77</f>
        <v>10</v>
      </c>
      <c r="H240" s="257">
        <f>双柏!D77</f>
        <v>0</v>
      </c>
      <c r="I240" s="202">
        <f>双柏!E77</f>
        <v>195</v>
      </c>
      <c r="J240" s="202">
        <f>双柏!F77</f>
        <v>19</v>
      </c>
      <c r="K240" s="202">
        <f>双柏!G77</f>
        <v>20</v>
      </c>
      <c r="L240" s="202">
        <f>双柏!H77</f>
        <v>25</v>
      </c>
      <c r="M240" s="202">
        <f>双柏!I77</f>
        <v>21</v>
      </c>
      <c r="N240" s="202">
        <f>双柏!J77</f>
        <v>28</v>
      </c>
      <c r="O240" s="202">
        <f>双柏!K77</f>
        <v>19</v>
      </c>
      <c r="P240" s="202">
        <f>双柏!L77</f>
        <v>10</v>
      </c>
      <c r="Q240" s="202">
        <f>双柏!M77</f>
        <v>13</v>
      </c>
      <c r="R240" s="202">
        <f>双柏!N77</f>
        <v>23</v>
      </c>
      <c r="S240" s="202">
        <f>双柏!O77</f>
        <v>17</v>
      </c>
      <c r="T240" s="202">
        <f>双柏!P77</f>
        <v>0</v>
      </c>
      <c r="U240" s="202">
        <f>双柏!Q77</f>
        <v>0</v>
      </c>
      <c r="V240" s="202">
        <f>双柏!R77</f>
        <v>0</v>
      </c>
      <c r="W240" s="202">
        <f>双柏!S77</f>
        <v>0</v>
      </c>
      <c r="X240" s="202">
        <f>双柏!T77</f>
        <v>0</v>
      </c>
      <c r="Y240" s="202">
        <f>双柏!U77</f>
        <v>0</v>
      </c>
      <c r="Z240" s="202">
        <f>双柏!V77</f>
        <v>0</v>
      </c>
      <c r="AA240" s="202">
        <f>双柏!W77</f>
        <v>0</v>
      </c>
      <c r="AB240" s="202">
        <f>双柏!X77</f>
        <v>0</v>
      </c>
      <c r="AC240" s="202">
        <f>双柏!Y77</f>
        <v>0</v>
      </c>
      <c r="AD240" s="202">
        <f>双柏!Z77</f>
        <v>0</v>
      </c>
      <c r="AE240" s="202">
        <f>双柏!AA77</f>
        <v>0</v>
      </c>
      <c r="AF240" s="202">
        <f>双柏!AB77</f>
        <v>0</v>
      </c>
      <c r="AG240" s="202">
        <f>双柏!AC77</f>
        <v>0</v>
      </c>
      <c r="AH240" s="202">
        <f>双柏!AD77</f>
        <v>0</v>
      </c>
      <c r="AI240" s="202">
        <f>双柏!AE77</f>
        <v>0</v>
      </c>
      <c r="AJ240" s="202">
        <f>双柏!AF77</f>
        <v>0</v>
      </c>
      <c r="AK240" s="165" t="str">
        <f>双柏!AG77</f>
        <v>双柏县鄂嘉镇茶叶村委会三岔河管护点</v>
      </c>
      <c r="AL240" s="165" t="str">
        <f>双柏!AH77</f>
        <v>2016/0717-0720</v>
      </c>
      <c r="AM240" s="165" t="str">
        <f>双柏!AI77</f>
        <v>2016/0717-0720</v>
      </c>
      <c r="AN240" s="165">
        <f>双柏!AJ77</f>
        <v>0</v>
      </c>
      <c r="AO240" s="165" t="str">
        <f>双柏!AK77</f>
        <v>海拔2416，N24°27′31.17″ E101°5′43.85″</v>
      </c>
      <c r="AP240" s="263">
        <v>50</v>
      </c>
      <c r="AQ240" s="209" t="str">
        <f>双柏!AM77</f>
        <v>2*5</v>
      </c>
      <c r="AR240" s="295">
        <f>双柏!AN77</f>
        <v>10</v>
      </c>
      <c r="AS240" s="199" t="str">
        <f>双柏!AO77</f>
        <v>532322197508260551</v>
      </c>
      <c r="AT240" s="199" t="str">
        <f>双柏!AP77</f>
        <v>18183788915</v>
      </c>
    </row>
    <row r="241" spans="1:46">
      <c r="A241" t="s">
        <v>1921</v>
      </c>
      <c r="B241" s="202" t="str">
        <f>VLOOKUP(A241,databases!$A$2:$B$7, 2, FALSE)</f>
        <v>ShuangBai</v>
      </c>
      <c r="C241" s="165" t="str">
        <f>双柏!B79</f>
        <v>王开丙&amp;董应付</v>
      </c>
      <c r="D241" s="283" t="str">
        <f>VLOOKUP(C241,databases!$D$2:$E$145, 2, FALSE)</f>
        <v>R86</v>
      </c>
      <c r="E241" s="288">
        <f>INDEX(sample_database!$B$2:$B$506,MATCH(F241,sample_database!$L$2:$L$506,0))</f>
        <v>9</v>
      </c>
      <c r="F241" s="202" t="str">
        <f>双柏!A79</f>
        <v>SB078</v>
      </c>
      <c r="G241" s="257">
        <f>双柏!C79</f>
        <v>10</v>
      </c>
      <c r="H241" s="257">
        <f>双柏!D79</f>
        <v>0</v>
      </c>
      <c r="I241" s="202">
        <f>双柏!E79</f>
        <v>248</v>
      </c>
      <c r="J241" s="202">
        <f>双柏!F79</f>
        <v>25</v>
      </c>
      <c r="K241" s="202">
        <f>双柏!G79</f>
        <v>22</v>
      </c>
      <c r="L241" s="202">
        <f>双柏!H79</f>
        <v>19</v>
      </c>
      <c r="M241" s="202">
        <f>双柏!I79</f>
        <v>27</v>
      </c>
      <c r="N241" s="202">
        <f>双柏!J79</f>
        <v>31</v>
      </c>
      <c r="O241" s="202">
        <f>双柏!K79</f>
        <v>29</v>
      </c>
      <c r="P241" s="202">
        <f>双柏!L79</f>
        <v>30</v>
      </c>
      <c r="Q241" s="202">
        <f>双柏!M79</f>
        <v>21</v>
      </c>
      <c r="R241" s="202">
        <f>双柏!N79</f>
        <v>24</v>
      </c>
      <c r="S241" s="202">
        <f>双柏!O79</f>
        <v>20</v>
      </c>
      <c r="T241" s="202">
        <f>双柏!P79</f>
        <v>0</v>
      </c>
      <c r="U241" s="202">
        <f>双柏!Q79</f>
        <v>0</v>
      </c>
      <c r="V241" s="202">
        <f>双柏!R79</f>
        <v>0</v>
      </c>
      <c r="W241" s="202">
        <f>双柏!S79</f>
        <v>0</v>
      </c>
      <c r="X241" s="202">
        <f>双柏!T79</f>
        <v>0</v>
      </c>
      <c r="Y241" s="202">
        <f>双柏!U79</f>
        <v>0</v>
      </c>
      <c r="Z241" s="202">
        <f>双柏!V79</f>
        <v>0</v>
      </c>
      <c r="AA241" s="202">
        <f>双柏!W79</f>
        <v>0</v>
      </c>
      <c r="AB241" s="202">
        <f>双柏!X79</f>
        <v>0</v>
      </c>
      <c r="AC241" s="202">
        <f>双柏!Y79</f>
        <v>0</v>
      </c>
      <c r="AD241" s="202">
        <f>双柏!Z79</f>
        <v>0</v>
      </c>
      <c r="AE241" s="202">
        <f>双柏!AA79</f>
        <v>0</v>
      </c>
      <c r="AF241" s="202">
        <f>双柏!AB79</f>
        <v>0</v>
      </c>
      <c r="AG241" s="202">
        <f>双柏!AC79</f>
        <v>0</v>
      </c>
      <c r="AH241" s="202">
        <f>双柏!AD79</f>
        <v>0</v>
      </c>
      <c r="AI241" s="202">
        <f>双柏!AE79</f>
        <v>0</v>
      </c>
      <c r="AJ241" s="202">
        <f>双柏!AF79</f>
        <v>0</v>
      </c>
      <c r="AK241" s="165" t="str">
        <f>双柏!AG79</f>
        <v>双柏县鄂嘉镇茶叶村委会三岔河管护点</v>
      </c>
      <c r="AL241" s="165" t="str">
        <f>双柏!AH79</f>
        <v>2016/0727-0802</v>
      </c>
      <c r="AM241" s="165" t="str">
        <f>双柏!AI79</f>
        <v>2016/0727-0802</v>
      </c>
      <c r="AN241" s="165">
        <f>双柏!AJ79</f>
        <v>0</v>
      </c>
      <c r="AO241" s="165" t="str">
        <f>双柏!AK79</f>
        <v>海拔2417，N24°27′17.22″ E101°5′25.06″</v>
      </c>
      <c r="AP241" s="263">
        <v>41</v>
      </c>
      <c r="AQ241" s="209" t="str">
        <f>双柏!AM79</f>
        <v>2+1.1+1.1+2+2</v>
      </c>
      <c r="AR241" s="295">
        <f>双柏!AN79</f>
        <v>8.1999999999999993</v>
      </c>
      <c r="AS241" s="199" t="str">
        <f>双柏!AO79</f>
        <v>532322197508260551</v>
      </c>
      <c r="AT241" s="199" t="str">
        <f>双柏!AP79</f>
        <v>18183788915</v>
      </c>
    </row>
    <row r="242" spans="1:46">
      <c r="A242" t="s">
        <v>1921</v>
      </c>
      <c r="B242" s="202" t="str">
        <f>VLOOKUP(A242,databases!$A$2:$B$7, 2, FALSE)</f>
        <v>ShuangBai</v>
      </c>
      <c r="C242" s="165" t="str">
        <f>双柏!B78</f>
        <v>王开丙&amp;董应付</v>
      </c>
      <c r="D242" s="285" t="str">
        <f>VLOOKUP(C242,databases!$D$2:$E$145, 2, FALSE)</f>
        <v>R86</v>
      </c>
      <c r="E242" s="291" t="str">
        <f>INDEX(sample_database!$B$2:$B$506,MATCH(F242,sample_database!$L$2:$L$506,0))</f>
        <v>NA</v>
      </c>
      <c r="F242" s="202" t="str">
        <f>双柏!A78</f>
        <v>SB077</v>
      </c>
      <c r="G242" s="257">
        <f>双柏!C78</f>
        <v>10</v>
      </c>
      <c r="H242" s="257">
        <f>双柏!D78</f>
        <v>0</v>
      </c>
      <c r="I242" s="202">
        <f>双柏!E78</f>
        <v>224</v>
      </c>
      <c r="J242" s="202">
        <f>双柏!F78</f>
        <v>25</v>
      </c>
      <c r="K242" s="202">
        <f>双柏!G78</f>
        <v>28</v>
      </c>
      <c r="L242" s="202">
        <f>双柏!H78</f>
        <v>14</v>
      </c>
      <c r="M242" s="202">
        <f>双柏!I78</f>
        <v>26</v>
      </c>
      <c r="N242" s="202">
        <f>双柏!J78</f>
        <v>11</v>
      </c>
      <c r="O242" s="202">
        <f>双柏!K78</f>
        <v>25</v>
      </c>
      <c r="P242" s="202">
        <f>双柏!L78</f>
        <v>28</v>
      </c>
      <c r="Q242" s="202">
        <f>双柏!M78</f>
        <v>20</v>
      </c>
      <c r="R242" s="202">
        <f>双柏!N78</f>
        <v>28</v>
      </c>
      <c r="S242" s="202">
        <f>双柏!O78</f>
        <v>19</v>
      </c>
      <c r="T242" s="202">
        <f>双柏!P78</f>
        <v>0</v>
      </c>
      <c r="U242" s="202">
        <f>双柏!Q78</f>
        <v>0</v>
      </c>
      <c r="V242" s="202">
        <f>双柏!R78</f>
        <v>0</v>
      </c>
      <c r="W242" s="202">
        <f>双柏!S78</f>
        <v>0</v>
      </c>
      <c r="X242" s="202">
        <f>双柏!T78</f>
        <v>0</v>
      </c>
      <c r="Y242" s="202">
        <f>双柏!U78</f>
        <v>0</v>
      </c>
      <c r="Z242" s="202">
        <f>双柏!V78</f>
        <v>0</v>
      </c>
      <c r="AA242" s="202">
        <f>双柏!W78</f>
        <v>0</v>
      </c>
      <c r="AB242" s="202">
        <f>双柏!X78</f>
        <v>0</v>
      </c>
      <c r="AC242" s="202">
        <f>双柏!Y78</f>
        <v>0</v>
      </c>
      <c r="AD242" s="202">
        <f>双柏!Z78</f>
        <v>0</v>
      </c>
      <c r="AE242" s="202">
        <f>双柏!AA78</f>
        <v>0</v>
      </c>
      <c r="AF242" s="202">
        <f>双柏!AB78</f>
        <v>0</v>
      </c>
      <c r="AG242" s="202">
        <f>双柏!AC78</f>
        <v>0</v>
      </c>
      <c r="AH242" s="202">
        <f>双柏!AD78</f>
        <v>0</v>
      </c>
      <c r="AI242" s="202">
        <f>双柏!AE78</f>
        <v>0</v>
      </c>
      <c r="AJ242" s="202">
        <f>双柏!AF78</f>
        <v>0</v>
      </c>
      <c r="AK242" s="165" t="str">
        <f>双柏!AG78</f>
        <v>双柏县鄂嘉镇茶叶村委会三岔河管护点</v>
      </c>
      <c r="AL242" s="165" t="str">
        <f>双柏!AH78</f>
        <v>2016/0721-0726</v>
      </c>
      <c r="AM242" s="165" t="str">
        <f>双柏!AI78</f>
        <v>2016/0721-0726</v>
      </c>
      <c r="AN242" s="165">
        <f>双柏!AJ78</f>
        <v>0</v>
      </c>
      <c r="AO242" s="165" t="str">
        <f>双柏!AK78</f>
        <v>N24°23′33.16″ E101°5′14.73″</v>
      </c>
      <c r="AP242" s="263">
        <v>52.5</v>
      </c>
      <c r="AQ242" s="209" t="str">
        <f>双柏!AM78</f>
        <v>2.5+2*4</v>
      </c>
      <c r="AR242" s="295">
        <f>双柏!AN78</f>
        <v>10.5</v>
      </c>
      <c r="AS242" s="199" t="str">
        <f>双柏!AO78</f>
        <v>532322197508260551</v>
      </c>
      <c r="AT242" s="199" t="str">
        <f>双柏!AP78</f>
        <v>18183788915</v>
      </c>
    </row>
    <row r="243" spans="1:46">
      <c r="A243" t="s">
        <v>1921</v>
      </c>
      <c r="B243" s="202" t="str">
        <f>VLOOKUP(A243,databases!$A$2:$B$7, 2, FALSE)</f>
        <v>ShuangBai</v>
      </c>
      <c r="C243" s="165" t="str">
        <f>双柏!B136</f>
        <v>王开佐&amp;周开洪</v>
      </c>
      <c r="D243" s="281" t="str">
        <f>VLOOKUP(C243,databases!$D$2:$E$145, 2, FALSE)</f>
        <v>R87</v>
      </c>
      <c r="E243" s="287">
        <f>INDEX(sample_database!$B$2:$B$506,MATCH(F243,sample_database!$L$2:$L$506,0))</f>
        <v>7</v>
      </c>
      <c r="F243" s="202" t="str">
        <f>双柏!A136</f>
        <v>SB135</v>
      </c>
      <c r="G243" s="257">
        <f>双柏!C136</f>
        <v>10</v>
      </c>
      <c r="H243" s="257">
        <f>双柏!D136</f>
        <v>0</v>
      </c>
      <c r="I243" s="202">
        <f>双柏!E136</f>
        <v>196</v>
      </c>
      <c r="J243" s="202">
        <f>双柏!F136</f>
        <v>14</v>
      </c>
      <c r="K243" s="202">
        <f>双柏!G136</f>
        <v>29</v>
      </c>
      <c r="L243" s="202">
        <f>双柏!H136</f>
        <v>19</v>
      </c>
      <c r="M243" s="202">
        <f>双柏!I136</f>
        <v>22</v>
      </c>
      <c r="N243" s="202">
        <f>双柏!J136</f>
        <v>14</v>
      </c>
      <c r="O243" s="202">
        <f>双柏!K136</f>
        <v>12</v>
      </c>
      <c r="P243" s="202">
        <f>双柏!L136</f>
        <v>22</v>
      </c>
      <c r="Q243" s="202">
        <f>双柏!M136</f>
        <v>20</v>
      </c>
      <c r="R243" s="202">
        <f>双柏!N136</f>
        <v>25</v>
      </c>
      <c r="S243" s="202">
        <f>双柏!O136</f>
        <v>19</v>
      </c>
      <c r="T243" s="202">
        <f>双柏!P136</f>
        <v>0</v>
      </c>
      <c r="U243" s="202">
        <f>双柏!Q136</f>
        <v>0</v>
      </c>
      <c r="V243" s="202">
        <f>双柏!R136</f>
        <v>0</v>
      </c>
      <c r="W243" s="202">
        <f>双柏!S136</f>
        <v>0</v>
      </c>
      <c r="X243" s="202">
        <f>双柏!T136</f>
        <v>0</v>
      </c>
      <c r="Y243" s="202">
        <f>双柏!U136</f>
        <v>0</v>
      </c>
      <c r="Z243" s="202">
        <f>双柏!V136</f>
        <v>0</v>
      </c>
      <c r="AA243" s="202">
        <f>双柏!W136</f>
        <v>0</v>
      </c>
      <c r="AB243" s="202">
        <f>双柏!X136</f>
        <v>0</v>
      </c>
      <c r="AC243" s="202">
        <f>双柏!Y136</f>
        <v>0</v>
      </c>
      <c r="AD243" s="202">
        <f>双柏!Z136</f>
        <v>0</v>
      </c>
      <c r="AE243" s="202">
        <f>双柏!AA136</f>
        <v>0</v>
      </c>
      <c r="AF243" s="202">
        <f>双柏!AB136</f>
        <v>0</v>
      </c>
      <c r="AG243" s="202">
        <f>双柏!AC136</f>
        <v>0</v>
      </c>
      <c r="AH243" s="202">
        <f>双柏!AD136</f>
        <v>0</v>
      </c>
      <c r="AI243" s="202">
        <f>双柏!AE136</f>
        <v>0</v>
      </c>
      <c r="AJ243" s="202">
        <f>双柏!AF136</f>
        <v>0</v>
      </c>
      <c r="AK243" s="165" t="str">
        <f>双柏!AG136</f>
        <v>双柏县鄂嘉镇茶叶村委会三岔河管护点</v>
      </c>
      <c r="AL243" s="165" t="str">
        <f>双柏!AH136</f>
        <v>2016/0721-0726</v>
      </c>
      <c r="AM243" s="165" t="str">
        <f>双柏!AI136</f>
        <v>2016/0721-0726</v>
      </c>
      <c r="AN243" s="165">
        <f>双柏!AJ136</f>
        <v>0</v>
      </c>
      <c r="AO243" s="165" t="str">
        <f>双柏!AK136</f>
        <v>N24°28′31.71″ E101°5′17.05″</v>
      </c>
      <c r="AP243" s="263">
        <v>50</v>
      </c>
      <c r="AQ243" s="209" t="str">
        <f>双柏!AM136</f>
        <v>2+2.5+1.5+2+2</v>
      </c>
      <c r="AR243" s="295">
        <f>双柏!AN136</f>
        <v>10</v>
      </c>
      <c r="AS243" s="199" t="str">
        <f>双柏!AO136</f>
        <v>53232219660611051X</v>
      </c>
      <c r="AT243" s="199" t="str">
        <f>双柏!AP136</f>
        <v>15987828019</v>
      </c>
    </row>
    <row r="244" spans="1:46">
      <c r="A244" t="s">
        <v>1921</v>
      </c>
      <c r="B244" s="202" t="str">
        <f>VLOOKUP(A244,databases!$A$2:$B$7, 2, FALSE)</f>
        <v>ShuangBai</v>
      </c>
      <c r="C244" s="165" t="str">
        <f>双柏!B134</f>
        <v>王开佐&amp;周开洪</v>
      </c>
      <c r="D244" s="283" t="str">
        <f>VLOOKUP(C244,databases!$D$2:$E$145, 2, FALSE)</f>
        <v>R87</v>
      </c>
      <c r="E244" s="288">
        <f>INDEX(sample_database!$B$2:$B$506,MATCH(F244,sample_database!$L$2:$L$506,0))</f>
        <v>8</v>
      </c>
      <c r="F244" s="202" t="str">
        <f>双柏!A134</f>
        <v>SB133</v>
      </c>
      <c r="G244" s="257">
        <f>双柏!C134</f>
        <v>10</v>
      </c>
      <c r="H244" s="257">
        <f>双柏!D134</f>
        <v>0</v>
      </c>
      <c r="I244" s="202">
        <f>双柏!E134</f>
        <v>235</v>
      </c>
      <c r="J244" s="202">
        <f>双柏!F134</f>
        <v>39</v>
      </c>
      <c r="K244" s="202">
        <f>双柏!G134</f>
        <v>17</v>
      </c>
      <c r="L244" s="202">
        <f>双柏!H134</f>
        <v>29</v>
      </c>
      <c r="M244" s="202">
        <f>双柏!I134</f>
        <v>19</v>
      </c>
      <c r="N244" s="202">
        <f>双柏!J134</f>
        <v>19</v>
      </c>
      <c r="O244" s="202">
        <f>双柏!K134</f>
        <v>9</v>
      </c>
      <c r="P244" s="202">
        <f>双柏!L134</f>
        <v>27</v>
      </c>
      <c r="Q244" s="202">
        <f>双柏!M134</f>
        <v>24</v>
      </c>
      <c r="R244" s="202">
        <f>双柏!N134</f>
        <v>21</v>
      </c>
      <c r="S244" s="202">
        <f>双柏!O134</f>
        <v>31</v>
      </c>
      <c r="T244" s="202">
        <f>双柏!P134</f>
        <v>0</v>
      </c>
      <c r="U244" s="202">
        <f>双柏!Q134</f>
        <v>0</v>
      </c>
      <c r="V244" s="202">
        <f>双柏!R134</f>
        <v>0</v>
      </c>
      <c r="W244" s="202">
        <f>双柏!S134</f>
        <v>0</v>
      </c>
      <c r="X244" s="202">
        <f>双柏!T134</f>
        <v>0</v>
      </c>
      <c r="Y244" s="202">
        <f>双柏!U134</f>
        <v>0</v>
      </c>
      <c r="Z244" s="202">
        <f>双柏!V134</f>
        <v>0</v>
      </c>
      <c r="AA244" s="202">
        <f>双柏!W134</f>
        <v>0</v>
      </c>
      <c r="AB244" s="202">
        <f>双柏!X134</f>
        <v>0</v>
      </c>
      <c r="AC244" s="202">
        <f>双柏!Y134</f>
        <v>0</v>
      </c>
      <c r="AD244" s="202">
        <f>双柏!Z134</f>
        <v>0</v>
      </c>
      <c r="AE244" s="202">
        <f>双柏!AA134</f>
        <v>0</v>
      </c>
      <c r="AF244" s="202">
        <f>双柏!AB134</f>
        <v>0</v>
      </c>
      <c r="AG244" s="202">
        <f>双柏!AC134</f>
        <v>0</v>
      </c>
      <c r="AH244" s="202">
        <f>双柏!AD134</f>
        <v>0</v>
      </c>
      <c r="AI244" s="202">
        <f>双柏!AE134</f>
        <v>0</v>
      </c>
      <c r="AJ244" s="202">
        <f>双柏!AF134</f>
        <v>0</v>
      </c>
      <c r="AK244" s="165" t="str">
        <f>双柏!AG134</f>
        <v>双柏县鄂嘉镇茶叶村委会三岔河管护点</v>
      </c>
      <c r="AL244" s="165" t="str">
        <f>双柏!AH134</f>
        <v>2016/0709-0717</v>
      </c>
      <c r="AM244" s="165" t="str">
        <f>双柏!AI134</f>
        <v>2016/0709-0717</v>
      </c>
      <c r="AN244" s="165">
        <f>双柏!AJ134</f>
        <v>0</v>
      </c>
      <c r="AO244" s="165" t="str">
        <f>双柏!AK134</f>
        <v>N24°28′25.68″ E101°5′22.25″</v>
      </c>
      <c r="AP244" s="263">
        <v>52.5</v>
      </c>
      <c r="AQ244" s="209" t="str">
        <f>双柏!AM134</f>
        <v>2*4+2.5</v>
      </c>
      <c r="AR244" s="295">
        <f>双柏!AN134</f>
        <v>10.5</v>
      </c>
      <c r="AS244" s="199" t="str">
        <f>双柏!AO134</f>
        <v>53232219660611051X</v>
      </c>
      <c r="AT244" s="199" t="str">
        <f>双柏!AP134</f>
        <v>15987828019</v>
      </c>
    </row>
    <row r="245" spans="1:46">
      <c r="A245" t="s">
        <v>1921</v>
      </c>
      <c r="B245" s="202" t="str">
        <f>VLOOKUP(A245,databases!$A$2:$B$7, 2, FALSE)</f>
        <v>ShuangBai</v>
      </c>
      <c r="C245" s="165" t="str">
        <f>双柏!B135</f>
        <v>王开佐&amp;周开洪</v>
      </c>
      <c r="D245" s="283" t="str">
        <f>VLOOKUP(C245,databases!$D$2:$E$145, 2, FALSE)</f>
        <v>R87</v>
      </c>
      <c r="E245" s="288">
        <f>INDEX(sample_database!$B$2:$B$506,MATCH(F245,sample_database!$L$2:$L$506,0))</f>
        <v>9</v>
      </c>
      <c r="F245" s="202" t="str">
        <f>双柏!A135</f>
        <v>SB134</v>
      </c>
      <c r="G245" s="257">
        <f>双柏!C135</f>
        <v>10</v>
      </c>
      <c r="H245" s="257">
        <f>双柏!D135</f>
        <v>0</v>
      </c>
      <c r="I245" s="202">
        <f>双柏!E135</f>
        <v>244</v>
      </c>
      <c r="J245" s="202">
        <f>双柏!F135</f>
        <v>21</v>
      </c>
      <c r="K245" s="202">
        <f>双柏!G135</f>
        <v>33</v>
      </c>
      <c r="L245" s="202">
        <f>双柏!H135</f>
        <v>21</v>
      </c>
      <c r="M245" s="202">
        <f>双柏!I135</f>
        <v>21</v>
      </c>
      <c r="N245" s="202">
        <f>双柏!J135</f>
        <v>10</v>
      </c>
      <c r="O245" s="202">
        <f>双柏!K135</f>
        <v>22</v>
      </c>
      <c r="P245" s="202">
        <f>双柏!L135</f>
        <v>18</v>
      </c>
      <c r="Q245" s="202">
        <f>双柏!M135</f>
        <v>33</v>
      </c>
      <c r="R245" s="202">
        <f>双柏!N135</f>
        <v>28</v>
      </c>
      <c r="S245" s="202">
        <f>双柏!O135</f>
        <v>37</v>
      </c>
      <c r="T245" s="202">
        <f>双柏!P135</f>
        <v>0</v>
      </c>
      <c r="U245" s="202">
        <f>双柏!Q135</f>
        <v>0</v>
      </c>
      <c r="V245" s="202">
        <f>双柏!R135</f>
        <v>0</v>
      </c>
      <c r="W245" s="202">
        <f>双柏!S135</f>
        <v>0</v>
      </c>
      <c r="X245" s="202">
        <f>双柏!T135</f>
        <v>0</v>
      </c>
      <c r="Y245" s="202">
        <f>双柏!U135</f>
        <v>0</v>
      </c>
      <c r="Z245" s="202">
        <f>双柏!V135</f>
        <v>0</v>
      </c>
      <c r="AA245" s="202">
        <f>双柏!W135</f>
        <v>0</v>
      </c>
      <c r="AB245" s="202">
        <f>双柏!X135</f>
        <v>0</v>
      </c>
      <c r="AC245" s="202">
        <f>双柏!Y135</f>
        <v>0</v>
      </c>
      <c r="AD245" s="202">
        <f>双柏!Z135</f>
        <v>0</v>
      </c>
      <c r="AE245" s="202">
        <f>双柏!AA135</f>
        <v>0</v>
      </c>
      <c r="AF245" s="202">
        <f>双柏!AB135</f>
        <v>0</v>
      </c>
      <c r="AG245" s="202">
        <f>双柏!AC135</f>
        <v>0</v>
      </c>
      <c r="AH245" s="202">
        <f>双柏!AD135</f>
        <v>0</v>
      </c>
      <c r="AI245" s="202">
        <f>双柏!AE135</f>
        <v>0</v>
      </c>
      <c r="AJ245" s="202">
        <f>双柏!AF135</f>
        <v>0</v>
      </c>
      <c r="AK245" s="165" t="str">
        <f>双柏!AG135</f>
        <v>双柏县鄂嘉镇茶叶村委会三岔河管护点</v>
      </c>
      <c r="AL245" s="165" t="str">
        <f>双柏!AH135</f>
        <v>2016/0718-0720</v>
      </c>
      <c r="AM245" s="165" t="str">
        <f>双柏!AI135</f>
        <v>2016/0718-0720</v>
      </c>
      <c r="AN245" s="165">
        <f>双柏!AJ135</f>
        <v>0</v>
      </c>
      <c r="AO245" s="165" t="str">
        <f>双柏!AK135</f>
        <v>N24°27′23.70″ E101°5′17.51″</v>
      </c>
      <c r="AP245" s="263">
        <v>43.000000000000007</v>
      </c>
      <c r="AQ245" s="209" t="str">
        <f>双柏!AM135</f>
        <v>1.8*3+1.6*2</v>
      </c>
      <c r="AR245" s="295">
        <f>双柏!AN135</f>
        <v>8.6000000000000014</v>
      </c>
      <c r="AS245" s="199" t="str">
        <f>双柏!AO135</f>
        <v>53232219660611051X</v>
      </c>
      <c r="AT245" s="199" t="str">
        <f>双柏!AP135</f>
        <v>15987828019</v>
      </c>
    </row>
    <row r="246" spans="1:46">
      <c r="A246" t="s">
        <v>1921</v>
      </c>
      <c r="B246" s="202" t="str">
        <f>VLOOKUP(A246,databases!$A$2:$B$7, 2, FALSE)</f>
        <v>ShuangBai</v>
      </c>
      <c r="C246" s="165" t="str">
        <f>双柏!B137</f>
        <v>王开佐&amp;周开洪</v>
      </c>
      <c r="D246" s="285" t="str">
        <f>VLOOKUP(C246,databases!$D$2:$E$145, 2, FALSE)</f>
        <v>R87</v>
      </c>
      <c r="E246" s="291">
        <f>INDEX(sample_database!$B$2:$B$506,MATCH(F246,sample_database!$L$2:$L$506,0))</f>
        <v>9</v>
      </c>
      <c r="F246" s="202" t="str">
        <f>双柏!A137</f>
        <v>SB136</v>
      </c>
      <c r="G246" s="257">
        <f>双柏!C137</f>
        <v>10</v>
      </c>
      <c r="H246" s="257">
        <f>双柏!D137</f>
        <v>0</v>
      </c>
      <c r="I246" s="202">
        <f>双柏!E137</f>
        <v>236</v>
      </c>
      <c r="J246" s="202">
        <f>双柏!F137</f>
        <v>27</v>
      </c>
      <c r="K246" s="202">
        <f>双柏!G137</f>
        <v>19</v>
      </c>
      <c r="L246" s="202">
        <f>双柏!H137</f>
        <v>20</v>
      </c>
      <c r="M246" s="202">
        <f>双柏!I137</f>
        <v>21</v>
      </c>
      <c r="N246" s="202">
        <f>双柏!J137</f>
        <v>26</v>
      </c>
      <c r="O246" s="202">
        <f>双柏!K137</f>
        <v>24</v>
      </c>
      <c r="P246" s="202">
        <f>双柏!L137</f>
        <v>23</v>
      </c>
      <c r="Q246" s="202">
        <f>双柏!M137</f>
        <v>26</v>
      </c>
      <c r="R246" s="202">
        <f>双柏!N137</f>
        <v>28</v>
      </c>
      <c r="S246" s="202">
        <f>双柏!O137</f>
        <v>22</v>
      </c>
      <c r="T246" s="202">
        <f>双柏!P137</f>
        <v>0</v>
      </c>
      <c r="U246" s="202">
        <f>双柏!Q137</f>
        <v>0</v>
      </c>
      <c r="V246" s="202">
        <f>双柏!R137</f>
        <v>0</v>
      </c>
      <c r="W246" s="202">
        <f>双柏!S137</f>
        <v>0</v>
      </c>
      <c r="X246" s="202">
        <f>双柏!T137</f>
        <v>0</v>
      </c>
      <c r="Y246" s="202">
        <f>双柏!U137</f>
        <v>0</v>
      </c>
      <c r="Z246" s="202">
        <f>双柏!V137</f>
        <v>0</v>
      </c>
      <c r="AA246" s="202">
        <f>双柏!W137</f>
        <v>0</v>
      </c>
      <c r="AB246" s="202">
        <f>双柏!X137</f>
        <v>0</v>
      </c>
      <c r="AC246" s="202">
        <f>双柏!Y137</f>
        <v>0</v>
      </c>
      <c r="AD246" s="202">
        <f>双柏!Z137</f>
        <v>0</v>
      </c>
      <c r="AE246" s="202">
        <f>双柏!AA137</f>
        <v>0</v>
      </c>
      <c r="AF246" s="202">
        <f>双柏!AB137</f>
        <v>0</v>
      </c>
      <c r="AG246" s="202">
        <f>双柏!AC137</f>
        <v>0</v>
      </c>
      <c r="AH246" s="202">
        <f>双柏!AD137</f>
        <v>0</v>
      </c>
      <c r="AI246" s="202">
        <f>双柏!AE137</f>
        <v>0</v>
      </c>
      <c r="AJ246" s="202">
        <f>双柏!AF137</f>
        <v>0</v>
      </c>
      <c r="AK246" s="165" t="str">
        <f>双柏!AG137</f>
        <v>双柏县鄂嘉镇茶叶村委会三岔河管护点</v>
      </c>
      <c r="AL246" s="165" t="str">
        <f>双柏!AH137</f>
        <v>2016/0727-0802</v>
      </c>
      <c r="AM246" s="165" t="str">
        <f>双柏!AI137</f>
        <v>2016/0727-0802</v>
      </c>
      <c r="AN246" s="165">
        <f>双柏!AJ137</f>
        <v>0</v>
      </c>
      <c r="AO246" s="165" t="str">
        <f>双柏!AK137</f>
        <v>海拔2437，N24°27′35.59″ E101°5′31.62″</v>
      </c>
      <c r="AP246" s="263">
        <v>50</v>
      </c>
      <c r="AQ246" s="209" t="str">
        <f>双柏!AM137</f>
        <v>2*5</v>
      </c>
      <c r="AR246" s="295">
        <f>双柏!AN137</f>
        <v>10</v>
      </c>
      <c r="AS246" s="199" t="str">
        <f>双柏!AO137</f>
        <v>53232219660611051X</v>
      </c>
      <c r="AT246" s="199" t="str">
        <f>双柏!AP137</f>
        <v>15987828019</v>
      </c>
    </row>
    <row r="247" spans="1:46">
      <c r="A247" t="s">
        <v>1921</v>
      </c>
      <c r="B247" s="202" t="str">
        <f>VLOOKUP(A247,databases!$A$2:$B$7, 2, FALSE)</f>
        <v>ShuangBai</v>
      </c>
      <c r="C247" s="165" t="str">
        <f>双柏!B151</f>
        <v>王开宽&amp;王开润</v>
      </c>
      <c r="D247" s="281" t="str">
        <f>VLOOKUP(C247,databases!$D$2:$E$145, 2, FALSE)</f>
        <v>R88</v>
      </c>
      <c r="E247" s="282">
        <f>INDEX(sample_database!$B$2:$B$506,MATCH(F247,sample_database!$L$2:$L$506,0))</f>
        <v>8</v>
      </c>
      <c r="F247" s="202" t="str">
        <f>双柏!A151</f>
        <v>SB150</v>
      </c>
      <c r="G247" s="257">
        <f>双柏!C151</f>
        <v>9</v>
      </c>
      <c r="H247" s="257">
        <f>双柏!D151</f>
        <v>0</v>
      </c>
      <c r="I247" s="202">
        <f>双柏!E151</f>
        <v>216</v>
      </c>
      <c r="J247" s="202">
        <f>双柏!F151</f>
        <v>26</v>
      </c>
      <c r="K247" s="202">
        <f>双柏!G151</f>
        <v>10</v>
      </c>
      <c r="L247" s="202">
        <f>双柏!H151</f>
        <v>14</v>
      </c>
      <c r="M247" s="202">
        <f>双柏!I151</f>
        <v>26</v>
      </c>
      <c r="N247" s="202">
        <f>双柏!J151</f>
        <v>27</v>
      </c>
      <c r="O247" s="202">
        <f>双柏!K151</f>
        <v>32</v>
      </c>
      <c r="P247" s="202">
        <f>双柏!L151</f>
        <v>16</v>
      </c>
      <c r="Q247" s="202">
        <f>双柏!M151</f>
        <v>29</v>
      </c>
      <c r="R247" s="202">
        <f>双柏!N151</f>
        <v>36</v>
      </c>
      <c r="S247" s="202">
        <f>双柏!O151</f>
        <v>0</v>
      </c>
      <c r="T247" s="202">
        <f>双柏!P151</f>
        <v>0</v>
      </c>
      <c r="U247" s="202">
        <f>双柏!Q151</f>
        <v>0</v>
      </c>
      <c r="V247" s="202">
        <f>双柏!R151</f>
        <v>0</v>
      </c>
      <c r="W247" s="202">
        <f>双柏!S151</f>
        <v>0</v>
      </c>
      <c r="X247" s="202">
        <f>双柏!T151</f>
        <v>0</v>
      </c>
      <c r="Y247" s="202">
        <f>双柏!U151</f>
        <v>0</v>
      </c>
      <c r="Z247" s="202">
        <f>双柏!V151</f>
        <v>0</v>
      </c>
      <c r="AA247" s="202">
        <f>双柏!W151</f>
        <v>0</v>
      </c>
      <c r="AB247" s="202">
        <f>双柏!X151</f>
        <v>0</v>
      </c>
      <c r="AC247" s="202">
        <f>双柏!Y151</f>
        <v>0</v>
      </c>
      <c r="AD247" s="202">
        <f>双柏!Z151</f>
        <v>0</v>
      </c>
      <c r="AE247" s="202">
        <f>双柏!AA151</f>
        <v>0</v>
      </c>
      <c r="AF247" s="202">
        <f>双柏!AB151</f>
        <v>0</v>
      </c>
      <c r="AG247" s="202">
        <f>双柏!AC151</f>
        <v>0</v>
      </c>
      <c r="AH247" s="202">
        <f>双柏!AD151</f>
        <v>0</v>
      </c>
      <c r="AI247" s="202">
        <f>双柏!AE151</f>
        <v>0</v>
      </c>
      <c r="AJ247" s="202">
        <f>双柏!AF151</f>
        <v>0</v>
      </c>
      <c r="AK247" s="165" t="str">
        <f>双柏!AG151</f>
        <v>双柏县鄂嘉镇茶叶村委会三岔河管护点</v>
      </c>
      <c r="AL247" s="165" t="str">
        <f>双柏!AH151</f>
        <v>2016/0709-0716</v>
      </c>
      <c r="AM247" s="165" t="str">
        <f>双柏!AI151</f>
        <v>2016/0709-0716</v>
      </c>
      <c r="AN247" s="165">
        <f>双柏!AJ151</f>
        <v>0</v>
      </c>
      <c r="AO247" s="165" t="str">
        <f>双柏!AK151</f>
        <v>海拔2206，N24°28′10.60″ E101°5′47.14″</v>
      </c>
      <c r="AP247" s="263">
        <v>37.5</v>
      </c>
      <c r="AQ247" s="209" t="str">
        <f>双柏!AM151</f>
        <v>2+1.5+2+1.1+0.9</v>
      </c>
      <c r="AR247" s="295">
        <f>双柏!AN151</f>
        <v>7.5</v>
      </c>
      <c r="AS247" s="199" t="str">
        <f>双柏!AO151</f>
        <v>532322196912020512</v>
      </c>
      <c r="AT247" s="199" t="str">
        <f>双柏!AP151</f>
        <v>13368784380</v>
      </c>
    </row>
    <row r="248" spans="1:46">
      <c r="A248" t="s">
        <v>1921</v>
      </c>
      <c r="B248" s="202" t="str">
        <f>VLOOKUP(A248,databases!$A$2:$B$7, 2, FALSE)</f>
        <v>ShuangBai</v>
      </c>
      <c r="C248" s="165" t="str">
        <f>双柏!B152</f>
        <v>王开宽&amp;王开润</v>
      </c>
      <c r="D248" s="283" t="str">
        <f>VLOOKUP(C248,databases!$D$2:$E$145, 2, FALSE)</f>
        <v>R88</v>
      </c>
      <c r="E248" s="284">
        <f>INDEX(sample_database!$B$2:$B$506,MATCH(F248,sample_database!$L$2:$L$506,0))</f>
        <v>8</v>
      </c>
      <c r="F248" s="202" t="str">
        <f>双柏!A152</f>
        <v>SB151</v>
      </c>
      <c r="G248" s="257">
        <f>双柏!C152</f>
        <v>9</v>
      </c>
      <c r="H248" s="257">
        <f>双柏!D152</f>
        <v>0</v>
      </c>
      <c r="I248" s="202">
        <f>双柏!E152</f>
        <v>253</v>
      </c>
      <c r="J248" s="202">
        <f>双柏!F152</f>
        <v>21</v>
      </c>
      <c r="K248" s="202">
        <f>双柏!G152</f>
        <v>37</v>
      </c>
      <c r="L248" s="202">
        <f>双柏!H152</f>
        <v>34</v>
      </c>
      <c r="M248" s="202">
        <f>双柏!I152</f>
        <v>27</v>
      </c>
      <c r="N248" s="202">
        <f>双柏!J152</f>
        <v>18</v>
      </c>
      <c r="O248" s="202">
        <f>双柏!K152</f>
        <v>25</v>
      </c>
      <c r="P248" s="202">
        <f>双柏!L152</f>
        <v>35</v>
      </c>
      <c r="Q248" s="202">
        <f>双柏!M152</f>
        <v>26</v>
      </c>
      <c r="R248" s="202">
        <f>双柏!N152</f>
        <v>30</v>
      </c>
      <c r="S248" s="202">
        <f>双柏!O152</f>
        <v>0</v>
      </c>
      <c r="T248" s="202">
        <f>双柏!P152</f>
        <v>0</v>
      </c>
      <c r="U248" s="202">
        <f>双柏!Q152</f>
        <v>0</v>
      </c>
      <c r="V248" s="202">
        <f>双柏!R152</f>
        <v>0</v>
      </c>
      <c r="W248" s="202">
        <f>双柏!S152</f>
        <v>0</v>
      </c>
      <c r="X248" s="202">
        <f>双柏!T152</f>
        <v>0</v>
      </c>
      <c r="Y248" s="202">
        <f>双柏!U152</f>
        <v>0</v>
      </c>
      <c r="Z248" s="202">
        <f>双柏!V152</f>
        <v>0</v>
      </c>
      <c r="AA248" s="202">
        <f>双柏!W152</f>
        <v>0</v>
      </c>
      <c r="AB248" s="202">
        <f>双柏!X152</f>
        <v>0</v>
      </c>
      <c r="AC248" s="202">
        <f>双柏!Y152</f>
        <v>0</v>
      </c>
      <c r="AD248" s="202">
        <f>双柏!Z152</f>
        <v>0</v>
      </c>
      <c r="AE248" s="202">
        <f>双柏!AA152</f>
        <v>0</v>
      </c>
      <c r="AF248" s="202">
        <f>双柏!AB152</f>
        <v>0</v>
      </c>
      <c r="AG248" s="202">
        <f>双柏!AC152</f>
        <v>0</v>
      </c>
      <c r="AH248" s="202">
        <f>双柏!AD152</f>
        <v>0</v>
      </c>
      <c r="AI248" s="202">
        <f>双柏!AE152</f>
        <v>0</v>
      </c>
      <c r="AJ248" s="202">
        <f>双柏!AF152</f>
        <v>0</v>
      </c>
      <c r="AK248" s="165" t="str">
        <f>双柏!AG152</f>
        <v>双柏县鄂嘉镇茶叶村委会三岔河管护点</v>
      </c>
      <c r="AL248" s="165" t="str">
        <f>双柏!AH152</f>
        <v>2016/0717-0720</v>
      </c>
      <c r="AM248" s="165" t="str">
        <f>双柏!AI152</f>
        <v>2016/0717-0720</v>
      </c>
      <c r="AN248" s="165">
        <f>双柏!AJ152</f>
        <v>0</v>
      </c>
      <c r="AO248" s="165" t="str">
        <f>双柏!AK152</f>
        <v>海拔2352，N24°28′40.48″ E101°5′38.74″</v>
      </c>
      <c r="AP248" s="263">
        <v>50</v>
      </c>
      <c r="AQ248" s="209" t="str">
        <f>双柏!AM152</f>
        <v>2+1.5+2.5+2+2</v>
      </c>
      <c r="AR248" s="295">
        <f>双柏!AN152</f>
        <v>10</v>
      </c>
      <c r="AS248" s="199" t="str">
        <f>双柏!AO152</f>
        <v>532322196912020512</v>
      </c>
      <c r="AT248" s="199" t="str">
        <f>双柏!AP152</f>
        <v>13368784380</v>
      </c>
    </row>
    <row r="249" spans="1:46">
      <c r="A249" t="s">
        <v>1921</v>
      </c>
      <c r="B249" s="202" t="str">
        <f>VLOOKUP(A249,databases!$A$2:$B$7, 2, FALSE)</f>
        <v>ShuangBai</v>
      </c>
      <c r="C249" s="165" t="str">
        <f>双柏!B153</f>
        <v>王开宽&amp;王开润</v>
      </c>
      <c r="D249" s="283" t="str">
        <f>VLOOKUP(C249,databases!$D$2:$E$145, 2, FALSE)</f>
        <v>R88</v>
      </c>
      <c r="E249" s="284">
        <f>INDEX(sample_database!$B$2:$B$506,MATCH(F249,sample_database!$L$2:$L$506,0))</f>
        <v>8</v>
      </c>
      <c r="F249" s="202" t="str">
        <f>双柏!A153</f>
        <v>SB152</v>
      </c>
      <c r="G249" s="257">
        <f>双柏!C153</f>
        <v>10</v>
      </c>
      <c r="H249" s="257">
        <f>双柏!D153</f>
        <v>0</v>
      </c>
      <c r="I249" s="202">
        <f>双柏!E153</f>
        <v>205</v>
      </c>
      <c r="J249" s="202">
        <f>双柏!F153</f>
        <v>14</v>
      </c>
      <c r="K249" s="202">
        <f>双柏!G153</f>
        <v>16</v>
      </c>
      <c r="L249" s="202">
        <f>双柏!H153</f>
        <v>21</v>
      </c>
      <c r="M249" s="202">
        <f>双柏!I153</f>
        <v>22</v>
      </c>
      <c r="N249" s="202">
        <f>双柏!J153</f>
        <v>18</v>
      </c>
      <c r="O249" s="202">
        <f>双柏!K153</f>
        <v>27</v>
      </c>
      <c r="P249" s="202">
        <f>双柏!L153</f>
        <v>19</v>
      </c>
      <c r="Q249" s="202">
        <f>双柏!M153</f>
        <v>26</v>
      </c>
      <c r="R249" s="202">
        <f>双柏!N153</f>
        <v>21</v>
      </c>
      <c r="S249" s="202">
        <f>双柏!O153</f>
        <v>21</v>
      </c>
      <c r="T249" s="202">
        <f>双柏!P153</f>
        <v>0</v>
      </c>
      <c r="U249" s="202">
        <f>双柏!Q153</f>
        <v>0</v>
      </c>
      <c r="V249" s="202">
        <f>双柏!R153</f>
        <v>0</v>
      </c>
      <c r="W249" s="202">
        <f>双柏!S153</f>
        <v>0</v>
      </c>
      <c r="X249" s="202">
        <f>双柏!T153</f>
        <v>0</v>
      </c>
      <c r="Y249" s="202">
        <f>双柏!U153</f>
        <v>0</v>
      </c>
      <c r="Z249" s="202">
        <f>双柏!V153</f>
        <v>0</v>
      </c>
      <c r="AA249" s="202">
        <f>双柏!W153</f>
        <v>0</v>
      </c>
      <c r="AB249" s="202">
        <f>双柏!X153</f>
        <v>0</v>
      </c>
      <c r="AC249" s="202">
        <f>双柏!Y153</f>
        <v>0</v>
      </c>
      <c r="AD249" s="202">
        <f>双柏!Z153</f>
        <v>0</v>
      </c>
      <c r="AE249" s="202">
        <f>双柏!AA153</f>
        <v>0</v>
      </c>
      <c r="AF249" s="202">
        <f>双柏!AB153</f>
        <v>0</v>
      </c>
      <c r="AG249" s="202">
        <f>双柏!AC153</f>
        <v>0</v>
      </c>
      <c r="AH249" s="202">
        <f>双柏!AD153</f>
        <v>0</v>
      </c>
      <c r="AI249" s="202">
        <f>双柏!AE153</f>
        <v>0</v>
      </c>
      <c r="AJ249" s="202">
        <f>双柏!AF153</f>
        <v>0</v>
      </c>
      <c r="AK249" s="165" t="str">
        <f>双柏!AG153</f>
        <v>双柏县鄂嘉镇茶叶村委会三岔河管护点</v>
      </c>
      <c r="AL249" s="165" t="str">
        <f>双柏!AH153</f>
        <v>2016/0721-0726</v>
      </c>
      <c r="AM249" s="165" t="str">
        <f>双柏!AI153</f>
        <v>2016/0721-0726</v>
      </c>
      <c r="AN249" s="165">
        <f>双柏!AJ153</f>
        <v>0</v>
      </c>
      <c r="AO249" s="165" t="str">
        <f>双柏!AK153</f>
        <v>海拔2626，N24°28′11.67″ E101°5′46.34″</v>
      </c>
      <c r="AP249" s="263">
        <v>57.5</v>
      </c>
      <c r="AQ249" s="209" t="str">
        <f>双柏!AM153</f>
        <v>2.5+2+2.5+2+2.5</v>
      </c>
      <c r="AR249" s="295">
        <f>双柏!AN153</f>
        <v>11.5</v>
      </c>
      <c r="AS249" s="199" t="str">
        <f>双柏!AO153</f>
        <v>532322196912020512</v>
      </c>
      <c r="AT249" s="199" t="str">
        <f>双柏!AP153</f>
        <v>13368784380</v>
      </c>
    </row>
    <row r="250" spans="1:46">
      <c r="A250" t="s">
        <v>1921</v>
      </c>
      <c r="B250" s="202" t="str">
        <f>VLOOKUP(A250,databases!$A$2:$B$7, 2, FALSE)</f>
        <v>ShuangBai</v>
      </c>
      <c r="C250" s="165" t="str">
        <f>双柏!B154</f>
        <v>王开宽&amp;王开润</v>
      </c>
      <c r="D250" s="283" t="str">
        <f>VLOOKUP(C250,databases!$D$2:$E$145, 2, FALSE)</f>
        <v>R88</v>
      </c>
      <c r="E250" s="284">
        <f>INDEX(sample_database!$B$2:$B$506,MATCH(F250,sample_database!$L$2:$L$506,0))</f>
        <v>9</v>
      </c>
      <c r="F250" s="202" t="str">
        <f>双柏!A154</f>
        <v>SB153</v>
      </c>
      <c r="G250" s="257">
        <f>双柏!C154</f>
        <v>10</v>
      </c>
      <c r="H250" s="257">
        <f>双柏!D154</f>
        <v>0</v>
      </c>
      <c r="I250" s="202">
        <f>双柏!E154</f>
        <v>201</v>
      </c>
      <c r="J250" s="202">
        <f>双柏!F154</f>
        <v>15</v>
      </c>
      <c r="K250" s="202">
        <f>双柏!G154</f>
        <v>23</v>
      </c>
      <c r="L250" s="202">
        <f>双柏!H154</f>
        <v>23</v>
      </c>
      <c r="M250" s="202">
        <f>双柏!I154</f>
        <v>14</v>
      </c>
      <c r="N250" s="202">
        <f>双柏!J154</f>
        <v>22</v>
      </c>
      <c r="O250" s="202">
        <f>双柏!K154</f>
        <v>26</v>
      </c>
      <c r="P250" s="202">
        <f>双柏!L154</f>
        <v>21</v>
      </c>
      <c r="Q250" s="202">
        <f>双柏!M154</f>
        <v>28</v>
      </c>
      <c r="R250" s="202">
        <f>双柏!N154</f>
        <v>10</v>
      </c>
      <c r="S250" s="202">
        <f>双柏!O154</f>
        <v>19</v>
      </c>
      <c r="T250" s="202">
        <f>双柏!P154</f>
        <v>0</v>
      </c>
      <c r="U250" s="202">
        <f>双柏!Q154</f>
        <v>0</v>
      </c>
      <c r="V250" s="202">
        <f>双柏!R154</f>
        <v>0</v>
      </c>
      <c r="W250" s="202">
        <f>双柏!S154</f>
        <v>0</v>
      </c>
      <c r="X250" s="202">
        <f>双柏!T154</f>
        <v>0</v>
      </c>
      <c r="Y250" s="202">
        <f>双柏!U154</f>
        <v>0</v>
      </c>
      <c r="Z250" s="202">
        <f>双柏!V154</f>
        <v>0</v>
      </c>
      <c r="AA250" s="202">
        <f>双柏!W154</f>
        <v>0</v>
      </c>
      <c r="AB250" s="202">
        <f>双柏!X154</f>
        <v>0</v>
      </c>
      <c r="AC250" s="202">
        <f>双柏!Y154</f>
        <v>0</v>
      </c>
      <c r="AD250" s="202">
        <f>双柏!Z154</f>
        <v>0</v>
      </c>
      <c r="AE250" s="202">
        <f>双柏!AA154</f>
        <v>0</v>
      </c>
      <c r="AF250" s="202">
        <f>双柏!AB154</f>
        <v>0</v>
      </c>
      <c r="AG250" s="202">
        <f>双柏!AC154</f>
        <v>0</v>
      </c>
      <c r="AH250" s="202">
        <f>双柏!AD154</f>
        <v>0</v>
      </c>
      <c r="AI250" s="202">
        <f>双柏!AE154</f>
        <v>0</v>
      </c>
      <c r="AJ250" s="202">
        <f>双柏!AF154</f>
        <v>0</v>
      </c>
      <c r="AK250" s="165" t="str">
        <f>双柏!AG154</f>
        <v>双柏县鄂嘉镇茶叶村委会三岔河管护点</v>
      </c>
      <c r="AL250" s="165" t="str">
        <f>双柏!AH154</f>
        <v>2016/0727-0802</v>
      </c>
      <c r="AM250" s="165" t="str">
        <f>双柏!AI154</f>
        <v>2016/0727-0802</v>
      </c>
      <c r="AN250" s="165">
        <f>双柏!AJ154</f>
        <v>0</v>
      </c>
      <c r="AO250" s="165" t="str">
        <f>双柏!AK154</f>
        <v>海拔2323，N24°27′36.55″ E101°5′38.84″</v>
      </c>
      <c r="AP250" s="263">
        <v>52.5</v>
      </c>
      <c r="AQ250" s="209" t="str">
        <f>双柏!AM154</f>
        <v>2+2+2+2.5+2</v>
      </c>
      <c r="AR250" s="295">
        <f>双柏!AN154</f>
        <v>10.5</v>
      </c>
      <c r="AS250" s="199" t="str">
        <f>双柏!AO154</f>
        <v>532322196912020512</v>
      </c>
      <c r="AT250" s="199" t="str">
        <f>双柏!AP154</f>
        <v>13368784380</v>
      </c>
    </row>
    <row r="251" spans="1:46">
      <c r="A251" t="s">
        <v>1921</v>
      </c>
      <c r="B251" s="202" t="str">
        <f>VLOOKUP(A251,databases!$A$2:$B$7, 2, FALSE)</f>
        <v>ShuangBai</v>
      </c>
      <c r="C251" s="165" t="str">
        <f>双柏!B155</f>
        <v>王开宽&amp;王开润</v>
      </c>
      <c r="D251" s="285" t="str">
        <f>VLOOKUP(C251,databases!$D$2:$E$145, 2, FALSE)</f>
        <v>R88</v>
      </c>
      <c r="E251" s="286" t="str">
        <f>INDEX(sample_database!$B$2:$B$506,MATCH(F251,sample_database!$L$2:$L$506,0))</f>
        <v>NA</v>
      </c>
      <c r="F251" s="202" t="str">
        <f>双柏!A155</f>
        <v>SB154</v>
      </c>
      <c r="G251" s="257">
        <f>双柏!C155</f>
        <v>0</v>
      </c>
      <c r="H251" s="257">
        <f>双柏!D155</f>
        <v>1</v>
      </c>
      <c r="I251" s="202">
        <f>双柏!E155</f>
        <v>2</v>
      </c>
      <c r="J251" s="202">
        <f>双柏!F155</f>
        <v>2</v>
      </c>
      <c r="K251" s="202">
        <f>双柏!G155</f>
        <v>0</v>
      </c>
      <c r="L251" s="202">
        <f>双柏!H155</f>
        <v>0</v>
      </c>
      <c r="M251" s="202">
        <f>双柏!I155</f>
        <v>0</v>
      </c>
      <c r="N251" s="202">
        <f>双柏!J155</f>
        <v>0</v>
      </c>
      <c r="O251" s="202">
        <f>双柏!K155</f>
        <v>0</v>
      </c>
      <c r="P251" s="202">
        <f>双柏!L155</f>
        <v>0</v>
      </c>
      <c r="Q251" s="202">
        <f>双柏!M155</f>
        <v>0</v>
      </c>
      <c r="R251" s="202">
        <f>双柏!N155</f>
        <v>0</v>
      </c>
      <c r="S251" s="202">
        <f>双柏!O155</f>
        <v>0</v>
      </c>
      <c r="T251" s="202">
        <f>双柏!P155</f>
        <v>0</v>
      </c>
      <c r="U251" s="202">
        <f>双柏!Q155</f>
        <v>0</v>
      </c>
      <c r="V251" s="202">
        <f>双柏!R155</f>
        <v>0</v>
      </c>
      <c r="W251" s="202">
        <f>双柏!S155</f>
        <v>0</v>
      </c>
      <c r="X251" s="202">
        <f>双柏!T155</f>
        <v>0</v>
      </c>
      <c r="Y251" s="202">
        <f>双柏!U155</f>
        <v>0</v>
      </c>
      <c r="Z251" s="202">
        <f>双柏!V155</f>
        <v>0</v>
      </c>
      <c r="AA251" s="202">
        <f>双柏!W155</f>
        <v>0</v>
      </c>
      <c r="AB251" s="202">
        <f>双柏!X155</f>
        <v>0</v>
      </c>
      <c r="AC251" s="202">
        <f>双柏!Y155</f>
        <v>0</v>
      </c>
      <c r="AD251" s="202">
        <f>双柏!Z155</f>
        <v>0</v>
      </c>
      <c r="AE251" s="202">
        <f>双柏!AA155</f>
        <v>0</v>
      </c>
      <c r="AF251" s="202">
        <f>双柏!AB155</f>
        <v>0</v>
      </c>
      <c r="AG251" s="202">
        <f>双柏!AC155</f>
        <v>0</v>
      </c>
      <c r="AH251" s="202">
        <f>双柏!AD155</f>
        <v>0</v>
      </c>
      <c r="AI251" s="202">
        <f>双柏!AE155</f>
        <v>0</v>
      </c>
      <c r="AJ251" s="202">
        <f>双柏!AF155</f>
        <v>0</v>
      </c>
      <c r="AK251" s="165" t="str">
        <f>双柏!AG155</f>
        <v>双柏县鄂嘉镇茶叶村委会茶叶新村</v>
      </c>
      <c r="AL251" s="165" t="str">
        <f>双柏!AH155</f>
        <v>2016/0825</v>
      </c>
      <c r="AM251" s="165" t="str">
        <f>双柏!AI155</f>
        <v>2016/0825</v>
      </c>
      <c r="AN251" s="165">
        <f>双柏!AJ155</f>
        <v>0</v>
      </c>
      <c r="AO251" s="165" t="str">
        <f>双柏!AK155</f>
        <v>海拔2354，N24°47′47.69″ E101°12′52.84″</v>
      </c>
      <c r="AP251" s="263">
        <v>0.25</v>
      </c>
      <c r="AQ251" s="209" t="str">
        <f>双柏!AM155</f>
        <v>PCR FAILED</v>
      </c>
      <c r="AR251" s="295">
        <f>双柏!AN155</f>
        <v>0.05</v>
      </c>
      <c r="AS251" s="199" t="str">
        <f>双柏!AO155</f>
        <v>532322196912020512</v>
      </c>
      <c r="AT251" s="199" t="str">
        <f>双柏!AP155</f>
        <v>13368784380</v>
      </c>
    </row>
    <row r="252" spans="1:46">
      <c r="A252" t="s">
        <v>1921</v>
      </c>
      <c r="B252" s="202" t="str">
        <f>VLOOKUP(A252,databases!$A$2:$B$7, 2, FALSE)</f>
        <v>ShuangBai</v>
      </c>
      <c r="C252" s="165" t="str">
        <f>双柏!B23</f>
        <v>王开远&amp;周开军</v>
      </c>
      <c r="D252" s="202" t="str">
        <f>VLOOKUP(C252,databases!$D$2:$E$145, 2, FALSE)</f>
        <v>R90</v>
      </c>
      <c r="E252" s="259">
        <f>INDEX(sample_database!$B$2:$B$506,MATCH(F252,sample_database!$L$2:$L$506,0))</f>
        <v>7</v>
      </c>
      <c r="F252" s="202" t="str">
        <f>双柏!A23</f>
        <v>SB022</v>
      </c>
      <c r="G252" s="257">
        <f>双柏!C23</f>
        <v>9</v>
      </c>
      <c r="H252" s="257">
        <f>双柏!D23</f>
        <v>0</v>
      </c>
      <c r="I252" s="202">
        <f>双柏!E23</f>
        <v>178</v>
      </c>
      <c r="J252" s="202">
        <f>双柏!F23</f>
        <v>17</v>
      </c>
      <c r="K252" s="202">
        <f>双柏!G23</f>
        <v>12</v>
      </c>
      <c r="L252" s="202">
        <f>双柏!H23</f>
        <v>22</v>
      </c>
      <c r="M252" s="202">
        <f>双柏!I23</f>
        <v>31</v>
      </c>
      <c r="N252" s="202">
        <f>双柏!J23</f>
        <v>33</v>
      </c>
      <c r="O252" s="202">
        <f>双柏!K23</f>
        <v>15</v>
      </c>
      <c r="P252" s="202">
        <f>双柏!L23</f>
        <v>17</v>
      </c>
      <c r="Q252" s="202">
        <f>双柏!M23</f>
        <v>18</v>
      </c>
      <c r="R252" s="202">
        <f>双柏!N23</f>
        <v>13</v>
      </c>
      <c r="S252" s="202">
        <f>双柏!O23</f>
        <v>0</v>
      </c>
      <c r="T252" s="202">
        <f>双柏!P23</f>
        <v>0</v>
      </c>
      <c r="U252" s="202">
        <f>双柏!Q23</f>
        <v>0</v>
      </c>
      <c r="V252" s="202">
        <f>双柏!R23</f>
        <v>0</v>
      </c>
      <c r="W252" s="202">
        <f>双柏!S23</f>
        <v>0</v>
      </c>
      <c r="X252" s="202">
        <f>双柏!T23</f>
        <v>0</v>
      </c>
      <c r="Y252" s="202">
        <f>双柏!U23</f>
        <v>0</v>
      </c>
      <c r="Z252" s="202">
        <f>双柏!V23</f>
        <v>0</v>
      </c>
      <c r="AA252" s="202">
        <f>双柏!W23</f>
        <v>0</v>
      </c>
      <c r="AB252" s="202">
        <f>双柏!X23</f>
        <v>0</v>
      </c>
      <c r="AC252" s="202">
        <f>双柏!Y23</f>
        <v>0</v>
      </c>
      <c r="AD252" s="202">
        <f>双柏!Z23</f>
        <v>0</v>
      </c>
      <c r="AE252" s="202">
        <f>双柏!AA23</f>
        <v>0</v>
      </c>
      <c r="AF252" s="202">
        <f>双柏!AB23</f>
        <v>0</v>
      </c>
      <c r="AG252" s="202">
        <f>双柏!AC23</f>
        <v>0</v>
      </c>
      <c r="AH252" s="202">
        <f>双柏!AD23</f>
        <v>0</v>
      </c>
      <c r="AI252" s="202">
        <f>双柏!AE23</f>
        <v>0</v>
      </c>
      <c r="AJ252" s="202">
        <f>双柏!AF23</f>
        <v>0</v>
      </c>
      <c r="AK252" s="165" t="str">
        <f>双柏!AG23</f>
        <v>双柏县鄂嘉镇茶叶村委会三岔河管护点</v>
      </c>
      <c r="AL252" s="165" t="str">
        <f>双柏!AH23</f>
        <v>2016/0709-0716</v>
      </c>
      <c r="AM252" s="165" t="str">
        <f>双柏!AI23</f>
        <v>2016/0709-0716</v>
      </c>
      <c r="AN252" s="165">
        <f>双柏!AJ23</f>
        <v>0</v>
      </c>
      <c r="AO252" s="165" t="str">
        <f>双柏!AK23</f>
        <v>海拔2388 N24°27′59.12″，E101°5′35.94″</v>
      </c>
      <c r="AP252" s="263">
        <v>48</v>
      </c>
      <c r="AQ252" s="209" t="str">
        <f>双柏!AM23</f>
        <v>2+2+2.5+1.1+2</v>
      </c>
      <c r="AR252" s="295">
        <f>双柏!AN23</f>
        <v>9.6</v>
      </c>
      <c r="AS252" s="199" t="str">
        <f>双柏!AO23</f>
        <v>532322197305030510</v>
      </c>
      <c r="AT252" s="199" t="str">
        <f>双柏!AP23</f>
        <v>15368553240</v>
      </c>
    </row>
    <row r="253" spans="1:46">
      <c r="A253" t="s">
        <v>1921</v>
      </c>
      <c r="B253" s="202" t="str">
        <f>VLOOKUP(A253,databases!$A$2:$B$7, 2, FALSE)</f>
        <v>ShuangBai</v>
      </c>
      <c r="C253" s="165" t="str">
        <f>双柏!B24</f>
        <v>王开远&amp;周开军</v>
      </c>
      <c r="D253" s="202" t="str">
        <f>VLOOKUP(C253,databases!$D$2:$E$145, 2, FALSE)</f>
        <v>R90</v>
      </c>
      <c r="E253" s="259">
        <f>INDEX(sample_database!$B$2:$B$506,MATCH(F253,sample_database!$L$2:$L$506,0))</f>
        <v>7</v>
      </c>
      <c r="F253" s="202" t="str">
        <f>双柏!A24</f>
        <v>SB023</v>
      </c>
      <c r="G253" s="257">
        <f>双柏!C24</f>
        <v>10</v>
      </c>
      <c r="H253" s="257">
        <f>双柏!D24</f>
        <v>0</v>
      </c>
      <c r="I253" s="202">
        <f>双柏!E24</f>
        <v>235</v>
      </c>
      <c r="J253" s="202">
        <f>双柏!F24</f>
        <v>22</v>
      </c>
      <c r="K253" s="202">
        <f>双柏!G24</f>
        <v>35</v>
      </c>
      <c r="L253" s="202">
        <f>双柏!H24</f>
        <v>18</v>
      </c>
      <c r="M253" s="202">
        <f>双柏!I24</f>
        <v>19</v>
      </c>
      <c r="N253" s="202">
        <f>双柏!J24</f>
        <v>40</v>
      </c>
      <c r="O253" s="202">
        <f>双柏!K24</f>
        <v>20</v>
      </c>
      <c r="P253" s="202">
        <f>双柏!L24</f>
        <v>19</v>
      </c>
      <c r="Q253" s="202">
        <f>双柏!M24</f>
        <v>17</v>
      </c>
      <c r="R253" s="202">
        <f>双柏!N24</f>
        <v>27</v>
      </c>
      <c r="S253" s="202">
        <f>双柏!O24</f>
        <v>18</v>
      </c>
      <c r="T253" s="202">
        <f>双柏!P24</f>
        <v>0</v>
      </c>
      <c r="U253" s="202">
        <f>双柏!Q24</f>
        <v>0</v>
      </c>
      <c r="V253" s="202">
        <f>双柏!R24</f>
        <v>0</v>
      </c>
      <c r="W253" s="202">
        <f>双柏!S24</f>
        <v>0</v>
      </c>
      <c r="X253" s="202">
        <f>双柏!T24</f>
        <v>0</v>
      </c>
      <c r="Y253" s="202">
        <f>双柏!U24</f>
        <v>0</v>
      </c>
      <c r="Z253" s="202">
        <f>双柏!V24</f>
        <v>0</v>
      </c>
      <c r="AA253" s="202">
        <f>双柏!W24</f>
        <v>0</v>
      </c>
      <c r="AB253" s="202">
        <f>双柏!X24</f>
        <v>0</v>
      </c>
      <c r="AC253" s="202">
        <f>双柏!Y24</f>
        <v>0</v>
      </c>
      <c r="AD253" s="202">
        <f>双柏!Z24</f>
        <v>0</v>
      </c>
      <c r="AE253" s="202">
        <f>双柏!AA24</f>
        <v>0</v>
      </c>
      <c r="AF253" s="202">
        <f>双柏!AB24</f>
        <v>0</v>
      </c>
      <c r="AG253" s="202">
        <f>双柏!AC24</f>
        <v>0</v>
      </c>
      <c r="AH253" s="202">
        <f>双柏!AD24</f>
        <v>0</v>
      </c>
      <c r="AI253" s="202">
        <f>双柏!AE24</f>
        <v>0</v>
      </c>
      <c r="AJ253" s="202">
        <f>双柏!AF24</f>
        <v>0</v>
      </c>
      <c r="AK253" s="165" t="str">
        <f>双柏!AG24</f>
        <v>双柏县鄂嘉镇茶叶村委会三岔河管护点</v>
      </c>
      <c r="AL253" s="165" t="str">
        <f>双柏!AH24</f>
        <v>2016/0717-0718</v>
      </c>
      <c r="AM253" s="165" t="str">
        <f>双柏!AI24</f>
        <v>2016/0717-0718</v>
      </c>
      <c r="AN253" s="165">
        <f>双柏!AJ24</f>
        <v>0</v>
      </c>
      <c r="AO253" s="165" t="str">
        <f>双柏!AK24</f>
        <v>海拔2438 N24°28′37.25″，E101°5′22.29″</v>
      </c>
      <c r="AP253" s="263">
        <v>41</v>
      </c>
      <c r="AQ253" s="209" t="str">
        <f>双柏!AM24</f>
        <v>2+1.5+2.5+0.7+1.5</v>
      </c>
      <c r="AR253" s="295">
        <f>双柏!AN24</f>
        <v>8.1999999999999993</v>
      </c>
      <c r="AS253" s="199" t="str">
        <f>双柏!AO24</f>
        <v>532322197305030510</v>
      </c>
      <c r="AT253" s="199" t="str">
        <f>双柏!AP24</f>
        <v>15368553240</v>
      </c>
    </row>
    <row r="254" spans="1:46">
      <c r="A254" t="s">
        <v>1921</v>
      </c>
      <c r="B254" s="202" t="str">
        <f>VLOOKUP(A254,databases!$A$2:$B$7, 2, FALSE)</f>
        <v>ShuangBai</v>
      </c>
      <c r="C254" s="165" t="str">
        <f>双柏!B25</f>
        <v>王开远&amp;周开军</v>
      </c>
      <c r="D254" s="202" t="str">
        <f>VLOOKUP(C254,databases!$D$2:$E$145, 2, FALSE)</f>
        <v>R90</v>
      </c>
      <c r="E254" s="259">
        <f>INDEX(sample_database!$B$2:$B$506,MATCH(F254,sample_database!$L$2:$L$506,0))</f>
        <v>7</v>
      </c>
      <c r="F254" s="202" t="str">
        <f>双柏!A25</f>
        <v>SB024</v>
      </c>
      <c r="G254" s="257">
        <f>双柏!C25</f>
        <v>10</v>
      </c>
      <c r="H254" s="257">
        <f>双柏!D25</f>
        <v>0</v>
      </c>
      <c r="I254" s="202">
        <f>双柏!E25</f>
        <v>201</v>
      </c>
      <c r="J254" s="202">
        <f>双柏!F25</f>
        <v>34</v>
      </c>
      <c r="K254" s="202">
        <f>双柏!G25</f>
        <v>9</v>
      </c>
      <c r="L254" s="202">
        <f>双柏!H25</f>
        <v>14</v>
      </c>
      <c r="M254" s="202">
        <f>双柏!I25</f>
        <v>10</v>
      </c>
      <c r="N254" s="202">
        <f>双柏!J25</f>
        <v>26</v>
      </c>
      <c r="O254" s="202">
        <f>双柏!K25</f>
        <v>27</v>
      </c>
      <c r="P254" s="202">
        <f>双柏!L25</f>
        <v>18</v>
      </c>
      <c r="Q254" s="202">
        <f>双柏!M25</f>
        <v>17</v>
      </c>
      <c r="R254" s="202">
        <f>双柏!N25</f>
        <v>18</v>
      </c>
      <c r="S254" s="202">
        <f>双柏!O25</f>
        <v>28</v>
      </c>
      <c r="T254" s="202">
        <f>双柏!P25</f>
        <v>0</v>
      </c>
      <c r="U254" s="202">
        <f>双柏!Q25</f>
        <v>0</v>
      </c>
      <c r="V254" s="202">
        <f>双柏!R25</f>
        <v>0</v>
      </c>
      <c r="W254" s="202">
        <f>双柏!S25</f>
        <v>0</v>
      </c>
      <c r="X254" s="202">
        <f>双柏!T25</f>
        <v>0</v>
      </c>
      <c r="Y254" s="202">
        <f>双柏!U25</f>
        <v>0</v>
      </c>
      <c r="Z254" s="202">
        <f>双柏!V25</f>
        <v>0</v>
      </c>
      <c r="AA254" s="202">
        <f>双柏!W25</f>
        <v>0</v>
      </c>
      <c r="AB254" s="202">
        <f>双柏!X25</f>
        <v>0</v>
      </c>
      <c r="AC254" s="202">
        <f>双柏!Y25</f>
        <v>0</v>
      </c>
      <c r="AD254" s="202">
        <f>双柏!Z25</f>
        <v>0</v>
      </c>
      <c r="AE254" s="202">
        <f>双柏!AA25</f>
        <v>0</v>
      </c>
      <c r="AF254" s="202">
        <f>双柏!AB25</f>
        <v>0</v>
      </c>
      <c r="AG254" s="202">
        <f>双柏!AC25</f>
        <v>0</v>
      </c>
      <c r="AH254" s="202">
        <f>双柏!AD25</f>
        <v>0</v>
      </c>
      <c r="AI254" s="202">
        <f>双柏!AE25</f>
        <v>0</v>
      </c>
      <c r="AJ254" s="202">
        <f>双柏!AF25</f>
        <v>0</v>
      </c>
      <c r="AK254" s="165" t="str">
        <f>双柏!AG25</f>
        <v>双柏县鄂嘉镇茶叶村委会茶叶山</v>
      </c>
      <c r="AL254" s="165" t="str">
        <f>双柏!AH25</f>
        <v>2016/0718-0725</v>
      </c>
      <c r="AM254" s="165" t="str">
        <f>双柏!AI25</f>
        <v>2016/0718-0725</v>
      </c>
      <c r="AN254" s="165">
        <f>双柏!AJ25</f>
        <v>0</v>
      </c>
      <c r="AO254" s="165" t="str">
        <f>双柏!AK25</f>
        <v>海拔2517 N24°27′38.76″，E101°5′31.34″</v>
      </c>
      <c r="AP254" s="263">
        <v>57.5</v>
      </c>
      <c r="AQ254" s="209" t="str">
        <f>双柏!AM25</f>
        <v>2.5+1.5+2.5+2.5+2.5</v>
      </c>
      <c r="AR254" s="295">
        <f>双柏!AN25</f>
        <v>11.5</v>
      </c>
      <c r="AS254" s="199" t="str">
        <f>双柏!AO25</f>
        <v>532322197305030510</v>
      </c>
      <c r="AT254" s="199" t="str">
        <f>双柏!AP25</f>
        <v>15368553240</v>
      </c>
    </row>
    <row r="255" spans="1:46">
      <c r="A255" t="s">
        <v>1921</v>
      </c>
      <c r="B255" s="202" t="str">
        <f>VLOOKUP(A255,databases!$A$2:$B$7, 2, FALSE)</f>
        <v>ShuangBai</v>
      </c>
      <c r="C255" s="165" t="str">
        <f>双柏!B26</f>
        <v>王开远&amp;周开军</v>
      </c>
      <c r="D255" s="202" t="str">
        <f>VLOOKUP(C255,databases!$D$2:$E$145, 2, FALSE)</f>
        <v>R90</v>
      </c>
      <c r="E255" s="259">
        <f>INDEX(sample_database!$B$2:$B$506,MATCH(F255,sample_database!$L$2:$L$506,0))</f>
        <v>7</v>
      </c>
      <c r="F255" s="202" t="str">
        <f>双柏!A26</f>
        <v>SB025</v>
      </c>
      <c r="G255" s="257">
        <f>双柏!C26</f>
        <v>10</v>
      </c>
      <c r="H255" s="257">
        <f>双柏!D26</f>
        <v>0</v>
      </c>
      <c r="I255" s="202">
        <f>双柏!E26</f>
        <v>192</v>
      </c>
      <c r="J255" s="202">
        <f>双柏!F26</f>
        <v>23</v>
      </c>
      <c r="K255" s="202">
        <f>双柏!G26</f>
        <v>28</v>
      </c>
      <c r="L255" s="202">
        <f>双柏!H26</f>
        <v>12</v>
      </c>
      <c r="M255" s="202">
        <f>双柏!I26</f>
        <v>17</v>
      </c>
      <c r="N255" s="202">
        <f>双柏!J26</f>
        <v>17</v>
      </c>
      <c r="O255" s="202">
        <f>双柏!K26</f>
        <v>23</v>
      </c>
      <c r="P255" s="202">
        <f>双柏!L26</f>
        <v>10</v>
      </c>
      <c r="Q255" s="202">
        <f>双柏!M26</f>
        <v>16</v>
      </c>
      <c r="R255" s="202">
        <f>双柏!N26</f>
        <v>31</v>
      </c>
      <c r="S255" s="202">
        <f>双柏!O26</f>
        <v>15</v>
      </c>
      <c r="T255" s="202">
        <f>双柏!P26</f>
        <v>0</v>
      </c>
      <c r="U255" s="202">
        <f>双柏!Q26</f>
        <v>0</v>
      </c>
      <c r="V255" s="202">
        <f>双柏!R26</f>
        <v>0</v>
      </c>
      <c r="W255" s="202">
        <f>双柏!S26</f>
        <v>0</v>
      </c>
      <c r="X255" s="202">
        <f>双柏!T26</f>
        <v>0</v>
      </c>
      <c r="Y255" s="202">
        <f>双柏!U26</f>
        <v>0</v>
      </c>
      <c r="Z255" s="202">
        <f>双柏!V26</f>
        <v>0</v>
      </c>
      <c r="AA255" s="202">
        <f>双柏!W26</f>
        <v>0</v>
      </c>
      <c r="AB255" s="202">
        <f>双柏!X26</f>
        <v>0</v>
      </c>
      <c r="AC255" s="202">
        <f>双柏!Y26</f>
        <v>0</v>
      </c>
      <c r="AD255" s="202">
        <f>双柏!Z26</f>
        <v>0</v>
      </c>
      <c r="AE255" s="202">
        <f>双柏!AA26</f>
        <v>0</v>
      </c>
      <c r="AF255" s="202">
        <f>双柏!AB26</f>
        <v>0</v>
      </c>
      <c r="AG255" s="202">
        <f>双柏!AC26</f>
        <v>0</v>
      </c>
      <c r="AH255" s="202">
        <f>双柏!AD26</f>
        <v>0</v>
      </c>
      <c r="AI255" s="202">
        <f>双柏!AE26</f>
        <v>0</v>
      </c>
      <c r="AJ255" s="202">
        <f>双柏!AF26</f>
        <v>0</v>
      </c>
      <c r="AK255" s="165" t="str">
        <f>双柏!AG26</f>
        <v>双柏县鄂嘉镇茶叶村委会</v>
      </c>
      <c r="AL255" s="165" t="str">
        <f>双柏!AH26</f>
        <v>2016/0725-0729</v>
      </c>
      <c r="AM255" s="165" t="str">
        <f>双柏!AI26</f>
        <v>2016/0725-0729</v>
      </c>
      <c r="AN255" s="165">
        <f>双柏!AJ26</f>
        <v>0</v>
      </c>
      <c r="AO255" s="165" t="str">
        <f>双柏!AK26</f>
        <v>海拔2420 N24°27′23.96″，E101°5′56.55″</v>
      </c>
      <c r="AP255" s="263">
        <v>52.5</v>
      </c>
      <c r="AQ255" s="209" t="str">
        <f>双柏!AM26</f>
        <v>2+2.5+1.5+2+2.5</v>
      </c>
      <c r="AR255" s="295">
        <f>双柏!AN26</f>
        <v>10.5</v>
      </c>
      <c r="AS255" s="199" t="str">
        <f>双柏!AO26</f>
        <v>532322197305030510</v>
      </c>
      <c r="AT255" s="199" t="str">
        <f>双柏!AP26</f>
        <v>15368553240</v>
      </c>
    </row>
    <row r="256" spans="1:46">
      <c r="A256" t="s">
        <v>1921</v>
      </c>
      <c r="B256" s="202" t="str">
        <f>VLOOKUP(A256,databases!$A$2:$B$7, 2, FALSE)</f>
        <v>ShuangBai</v>
      </c>
      <c r="C256" s="165" t="str">
        <f>双柏!B27</f>
        <v>王景法&amp;刘文明</v>
      </c>
      <c r="D256" s="273" t="str">
        <f>VLOOKUP(C256,databases!$D$2:$E$145, 2, FALSE)</f>
        <v>R92</v>
      </c>
      <c r="E256" s="274" t="str">
        <f>INDEX(sample_database!$B$2:$B$506,MATCH(F256,sample_database!$L$2:$L$506,0))</f>
        <v>NA</v>
      </c>
      <c r="F256" s="202" t="str">
        <f>双柏!A27</f>
        <v>SB026</v>
      </c>
      <c r="G256" s="257">
        <f>双柏!C27</f>
        <v>2</v>
      </c>
      <c r="H256" s="257">
        <f>双柏!D27</f>
        <v>0</v>
      </c>
      <c r="I256" s="202">
        <f>双柏!E27</f>
        <v>6</v>
      </c>
      <c r="J256" s="202">
        <f>双柏!F27</f>
        <v>4</v>
      </c>
      <c r="K256" s="202">
        <f>双柏!G27</f>
        <v>2</v>
      </c>
      <c r="L256" s="202">
        <f>双柏!H27</f>
        <v>0</v>
      </c>
      <c r="M256" s="202">
        <f>双柏!I27</f>
        <v>0</v>
      </c>
      <c r="N256" s="202">
        <f>双柏!J27</f>
        <v>0</v>
      </c>
      <c r="O256" s="202">
        <f>双柏!K27</f>
        <v>0</v>
      </c>
      <c r="P256" s="202">
        <f>双柏!L27</f>
        <v>0</v>
      </c>
      <c r="Q256" s="202">
        <f>双柏!M27</f>
        <v>0</v>
      </c>
      <c r="R256" s="202">
        <f>双柏!N27</f>
        <v>0</v>
      </c>
      <c r="S256" s="202">
        <f>双柏!O27</f>
        <v>0</v>
      </c>
      <c r="T256" s="202">
        <f>双柏!P27</f>
        <v>0</v>
      </c>
      <c r="U256" s="202">
        <f>双柏!Q27</f>
        <v>0</v>
      </c>
      <c r="V256" s="202">
        <f>双柏!R27</f>
        <v>0</v>
      </c>
      <c r="W256" s="202">
        <f>双柏!S27</f>
        <v>0</v>
      </c>
      <c r="X256" s="202">
        <f>双柏!T27</f>
        <v>0</v>
      </c>
      <c r="Y256" s="202">
        <f>双柏!U27</f>
        <v>0</v>
      </c>
      <c r="Z256" s="202">
        <f>双柏!V27</f>
        <v>0</v>
      </c>
      <c r="AA256" s="202">
        <f>双柏!W27</f>
        <v>0</v>
      </c>
      <c r="AB256" s="202">
        <f>双柏!X27</f>
        <v>0</v>
      </c>
      <c r="AC256" s="202">
        <f>双柏!Y27</f>
        <v>0</v>
      </c>
      <c r="AD256" s="202">
        <f>双柏!Z27</f>
        <v>0</v>
      </c>
      <c r="AE256" s="202">
        <f>双柏!AA27</f>
        <v>0</v>
      </c>
      <c r="AF256" s="202">
        <f>双柏!AB27</f>
        <v>0</v>
      </c>
      <c r="AG256" s="202">
        <f>双柏!AC27</f>
        <v>0</v>
      </c>
      <c r="AH256" s="202">
        <f>双柏!AD27</f>
        <v>0</v>
      </c>
      <c r="AI256" s="202">
        <f>双柏!AE27</f>
        <v>0</v>
      </c>
      <c r="AJ256" s="202">
        <f>双柏!AF27</f>
        <v>0</v>
      </c>
      <c r="AK256" s="165" t="str">
        <f>双柏!AG27</f>
        <v>双柏县鄂嘉镇麻旺村委会下村7号</v>
      </c>
      <c r="AL256" s="165" t="str">
        <f>双柏!AH27</f>
        <v>2016/0716</v>
      </c>
      <c r="AM256" s="165" t="str">
        <f>双柏!AI27</f>
        <v>2016/0716</v>
      </c>
      <c r="AN256" s="165">
        <f>双柏!AJ27</f>
        <v>0</v>
      </c>
      <c r="AO256" s="165" t="str">
        <f>双柏!AK27</f>
        <v>海拔2461，N24°26′31.81″ E101°72′648？″</v>
      </c>
      <c r="AP256" s="263">
        <v>2</v>
      </c>
      <c r="AQ256" s="209">
        <f>双柏!AM27</f>
        <v>0</v>
      </c>
      <c r="AR256" s="295">
        <f>双柏!AN27</f>
        <v>0.4</v>
      </c>
      <c r="AS256" s="199" t="str">
        <f>双柏!AO27</f>
        <v>532322196404110538</v>
      </c>
      <c r="AT256" s="199" t="str">
        <f>双柏!AP27</f>
        <v>13354690369&amp;18183876459</v>
      </c>
    </row>
    <row r="257" spans="1:46">
      <c r="A257" s="252" t="s">
        <v>1921</v>
      </c>
      <c r="B257" s="202" t="str">
        <f>VLOOKUP(A257,databases!$A$2:$B$7, 2, FALSE)</f>
        <v>ShuangBai</v>
      </c>
      <c r="C257" s="253" t="str">
        <f>双柏!B28</f>
        <v>王景法&amp;刘文明</v>
      </c>
      <c r="D257" s="275" t="str">
        <f>VLOOKUP(C257,databases!$D$2:$E$145, 2, FALSE)</f>
        <v>R92</v>
      </c>
      <c r="E257" s="276" t="str">
        <f>INDEX(sample_database!$B$2:$B$506,MATCH(F257,sample_database!$L$2:$L$506,0))</f>
        <v>NA</v>
      </c>
      <c r="F257" s="236" t="str">
        <f>双柏!A28</f>
        <v>SB027</v>
      </c>
      <c r="G257" s="258">
        <f>双柏!C28</f>
        <v>3</v>
      </c>
      <c r="H257" s="258">
        <f>双柏!D28</f>
        <v>0</v>
      </c>
      <c r="I257" s="236">
        <f>双柏!E28</f>
        <v>36</v>
      </c>
      <c r="J257" s="236">
        <f>双柏!F28</f>
        <v>14</v>
      </c>
      <c r="K257" s="236">
        <f>双柏!G28</f>
        <v>15</v>
      </c>
      <c r="L257" s="236">
        <f>双柏!H28</f>
        <v>7</v>
      </c>
      <c r="M257" s="236">
        <f>双柏!I28</f>
        <v>0</v>
      </c>
      <c r="N257" s="236">
        <f>双柏!J28</f>
        <v>0</v>
      </c>
      <c r="O257" s="236">
        <f>双柏!K28</f>
        <v>0</v>
      </c>
      <c r="P257" s="236">
        <f>双柏!L28</f>
        <v>0</v>
      </c>
      <c r="Q257" s="236">
        <f>双柏!M28</f>
        <v>0</v>
      </c>
      <c r="R257" s="236">
        <f>双柏!N28</f>
        <v>0</v>
      </c>
      <c r="S257" s="236">
        <f>双柏!O28</f>
        <v>0</v>
      </c>
      <c r="T257" s="236">
        <f>双柏!P28</f>
        <v>0</v>
      </c>
      <c r="U257" s="236">
        <f>双柏!Q28</f>
        <v>0</v>
      </c>
      <c r="V257" s="236">
        <f>双柏!R28</f>
        <v>0</v>
      </c>
      <c r="W257" s="236">
        <f>双柏!S28</f>
        <v>0</v>
      </c>
      <c r="X257" s="236">
        <f>双柏!T28</f>
        <v>0</v>
      </c>
      <c r="Y257" s="236">
        <f>双柏!U28</f>
        <v>0</v>
      </c>
      <c r="Z257" s="236">
        <f>双柏!V28</f>
        <v>0</v>
      </c>
      <c r="AA257" s="236">
        <f>双柏!W28</f>
        <v>0</v>
      </c>
      <c r="AB257" s="236">
        <f>双柏!X28</f>
        <v>0</v>
      </c>
      <c r="AC257" s="236">
        <f>双柏!Y28</f>
        <v>0</v>
      </c>
      <c r="AD257" s="236">
        <f>双柏!Z28</f>
        <v>0</v>
      </c>
      <c r="AE257" s="236">
        <f>双柏!AA28</f>
        <v>0</v>
      </c>
      <c r="AF257" s="236">
        <f>双柏!AB28</f>
        <v>0</v>
      </c>
      <c r="AG257" s="236">
        <f>双柏!AC28</f>
        <v>0</v>
      </c>
      <c r="AH257" s="236">
        <f>双柏!AD28</f>
        <v>0</v>
      </c>
      <c r="AI257" s="236">
        <f>双柏!AE28</f>
        <v>0</v>
      </c>
      <c r="AJ257" s="236">
        <f>双柏!AF28</f>
        <v>0</v>
      </c>
      <c r="AK257" s="253" t="str">
        <f>双柏!AG28</f>
        <v>双柏县鄂嘉镇新厂村委会大龙汤村一号</v>
      </c>
      <c r="AL257" s="253" t="str">
        <f>双柏!AH28</f>
        <v>2016/0716-0718</v>
      </c>
      <c r="AM257" s="253" t="str">
        <f>双柏!AI28</f>
        <v>2016/0716-0718</v>
      </c>
      <c r="AN257" s="253">
        <f>双柏!AJ28</f>
        <v>0</v>
      </c>
      <c r="AO257" s="253" t="str">
        <f>双柏!AK28</f>
        <v>海拔2454，2461，N24°26′31.81″ E101°07′45.81″</v>
      </c>
      <c r="AP257" s="264">
        <v>10</v>
      </c>
      <c r="AQ257" s="260">
        <f>双柏!AM28</f>
        <v>0</v>
      </c>
      <c r="AR257" s="296">
        <f>双柏!AN28</f>
        <v>2</v>
      </c>
      <c r="AS257" s="255" t="str">
        <f>双柏!AO28</f>
        <v>532322196404110538</v>
      </c>
      <c r="AT257" s="255" t="str">
        <f>双柏!AP28</f>
        <v>13354690369&amp;18183876459</v>
      </c>
    </row>
    <row r="258" spans="1:46">
      <c r="A258" t="s">
        <v>1921</v>
      </c>
      <c r="B258" s="202" t="str">
        <f>VLOOKUP(A258,databases!$A$2:$B$7, 2, FALSE)</f>
        <v>ShuangBai</v>
      </c>
      <c r="C258" s="165" t="str">
        <f>双柏!B29</f>
        <v>王景法&amp;刘文明</v>
      </c>
      <c r="D258" s="275" t="str">
        <f>VLOOKUP(C258,databases!$D$2:$E$145, 2, FALSE)</f>
        <v>R92</v>
      </c>
      <c r="E258" s="276" t="str">
        <f>INDEX(sample_database!$B$2:$B$506,MATCH(F258,sample_database!$L$2:$L$506,0))</f>
        <v>NA</v>
      </c>
      <c r="F258" s="202" t="str">
        <f>双柏!A29</f>
        <v>SB028</v>
      </c>
      <c r="G258" s="257">
        <f>双柏!C29</f>
        <v>4</v>
      </c>
      <c r="H258" s="257">
        <f>双柏!D29</f>
        <v>0</v>
      </c>
      <c r="I258" s="202">
        <f>双柏!E29</f>
        <v>15</v>
      </c>
      <c r="J258" s="202">
        <f>双柏!F29</f>
        <v>4</v>
      </c>
      <c r="K258" s="202">
        <f>双柏!G29</f>
        <v>1</v>
      </c>
      <c r="L258" s="202">
        <f>双柏!H29</f>
        <v>5</v>
      </c>
      <c r="M258" s="202">
        <f>双柏!I29</f>
        <v>5</v>
      </c>
      <c r="N258" s="202">
        <f>双柏!J29</f>
        <v>0</v>
      </c>
      <c r="O258" s="202">
        <f>双柏!K29</f>
        <v>0</v>
      </c>
      <c r="P258" s="202">
        <f>双柏!L29</f>
        <v>0</v>
      </c>
      <c r="Q258" s="202">
        <f>双柏!M29</f>
        <v>0</v>
      </c>
      <c r="R258" s="202">
        <f>双柏!N29</f>
        <v>0</v>
      </c>
      <c r="S258" s="202">
        <f>双柏!O29</f>
        <v>0</v>
      </c>
      <c r="T258" s="202">
        <f>双柏!P29</f>
        <v>0</v>
      </c>
      <c r="U258" s="202">
        <f>双柏!Q29</f>
        <v>0</v>
      </c>
      <c r="V258" s="202">
        <f>双柏!R29</f>
        <v>0</v>
      </c>
      <c r="W258" s="202">
        <f>双柏!S29</f>
        <v>0</v>
      </c>
      <c r="X258" s="202">
        <f>双柏!T29</f>
        <v>0</v>
      </c>
      <c r="Y258" s="202">
        <f>双柏!U29</f>
        <v>0</v>
      </c>
      <c r="Z258" s="202">
        <f>双柏!V29</f>
        <v>0</v>
      </c>
      <c r="AA258" s="202">
        <f>双柏!W29</f>
        <v>0</v>
      </c>
      <c r="AB258" s="202">
        <f>双柏!X29</f>
        <v>0</v>
      </c>
      <c r="AC258" s="202">
        <f>双柏!Y29</f>
        <v>0</v>
      </c>
      <c r="AD258" s="202">
        <f>双柏!Z29</f>
        <v>0</v>
      </c>
      <c r="AE258" s="202">
        <f>双柏!AA29</f>
        <v>0</v>
      </c>
      <c r="AF258" s="202">
        <f>双柏!AB29</f>
        <v>0</v>
      </c>
      <c r="AG258" s="202">
        <f>双柏!AC29</f>
        <v>0</v>
      </c>
      <c r="AH258" s="202">
        <f>双柏!AD29</f>
        <v>0</v>
      </c>
      <c r="AI258" s="202">
        <f>双柏!AE29</f>
        <v>0</v>
      </c>
      <c r="AJ258" s="202">
        <f>双柏!AF29</f>
        <v>0</v>
      </c>
      <c r="AK258" s="165" t="str">
        <f>双柏!AG29</f>
        <v>双柏县鄂嘉镇新厂村委会大龙汤村一号</v>
      </c>
      <c r="AL258" s="165" t="str">
        <f>双柏!AH29</f>
        <v>2016/0729-0802</v>
      </c>
      <c r="AM258" s="165" t="str">
        <f>双柏!AI29</f>
        <v>2016/0729-0802</v>
      </c>
      <c r="AN258" s="165">
        <f>双柏!AJ29</f>
        <v>0</v>
      </c>
      <c r="AO258" s="165" t="str">
        <f>双柏!AK29</f>
        <v xml:space="preserve">海拔2496，2461，N24°25′19.56″ </v>
      </c>
      <c r="AP258" s="263">
        <v>5</v>
      </c>
      <c r="AQ258" s="209">
        <f>双柏!AM29</f>
        <v>0</v>
      </c>
      <c r="AR258" s="295">
        <f>双柏!AN29</f>
        <v>1</v>
      </c>
      <c r="AS258" s="199" t="str">
        <f>双柏!AO29</f>
        <v>532322196404110538</v>
      </c>
      <c r="AT258" s="199" t="str">
        <f>双柏!AP29</f>
        <v>13354690369&amp;18183876459</v>
      </c>
    </row>
    <row r="259" spans="1:46">
      <c r="A259" t="s">
        <v>1921</v>
      </c>
      <c r="B259" s="202" t="str">
        <f>VLOOKUP(A259,databases!$A$2:$B$7, 2, FALSE)</f>
        <v>ShuangBai</v>
      </c>
      <c r="C259" s="165" t="str">
        <f>双柏!B30</f>
        <v>王景法&amp;刘文明</v>
      </c>
      <c r="D259" s="277" t="str">
        <f>VLOOKUP(C259,databases!$D$2:$E$145, 2, FALSE)</f>
        <v>R92</v>
      </c>
      <c r="E259" s="278" t="str">
        <f>INDEX(sample_database!$B$2:$B$506,MATCH(F259,sample_database!$L$2:$L$506,0))</f>
        <v>NA</v>
      </c>
      <c r="F259" s="202" t="str">
        <f>双柏!A30</f>
        <v>SB029</v>
      </c>
      <c r="G259" s="257">
        <f>双柏!C30</f>
        <v>2</v>
      </c>
      <c r="H259" s="257">
        <f>双柏!D30</f>
        <v>0</v>
      </c>
      <c r="I259" s="202">
        <f>双柏!E30</f>
        <v>5</v>
      </c>
      <c r="J259" s="202">
        <f>双柏!F30</f>
        <v>2</v>
      </c>
      <c r="K259" s="202">
        <f>双柏!G30</f>
        <v>3</v>
      </c>
      <c r="L259" s="202">
        <f>双柏!H30</f>
        <v>0</v>
      </c>
      <c r="M259" s="202">
        <f>双柏!I30</f>
        <v>0</v>
      </c>
      <c r="N259" s="202">
        <f>双柏!J30</f>
        <v>0</v>
      </c>
      <c r="O259" s="202">
        <f>双柏!K30</f>
        <v>0</v>
      </c>
      <c r="P259" s="202">
        <f>双柏!L30</f>
        <v>0</v>
      </c>
      <c r="Q259" s="202">
        <f>双柏!M30</f>
        <v>0</v>
      </c>
      <c r="R259" s="202">
        <f>双柏!N30</f>
        <v>0</v>
      </c>
      <c r="S259" s="202">
        <f>双柏!O30</f>
        <v>0</v>
      </c>
      <c r="T259" s="202">
        <f>双柏!P30</f>
        <v>0</v>
      </c>
      <c r="U259" s="202">
        <f>双柏!Q30</f>
        <v>0</v>
      </c>
      <c r="V259" s="202">
        <f>双柏!R30</f>
        <v>0</v>
      </c>
      <c r="W259" s="202">
        <f>双柏!S30</f>
        <v>0</v>
      </c>
      <c r="X259" s="202">
        <f>双柏!T30</f>
        <v>0</v>
      </c>
      <c r="Y259" s="202">
        <f>双柏!U30</f>
        <v>0</v>
      </c>
      <c r="Z259" s="202">
        <f>双柏!V30</f>
        <v>0</v>
      </c>
      <c r="AA259" s="202">
        <f>双柏!W30</f>
        <v>0</v>
      </c>
      <c r="AB259" s="202">
        <f>双柏!X30</f>
        <v>0</v>
      </c>
      <c r="AC259" s="202">
        <f>双柏!Y30</f>
        <v>0</v>
      </c>
      <c r="AD259" s="202">
        <f>双柏!Z30</f>
        <v>0</v>
      </c>
      <c r="AE259" s="202">
        <f>双柏!AA30</f>
        <v>0</v>
      </c>
      <c r="AF259" s="202">
        <f>双柏!AB30</f>
        <v>0</v>
      </c>
      <c r="AG259" s="202">
        <f>双柏!AC30</f>
        <v>0</v>
      </c>
      <c r="AH259" s="202">
        <f>双柏!AD30</f>
        <v>0</v>
      </c>
      <c r="AI259" s="202">
        <f>双柏!AE30</f>
        <v>0</v>
      </c>
      <c r="AJ259" s="202">
        <f>双柏!AF30</f>
        <v>0</v>
      </c>
      <c r="AK259" s="165" t="str">
        <f>双柏!AG30</f>
        <v>双柏县鄂嘉镇新厂村委会大龙汤村一号</v>
      </c>
      <c r="AL259" s="165" t="str">
        <f>双柏!AH30</f>
        <v>2016/0810-0813</v>
      </c>
      <c r="AM259" s="165" t="str">
        <f>双柏!AI30</f>
        <v>2016/0810-0813</v>
      </c>
      <c r="AN259" s="165">
        <f>双柏!AJ30</f>
        <v>0</v>
      </c>
      <c r="AO259" s="165" t="str">
        <f>双柏!AK30</f>
        <v>海拔2445，2442，E101°07′53.96″</v>
      </c>
      <c r="AP259" s="263">
        <v>1.5</v>
      </c>
      <c r="AQ259" s="209">
        <f>双柏!AM30</f>
        <v>0</v>
      </c>
      <c r="AR259" s="295">
        <f>双柏!AN30</f>
        <v>0.3</v>
      </c>
      <c r="AS259" s="199" t="str">
        <f>双柏!AO30</f>
        <v>532322196404110538</v>
      </c>
      <c r="AT259" s="199" t="str">
        <f>双柏!AP30</f>
        <v>13354690369&amp;18183876459</v>
      </c>
    </row>
    <row r="260" spans="1:46">
      <c r="A260" t="s">
        <v>1921</v>
      </c>
      <c r="B260" s="202" t="str">
        <f>VLOOKUP(A260,databases!$A$2:$B$7, 2, FALSE)</f>
        <v>ShuangBai</v>
      </c>
      <c r="C260" s="165" t="str">
        <f>双柏!B63</f>
        <v>王炳兴&amp;李廷华</v>
      </c>
      <c r="D260" s="202" t="str">
        <f>VLOOKUP(C260,databases!$D$2:$E$145, 2, FALSE)</f>
        <v>R93</v>
      </c>
      <c r="E260" s="259">
        <f>INDEX(sample_database!$B$2:$B$506,MATCH(F260,sample_database!$L$2:$L$506,0))</f>
        <v>26</v>
      </c>
      <c r="F260" s="202" t="str">
        <f>双柏!A63</f>
        <v>SB062</v>
      </c>
      <c r="G260" s="257">
        <f>双柏!C63</f>
        <v>10</v>
      </c>
      <c r="H260" s="257">
        <f>双柏!D63</f>
        <v>0</v>
      </c>
      <c r="I260" s="202">
        <f>双柏!E63</f>
        <v>64</v>
      </c>
      <c r="J260" s="202">
        <f>双柏!F63</f>
        <v>15</v>
      </c>
      <c r="K260" s="202">
        <f>双柏!G63</f>
        <v>3</v>
      </c>
      <c r="L260" s="202">
        <f>双柏!H63</f>
        <v>2</v>
      </c>
      <c r="M260" s="202">
        <f>双柏!I63</f>
        <v>6</v>
      </c>
      <c r="N260" s="202">
        <f>双柏!J63</f>
        <v>4</v>
      </c>
      <c r="O260" s="202">
        <f>双柏!K63</f>
        <v>6</v>
      </c>
      <c r="P260" s="202">
        <f>双柏!L63</f>
        <v>13</v>
      </c>
      <c r="Q260" s="202">
        <f>双柏!M63</f>
        <v>3</v>
      </c>
      <c r="R260" s="202">
        <f>双柏!N63</f>
        <v>2</v>
      </c>
      <c r="S260" s="202">
        <f>双柏!O63</f>
        <v>10</v>
      </c>
      <c r="T260" s="202">
        <f>双柏!P63</f>
        <v>0</v>
      </c>
      <c r="U260" s="202">
        <f>双柏!Q63</f>
        <v>0</v>
      </c>
      <c r="V260" s="202">
        <f>双柏!R63</f>
        <v>0</v>
      </c>
      <c r="W260" s="202">
        <f>双柏!S63</f>
        <v>0</v>
      </c>
      <c r="X260" s="202">
        <f>双柏!T63</f>
        <v>0</v>
      </c>
      <c r="Y260" s="202">
        <f>双柏!U63</f>
        <v>0</v>
      </c>
      <c r="Z260" s="202">
        <f>双柏!V63</f>
        <v>0</v>
      </c>
      <c r="AA260" s="202">
        <f>双柏!W63</f>
        <v>0</v>
      </c>
      <c r="AB260" s="202">
        <f>双柏!X63</f>
        <v>0</v>
      </c>
      <c r="AC260" s="202">
        <f>双柏!Y63</f>
        <v>0</v>
      </c>
      <c r="AD260" s="202">
        <f>双柏!Z63</f>
        <v>0</v>
      </c>
      <c r="AE260" s="202">
        <f>双柏!AA63</f>
        <v>0</v>
      </c>
      <c r="AF260" s="202">
        <f>双柏!AB63</f>
        <v>0</v>
      </c>
      <c r="AG260" s="202">
        <f>双柏!AC63</f>
        <v>0</v>
      </c>
      <c r="AH260" s="202">
        <f>双柏!AD63</f>
        <v>0</v>
      </c>
      <c r="AI260" s="202">
        <f>双柏!AE63</f>
        <v>0</v>
      </c>
      <c r="AJ260" s="202">
        <f>双柏!AF63</f>
        <v>0</v>
      </c>
      <c r="AK260" s="165" t="str">
        <f>双柏!AG63</f>
        <v>双柏县鄂嘉镇新树村</v>
      </c>
      <c r="AL260" s="165" t="str">
        <f>双柏!AH63</f>
        <v>2016/0720-0729</v>
      </c>
      <c r="AM260" s="165" t="str">
        <f>双柏!AI63</f>
        <v>2016/0720-0729</v>
      </c>
      <c r="AN260" s="165">
        <f>双柏!AJ63</f>
        <v>0</v>
      </c>
      <c r="AO260" s="165" t="str">
        <f>双柏!AK63</f>
        <v>2602</v>
      </c>
      <c r="AP260" s="263">
        <v>6</v>
      </c>
      <c r="AQ260" s="209">
        <f>双柏!AM63</f>
        <v>0</v>
      </c>
      <c r="AR260" s="295">
        <f>双柏!AN63</f>
        <v>1.2</v>
      </c>
      <c r="AS260" s="199" t="str">
        <f>双柏!AO63</f>
        <v>532322197607070518</v>
      </c>
      <c r="AT260" s="199" t="str">
        <f>双柏!AP63</f>
        <v>15288574990&amp;15758311346</v>
      </c>
    </row>
    <row r="261" spans="1:46">
      <c r="A261" t="s">
        <v>1921</v>
      </c>
      <c r="B261" s="202" t="str">
        <f>VLOOKUP(A261,databases!$A$2:$B$7, 2, FALSE)</f>
        <v>ShuangBai</v>
      </c>
      <c r="C261" s="165" t="str">
        <f>双柏!B64</f>
        <v>王炳兴&amp;李廷华</v>
      </c>
      <c r="D261" s="202" t="str">
        <f>VLOOKUP(C261,databases!$D$2:$E$145, 2, FALSE)</f>
        <v>R93</v>
      </c>
      <c r="E261" s="259">
        <f>INDEX(sample_database!$B$2:$B$506,MATCH(F261,sample_database!$L$2:$L$506,0))</f>
        <v>26</v>
      </c>
      <c r="F261" s="202" t="str">
        <f>双柏!A64</f>
        <v>SB063</v>
      </c>
      <c r="G261" s="257">
        <f>双柏!C64</f>
        <v>10</v>
      </c>
      <c r="H261" s="257">
        <f>双柏!D64</f>
        <v>0</v>
      </c>
      <c r="I261" s="202">
        <f>双柏!E64</f>
        <v>96</v>
      </c>
      <c r="J261" s="202">
        <f>双柏!F64</f>
        <v>5</v>
      </c>
      <c r="K261" s="202">
        <f>双柏!G64</f>
        <v>9</v>
      </c>
      <c r="L261" s="202">
        <f>双柏!H64</f>
        <v>7</v>
      </c>
      <c r="M261" s="202">
        <f>双柏!I64</f>
        <v>7</v>
      </c>
      <c r="N261" s="202">
        <f>双柏!J64</f>
        <v>17</v>
      </c>
      <c r="O261" s="202">
        <f>双柏!K64</f>
        <v>7</v>
      </c>
      <c r="P261" s="202">
        <f>双柏!L64</f>
        <v>11</v>
      </c>
      <c r="Q261" s="202">
        <f>双柏!M64</f>
        <v>17</v>
      </c>
      <c r="R261" s="202">
        <f>双柏!N64</f>
        <v>6</v>
      </c>
      <c r="S261" s="202">
        <f>双柏!O64</f>
        <v>10</v>
      </c>
      <c r="T261" s="202">
        <f>双柏!P64</f>
        <v>0</v>
      </c>
      <c r="U261" s="202">
        <f>双柏!Q64</f>
        <v>0</v>
      </c>
      <c r="V261" s="202">
        <f>双柏!R64</f>
        <v>0</v>
      </c>
      <c r="W261" s="202">
        <f>双柏!S64</f>
        <v>0</v>
      </c>
      <c r="X261" s="202">
        <f>双柏!T64</f>
        <v>0</v>
      </c>
      <c r="Y261" s="202">
        <f>双柏!U64</f>
        <v>0</v>
      </c>
      <c r="Z261" s="202">
        <f>双柏!V64</f>
        <v>0</v>
      </c>
      <c r="AA261" s="202">
        <f>双柏!W64</f>
        <v>0</v>
      </c>
      <c r="AB261" s="202">
        <f>双柏!X64</f>
        <v>0</v>
      </c>
      <c r="AC261" s="202">
        <f>双柏!Y64</f>
        <v>0</v>
      </c>
      <c r="AD261" s="202">
        <f>双柏!Z64</f>
        <v>0</v>
      </c>
      <c r="AE261" s="202">
        <f>双柏!AA64</f>
        <v>0</v>
      </c>
      <c r="AF261" s="202">
        <f>双柏!AB64</f>
        <v>0</v>
      </c>
      <c r="AG261" s="202">
        <f>双柏!AC64</f>
        <v>0</v>
      </c>
      <c r="AH261" s="202">
        <f>双柏!AD64</f>
        <v>0</v>
      </c>
      <c r="AI261" s="202">
        <f>双柏!AE64</f>
        <v>0</v>
      </c>
      <c r="AJ261" s="202">
        <f>双柏!AF64</f>
        <v>0</v>
      </c>
      <c r="AK261" s="165" t="str">
        <f>双柏!AG64</f>
        <v>双柏县鄂嘉镇新树村</v>
      </c>
      <c r="AL261" s="165" t="str">
        <f>双柏!AH64</f>
        <v>2016/0730-0808</v>
      </c>
      <c r="AM261" s="165" t="str">
        <f>双柏!AI64</f>
        <v>2016/0730-0808</v>
      </c>
      <c r="AN261" s="165">
        <f>双柏!AJ64</f>
        <v>0</v>
      </c>
      <c r="AO261" s="165" t="str">
        <f>双柏!AK64</f>
        <v>2603</v>
      </c>
      <c r="AP261" s="263">
        <v>10</v>
      </c>
      <c r="AQ261" s="209">
        <f>双柏!AM64</f>
        <v>0</v>
      </c>
      <c r="AR261" s="295">
        <f>双柏!AN64</f>
        <v>2</v>
      </c>
      <c r="AS261" s="199" t="str">
        <f>双柏!AO64</f>
        <v>532322197607070518</v>
      </c>
      <c r="AT261" s="199" t="str">
        <f>双柏!AP64</f>
        <v>15288574990&amp;15758311346</v>
      </c>
    </row>
    <row r="262" spans="1:46">
      <c r="A262" t="s">
        <v>1921</v>
      </c>
      <c r="B262" s="202" t="str">
        <f>VLOOKUP(A262,databases!$A$2:$B$7, 2, FALSE)</f>
        <v>ShuangBai</v>
      </c>
      <c r="C262" s="165" t="str">
        <f>双柏!B65</f>
        <v>王炳兴&amp;李廷华</v>
      </c>
      <c r="D262" s="202" t="str">
        <f>VLOOKUP(C262,databases!$D$2:$E$145, 2, FALSE)</f>
        <v>R93</v>
      </c>
      <c r="E262" s="259">
        <f>INDEX(sample_database!$B$2:$B$506,MATCH(F262,sample_database!$L$2:$L$506,0))</f>
        <v>26</v>
      </c>
      <c r="F262" s="202" t="str">
        <f>双柏!A65</f>
        <v>SB064</v>
      </c>
      <c r="G262" s="257">
        <f>双柏!C65</f>
        <v>9</v>
      </c>
      <c r="H262" s="257">
        <f>双柏!D65</f>
        <v>0</v>
      </c>
      <c r="I262" s="202">
        <f>双柏!E65</f>
        <v>52</v>
      </c>
      <c r="J262" s="202">
        <f>双柏!F65</f>
        <v>3</v>
      </c>
      <c r="K262" s="202">
        <f>双柏!G65</f>
        <v>8</v>
      </c>
      <c r="L262" s="202">
        <f>双柏!H65</f>
        <v>5</v>
      </c>
      <c r="M262" s="202">
        <f>双柏!I65</f>
        <v>3</v>
      </c>
      <c r="N262" s="202">
        <f>双柏!J65</f>
        <v>6</v>
      </c>
      <c r="O262" s="202">
        <f>双柏!K65</f>
        <v>8</v>
      </c>
      <c r="P262" s="202">
        <f>双柏!L65</f>
        <v>8</v>
      </c>
      <c r="Q262" s="202">
        <f>双柏!M65</f>
        <v>5</v>
      </c>
      <c r="R262" s="202">
        <f>双柏!N65</f>
        <v>6</v>
      </c>
      <c r="S262" s="202">
        <f>双柏!O65</f>
        <v>0</v>
      </c>
      <c r="T262" s="202">
        <f>双柏!P65</f>
        <v>0</v>
      </c>
      <c r="U262" s="202">
        <f>双柏!Q65</f>
        <v>0</v>
      </c>
      <c r="V262" s="202">
        <f>双柏!R65</f>
        <v>0</v>
      </c>
      <c r="W262" s="202">
        <f>双柏!S65</f>
        <v>0</v>
      </c>
      <c r="X262" s="202">
        <f>双柏!T65</f>
        <v>0</v>
      </c>
      <c r="Y262" s="202">
        <f>双柏!U65</f>
        <v>0</v>
      </c>
      <c r="Z262" s="202">
        <f>双柏!V65</f>
        <v>0</v>
      </c>
      <c r="AA262" s="202">
        <f>双柏!W65</f>
        <v>0</v>
      </c>
      <c r="AB262" s="202">
        <f>双柏!X65</f>
        <v>0</v>
      </c>
      <c r="AC262" s="202">
        <f>双柏!Y65</f>
        <v>0</v>
      </c>
      <c r="AD262" s="202">
        <f>双柏!Z65</f>
        <v>0</v>
      </c>
      <c r="AE262" s="202">
        <f>双柏!AA65</f>
        <v>0</v>
      </c>
      <c r="AF262" s="202">
        <f>双柏!AB65</f>
        <v>0</v>
      </c>
      <c r="AG262" s="202">
        <f>双柏!AC65</f>
        <v>0</v>
      </c>
      <c r="AH262" s="202">
        <f>双柏!AD65</f>
        <v>0</v>
      </c>
      <c r="AI262" s="202">
        <f>双柏!AE65</f>
        <v>0</v>
      </c>
      <c r="AJ262" s="202">
        <f>双柏!AF65</f>
        <v>0</v>
      </c>
      <c r="AK262" s="165" t="str">
        <f>双柏!AG65</f>
        <v>双柏县鄂嘉镇新树村</v>
      </c>
      <c r="AL262" s="165" t="str">
        <f>双柏!AH65</f>
        <v>2016/0809-0818</v>
      </c>
      <c r="AM262" s="165" t="str">
        <f>双柏!AI65</f>
        <v>2016/0809-0818</v>
      </c>
      <c r="AN262" s="165">
        <f>双柏!AJ65</f>
        <v>0</v>
      </c>
      <c r="AO262" s="165" t="str">
        <f>双柏!AK65</f>
        <v>2608</v>
      </c>
      <c r="AP262" s="263">
        <v>7.5</v>
      </c>
      <c r="AQ262" s="209">
        <f>双柏!AM65</f>
        <v>0</v>
      </c>
      <c r="AR262" s="295">
        <f>双柏!AN65</f>
        <v>1.5</v>
      </c>
      <c r="AS262" s="199" t="str">
        <f>双柏!AO65</f>
        <v>532322197607070518</v>
      </c>
      <c r="AT262" s="199" t="str">
        <f>双柏!AP65</f>
        <v>15288574990&amp;15758311346</v>
      </c>
    </row>
    <row r="263" spans="1:46">
      <c r="A263" t="s">
        <v>1921</v>
      </c>
      <c r="B263" s="202" t="str">
        <f>VLOOKUP(A263,databases!$A$2:$B$7, 2, FALSE)</f>
        <v>ShuangBai</v>
      </c>
      <c r="C263" s="165" t="str">
        <f>双柏!B66</f>
        <v>王炳兴&amp;李廷华</v>
      </c>
      <c r="D263" s="202" t="str">
        <f>VLOOKUP(C263,databases!$D$2:$E$145, 2, FALSE)</f>
        <v>R93</v>
      </c>
      <c r="E263" s="259">
        <f>INDEX(sample_database!$B$2:$B$506,MATCH(F263,sample_database!$L$2:$L$506,0))</f>
        <v>26</v>
      </c>
      <c r="F263" s="202" t="str">
        <f>双柏!A66</f>
        <v>SB065</v>
      </c>
      <c r="G263" s="257">
        <f>双柏!C66</f>
        <v>10</v>
      </c>
      <c r="H263" s="257">
        <f>双柏!D66</f>
        <v>0</v>
      </c>
      <c r="I263" s="202">
        <f>双柏!E66</f>
        <v>52</v>
      </c>
      <c r="J263" s="202">
        <f>双柏!F66</f>
        <v>5</v>
      </c>
      <c r="K263" s="202">
        <f>双柏!G66</f>
        <v>4</v>
      </c>
      <c r="L263" s="202">
        <f>双柏!H66</f>
        <v>5</v>
      </c>
      <c r="M263" s="202">
        <f>双柏!I66</f>
        <v>5</v>
      </c>
      <c r="N263" s="202">
        <f>双柏!J66</f>
        <v>5</v>
      </c>
      <c r="O263" s="202">
        <f>双柏!K66</f>
        <v>6</v>
      </c>
      <c r="P263" s="202">
        <f>双柏!L66</f>
        <v>7</v>
      </c>
      <c r="Q263" s="202">
        <f>双柏!M66</f>
        <v>6</v>
      </c>
      <c r="R263" s="202">
        <f>双柏!N66</f>
        <v>5</v>
      </c>
      <c r="S263" s="202">
        <f>双柏!O66</f>
        <v>4</v>
      </c>
      <c r="T263" s="202">
        <f>双柏!P66</f>
        <v>0</v>
      </c>
      <c r="U263" s="202">
        <f>双柏!Q66</f>
        <v>0</v>
      </c>
      <c r="V263" s="202">
        <f>双柏!R66</f>
        <v>0</v>
      </c>
      <c r="W263" s="202">
        <f>双柏!S66</f>
        <v>0</v>
      </c>
      <c r="X263" s="202">
        <f>双柏!T66</f>
        <v>0</v>
      </c>
      <c r="Y263" s="202">
        <f>双柏!U66</f>
        <v>0</v>
      </c>
      <c r="Z263" s="202">
        <f>双柏!V66</f>
        <v>0</v>
      </c>
      <c r="AA263" s="202">
        <f>双柏!W66</f>
        <v>0</v>
      </c>
      <c r="AB263" s="202">
        <f>双柏!X66</f>
        <v>0</v>
      </c>
      <c r="AC263" s="202">
        <f>双柏!Y66</f>
        <v>0</v>
      </c>
      <c r="AD263" s="202">
        <f>双柏!Z66</f>
        <v>0</v>
      </c>
      <c r="AE263" s="202">
        <f>双柏!AA66</f>
        <v>0</v>
      </c>
      <c r="AF263" s="202">
        <f>双柏!AB66</f>
        <v>0</v>
      </c>
      <c r="AG263" s="202">
        <f>双柏!AC66</f>
        <v>0</v>
      </c>
      <c r="AH263" s="202">
        <f>双柏!AD66</f>
        <v>0</v>
      </c>
      <c r="AI263" s="202">
        <f>双柏!AE66</f>
        <v>0</v>
      </c>
      <c r="AJ263" s="202">
        <f>双柏!AF66</f>
        <v>0</v>
      </c>
      <c r="AK263" s="165" t="str">
        <f>双柏!AG66</f>
        <v>双柏县鄂嘉镇新树村</v>
      </c>
      <c r="AL263" s="165" t="str">
        <f>双柏!AH66</f>
        <v>2016/0819-0828</v>
      </c>
      <c r="AM263" s="165" t="str">
        <f>双柏!AI66</f>
        <v>2016/0819-0828</v>
      </c>
      <c r="AN263" s="165">
        <f>双柏!AJ66</f>
        <v>0</v>
      </c>
      <c r="AO263" s="165" t="str">
        <f>双柏!AK66</f>
        <v>2605</v>
      </c>
      <c r="AP263" s="263">
        <v>6</v>
      </c>
      <c r="AQ263" s="209">
        <f>双柏!AM66</f>
        <v>0</v>
      </c>
      <c r="AR263" s="295">
        <f>双柏!AN66</f>
        <v>1.2</v>
      </c>
      <c r="AS263" s="199" t="str">
        <f>双柏!AO66</f>
        <v>532322197607070518</v>
      </c>
      <c r="AT263" s="199" t="str">
        <f>双柏!AP66</f>
        <v>15288574990&amp;15758311346</v>
      </c>
    </row>
    <row r="264" spans="1:46">
      <c r="A264" s="252" t="s">
        <v>1921</v>
      </c>
      <c r="B264" s="202" t="str">
        <f>VLOOKUP(A264,databases!$A$2:$B$7, 2, FALSE)</f>
        <v>ShuangBai</v>
      </c>
      <c r="C264" s="253" t="str">
        <f>双柏!B127</f>
        <v>王炳富&amp;李开华</v>
      </c>
      <c r="D264" s="202" t="str">
        <f>VLOOKUP(C264,databases!$D$2:$E$145, 2, FALSE)</f>
        <v>R94</v>
      </c>
      <c r="E264" s="259" t="str">
        <f>INDEX(sample_database!$B$2:$B$506,MATCH(F264,sample_database!$L$2:$L$506,0))</f>
        <v>28 or 27</v>
      </c>
      <c r="F264" s="236" t="str">
        <f>双柏!A127</f>
        <v>SB126</v>
      </c>
      <c r="G264" s="258">
        <f>双柏!C127</f>
        <v>10</v>
      </c>
      <c r="H264" s="258">
        <f>双柏!D127</f>
        <v>0</v>
      </c>
      <c r="I264" s="236">
        <f>双柏!E127</f>
        <v>66</v>
      </c>
      <c r="J264" s="236">
        <f>双柏!F127</f>
        <v>8</v>
      </c>
      <c r="K264" s="236">
        <f>双柏!G127</f>
        <v>8</v>
      </c>
      <c r="L264" s="236">
        <f>双柏!H127</f>
        <v>5</v>
      </c>
      <c r="M264" s="236">
        <f>双柏!I127</f>
        <v>6</v>
      </c>
      <c r="N264" s="236">
        <f>双柏!J127</f>
        <v>6</v>
      </c>
      <c r="O264" s="236">
        <f>双柏!K127</f>
        <v>4</v>
      </c>
      <c r="P264" s="236">
        <f>双柏!L127</f>
        <v>7</v>
      </c>
      <c r="Q264" s="236">
        <f>双柏!M127</f>
        <v>8</v>
      </c>
      <c r="R264" s="236">
        <f>双柏!N127</f>
        <v>8</v>
      </c>
      <c r="S264" s="236">
        <f>双柏!O127</f>
        <v>6</v>
      </c>
      <c r="T264" s="236">
        <f>双柏!P127</f>
        <v>0</v>
      </c>
      <c r="U264" s="236">
        <f>双柏!Q127</f>
        <v>0</v>
      </c>
      <c r="V264" s="236">
        <f>双柏!R127</f>
        <v>0</v>
      </c>
      <c r="W264" s="236">
        <f>双柏!S127</f>
        <v>0</v>
      </c>
      <c r="X264" s="236">
        <f>双柏!T127</f>
        <v>0</v>
      </c>
      <c r="Y264" s="236">
        <f>双柏!U127</f>
        <v>0</v>
      </c>
      <c r="Z264" s="236">
        <f>双柏!V127</f>
        <v>0</v>
      </c>
      <c r="AA264" s="236">
        <f>双柏!W127</f>
        <v>0</v>
      </c>
      <c r="AB264" s="236">
        <f>双柏!X127</f>
        <v>0</v>
      </c>
      <c r="AC264" s="236">
        <f>双柏!Y127</f>
        <v>0</v>
      </c>
      <c r="AD264" s="236">
        <f>双柏!Z127</f>
        <v>0</v>
      </c>
      <c r="AE264" s="236">
        <f>双柏!AA127</f>
        <v>0</v>
      </c>
      <c r="AF264" s="236">
        <f>双柏!AB127</f>
        <v>0</v>
      </c>
      <c r="AG264" s="236">
        <f>双柏!AC127</f>
        <v>0</v>
      </c>
      <c r="AH264" s="236">
        <f>双柏!AD127</f>
        <v>0</v>
      </c>
      <c r="AI264" s="236">
        <f>双柏!AE127</f>
        <v>0</v>
      </c>
      <c r="AJ264" s="236">
        <f>双柏!AF127</f>
        <v>0</v>
      </c>
      <c r="AK264" s="253" t="str">
        <f>双柏!AG127</f>
        <v>双柏县鄂嘉镇新树村委会尖石头村民小组</v>
      </c>
      <c r="AL264" s="253" t="str">
        <f>双柏!AH127</f>
        <v>2016/0720-0729</v>
      </c>
      <c r="AM264" s="253" t="str">
        <f>双柏!AI127</f>
        <v>2016/0720-0729</v>
      </c>
      <c r="AN264" s="253">
        <f>双柏!AJ127</f>
        <v>0</v>
      </c>
      <c r="AO264" s="253" t="str">
        <f>双柏!AK127</f>
        <v>2630</v>
      </c>
      <c r="AP264" s="264">
        <v>7.5</v>
      </c>
      <c r="AQ264" s="260">
        <f>双柏!AM127</f>
        <v>0</v>
      </c>
      <c r="AR264" s="296">
        <f>双柏!AN127</f>
        <v>1.5</v>
      </c>
      <c r="AS264" s="255" t="str">
        <f>双柏!AO127</f>
        <v>532322197804160555</v>
      </c>
      <c r="AT264" s="255" t="str">
        <f>双柏!AP127</f>
        <v>15125740848&amp;15288509201</v>
      </c>
    </row>
    <row r="265" spans="1:46">
      <c r="A265" t="s">
        <v>1921</v>
      </c>
      <c r="B265" s="202" t="str">
        <f>VLOOKUP(A265,databases!$A$2:$B$7, 2, FALSE)</f>
        <v>ShuangBai</v>
      </c>
      <c r="C265" s="165" t="str">
        <f>双柏!B128</f>
        <v>王炳富&amp;李开华</v>
      </c>
      <c r="D265" s="202" t="str">
        <f>VLOOKUP(C265,databases!$D$2:$E$145, 2, FALSE)</f>
        <v>R94</v>
      </c>
      <c r="E265" s="259" t="str">
        <f>INDEX(sample_database!$B$2:$B$506,MATCH(F265,sample_database!$L$2:$L$506,0))</f>
        <v>28 or 27</v>
      </c>
      <c r="F265" s="202" t="str">
        <f>双柏!A128</f>
        <v>SB127</v>
      </c>
      <c r="G265" s="257">
        <f>双柏!C128</f>
        <v>10</v>
      </c>
      <c r="H265" s="257">
        <f>双柏!D128</f>
        <v>0</v>
      </c>
      <c r="I265" s="202">
        <f>双柏!E128</f>
        <v>79</v>
      </c>
      <c r="J265" s="202">
        <f>双柏!F128</f>
        <v>8</v>
      </c>
      <c r="K265" s="202">
        <f>双柏!G128</f>
        <v>2</v>
      </c>
      <c r="L265" s="202">
        <f>双柏!H128</f>
        <v>10</v>
      </c>
      <c r="M265" s="202">
        <f>双柏!I128</f>
        <v>4</v>
      </c>
      <c r="N265" s="202">
        <f>双柏!J128</f>
        <v>8</v>
      </c>
      <c r="O265" s="202">
        <f>双柏!K128</f>
        <v>9</v>
      </c>
      <c r="P265" s="202">
        <f>双柏!L128</f>
        <v>8</v>
      </c>
      <c r="Q265" s="202">
        <f>双柏!M128</f>
        <v>12</v>
      </c>
      <c r="R265" s="202">
        <f>双柏!N128</f>
        <v>3</v>
      </c>
      <c r="S265" s="202">
        <f>双柏!O128</f>
        <v>15</v>
      </c>
      <c r="T265" s="202">
        <f>双柏!P128</f>
        <v>0</v>
      </c>
      <c r="U265" s="202">
        <f>双柏!Q128</f>
        <v>0</v>
      </c>
      <c r="V265" s="202">
        <f>双柏!R128</f>
        <v>0</v>
      </c>
      <c r="W265" s="202">
        <f>双柏!S128</f>
        <v>0</v>
      </c>
      <c r="X265" s="202">
        <f>双柏!T128</f>
        <v>0</v>
      </c>
      <c r="Y265" s="202">
        <f>双柏!U128</f>
        <v>0</v>
      </c>
      <c r="Z265" s="202">
        <f>双柏!V128</f>
        <v>0</v>
      </c>
      <c r="AA265" s="202">
        <f>双柏!W128</f>
        <v>0</v>
      </c>
      <c r="AB265" s="202">
        <f>双柏!X128</f>
        <v>0</v>
      </c>
      <c r="AC265" s="202">
        <f>双柏!Y128</f>
        <v>0</v>
      </c>
      <c r="AD265" s="202">
        <f>双柏!Z128</f>
        <v>0</v>
      </c>
      <c r="AE265" s="202">
        <f>双柏!AA128</f>
        <v>0</v>
      </c>
      <c r="AF265" s="202">
        <f>双柏!AB128</f>
        <v>0</v>
      </c>
      <c r="AG265" s="202">
        <f>双柏!AC128</f>
        <v>0</v>
      </c>
      <c r="AH265" s="202">
        <f>双柏!AD128</f>
        <v>0</v>
      </c>
      <c r="AI265" s="202">
        <f>双柏!AE128</f>
        <v>0</v>
      </c>
      <c r="AJ265" s="202">
        <f>双柏!AF128</f>
        <v>0</v>
      </c>
      <c r="AK265" s="165" t="str">
        <f>双柏!AG128</f>
        <v>双柏县鄂嘉镇新树村委会</v>
      </c>
      <c r="AL265" s="165" t="str">
        <f>双柏!AH128</f>
        <v>2016/0730-0808</v>
      </c>
      <c r="AM265" s="165" t="str">
        <f>双柏!AI128</f>
        <v>2016/0730-0808</v>
      </c>
      <c r="AN265" s="165">
        <f>双柏!AJ128</f>
        <v>0</v>
      </c>
      <c r="AO265" s="165" t="str">
        <f>双柏!AK128</f>
        <v>2667</v>
      </c>
      <c r="AP265" s="263">
        <v>10</v>
      </c>
      <c r="AQ265" s="209">
        <f>双柏!AM128</f>
        <v>0</v>
      </c>
      <c r="AR265" s="295">
        <f>双柏!AN128</f>
        <v>2</v>
      </c>
      <c r="AS265" s="199" t="str">
        <f>双柏!AO128</f>
        <v>532322197804160555</v>
      </c>
      <c r="AT265" s="199" t="str">
        <f>双柏!AP128</f>
        <v>15125740848&amp;15288509201</v>
      </c>
    </row>
    <row r="266" spans="1:46">
      <c r="A266" t="s">
        <v>1921</v>
      </c>
      <c r="B266" s="202" t="str">
        <f>VLOOKUP(A266,databases!$A$2:$B$7, 2, FALSE)</f>
        <v>ShuangBai</v>
      </c>
      <c r="C266" s="165" t="str">
        <f>双柏!B129</f>
        <v>王炳富&amp;李开华</v>
      </c>
      <c r="D266" s="202" t="str">
        <f>VLOOKUP(C266,databases!$D$2:$E$145, 2, FALSE)</f>
        <v>R94</v>
      </c>
      <c r="E266" s="259" t="str">
        <f>INDEX(sample_database!$B$2:$B$506,MATCH(F266,sample_database!$L$2:$L$506,0))</f>
        <v>28 or 27</v>
      </c>
      <c r="F266" s="202" t="str">
        <f>双柏!A129</f>
        <v>SB128</v>
      </c>
      <c r="G266" s="257">
        <f>双柏!C129</f>
        <v>10</v>
      </c>
      <c r="H266" s="257">
        <f>双柏!D129</f>
        <v>0</v>
      </c>
      <c r="I266" s="202">
        <f>双柏!E129</f>
        <v>77</v>
      </c>
      <c r="J266" s="202">
        <f>双柏!F129</f>
        <v>5</v>
      </c>
      <c r="K266" s="202">
        <f>双柏!G129</f>
        <v>7</v>
      </c>
      <c r="L266" s="202">
        <f>双柏!H129</f>
        <v>8</v>
      </c>
      <c r="M266" s="202">
        <f>双柏!I129</f>
        <v>8</v>
      </c>
      <c r="N266" s="202">
        <f>双柏!J129</f>
        <v>9</v>
      </c>
      <c r="O266" s="202">
        <f>双柏!K129</f>
        <v>9</v>
      </c>
      <c r="P266" s="202">
        <f>双柏!L129</f>
        <v>7</v>
      </c>
      <c r="Q266" s="202">
        <f>双柏!M129</f>
        <v>8</v>
      </c>
      <c r="R266" s="202">
        <f>双柏!N129</f>
        <v>8</v>
      </c>
      <c r="S266" s="202">
        <f>双柏!O129</f>
        <v>8</v>
      </c>
      <c r="T266" s="202">
        <f>双柏!P129</f>
        <v>0</v>
      </c>
      <c r="U266" s="202">
        <f>双柏!Q129</f>
        <v>0</v>
      </c>
      <c r="V266" s="202">
        <f>双柏!R129</f>
        <v>0</v>
      </c>
      <c r="W266" s="202">
        <f>双柏!S129</f>
        <v>0</v>
      </c>
      <c r="X266" s="202">
        <f>双柏!T129</f>
        <v>0</v>
      </c>
      <c r="Y266" s="202">
        <f>双柏!U129</f>
        <v>0</v>
      </c>
      <c r="Z266" s="202">
        <f>双柏!V129</f>
        <v>0</v>
      </c>
      <c r="AA266" s="202">
        <f>双柏!W129</f>
        <v>0</v>
      </c>
      <c r="AB266" s="202">
        <f>双柏!X129</f>
        <v>0</v>
      </c>
      <c r="AC266" s="202">
        <f>双柏!Y129</f>
        <v>0</v>
      </c>
      <c r="AD266" s="202">
        <f>双柏!Z129</f>
        <v>0</v>
      </c>
      <c r="AE266" s="202">
        <f>双柏!AA129</f>
        <v>0</v>
      </c>
      <c r="AF266" s="202">
        <f>双柏!AB129</f>
        <v>0</v>
      </c>
      <c r="AG266" s="202">
        <f>双柏!AC129</f>
        <v>0</v>
      </c>
      <c r="AH266" s="202">
        <f>双柏!AD129</f>
        <v>0</v>
      </c>
      <c r="AI266" s="202">
        <f>双柏!AE129</f>
        <v>0</v>
      </c>
      <c r="AJ266" s="202">
        <f>双柏!AF129</f>
        <v>0</v>
      </c>
      <c r="AK266" s="165" t="str">
        <f>双柏!AG129</f>
        <v>双柏县鄂嘉镇新树村委会</v>
      </c>
      <c r="AL266" s="165" t="str">
        <f>双柏!AH129</f>
        <v>2016/0809-0818</v>
      </c>
      <c r="AM266" s="165" t="str">
        <f>双柏!AI129</f>
        <v>2016/0809-0818</v>
      </c>
      <c r="AN266" s="165">
        <f>双柏!AJ129</f>
        <v>0</v>
      </c>
      <c r="AO266" s="165" t="str">
        <f>双柏!AK129</f>
        <v>2670</v>
      </c>
      <c r="AP266" s="263">
        <v>10</v>
      </c>
      <c r="AQ266" s="209">
        <f>双柏!AM129</f>
        <v>0</v>
      </c>
      <c r="AR266" s="295">
        <f>双柏!AN129</f>
        <v>2</v>
      </c>
      <c r="AS266" s="199" t="str">
        <f>双柏!AO129</f>
        <v>532322197804160555</v>
      </c>
      <c r="AT266" s="199" t="str">
        <f>双柏!AP129</f>
        <v>15125740848&amp;15288509201</v>
      </c>
    </row>
    <row r="267" spans="1:46">
      <c r="A267" t="s">
        <v>1921</v>
      </c>
      <c r="B267" s="202" t="str">
        <f>VLOOKUP(A267,databases!$A$2:$B$7, 2, FALSE)</f>
        <v>ShuangBai</v>
      </c>
      <c r="C267" s="165" t="str">
        <f>双柏!B130</f>
        <v>王炳富&amp;李开华</v>
      </c>
      <c r="D267" s="202" t="str">
        <f>VLOOKUP(C267,databases!$D$2:$E$145, 2, FALSE)</f>
        <v>R94</v>
      </c>
      <c r="E267" s="259" t="str">
        <f>INDEX(sample_database!$B$2:$B$506,MATCH(F267,sample_database!$L$2:$L$506,0))</f>
        <v>28 or 27</v>
      </c>
      <c r="F267" s="202" t="str">
        <f>双柏!A130</f>
        <v>SB129</v>
      </c>
      <c r="G267" s="257">
        <f>双柏!C130</f>
        <v>10</v>
      </c>
      <c r="H267" s="257">
        <f>双柏!D130</f>
        <v>0</v>
      </c>
      <c r="I267" s="202">
        <f>双柏!E130</f>
        <v>84</v>
      </c>
      <c r="J267" s="202">
        <f>双柏!F130</f>
        <v>6</v>
      </c>
      <c r="K267" s="202">
        <f>双柏!G130</f>
        <v>5</v>
      </c>
      <c r="L267" s="202">
        <f>双柏!H130</f>
        <v>5</v>
      </c>
      <c r="M267" s="202">
        <f>双柏!I130</f>
        <v>10</v>
      </c>
      <c r="N267" s="202">
        <f>双柏!J130</f>
        <v>9</v>
      </c>
      <c r="O267" s="202">
        <f>双柏!K130</f>
        <v>7</v>
      </c>
      <c r="P267" s="202">
        <f>双柏!L130</f>
        <v>8</v>
      </c>
      <c r="Q267" s="202">
        <f>双柏!M130</f>
        <v>12</v>
      </c>
      <c r="R267" s="202">
        <f>双柏!N130</f>
        <v>10</v>
      </c>
      <c r="S267" s="202">
        <f>双柏!O130</f>
        <v>12</v>
      </c>
      <c r="T267" s="202">
        <f>双柏!P130</f>
        <v>0</v>
      </c>
      <c r="U267" s="202">
        <f>双柏!Q130</f>
        <v>0</v>
      </c>
      <c r="V267" s="202">
        <f>双柏!R130</f>
        <v>0</v>
      </c>
      <c r="W267" s="202">
        <f>双柏!S130</f>
        <v>0</v>
      </c>
      <c r="X267" s="202">
        <f>双柏!T130</f>
        <v>0</v>
      </c>
      <c r="Y267" s="202">
        <f>双柏!U130</f>
        <v>0</v>
      </c>
      <c r="Z267" s="202">
        <f>双柏!V130</f>
        <v>0</v>
      </c>
      <c r="AA267" s="202">
        <f>双柏!W130</f>
        <v>0</v>
      </c>
      <c r="AB267" s="202">
        <f>双柏!X130</f>
        <v>0</v>
      </c>
      <c r="AC267" s="202">
        <f>双柏!Y130</f>
        <v>0</v>
      </c>
      <c r="AD267" s="202">
        <f>双柏!Z130</f>
        <v>0</v>
      </c>
      <c r="AE267" s="202">
        <f>双柏!AA130</f>
        <v>0</v>
      </c>
      <c r="AF267" s="202">
        <f>双柏!AB130</f>
        <v>0</v>
      </c>
      <c r="AG267" s="202">
        <f>双柏!AC130</f>
        <v>0</v>
      </c>
      <c r="AH267" s="202">
        <f>双柏!AD130</f>
        <v>0</v>
      </c>
      <c r="AI267" s="202">
        <f>双柏!AE130</f>
        <v>0</v>
      </c>
      <c r="AJ267" s="202">
        <f>双柏!AF130</f>
        <v>0</v>
      </c>
      <c r="AK267" s="165" t="str">
        <f>双柏!AG130</f>
        <v>双柏县鄂嘉镇新树村委会</v>
      </c>
      <c r="AL267" s="165" t="str">
        <f>双柏!AH130</f>
        <v>2016/0819-0828</v>
      </c>
      <c r="AM267" s="165" t="str">
        <f>双柏!AI130</f>
        <v>2016/0819-0828</v>
      </c>
      <c r="AN267" s="165">
        <f>双柏!AJ130</f>
        <v>0</v>
      </c>
      <c r="AO267" s="165" t="str">
        <f>双柏!AK130</f>
        <v>2640</v>
      </c>
      <c r="AP267" s="263">
        <v>15</v>
      </c>
      <c r="AQ267" s="209">
        <f>双柏!AM130</f>
        <v>0</v>
      </c>
      <c r="AR267" s="295">
        <f>双柏!AN130</f>
        <v>3</v>
      </c>
      <c r="AS267" s="199" t="str">
        <f>双柏!AO130</f>
        <v>532322197804160555</v>
      </c>
      <c r="AT267" s="199" t="str">
        <f>双柏!AP130</f>
        <v>15125740848&amp;15288509201</v>
      </c>
    </row>
    <row r="268" spans="1:46">
      <c r="A268" t="s">
        <v>1921</v>
      </c>
      <c r="B268" s="202" t="str">
        <f>VLOOKUP(A268,databases!$A$2:$B$7, 2, FALSE)</f>
        <v>ShuangBai</v>
      </c>
      <c r="C268" s="165" t="str">
        <f>双柏!B131</f>
        <v>王炳富&amp;李开华</v>
      </c>
      <c r="D268" s="202" t="str">
        <f>VLOOKUP(C268,databases!$D$2:$E$145, 2, FALSE)</f>
        <v>R94</v>
      </c>
      <c r="E268" s="259" t="str">
        <f>INDEX(sample_database!$B$2:$B$506,MATCH(F268,sample_database!$L$2:$L$506,0))</f>
        <v>28 or 27</v>
      </c>
      <c r="F268" s="202" t="str">
        <f>双柏!A131</f>
        <v>SB130</v>
      </c>
      <c r="G268" s="257">
        <f>双柏!C131</f>
        <v>0</v>
      </c>
      <c r="H268" s="257">
        <f>双柏!D131</f>
        <v>4</v>
      </c>
      <c r="I268" s="202">
        <f>双柏!E131</f>
        <v>20</v>
      </c>
      <c r="J268" s="202">
        <f>双柏!F131</f>
        <v>6</v>
      </c>
      <c r="K268" s="202">
        <f>双柏!G131</f>
        <v>7</v>
      </c>
      <c r="L268" s="202">
        <f>双柏!H131</f>
        <v>4</v>
      </c>
      <c r="M268" s="202">
        <f>双柏!I131</f>
        <v>3</v>
      </c>
      <c r="N268" s="202">
        <f>双柏!J131</f>
        <v>0</v>
      </c>
      <c r="O268" s="202">
        <f>双柏!K131</f>
        <v>0</v>
      </c>
      <c r="P268" s="202">
        <f>双柏!L131</f>
        <v>0</v>
      </c>
      <c r="Q268" s="202">
        <f>双柏!M131</f>
        <v>0</v>
      </c>
      <c r="R268" s="202">
        <f>双柏!N131</f>
        <v>0</v>
      </c>
      <c r="S268" s="202">
        <f>双柏!O131</f>
        <v>0</v>
      </c>
      <c r="T268" s="202">
        <f>双柏!P131</f>
        <v>0</v>
      </c>
      <c r="U268" s="202">
        <f>双柏!Q131</f>
        <v>0</v>
      </c>
      <c r="V268" s="202">
        <f>双柏!R131</f>
        <v>0</v>
      </c>
      <c r="W268" s="202">
        <f>双柏!S131</f>
        <v>0</v>
      </c>
      <c r="X268" s="202">
        <f>双柏!T131</f>
        <v>0</v>
      </c>
      <c r="Y268" s="202">
        <f>双柏!U131</f>
        <v>0</v>
      </c>
      <c r="Z268" s="202">
        <f>双柏!V131</f>
        <v>0</v>
      </c>
      <c r="AA268" s="202">
        <f>双柏!W131</f>
        <v>0</v>
      </c>
      <c r="AB268" s="202">
        <f>双柏!X131</f>
        <v>0</v>
      </c>
      <c r="AC268" s="202">
        <f>双柏!Y131</f>
        <v>0</v>
      </c>
      <c r="AD268" s="202">
        <f>双柏!Z131</f>
        <v>0</v>
      </c>
      <c r="AE268" s="202">
        <f>双柏!AA131</f>
        <v>0</v>
      </c>
      <c r="AF268" s="202">
        <f>双柏!AB131</f>
        <v>0</v>
      </c>
      <c r="AG268" s="202">
        <f>双柏!AC131</f>
        <v>0</v>
      </c>
      <c r="AH268" s="202">
        <f>双柏!AD131</f>
        <v>0</v>
      </c>
      <c r="AI268" s="202">
        <f>双柏!AE131</f>
        <v>0</v>
      </c>
      <c r="AJ268" s="202">
        <f>双柏!AF131</f>
        <v>0</v>
      </c>
      <c r="AK268" s="165">
        <f>双柏!AG131</f>
        <v>0</v>
      </c>
      <c r="AL268" s="165">
        <f>双柏!AH131</f>
        <v>0</v>
      </c>
      <c r="AM268" s="165">
        <f>双柏!AI131</f>
        <v>0</v>
      </c>
      <c r="AN268" s="165">
        <f>双柏!AJ131</f>
        <v>0</v>
      </c>
      <c r="AO268" s="165">
        <f>双柏!AK131</f>
        <v>0</v>
      </c>
      <c r="AP268" s="263">
        <v>2.5</v>
      </c>
      <c r="AQ268" s="209">
        <f>双柏!AM131</f>
        <v>0</v>
      </c>
      <c r="AR268" s="295">
        <f>双柏!AN131</f>
        <v>0.5</v>
      </c>
      <c r="AS268" s="199" t="str">
        <f>双柏!AO131</f>
        <v>532322197804160555</v>
      </c>
      <c r="AT268" s="199" t="str">
        <f>双柏!AP131</f>
        <v>15125740848&amp;15288509201</v>
      </c>
    </row>
    <row r="269" spans="1:46">
      <c r="A269" t="s">
        <v>1921</v>
      </c>
      <c r="B269" s="202" t="str">
        <f>VLOOKUP(A269,databases!$A$2:$B$7, 2, FALSE)</f>
        <v>ShuangBai</v>
      </c>
      <c r="C269" s="165" t="str">
        <f>双柏!B116</f>
        <v>王贵元</v>
      </c>
      <c r="D269" s="202" t="str">
        <f>VLOOKUP(C269,databases!$D$2:$E$145, 2, FALSE)</f>
        <v>R97</v>
      </c>
      <c r="E269" s="259">
        <f>INDEX(sample_database!$B$2:$B$506,MATCH(F269,sample_database!$L$2:$L$506,0))</f>
        <v>33</v>
      </c>
      <c r="F269" s="202" t="str">
        <f>双柏!A116</f>
        <v>SB115</v>
      </c>
      <c r="G269" s="257">
        <f>双柏!C116</f>
        <v>7</v>
      </c>
      <c r="H269" s="257">
        <f>双柏!D116</f>
        <v>0</v>
      </c>
      <c r="I269" s="202">
        <f>双柏!E116</f>
        <v>40</v>
      </c>
      <c r="J269" s="202">
        <f>双柏!F116</f>
        <v>4</v>
      </c>
      <c r="K269" s="202">
        <f>双柏!G116</f>
        <v>5</v>
      </c>
      <c r="L269" s="202">
        <f>双柏!H116</f>
        <v>5</v>
      </c>
      <c r="M269" s="202">
        <f>双柏!I116</f>
        <v>6</v>
      </c>
      <c r="N269" s="202">
        <f>双柏!J116</f>
        <v>6</v>
      </c>
      <c r="O269" s="202">
        <f>双柏!K116</f>
        <v>7</v>
      </c>
      <c r="P269" s="202">
        <f>双柏!L116</f>
        <v>7</v>
      </c>
      <c r="Q269" s="202">
        <f>双柏!M116</f>
        <v>0</v>
      </c>
      <c r="R269" s="202">
        <f>双柏!N116</f>
        <v>0</v>
      </c>
      <c r="S269" s="202">
        <f>双柏!O116</f>
        <v>0</v>
      </c>
      <c r="T269" s="202">
        <f>双柏!P116</f>
        <v>0</v>
      </c>
      <c r="U269" s="202">
        <f>双柏!Q116</f>
        <v>0</v>
      </c>
      <c r="V269" s="202">
        <f>双柏!R116</f>
        <v>0</v>
      </c>
      <c r="W269" s="202">
        <f>双柏!S116</f>
        <v>0</v>
      </c>
      <c r="X269" s="202">
        <f>双柏!T116</f>
        <v>0</v>
      </c>
      <c r="Y269" s="202">
        <f>双柏!U116</f>
        <v>0</v>
      </c>
      <c r="Z269" s="202">
        <f>双柏!V116</f>
        <v>0</v>
      </c>
      <c r="AA269" s="202">
        <f>双柏!W116</f>
        <v>0</v>
      </c>
      <c r="AB269" s="202">
        <f>双柏!X116</f>
        <v>0</v>
      </c>
      <c r="AC269" s="202">
        <f>双柏!Y116</f>
        <v>0</v>
      </c>
      <c r="AD269" s="202">
        <f>双柏!Z116</f>
        <v>0</v>
      </c>
      <c r="AE269" s="202">
        <f>双柏!AA116</f>
        <v>0</v>
      </c>
      <c r="AF269" s="202">
        <f>双柏!AB116</f>
        <v>0</v>
      </c>
      <c r="AG269" s="202">
        <f>双柏!AC116</f>
        <v>0</v>
      </c>
      <c r="AH269" s="202">
        <f>双柏!AD116</f>
        <v>0</v>
      </c>
      <c r="AI269" s="202">
        <f>双柏!AE116</f>
        <v>0</v>
      </c>
      <c r="AJ269" s="202">
        <f>双柏!AF116</f>
        <v>0</v>
      </c>
      <c r="AK269" s="165" t="str">
        <f>双柏!AG116</f>
        <v>双柏县鄂嘉镇岔河</v>
      </c>
      <c r="AL269" s="165" t="str">
        <f>双柏!AH116</f>
        <v>2016/0713-0829</v>
      </c>
      <c r="AM269" s="165" t="str">
        <f>双柏!AI116</f>
        <v>2016/0713-0829</v>
      </c>
      <c r="AN269" s="165">
        <f>双柏!AJ116</f>
        <v>0</v>
      </c>
      <c r="AO269" s="165">
        <f>双柏!AK116</f>
        <v>0</v>
      </c>
      <c r="AP269" s="263">
        <v>5</v>
      </c>
      <c r="AQ269" s="209">
        <f>双柏!AM116</f>
        <v>0</v>
      </c>
      <c r="AR269" s="295">
        <f>双柏!AN116</f>
        <v>1</v>
      </c>
      <c r="AS269" s="199" t="str">
        <f>双柏!AO116</f>
        <v>532322196308180536</v>
      </c>
      <c r="AT269" s="199" t="str">
        <f>双柏!AP116</f>
        <v>15096478414</v>
      </c>
    </row>
    <row r="270" spans="1:46">
      <c r="A270" t="s">
        <v>1921</v>
      </c>
      <c r="B270" s="202" t="str">
        <f>VLOOKUP(A270,databases!$A$2:$B$7, 2, FALSE)</f>
        <v>ShuangBai</v>
      </c>
      <c r="C270" s="165" t="str">
        <f>双柏!B117</f>
        <v>王贵元</v>
      </c>
      <c r="D270" s="202" t="str">
        <f>VLOOKUP(C270,databases!$D$2:$E$145, 2, FALSE)</f>
        <v>R97</v>
      </c>
      <c r="E270" s="259">
        <f>INDEX(sample_database!$B$2:$B$506,MATCH(F270,sample_database!$L$2:$L$506,0))</f>
        <v>33</v>
      </c>
      <c r="F270" s="202" t="str">
        <f>双柏!A117</f>
        <v>SB116</v>
      </c>
      <c r="G270" s="257">
        <f>双柏!C117</f>
        <v>0</v>
      </c>
      <c r="H270" s="257">
        <f>双柏!D117</f>
        <v>11</v>
      </c>
      <c r="I270" s="202">
        <f>双柏!E117</f>
        <v>26</v>
      </c>
      <c r="J270" s="202">
        <f>双柏!F117</f>
        <v>1</v>
      </c>
      <c r="K270" s="202">
        <f>双柏!G117</f>
        <v>1</v>
      </c>
      <c r="L270" s="202">
        <f>双柏!H117</f>
        <v>1</v>
      </c>
      <c r="M270" s="202">
        <f>双柏!I117</f>
        <v>2</v>
      </c>
      <c r="N270" s="202">
        <f>双柏!J117</f>
        <v>2</v>
      </c>
      <c r="O270" s="202">
        <f>双柏!K117</f>
        <v>2</v>
      </c>
      <c r="P270" s="202">
        <f>双柏!L117</f>
        <v>3</v>
      </c>
      <c r="Q270" s="202">
        <f>双柏!M117</f>
        <v>3</v>
      </c>
      <c r="R270" s="202">
        <f>双柏!N117</f>
        <v>3</v>
      </c>
      <c r="S270" s="202">
        <f>双柏!O117</f>
        <v>4</v>
      </c>
      <c r="T270" s="202">
        <f>双柏!P117</f>
        <v>4</v>
      </c>
      <c r="U270" s="202">
        <f>双柏!Q117</f>
        <v>0</v>
      </c>
      <c r="V270" s="202">
        <f>双柏!R117</f>
        <v>0</v>
      </c>
      <c r="W270" s="202">
        <f>双柏!S117</f>
        <v>0</v>
      </c>
      <c r="X270" s="202">
        <f>双柏!T117</f>
        <v>0</v>
      </c>
      <c r="Y270" s="202">
        <f>双柏!U117</f>
        <v>0</v>
      </c>
      <c r="Z270" s="202">
        <f>双柏!V117</f>
        <v>0</v>
      </c>
      <c r="AA270" s="202">
        <f>双柏!W117</f>
        <v>0</v>
      </c>
      <c r="AB270" s="202">
        <f>双柏!X117</f>
        <v>0</v>
      </c>
      <c r="AC270" s="202">
        <f>双柏!Y117</f>
        <v>0</v>
      </c>
      <c r="AD270" s="202">
        <f>双柏!Z117</f>
        <v>0</v>
      </c>
      <c r="AE270" s="202">
        <f>双柏!AA117</f>
        <v>0</v>
      </c>
      <c r="AF270" s="202">
        <f>双柏!AB117</f>
        <v>0</v>
      </c>
      <c r="AG270" s="202">
        <f>双柏!AC117</f>
        <v>0</v>
      </c>
      <c r="AH270" s="202">
        <f>双柏!AD117</f>
        <v>0</v>
      </c>
      <c r="AI270" s="202">
        <f>双柏!AE117</f>
        <v>0</v>
      </c>
      <c r="AJ270" s="202">
        <f>双柏!AF117</f>
        <v>0</v>
      </c>
      <c r="AK270" s="165" t="str">
        <f>双柏!AG117</f>
        <v>双柏县鄂嘉镇岔河</v>
      </c>
      <c r="AL270" s="165" t="str">
        <f>双柏!AH117</f>
        <v>2016/0713-0829</v>
      </c>
      <c r="AM270" s="165" t="str">
        <f>双柏!AI117</f>
        <v>2016/0713-0829</v>
      </c>
      <c r="AN270" s="165">
        <f>双柏!AJ117</f>
        <v>0</v>
      </c>
      <c r="AO270" s="165">
        <f>双柏!AK117</f>
        <v>0</v>
      </c>
      <c r="AP270" s="263">
        <v>5</v>
      </c>
      <c r="AQ270" s="209">
        <f>双柏!AM117</f>
        <v>0</v>
      </c>
      <c r="AR270" s="295">
        <f>双柏!AN117</f>
        <v>1</v>
      </c>
      <c r="AS270" s="199" t="str">
        <f>双柏!AO117</f>
        <v>532322196308180536</v>
      </c>
      <c r="AT270" s="199" t="str">
        <f>双柏!AP117</f>
        <v>15096478414</v>
      </c>
    </row>
    <row r="271" spans="1:46">
      <c r="A271" t="s">
        <v>1921</v>
      </c>
      <c r="B271" s="202" t="str">
        <f>VLOOKUP(A271,databases!$A$2:$B$7, 2, FALSE)</f>
        <v>ShuangBai</v>
      </c>
      <c r="C271" s="165" t="str">
        <f>双柏!B118</f>
        <v>王贵元</v>
      </c>
      <c r="D271" s="202" t="str">
        <f>VLOOKUP(C271,databases!$D$2:$E$145, 2, FALSE)</f>
        <v>R97</v>
      </c>
      <c r="E271" s="259">
        <f>INDEX(sample_database!$B$2:$B$506,MATCH(F271,sample_database!$L$2:$L$506,0))</f>
        <v>33</v>
      </c>
      <c r="F271" s="202" t="str">
        <f>双柏!A118</f>
        <v>SB117</v>
      </c>
      <c r="G271" s="257">
        <f>双柏!C118</f>
        <v>20</v>
      </c>
      <c r="H271" s="257">
        <f>双柏!D118</f>
        <v>0</v>
      </c>
      <c r="I271" s="202">
        <f>双柏!E118</f>
        <v>69</v>
      </c>
      <c r="J271" s="202">
        <f>双柏!F118</f>
        <v>1</v>
      </c>
      <c r="K271" s="202">
        <f>双柏!G118</f>
        <v>1</v>
      </c>
      <c r="L271" s="202">
        <f>双柏!H118</f>
        <v>1</v>
      </c>
      <c r="M271" s="202">
        <f>双柏!I118</f>
        <v>1</v>
      </c>
      <c r="N271" s="202">
        <f>双柏!J118</f>
        <v>2</v>
      </c>
      <c r="O271" s="202">
        <f>双柏!K118</f>
        <v>2</v>
      </c>
      <c r="P271" s="202">
        <f>双柏!L118</f>
        <v>3</v>
      </c>
      <c r="Q271" s="202">
        <f>双柏!M118</f>
        <v>3</v>
      </c>
      <c r="R271" s="202">
        <f>双柏!N118</f>
        <v>3</v>
      </c>
      <c r="S271" s="202">
        <f>双柏!O118</f>
        <v>4</v>
      </c>
      <c r="T271" s="202">
        <f>双柏!P118</f>
        <v>4</v>
      </c>
      <c r="U271" s="202">
        <f>双柏!Q118</f>
        <v>4</v>
      </c>
      <c r="V271" s="202">
        <f>双柏!R118</f>
        <v>4</v>
      </c>
      <c r="W271" s="202">
        <f>双柏!S118</f>
        <v>4</v>
      </c>
      <c r="X271" s="202">
        <f>双柏!T118</f>
        <v>5</v>
      </c>
      <c r="Y271" s="202">
        <f>双柏!U118</f>
        <v>5</v>
      </c>
      <c r="Z271" s="202">
        <f>双柏!V118</f>
        <v>5</v>
      </c>
      <c r="AA271" s="202">
        <f>双柏!W118</f>
        <v>5</v>
      </c>
      <c r="AB271" s="202">
        <f>双柏!X118</f>
        <v>6</v>
      </c>
      <c r="AC271" s="202">
        <f>双柏!Y118</f>
        <v>6</v>
      </c>
      <c r="AD271" s="202">
        <f>双柏!Z118</f>
        <v>0</v>
      </c>
      <c r="AE271" s="202">
        <f>双柏!AA118</f>
        <v>0</v>
      </c>
      <c r="AF271" s="202">
        <f>双柏!AB118</f>
        <v>0</v>
      </c>
      <c r="AG271" s="202">
        <f>双柏!AC118</f>
        <v>0</v>
      </c>
      <c r="AH271" s="202">
        <f>双柏!AD118</f>
        <v>0</v>
      </c>
      <c r="AI271" s="202">
        <f>双柏!AE118</f>
        <v>0</v>
      </c>
      <c r="AJ271" s="202">
        <f>双柏!AF118</f>
        <v>0</v>
      </c>
      <c r="AK271" s="165" t="str">
        <f>双柏!AG118</f>
        <v>双柏县鄂嘉镇岔河</v>
      </c>
      <c r="AL271" s="165" t="str">
        <f>双柏!AH118</f>
        <v>2016/0718-0829</v>
      </c>
      <c r="AM271" s="165" t="str">
        <f>双柏!AI118</f>
        <v>2016/0718-0829</v>
      </c>
      <c r="AN271" s="165">
        <f>双柏!AJ118</f>
        <v>0</v>
      </c>
      <c r="AO271" s="165">
        <f>双柏!AK118</f>
        <v>0</v>
      </c>
      <c r="AP271" s="263">
        <v>12.5</v>
      </c>
      <c r="AQ271" s="209">
        <f>双柏!AM118</f>
        <v>0</v>
      </c>
      <c r="AR271" s="295">
        <f>双柏!AN118</f>
        <v>2.5</v>
      </c>
      <c r="AS271" s="199" t="str">
        <f>双柏!AO118</f>
        <v>532322196308180536</v>
      </c>
      <c r="AT271" s="199" t="str">
        <f>双柏!AP118</f>
        <v>15096478414</v>
      </c>
    </row>
    <row r="272" spans="1:46">
      <c r="A272" t="s">
        <v>1921</v>
      </c>
      <c r="B272" s="202" t="str">
        <f>VLOOKUP(A272,databases!$A$2:$B$7, 2, FALSE)</f>
        <v>ShuangBai</v>
      </c>
      <c r="C272" s="165" t="str">
        <f>双柏!B123</f>
        <v>王贵友</v>
      </c>
      <c r="D272" s="202" t="str">
        <f>VLOOKUP(C272,databases!$D$2:$E$145, 2, FALSE)</f>
        <v>R98</v>
      </c>
      <c r="E272" s="259">
        <f>INDEX(sample_database!$B$2:$B$506,MATCH(F272,sample_database!$L$2:$L$506,0))</f>
        <v>22</v>
      </c>
      <c r="F272" s="202" t="str">
        <f>双柏!A123</f>
        <v>SB122</v>
      </c>
      <c r="G272" s="257">
        <f>双柏!C123</f>
        <v>2</v>
      </c>
      <c r="H272" s="257">
        <f>双柏!D123</f>
        <v>0</v>
      </c>
      <c r="I272" s="202">
        <f>双柏!E123</f>
        <v>6</v>
      </c>
      <c r="J272" s="202">
        <f>双柏!F123</f>
        <v>1</v>
      </c>
      <c r="K272" s="202">
        <f>双柏!G123</f>
        <v>5</v>
      </c>
      <c r="L272" s="202">
        <f>双柏!H123</f>
        <v>0</v>
      </c>
      <c r="M272" s="202">
        <f>双柏!I123</f>
        <v>0</v>
      </c>
      <c r="N272" s="202">
        <f>双柏!J123</f>
        <v>0</v>
      </c>
      <c r="O272" s="202">
        <f>双柏!K123</f>
        <v>0</v>
      </c>
      <c r="P272" s="202">
        <f>双柏!L123</f>
        <v>0</v>
      </c>
      <c r="Q272" s="202">
        <f>双柏!M123</f>
        <v>0</v>
      </c>
      <c r="R272" s="202">
        <f>双柏!N123</f>
        <v>0</v>
      </c>
      <c r="S272" s="202">
        <f>双柏!O123</f>
        <v>0</v>
      </c>
      <c r="T272" s="202">
        <f>双柏!P123</f>
        <v>0</v>
      </c>
      <c r="U272" s="202">
        <f>双柏!Q123</f>
        <v>0</v>
      </c>
      <c r="V272" s="202">
        <f>双柏!R123</f>
        <v>0</v>
      </c>
      <c r="W272" s="202">
        <f>双柏!S123</f>
        <v>0</v>
      </c>
      <c r="X272" s="202">
        <f>双柏!T123</f>
        <v>0</v>
      </c>
      <c r="Y272" s="202">
        <f>双柏!U123</f>
        <v>0</v>
      </c>
      <c r="Z272" s="202">
        <f>双柏!V123</f>
        <v>0</v>
      </c>
      <c r="AA272" s="202">
        <f>双柏!W123</f>
        <v>0</v>
      </c>
      <c r="AB272" s="202">
        <f>双柏!X123</f>
        <v>0</v>
      </c>
      <c r="AC272" s="202">
        <f>双柏!Y123</f>
        <v>0</v>
      </c>
      <c r="AD272" s="202">
        <f>双柏!Z123</f>
        <v>0</v>
      </c>
      <c r="AE272" s="202">
        <f>双柏!AA123</f>
        <v>0</v>
      </c>
      <c r="AF272" s="202">
        <f>双柏!AB123</f>
        <v>0</v>
      </c>
      <c r="AG272" s="202">
        <f>双柏!AC123</f>
        <v>0</v>
      </c>
      <c r="AH272" s="202">
        <f>双柏!AD123</f>
        <v>0</v>
      </c>
      <c r="AI272" s="202">
        <f>双柏!AE123</f>
        <v>0</v>
      </c>
      <c r="AJ272" s="202">
        <f>双柏!AF123</f>
        <v>0</v>
      </c>
      <c r="AK272" s="165" t="str">
        <f>双柏!AG123</f>
        <v>双柏县鄂嘉镇老厂村岔河</v>
      </c>
      <c r="AL272" s="165" t="str">
        <f>双柏!AH123</f>
        <v>2016/0709-0827</v>
      </c>
      <c r="AM272" s="165" t="str">
        <f>双柏!AI123</f>
        <v>2016/0709-0827</v>
      </c>
      <c r="AN272" s="165">
        <f>双柏!AJ123</f>
        <v>0</v>
      </c>
      <c r="AO272" s="165">
        <f>双柏!AK123</f>
        <v>0</v>
      </c>
      <c r="AP272" s="263">
        <v>1.5</v>
      </c>
      <c r="AQ272" s="209">
        <f>双柏!AM123</f>
        <v>0</v>
      </c>
      <c r="AR272" s="295">
        <f>双柏!AN123</f>
        <v>0.3</v>
      </c>
      <c r="AS272" s="199" t="str">
        <f>双柏!AO123</f>
        <v>532322196404170514</v>
      </c>
      <c r="AT272" s="199" t="str">
        <f>双柏!AP123</f>
        <v>15125722369</v>
      </c>
    </row>
    <row r="273" spans="1:46">
      <c r="A273" t="s">
        <v>1921</v>
      </c>
      <c r="B273" s="202" t="str">
        <f>VLOOKUP(A273,databases!$A$2:$B$7, 2, FALSE)</f>
        <v>ShuangBai</v>
      </c>
      <c r="C273" s="165" t="str">
        <f>双柏!B124</f>
        <v>王贵友</v>
      </c>
      <c r="D273" s="202" t="str">
        <f>VLOOKUP(C273,databases!$D$2:$E$145, 2, FALSE)</f>
        <v>R98</v>
      </c>
      <c r="E273" s="259">
        <f>INDEX(sample_database!$B$2:$B$506,MATCH(F273,sample_database!$L$2:$L$506,0))</f>
        <v>22</v>
      </c>
      <c r="F273" s="202" t="str">
        <f>双柏!A124</f>
        <v>SB123</v>
      </c>
      <c r="G273" s="257">
        <f>双柏!C124</f>
        <v>10</v>
      </c>
      <c r="H273" s="257">
        <f>双柏!D124</f>
        <v>0</v>
      </c>
      <c r="I273" s="202">
        <f>双柏!E124</f>
        <v>39</v>
      </c>
      <c r="J273" s="202">
        <f>双柏!F124</f>
        <v>1</v>
      </c>
      <c r="K273" s="202">
        <f>双柏!G124</f>
        <v>1</v>
      </c>
      <c r="L273" s="202">
        <f>双柏!H124</f>
        <v>2</v>
      </c>
      <c r="M273" s="202">
        <f>双柏!I124</f>
        <v>3</v>
      </c>
      <c r="N273" s="202">
        <f>双柏!J124</f>
        <v>3</v>
      </c>
      <c r="O273" s="202">
        <f>双柏!K124</f>
        <v>4</v>
      </c>
      <c r="P273" s="202">
        <f>双柏!L124</f>
        <v>5</v>
      </c>
      <c r="Q273" s="202">
        <f>双柏!M124</f>
        <v>6</v>
      </c>
      <c r="R273" s="202">
        <f>双柏!N124</f>
        <v>6</v>
      </c>
      <c r="S273" s="202">
        <f>双柏!O124</f>
        <v>8</v>
      </c>
      <c r="T273" s="202">
        <f>双柏!P124</f>
        <v>0</v>
      </c>
      <c r="U273" s="202">
        <f>双柏!Q124</f>
        <v>0</v>
      </c>
      <c r="V273" s="202">
        <f>双柏!R124</f>
        <v>0</v>
      </c>
      <c r="W273" s="202">
        <f>双柏!S124</f>
        <v>0</v>
      </c>
      <c r="X273" s="202">
        <f>双柏!T124</f>
        <v>0</v>
      </c>
      <c r="Y273" s="202">
        <f>双柏!U124</f>
        <v>0</v>
      </c>
      <c r="Z273" s="202">
        <f>双柏!V124</f>
        <v>0</v>
      </c>
      <c r="AA273" s="202">
        <f>双柏!W124</f>
        <v>0</v>
      </c>
      <c r="AB273" s="202">
        <f>双柏!X124</f>
        <v>0</v>
      </c>
      <c r="AC273" s="202">
        <f>双柏!Y124</f>
        <v>0</v>
      </c>
      <c r="AD273" s="202">
        <f>双柏!Z124</f>
        <v>0</v>
      </c>
      <c r="AE273" s="202">
        <f>双柏!AA124</f>
        <v>0</v>
      </c>
      <c r="AF273" s="202">
        <f>双柏!AB124</f>
        <v>0</v>
      </c>
      <c r="AG273" s="202">
        <f>双柏!AC124</f>
        <v>0</v>
      </c>
      <c r="AH273" s="202">
        <f>双柏!AD124</f>
        <v>0</v>
      </c>
      <c r="AI273" s="202">
        <f>双柏!AE124</f>
        <v>0</v>
      </c>
      <c r="AJ273" s="202">
        <f>双柏!AF124</f>
        <v>0</v>
      </c>
      <c r="AK273" s="165" t="str">
        <f>双柏!AG124</f>
        <v>双柏县鄂嘉镇老厂村岔河</v>
      </c>
      <c r="AL273" s="165" t="str">
        <f>双柏!AH124</f>
        <v>2016/0709-0823</v>
      </c>
      <c r="AM273" s="165" t="str">
        <f>双柏!AI124</f>
        <v>2016/0709-0823</v>
      </c>
      <c r="AN273" s="165">
        <f>双柏!AJ124</f>
        <v>0</v>
      </c>
      <c r="AO273" s="165">
        <f>双柏!AK124</f>
        <v>0</v>
      </c>
      <c r="AP273" s="263">
        <v>6</v>
      </c>
      <c r="AQ273" s="209">
        <f>双柏!AM124</f>
        <v>0</v>
      </c>
      <c r="AR273" s="295">
        <f>双柏!AN124</f>
        <v>1.2</v>
      </c>
      <c r="AS273" s="199" t="str">
        <f>双柏!AO124</f>
        <v>532322196404170514</v>
      </c>
      <c r="AT273" s="199" t="str">
        <f>双柏!AP124</f>
        <v>15125722369</v>
      </c>
    </row>
    <row r="274" spans="1:46">
      <c r="A274" t="s">
        <v>1921</v>
      </c>
      <c r="B274" s="202" t="str">
        <f>VLOOKUP(A274,databases!$A$2:$B$7, 2, FALSE)</f>
        <v>ShuangBai</v>
      </c>
      <c r="C274" s="165" t="str">
        <f>双柏!B125</f>
        <v>王贵友</v>
      </c>
      <c r="D274" s="202" t="str">
        <f>VLOOKUP(C274,databases!$D$2:$E$145, 2, FALSE)</f>
        <v>R98</v>
      </c>
      <c r="E274" s="259">
        <f>INDEX(sample_database!$B$2:$B$506,MATCH(F274,sample_database!$L$2:$L$506,0))</f>
        <v>22</v>
      </c>
      <c r="F274" s="202" t="str">
        <f>双柏!A125</f>
        <v>SB124</v>
      </c>
      <c r="G274" s="257">
        <f>双柏!C125</f>
        <v>20</v>
      </c>
      <c r="H274" s="257">
        <f>双柏!D125</f>
        <v>0</v>
      </c>
      <c r="I274" s="202">
        <f>双柏!E125</f>
        <v>85</v>
      </c>
      <c r="J274" s="202">
        <f>双柏!F125</f>
        <v>1</v>
      </c>
      <c r="K274" s="202">
        <f>双柏!G125</f>
        <v>1</v>
      </c>
      <c r="L274" s="202">
        <f>双柏!H125</f>
        <v>1</v>
      </c>
      <c r="M274" s="202">
        <f>双柏!I125</f>
        <v>1</v>
      </c>
      <c r="N274" s="202">
        <f>双柏!J125</f>
        <v>1</v>
      </c>
      <c r="O274" s="202">
        <f>双柏!K125</f>
        <v>2</v>
      </c>
      <c r="P274" s="202">
        <f>双柏!L125</f>
        <v>2</v>
      </c>
      <c r="Q274" s="202">
        <f>双柏!M125</f>
        <v>2</v>
      </c>
      <c r="R274" s="202">
        <f>双柏!N125</f>
        <v>3</v>
      </c>
      <c r="S274" s="202">
        <f>双柏!O125</f>
        <v>3</v>
      </c>
      <c r="T274" s="202">
        <f>双柏!P125</f>
        <v>3</v>
      </c>
      <c r="U274" s="202">
        <f>双柏!Q125</f>
        <v>3</v>
      </c>
      <c r="V274" s="202">
        <f>双柏!R125</f>
        <v>4</v>
      </c>
      <c r="W274" s="202">
        <f>双柏!S125</f>
        <v>4</v>
      </c>
      <c r="X274" s="202">
        <f>双柏!T125</f>
        <v>4</v>
      </c>
      <c r="Y274" s="202">
        <f>双柏!U125</f>
        <v>5</v>
      </c>
      <c r="Z274" s="202">
        <f>双柏!V125</f>
        <v>6</v>
      </c>
      <c r="AA274" s="202">
        <f>双柏!W125</f>
        <v>8</v>
      </c>
      <c r="AB274" s="202">
        <f>双柏!X125</f>
        <v>15</v>
      </c>
      <c r="AC274" s="202">
        <f>双柏!Y125</f>
        <v>16</v>
      </c>
      <c r="AD274" s="202">
        <f>双柏!Z125</f>
        <v>0</v>
      </c>
      <c r="AE274" s="202">
        <f>双柏!AA125</f>
        <v>0</v>
      </c>
      <c r="AF274" s="202">
        <f>双柏!AB125</f>
        <v>0</v>
      </c>
      <c r="AG274" s="202">
        <f>双柏!AC125</f>
        <v>0</v>
      </c>
      <c r="AH274" s="202">
        <f>双柏!AD125</f>
        <v>0</v>
      </c>
      <c r="AI274" s="202">
        <f>双柏!AE125</f>
        <v>0</v>
      </c>
      <c r="AJ274" s="202">
        <f>双柏!AF125</f>
        <v>0</v>
      </c>
      <c r="AK274" s="165" t="str">
        <f>双柏!AG125</f>
        <v>双柏县鄂嘉镇老厂村岔河</v>
      </c>
      <c r="AL274" s="165" t="str">
        <f>双柏!AH125</f>
        <v>2016/0717-0723</v>
      </c>
      <c r="AM274" s="165" t="str">
        <f>双柏!AI125</f>
        <v>2016/0717-0723</v>
      </c>
      <c r="AN274" s="165">
        <f>双柏!AJ125</f>
        <v>0</v>
      </c>
      <c r="AO274" s="165">
        <f>双柏!AK125</f>
        <v>0</v>
      </c>
      <c r="AP274" s="263">
        <v>12.5</v>
      </c>
      <c r="AQ274" s="209">
        <f>双柏!AM125</f>
        <v>0</v>
      </c>
      <c r="AR274" s="295">
        <f>双柏!AN125</f>
        <v>2.5</v>
      </c>
      <c r="AS274" s="199" t="str">
        <f>双柏!AO125</f>
        <v>532322196404170514</v>
      </c>
      <c r="AT274" s="199" t="str">
        <f>双柏!AP125</f>
        <v>15125722369</v>
      </c>
    </row>
    <row r="275" spans="1:46">
      <c r="A275" t="s">
        <v>1921</v>
      </c>
      <c r="B275" s="202" t="str">
        <f>VLOOKUP(A275,databases!$A$2:$B$7, 2, FALSE)</f>
        <v>ShuangBai</v>
      </c>
      <c r="C275" s="165" t="str">
        <f>双柏!B126</f>
        <v>王贵友</v>
      </c>
      <c r="D275" s="202" t="str">
        <f>VLOOKUP(C275,databases!$D$2:$E$145, 2, FALSE)</f>
        <v>R98</v>
      </c>
      <c r="E275" s="259">
        <f>INDEX(sample_database!$B$2:$B$506,MATCH(F275,sample_database!$L$2:$L$506,0))</f>
        <v>22</v>
      </c>
      <c r="F275" s="202" t="str">
        <f>双柏!A126</f>
        <v>SB125</v>
      </c>
      <c r="G275" s="257">
        <f>双柏!C126</f>
        <v>0</v>
      </c>
      <c r="H275" s="257">
        <f>双柏!D126</f>
        <v>20</v>
      </c>
      <c r="I275" s="202">
        <f>双柏!E126</f>
        <v>68</v>
      </c>
      <c r="J275" s="202">
        <f>双柏!F126</f>
        <v>1</v>
      </c>
      <c r="K275" s="202">
        <f>双柏!G126</f>
        <v>1</v>
      </c>
      <c r="L275" s="202">
        <f>双柏!H126</f>
        <v>2</v>
      </c>
      <c r="M275" s="202">
        <f>双柏!I126</f>
        <v>2</v>
      </c>
      <c r="N275" s="202">
        <f>双柏!J126</f>
        <v>2</v>
      </c>
      <c r="O275" s="202">
        <f>双柏!K126</f>
        <v>2</v>
      </c>
      <c r="P275" s="202">
        <f>双柏!L126</f>
        <v>2</v>
      </c>
      <c r="Q275" s="202">
        <f>双柏!M126</f>
        <v>2</v>
      </c>
      <c r="R275" s="202">
        <f>双柏!N126</f>
        <v>3</v>
      </c>
      <c r="S275" s="202">
        <f>双柏!O126</f>
        <v>3</v>
      </c>
      <c r="T275" s="202">
        <f>双柏!P126</f>
        <v>3</v>
      </c>
      <c r="U275" s="202">
        <f>双柏!Q126</f>
        <v>3</v>
      </c>
      <c r="V275" s="202">
        <f>双柏!R126</f>
        <v>3</v>
      </c>
      <c r="W275" s="202">
        <f>双柏!S126</f>
        <v>4</v>
      </c>
      <c r="X275" s="202">
        <f>双柏!T126</f>
        <v>4</v>
      </c>
      <c r="Y275" s="202">
        <f>双柏!U126</f>
        <v>5</v>
      </c>
      <c r="Z275" s="202">
        <f>双柏!V126</f>
        <v>6</v>
      </c>
      <c r="AA275" s="202">
        <f>双柏!W126</f>
        <v>6</v>
      </c>
      <c r="AB275" s="202">
        <f>双柏!X126</f>
        <v>6</v>
      </c>
      <c r="AC275" s="202">
        <f>双柏!Y126</f>
        <v>8</v>
      </c>
      <c r="AD275" s="202">
        <f>双柏!Z126</f>
        <v>0</v>
      </c>
      <c r="AE275" s="202">
        <f>双柏!AA126</f>
        <v>0</v>
      </c>
      <c r="AF275" s="202">
        <f>双柏!AB126</f>
        <v>0</v>
      </c>
      <c r="AG275" s="202">
        <f>双柏!AC126</f>
        <v>0</v>
      </c>
      <c r="AH275" s="202">
        <f>双柏!AD126</f>
        <v>0</v>
      </c>
      <c r="AI275" s="202">
        <f>双柏!AE126</f>
        <v>0</v>
      </c>
      <c r="AJ275" s="202">
        <f>双柏!AF126</f>
        <v>0</v>
      </c>
      <c r="AK275" s="165" t="str">
        <f>双柏!AG126</f>
        <v>双柏县鄂嘉镇老厂村岔河</v>
      </c>
      <c r="AL275" s="165" t="str">
        <f>双柏!AH126</f>
        <v>2016/0810-0818</v>
      </c>
      <c r="AM275" s="165" t="str">
        <f>双柏!AI126</f>
        <v>2016/0810-0818</v>
      </c>
      <c r="AN275" s="165">
        <f>双柏!AJ126</f>
        <v>0</v>
      </c>
      <c r="AO275" s="165">
        <f>双柏!AK126</f>
        <v>0</v>
      </c>
      <c r="AP275" s="263">
        <v>12.5</v>
      </c>
      <c r="AQ275" s="209">
        <f>双柏!AM126</f>
        <v>0</v>
      </c>
      <c r="AR275" s="295">
        <f>双柏!AN126</f>
        <v>2.5</v>
      </c>
      <c r="AS275" s="199" t="str">
        <f>双柏!AO126</f>
        <v>532322196404170514</v>
      </c>
      <c r="AT275" s="199" t="str">
        <f>双柏!AP126</f>
        <v>15125722369</v>
      </c>
    </row>
    <row r="276" spans="1:46" s="252" customFormat="1" ht="15" customHeight="1">
      <c r="A276" s="252" t="s">
        <v>1921</v>
      </c>
      <c r="B276" s="236" t="str">
        <f>VLOOKUP(A276,databases!$A$2:$B$7, 2, FALSE)</f>
        <v>ShuangBai</v>
      </c>
      <c r="C276" s="253" t="str">
        <f>双柏!B51</f>
        <v>王贵学</v>
      </c>
      <c r="D276" s="281" t="str">
        <f>VLOOKUP(C276,databases!$D$2:$E$145, 2, FALSE)</f>
        <v>R99</v>
      </c>
      <c r="E276" s="282">
        <f>INDEX(sample_database!$B$2:$B$506,MATCH(F276,sample_database!$L$2:$L$506,0))</f>
        <v>17</v>
      </c>
      <c r="F276" s="236" t="str">
        <f>双柏!A51</f>
        <v>SB050</v>
      </c>
      <c r="G276" s="258">
        <f>双柏!C51</f>
        <v>10</v>
      </c>
      <c r="H276" s="258">
        <f>双柏!D51</f>
        <v>0</v>
      </c>
      <c r="I276" s="236">
        <f>双柏!E51</f>
        <v>45</v>
      </c>
      <c r="J276" s="236">
        <f>双柏!F51</f>
        <v>2</v>
      </c>
      <c r="K276" s="236">
        <f>双柏!G51</f>
        <v>7</v>
      </c>
      <c r="L276" s="236">
        <f>双柏!H51</f>
        <v>7</v>
      </c>
      <c r="M276" s="236">
        <f>双柏!I51</f>
        <v>8</v>
      </c>
      <c r="N276" s="236">
        <f>双柏!J51</f>
        <v>2</v>
      </c>
      <c r="O276" s="236">
        <f>双柏!K51</f>
        <v>3</v>
      </c>
      <c r="P276" s="236">
        <f>双柏!L51</f>
        <v>5</v>
      </c>
      <c r="Q276" s="236">
        <f>双柏!M51</f>
        <v>4</v>
      </c>
      <c r="R276" s="236">
        <f>双柏!N51</f>
        <v>1</v>
      </c>
      <c r="S276" s="236">
        <f>双柏!O51</f>
        <v>6</v>
      </c>
      <c r="T276" s="236">
        <f>双柏!P51</f>
        <v>0</v>
      </c>
      <c r="U276" s="236">
        <f>双柏!Q51</f>
        <v>0</v>
      </c>
      <c r="V276" s="236">
        <f>双柏!R51</f>
        <v>0</v>
      </c>
      <c r="W276" s="236">
        <f>双柏!S51</f>
        <v>0</v>
      </c>
      <c r="X276" s="236">
        <f>双柏!T51</f>
        <v>0</v>
      </c>
      <c r="Y276" s="236">
        <f>双柏!U51</f>
        <v>0</v>
      </c>
      <c r="Z276" s="236">
        <f>双柏!V51</f>
        <v>0</v>
      </c>
      <c r="AA276" s="236">
        <f>双柏!W51</f>
        <v>0</v>
      </c>
      <c r="AB276" s="236">
        <f>双柏!X51</f>
        <v>0</v>
      </c>
      <c r="AC276" s="236">
        <f>双柏!Y51</f>
        <v>0</v>
      </c>
      <c r="AD276" s="236">
        <f>双柏!Z51</f>
        <v>0</v>
      </c>
      <c r="AE276" s="236">
        <f>双柏!AA51</f>
        <v>0</v>
      </c>
      <c r="AF276" s="236">
        <f>双柏!AB51</f>
        <v>0</v>
      </c>
      <c r="AG276" s="236">
        <f>双柏!AC51</f>
        <v>0</v>
      </c>
      <c r="AH276" s="236">
        <f>双柏!AD51</f>
        <v>0</v>
      </c>
      <c r="AI276" s="236">
        <f>双柏!AE51</f>
        <v>0</v>
      </c>
      <c r="AJ276" s="236">
        <f>双柏!AF51</f>
        <v>0</v>
      </c>
      <c r="AK276" s="253" t="str">
        <f>双柏!AG51</f>
        <v>双柏县鄂嘉镇老厂村委会茶树村10号</v>
      </c>
      <c r="AL276" s="253" t="str">
        <f>双柏!AH51</f>
        <v>2016/0825</v>
      </c>
      <c r="AM276" s="253" t="str">
        <f>双柏!AI51</f>
        <v>2016/0825</v>
      </c>
      <c r="AN276" s="253">
        <f>双柏!AJ51</f>
        <v>0</v>
      </c>
      <c r="AO276" s="253" t="str">
        <f>双柏!AK51</f>
        <v>海拔2475，N24°23′41.35″ E101°8′45.14″</v>
      </c>
      <c r="AP276" s="264">
        <v>7.5</v>
      </c>
      <c r="AQ276" s="260">
        <f>双柏!AM51</f>
        <v>0</v>
      </c>
      <c r="AR276" s="296">
        <f>双柏!AN51</f>
        <v>1.5</v>
      </c>
      <c r="AS276" s="255" t="str">
        <f>双柏!AO51</f>
        <v>532322196009120510</v>
      </c>
      <c r="AT276" s="255" t="str">
        <f>双柏!AP51</f>
        <v>18164783532</v>
      </c>
    </row>
    <row r="277" spans="1:46" s="272" customFormat="1">
      <c r="A277" s="252" t="s">
        <v>1921</v>
      </c>
      <c r="B277" s="236" t="str">
        <f>VLOOKUP(A277,databases!$A$2:$B$7, 2, FALSE)</f>
        <v>ShuangBai</v>
      </c>
      <c r="C277" s="253" t="str">
        <f>双柏!B52</f>
        <v>王贵学</v>
      </c>
      <c r="D277" s="283" t="str">
        <f>VLOOKUP(C277,databases!$D$2:$E$145, 2, FALSE)</f>
        <v>R99</v>
      </c>
      <c r="E277" s="284">
        <f>INDEX(sample_database!$B$2:$B$506,MATCH(F277,sample_database!$L$2:$L$506,0))</f>
        <v>17</v>
      </c>
      <c r="F277" s="236" t="str">
        <f>双柏!A52</f>
        <v>SB051</v>
      </c>
      <c r="G277" s="258">
        <f>双柏!C52</f>
        <v>10</v>
      </c>
      <c r="H277" s="258">
        <f>双柏!D52</f>
        <v>0</v>
      </c>
      <c r="I277" s="236">
        <f>双柏!E52</f>
        <v>58</v>
      </c>
      <c r="J277" s="236">
        <f>双柏!F52</f>
        <v>5</v>
      </c>
      <c r="K277" s="236">
        <f>双柏!G52</f>
        <v>4</v>
      </c>
      <c r="L277" s="236">
        <f>双柏!H52</f>
        <v>3</v>
      </c>
      <c r="M277" s="236">
        <f>双柏!I52</f>
        <v>10</v>
      </c>
      <c r="N277" s="236">
        <f>双柏!J52</f>
        <v>13</v>
      </c>
      <c r="O277" s="236">
        <f>双柏!K52</f>
        <v>6</v>
      </c>
      <c r="P277" s="236">
        <f>双柏!L52</f>
        <v>2</v>
      </c>
      <c r="Q277" s="236">
        <f>双柏!M52</f>
        <v>3</v>
      </c>
      <c r="R277" s="236">
        <f>双柏!N52</f>
        <v>6</v>
      </c>
      <c r="S277" s="236">
        <f>双柏!O52</f>
        <v>6</v>
      </c>
      <c r="T277" s="236">
        <f>双柏!P52</f>
        <v>0</v>
      </c>
      <c r="U277" s="236">
        <f>双柏!Q52</f>
        <v>0</v>
      </c>
      <c r="V277" s="236">
        <f>双柏!R52</f>
        <v>0</v>
      </c>
      <c r="W277" s="236">
        <f>双柏!S52</f>
        <v>0</v>
      </c>
      <c r="X277" s="236">
        <f>双柏!T52</f>
        <v>0</v>
      </c>
      <c r="Y277" s="236">
        <f>双柏!U52</f>
        <v>0</v>
      </c>
      <c r="Z277" s="236">
        <f>双柏!V52</f>
        <v>0</v>
      </c>
      <c r="AA277" s="236">
        <f>双柏!W52</f>
        <v>0</v>
      </c>
      <c r="AB277" s="236">
        <f>双柏!X52</f>
        <v>0</v>
      </c>
      <c r="AC277" s="236">
        <f>双柏!Y52</f>
        <v>0</v>
      </c>
      <c r="AD277" s="236">
        <f>双柏!Z52</f>
        <v>0</v>
      </c>
      <c r="AE277" s="236">
        <f>双柏!AA52</f>
        <v>0</v>
      </c>
      <c r="AF277" s="236">
        <f>双柏!AB52</f>
        <v>0</v>
      </c>
      <c r="AG277" s="236">
        <f>双柏!AC52</f>
        <v>0</v>
      </c>
      <c r="AH277" s="236">
        <f>双柏!AD52</f>
        <v>0</v>
      </c>
      <c r="AI277" s="236">
        <f>双柏!AE52</f>
        <v>0</v>
      </c>
      <c r="AJ277" s="236">
        <f>双柏!AF52</f>
        <v>0</v>
      </c>
      <c r="AK277" s="253" t="str">
        <f>双柏!AG52</f>
        <v>双柏县鄂嘉镇老厂村委会茶树村10号</v>
      </c>
      <c r="AL277" s="253" t="str">
        <f>双柏!AH52</f>
        <v>2016/0828</v>
      </c>
      <c r="AM277" s="253" t="str">
        <f>双柏!AI52</f>
        <v>2016/0828</v>
      </c>
      <c r="AN277" s="253">
        <f>双柏!AJ52</f>
        <v>0</v>
      </c>
      <c r="AO277" s="253" t="str">
        <f>双柏!AK52</f>
        <v>海拔2478，N24°23′38.45″ E101°8′45.24″</v>
      </c>
      <c r="AP277" s="264">
        <v>7.5</v>
      </c>
      <c r="AQ277" s="260">
        <f>双柏!AM52</f>
        <v>0</v>
      </c>
      <c r="AR277" s="296">
        <f>双柏!AN52</f>
        <v>1.5</v>
      </c>
      <c r="AS277" s="255" t="str">
        <f>双柏!AO52</f>
        <v>532322196009120510</v>
      </c>
      <c r="AT277" s="255" t="str">
        <f>双柏!AP52</f>
        <v>18164783532</v>
      </c>
    </row>
    <row r="278" spans="1:46">
      <c r="A278" t="s">
        <v>1921</v>
      </c>
      <c r="B278" s="202" t="str">
        <f>VLOOKUP(A278,databases!$A$2:$B$7, 2, FALSE)</f>
        <v>ShuangBai</v>
      </c>
      <c r="C278" s="165" t="str">
        <f>双柏!B49</f>
        <v>王贵学</v>
      </c>
      <c r="D278" s="283" t="str">
        <f>VLOOKUP(C278,databases!$D$2:$E$145, 2, FALSE)</f>
        <v>R99</v>
      </c>
      <c r="E278" s="284" t="str">
        <f>INDEX(sample_database!$B$2:$B$506,MATCH(F278,sample_database!$L$2:$L$506,0))</f>
        <v>NA</v>
      </c>
      <c r="F278" s="202" t="str">
        <f>双柏!A49</f>
        <v>SB048</v>
      </c>
      <c r="G278" s="257">
        <f>双柏!C49</f>
        <v>10</v>
      </c>
      <c r="H278" s="257">
        <f>双柏!D49</f>
        <v>0</v>
      </c>
      <c r="I278" s="202">
        <f>双柏!E49</f>
        <v>48</v>
      </c>
      <c r="J278" s="202">
        <f>双柏!F49</f>
        <v>4</v>
      </c>
      <c r="K278" s="202">
        <f>双柏!G49</f>
        <v>3</v>
      </c>
      <c r="L278" s="202">
        <f>双柏!H49</f>
        <v>2</v>
      </c>
      <c r="M278" s="202">
        <f>双柏!I49</f>
        <v>4</v>
      </c>
      <c r="N278" s="202">
        <f>双柏!J49</f>
        <v>8</v>
      </c>
      <c r="O278" s="202">
        <f>双柏!K49</f>
        <v>13</v>
      </c>
      <c r="P278" s="202">
        <f>双柏!L49</f>
        <v>3</v>
      </c>
      <c r="Q278" s="202">
        <f>双柏!M49</f>
        <v>6</v>
      </c>
      <c r="R278" s="202">
        <f>双柏!N49</f>
        <v>4</v>
      </c>
      <c r="S278" s="202">
        <f>双柏!O49</f>
        <v>1</v>
      </c>
      <c r="T278" s="202">
        <f>双柏!P49</f>
        <v>0</v>
      </c>
      <c r="U278" s="202">
        <f>双柏!Q49</f>
        <v>0</v>
      </c>
      <c r="V278" s="202">
        <f>双柏!R49</f>
        <v>0</v>
      </c>
      <c r="W278" s="202">
        <f>双柏!S49</f>
        <v>0</v>
      </c>
      <c r="X278" s="202">
        <f>双柏!T49</f>
        <v>0</v>
      </c>
      <c r="Y278" s="202">
        <f>双柏!U49</f>
        <v>0</v>
      </c>
      <c r="Z278" s="202">
        <f>双柏!V49</f>
        <v>0</v>
      </c>
      <c r="AA278" s="202">
        <f>双柏!W49</f>
        <v>0</v>
      </c>
      <c r="AB278" s="202">
        <f>双柏!X49</f>
        <v>0</v>
      </c>
      <c r="AC278" s="202">
        <f>双柏!Y49</f>
        <v>0</v>
      </c>
      <c r="AD278" s="202">
        <f>双柏!Z49</f>
        <v>0</v>
      </c>
      <c r="AE278" s="202">
        <f>双柏!AA49</f>
        <v>0</v>
      </c>
      <c r="AF278" s="202">
        <f>双柏!AB49</f>
        <v>0</v>
      </c>
      <c r="AG278" s="202">
        <f>双柏!AC49</f>
        <v>0</v>
      </c>
      <c r="AH278" s="202">
        <f>双柏!AD49</f>
        <v>0</v>
      </c>
      <c r="AI278" s="202">
        <f>双柏!AE49</f>
        <v>0</v>
      </c>
      <c r="AJ278" s="202">
        <f>双柏!AF49</f>
        <v>0</v>
      </c>
      <c r="AK278" s="165" t="str">
        <f>双柏!AG49</f>
        <v>双柏县鄂嘉镇老厂村委会茶树村10号</v>
      </c>
      <c r="AL278" s="165" t="str">
        <f>双柏!AH49</f>
        <v>2016/0802-0813</v>
      </c>
      <c r="AM278" s="165" t="str">
        <f>双柏!AI49</f>
        <v>2016/0802-0813</v>
      </c>
      <c r="AN278" s="165">
        <f>双柏!AJ49</f>
        <v>0</v>
      </c>
      <c r="AO278" s="165" t="str">
        <f>双柏!AK49</f>
        <v>海拔2454，N24°21′40.46″ E101°7′45.24″</v>
      </c>
      <c r="AP278" s="263">
        <v>5</v>
      </c>
      <c r="AQ278" s="209">
        <f>双柏!AM49</f>
        <v>0</v>
      </c>
      <c r="AR278" s="295">
        <f>双柏!AN49</f>
        <v>1</v>
      </c>
      <c r="AS278" s="199" t="str">
        <f>双柏!AO49</f>
        <v>532322196009120510</v>
      </c>
      <c r="AT278" s="199" t="str">
        <f>双柏!AP49</f>
        <v>18164783532</v>
      </c>
    </row>
    <row r="279" spans="1:46">
      <c r="A279" t="s">
        <v>1921</v>
      </c>
      <c r="B279" s="202" t="str">
        <f>VLOOKUP(A279,databases!$A$2:$B$7, 2, FALSE)</f>
        <v>ShuangBai</v>
      </c>
      <c r="C279" s="165" t="str">
        <f>双柏!B50</f>
        <v>王贵学</v>
      </c>
      <c r="D279" s="283" t="str">
        <f>VLOOKUP(C279,databases!$D$2:$E$145, 2, FALSE)</f>
        <v>R99</v>
      </c>
      <c r="E279" s="284" t="str">
        <f>INDEX(sample_database!$B$2:$B$506,MATCH(F279,sample_database!$L$2:$L$506,0))</f>
        <v>NA</v>
      </c>
      <c r="F279" s="202" t="str">
        <f>双柏!A50</f>
        <v>SB049</v>
      </c>
      <c r="G279" s="257">
        <f>双柏!C50</f>
        <v>10</v>
      </c>
      <c r="H279" s="257">
        <f>双柏!D50</f>
        <v>0</v>
      </c>
      <c r="I279" s="202">
        <f>双柏!E50</f>
        <v>71</v>
      </c>
      <c r="J279" s="202">
        <f>双柏!F50</f>
        <v>7</v>
      </c>
      <c r="K279" s="202">
        <f>双柏!G50</f>
        <v>10</v>
      </c>
      <c r="L279" s="202">
        <f>双柏!H50</f>
        <v>2</v>
      </c>
      <c r="M279" s="202">
        <f>双柏!I50</f>
        <v>5</v>
      </c>
      <c r="N279" s="202">
        <f>双柏!J50</f>
        <v>5</v>
      </c>
      <c r="O279" s="202">
        <f>双柏!K50</f>
        <v>5</v>
      </c>
      <c r="P279" s="202">
        <f>双柏!L50</f>
        <v>5</v>
      </c>
      <c r="Q279" s="202">
        <f>双柏!M50</f>
        <v>7</v>
      </c>
      <c r="R279" s="202">
        <f>双柏!N50</f>
        <v>8</v>
      </c>
      <c r="S279" s="202">
        <f>双柏!O50</f>
        <v>17</v>
      </c>
      <c r="T279" s="202">
        <f>双柏!P50</f>
        <v>0</v>
      </c>
      <c r="U279" s="202">
        <f>双柏!Q50</f>
        <v>0</v>
      </c>
      <c r="V279" s="202">
        <f>双柏!R50</f>
        <v>0</v>
      </c>
      <c r="W279" s="202">
        <f>双柏!S50</f>
        <v>0</v>
      </c>
      <c r="X279" s="202">
        <f>双柏!T50</f>
        <v>0</v>
      </c>
      <c r="Y279" s="202">
        <f>双柏!U50</f>
        <v>0</v>
      </c>
      <c r="Z279" s="202">
        <f>双柏!V50</f>
        <v>0</v>
      </c>
      <c r="AA279" s="202">
        <f>双柏!W50</f>
        <v>0</v>
      </c>
      <c r="AB279" s="202">
        <f>双柏!X50</f>
        <v>0</v>
      </c>
      <c r="AC279" s="202">
        <f>双柏!Y50</f>
        <v>0</v>
      </c>
      <c r="AD279" s="202">
        <f>双柏!Z50</f>
        <v>0</v>
      </c>
      <c r="AE279" s="202">
        <f>双柏!AA50</f>
        <v>0</v>
      </c>
      <c r="AF279" s="202">
        <f>双柏!AB50</f>
        <v>0</v>
      </c>
      <c r="AG279" s="202">
        <f>双柏!AC50</f>
        <v>0</v>
      </c>
      <c r="AH279" s="202">
        <f>双柏!AD50</f>
        <v>0</v>
      </c>
      <c r="AI279" s="202">
        <f>双柏!AE50</f>
        <v>0</v>
      </c>
      <c r="AJ279" s="202">
        <f>双柏!AF50</f>
        <v>0</v>
      </c>
      <c r="AK279" s="165" t="str">
        <f>双柏!AG50</f>
        <v>双柏县鄂嘉镇老厂村委会茶树村10号</v>
      </c>
      <c r="AL279" s="165" t="str">
        <f>双柏!AH50</f>
        <v>2016/0813-0824</v>
      </c>
      <c r="AM279" s="165" t="str">
        <f>双柏!AI50</f>
        <v>2016/0813-0824</v>
      </c>
      <c r="AN279" s="165">
        <f>双柏!AJ50</f>
        <v>0</v>
      </c>
      <c r="AO279" s="165" t="str">
        <f>双柏!AK50</f>
        <v>海拔2495，N24°23′51.67″ E101°6′45.23″</v>
      </c>
      <c r="AP279" s="263">
        <v>12.5</v>
      </c>
      <c r="AQ279" s="209">
        <f>双柏!AM50</f>
        <v>0</v>
      </c>
      <c r="AR279" s="295">
        <f>双柏!AN50</f>
        <v>2.5</v>
      </c>
      <c r="AS279" s="199" t="str">
        <f>双柏!AO50</f>
        <v>532322196009120510</v>
      </c>
      <c r="AT279" s="199" t="str">
        <f>双柏!AP50</f>
        <v>18164783532</v>
      </c>
    </row>
    <row r="280" spans="1:46">
      <c r="A280" t="s">
        <v>1921</v>
      </c>
      <c r="B280" s="202" t="str">
        <f>VLOOKUP(A280,databases!$A$2:$B$7, 2, FALSE)</f>
        <v>ShuangBai</v>
      </c>
      <c r="C280" s="165" t="str">
        <f>双柏!B53</f>
        <v>王贵学</v>
      </c>
      <c r="D280" s="285" t="str">
        <f>VLOOKUP(C280,databases!$D$2:$E$145, 2, FALSE)</f>
        <v>R99</v>
      </c>
      <c r="E280" s="286" t="str">
        <f>INDEX(sample_database!$B$2:$B$506,MATCH(F280,sample_database!$L$2:$L$506,0))</f>
        <v>NA</v>
      </c>
      <c r="F280" s="202" t="str">
        <f>双柏!A53</f>
        <v>SB052</v>
      </c>
      <c r="G280" s="257">
        <f>双柏!C53</f>
        <v>0</v>
      </c>
      <c r="H280" s="257">
        <f>双柏!D53</f>
        <v>21</v>
      </c>
      <c r="I280" s="202">
        <f>双柏!E53</f>
        <v>70</v>
      </c>
      <c r="J280" s="202">
        <f>双柏!F53</f>
        <v>2</v>
      </c>
      <c r="K280" s="202">
        <f>双柏!G53</f>
        <v>2</v>
      </c>
      <c r="L280" s="202">
        <f>双柏!H53</f>
        <v>8</v>
      </c>
      <c r="M280" s="202">
        <f>双柏!I53</f>
        <v>3</v>
      </c>
      <c r="N280" s="202">
        <f>双柏!J53</f>
        <v>1</v>
      </c>
      <c r="O280" s="202">
        <f>双柏!K53</f>
        <v>2</v>
      </c>
      <c r="P280" s="202">
        <f>双柏!L53</f>
        <v>8</v>
      </c>
      <c r="Q280" s="202">
        <f>双柏!M53</f>
        <v>6</v>
      </c>
      <c r="R280" s="202">
        <f>双柏!N53</f>
        <v>4</v>
      </c>
      <c r="S280" s="202">
        <f>双柏!O53</f>
        <v>4</v>
      </c>
      <c r="T280" s="202">
        <f>双柏!P53</f>
        <v>1</v>
      </c>
      <c r="U280" s="202">
        <f>双柏!Q53</f>
        <v>7</v>
      </c>
      <c r="V280" s="202">
        <f>双柏!R53</f>
        <v>7</v>
      </c>
      <c r="W280" s="202">
        <f>双柏!S53</f>
        <v>2</v>
      </c>
      <c r="X280" s="202">
        <f>双柏!T53</f>
        <v>1</v>
      </c>
      <c r="Y280" s="202">
        <f>双柏!U53</f>
        <v>2</v>
      </c>
      <c r="Z280" s="202">
        <f>双柏!V53</f>
        <v>1</v>
      </c>
      <c r="AA280" s="202">
        <f>双柏!W53</f>
        <v>1</v>
      </c>
      <c r="AB280" s="202">
        <f>双柏!X53</f>
        <v>2</v>
      </c>
      <c r="AC280" s="202">
        <f>双柏!Y53</f>
        <v>2</v>
      </c>
      <c r="AD280" s="202">
        <f>双柏!Z53</f>
        <v>4</v>
      </c>
      <c r="AE280" s="202">
        <f>双柏!AA53</f>
        <v>0</v>
      </c>
      <c r="AF280" s="202">
        <f>双柏!AB53</f>
        <v>0</v>
      </c>
      <c r="AG280" s="202">
        <f>双柏!AC53</f>
        <v>0</v>
      </c>
      <c r="AH280" s="202">
        <f>双柏!AD53</f>
        <v>0</v>
      </c>
      <c r="AI280" s="202">
        <f>双柏!AE53</f>
        <v>0</v>
      </c>
      <c r="AJ280" s="202">
        <f>双柏!AF53</f>
        <v>0</v>
      </c>
      <c r="AK280" s="165" t="str">
        <f>双柏!AG53</f>
        <v>双柏县鄂嘉镇老厂村委会茶树村10号</v>
      </c>
      <c r="AL280" s="165">
        <f>双柏!AH53</f>
        <v>0</v>
      </c>
      <c r="AM280" s="165">
        <f>双柏!AI53</f>
        <v>0</v>
      </c>
      <c r="AN280" s="165">
        <f>双柏!AJ53</f>
        <v>0</v>
      </c>
      <c r="AO280" s="165">
        <f>双柏!AK53</f>
        <v>0</v>
      </c>
      <c r="AP280" s="263">
        <v>10</v>
      </c>
      <c r="AQ280" s="209">
        <f>双柏!AM53</f>
        <v>0</v>
      </c>
      <c r="AR280" s="295">
        <f>双柏!AN53</f>
        <v>2</v>
      </c>
      <c r="AS280" s="199" t="str">
        <f>双柏!AO53</f>
        <v>532322196009120510</v>
      </c>
      <c r="AT280" s="199" t="str">
        <f>双柏!AP53</f>
        <v>18164783532</v>
      </c>
    </row>
    <row r="281" spans="1:46">
      <c r="A281" t="s">
        <v>1921</v>
      </c>
      <c r="B281" s="202" t="str">
        <f>VLOOKUP(A281,databases!$A$2:$B$7, 2, FALSE)</f>
        <v>ShuangBai</v>
      </c>
      <c r="C281" s="165" t="str">
        <f>双柏!B132</f>
        <v>王贵永</v>
      </c>
      <c r="D281" s="202" t="str">
        <f>VLOOKUP(C281,databases!$D$2:$E$145, 2, FALSE)</f>
        <v>R100</v>
      </c>
      <c r="E281" s="259">
        <f>INDEX(sample_database!$B$2:$B$506,MATCH(F281,sample_database!$L$2:$L$506,0))</f>
        <v>32</v>
      </c>
      <c r="F281" s="202" t="str">
        <f>双柏!A132</f>
        <v>SB131</v>
      </c>
      <c r="G281" s="257">
        <f>双柏!C132</f>
        <v>27</v>
      </c>
      <c r="H281" s="257">
        <f>双柏!D132</f>
        <v>0</v>
      </c>
      <c r="I281" s="202">
        <f>双柏!E132</f>
        <v>82</v>
      </c>
      <c r="J281" s="202">
        <f>双柏!F132</f>
        <v>3</v>
      </c>
      <c r="K281" s="202">
        <f>双柏!G132</f>
        <v>4</v>
      </c>
      <c r="L281" s="202">
        <f>双柏!H132</f>
        <v>3</v>
      </c>
      <c r="M281" s="202">
        <f>双柏!I132</f>
        <v>2</v>
      </c>
      <c r="N281" s="202">
        <f>双柏!J132</f>
        <v>2</v>
      </c>
      <c r="O281" s="202">
        <f>双柏!K132</f>
        <v>5</v>
      </c>
      <c r="P281" s="202">
        <f>双柏!L132</f>
        <v>6</v>
      </c>
      <c r="Q281" s="202">
        <f>双柏!M132</f>
        <v>3</v>
      </c>
      <c r="R281" s="202">
        <f>双柏!N132</f>
        <v>2</v>
      </c>
      <c r="S281" s="202">
        <f>双柏!O132</f>
        <v>3</v>
      </c>
      <c r="T281" s="202">
        <f>双柏!P132</f>
        <v>3</v>
      </c>
      <c r="U281" s="202">
        <f>双柏!Q132</f>
        <v>5</v>
      </c>
      <c r="V281" s="202">
        <f>双柏!R132</f>
        <v>2</v>
      </c>
      <c r="W281" s="202">
        <f>双柏!S132</f>
        <v>2</v>
      </c>
      <c r="X281" s="202">
        <f>双柏!T132</f>
        <v>2</v>
      </c>
      <c r="Y281" s="202">
        <f>双柏!U132</f>
        <v>4</v>
      </c>
      <c r="Z281" s="202">
        <f>双柏!V132</f>
        <v>3</v>
      </c>
      <c r="AA281" s="202">
        <f>双柏!W132</f>
        <v>2</v>
      </c>
      <c r="AB281" s="202">
        <f>双柏!X132</f>
        <v>4</v>
      </c>
      <c r="AC281" s="202">
        <f>双柏!Y132</f>
        <v>2</v>
      </c>
      <c r="AD281" s="202">
        <f>双柏!Z132</f>
        <v>1</v>
      </c>
      <c r="AE281" s="202">
        <f>双柏!AA132</f>
        <v>2</v>
      </c>
      <c r="AF281" s="202">
        <f>双柏!AB132</f>
        <v>5</v>
      </c>
      <c r="AG281" s="202">
        <f>双柏!AC132</f>
        <v>1</v>
      </c>
      <c r="AH281" s="202">
        <f>双柏!AD132</f>
        <v>4</v>
      </c>
      <c r="AI281" s="202">
        <f>双柏!AE132</f>
        <v>2</v>
      </c>
      <c r="AJ281" s="202">
        <f>双柏!AF132</f>
        <v>5</v>
      </c>
      <c r="AK281" s="165" t="str">
        <f>双柏!AG132</f>
        <v>双柏县鄂嘉镇老厂村委会松树林</v>
      </c>
      <c r="AL281" s="165" t="str">
        <f>双柏!AH132</f>
        <v>2016/0714-0826</v>
      </c>
      <c r="AM281" s="165" t="str">
        <f>双柏!AI132</f>
        <v>2016/0714-0826</v>
      </c>
      <c r="AN281" s="165">
        <f>双柏!AJ132</f>
        <v>0</v>
      </c>
      <c r="AO281" s="165">
        <f>双柏!AK132</f>
        <v>0</v>
      </c>
      <c r="AP281" s="263">
        <v>15</v>
      </c>
      <c r="AQ281" s="209">
        <f>双柏!AM132</f>
        <v>0</v>
      </c>
      <c r="AR281" s="295">
        <f>双柏!AN132</f>
        <v>3</v>
      </c>
      <c r="AS281" s="199" t="str">
        <f>双柏!AO132</f>
        <v>532322196209090519</v>
      </c>
      <c r="AT281" s="199" t="str">
        <f>双柏!AP132</f>
        <v>15026017075</v>
      </c>
    </row>
    <row r="282" spans="1:46">
      <c r="A282" t="s">
        <v>1921</v>
      </c>
      <c r="B282" s="202" t="str">
        <f>VLOOKUP(A282,databases!$A$2:$B$7, 2, FALSE)</f>
        <v>ShuangBai</v>
      </c>
      <c r="C282" s="165" t="str">
        <f>双柏!B133</f>
        <v>王贵永</v>
      </c>
      <c r="D282" s="202" t="str">
        <f>VLOOKUP(C282,databases!$D$2:$E$145, 2, FALSE)</f>
        <v>R100</v>
      </c>
      <c r="E282" s="259">
        <f>INDEX(sample_database!$B$2:$B$506,MATCH(F282,sample_database!$L$2:$L$506,0))</f>
        <v>32</v>
      </c>
      <c r="F282" s="202" t="str">
        <f>双柏!A133</f>
        <v>SB132</v>
      </c>
      <c r="G282" s="257">
        <f>双柏!C133</f>
        <v>0</v>
      </c>
      <c r="H282" s="257">
        <f>双柏!D133</f>
        <v>11</v>
      </c>
      <c r="I282" s="202">
        <f>双柏!E133</f>
        <v>26</v>
      </c>
      <c r="J282" s="202">
        <f>双柏!F133</f>
        <v>1</v>
      </c>
      <c r="K282" s="202">
        <f>双柏!G133</f>
        <v>2</v>
      </c>
      <c r="L282" s="202">
        <f>双柏!H133</f>
        <v>7</v>
      </c>
      <c r="M282" s="202">
        <f>双柏!I133</f>
        <v>1</v>
      </c>
      <c r="N282" s="202">
        <f>双柏!J133</f>
        <v>2</v>
      </c>
      <c r="O282" s="202">
        <f>双柏!K133</f>
        <v>2</v>
      </c>
      <c r="P282" s="202">
        <f>双柏!L133</f>
        <v>2</v>
      </c>
      <c r="Q282" s="202">
        <f>双柏!M133</f>
        <v>2</v>
      </c>
      <c r="R282" s="202">
        <f>双柏!N133</f>
        <v>2</v>
      </c>
      <c r="S282" s="202">
        <f>双柏!O133</f>
        <v>2</v>
      </c>
      <c r="T282" s="202">
        <f>双柏!P133</f>
        <v>3</v>
      </c>
      <c r="U282" s="202">
        <f>双柏!Q133</f>
        <v>0</v>
      </c>
      <c r="V282" s="202">
        <f>双柏!R133</f>
        <v>0</v>
      </c>
      <c r="W282" s="202">
        <f>双柏!S133</f>
        <v>0</v>
      </c>
      <c r="X282" s="202">
        <f>双柏!T133</f>
        <v>0</v>
      </c>
      <c r="Y282" s="202">
        <f>双柏!U133</f>
        <v>0</v>
      </c>
      <c r="Z282" s="202">
        <f>双柏!V133</f>
        <v>0</v>
      </c>
      <c r="AA282" s="202">
        <f>双柏!W133</f>
        <v>0</v>
      </c>
      <c r="AB282" s="202">
        <f>双柏!X133</f>
        <v>0</v>
      </c>
      <c r="AC282" s="202">
        <f>双柏!Y133</f>
        <v>0</v>
      </c>
      <c r="AD282" s="202">
        <f>双柏!Z133</f>
        <v>0</v>
      </c>
      <c r="AE282" s="202">
        <f>双柏!AA133</f>
        <v>0</v>
      </c>
      <c r="AF282" s="202">
        <f>双柏!AB133</f>
        <v>0</v>
      </c>
      <c r="AG282" s="202">
        <f>双柏!AC133</f>
        <v>0</v>
      </c>
      <c r="AH282" s="202">
        <f>双柏!AD133</f>
        <v>0</v>
      </c>
      <c r="AI282" s="202">
        <f>双柏!AE133</f>
        <v>0</v>
      </c>
      <c r="AJ282" s="202">
        <f>双柏!AF133</f>
        <v>0</v>
      </c>
      <c r="AK282" s="165" t="str">
        <f>双柏!AG133</f>
        <v>双柏县鄂嘉镇老厂村委会松树林</v>
      </c>
      <c r="AL282" s="165" t="str">
        <f>双柏!AH133</f>
        <v>2016/0714-0826</v>
      </c>
      <c r="AM282" s="165" t="str">
        <f>双柏!AI133</f>
        <v>2016/0714-0826</v>
      </c>
      <c r="AN282" s="165">
        <f>双柏!AJ133</f>
        <v>0</v>
      </c>
      <c r="AO282" s="165">
        <f>双柏!AK133</f>
        <v>0</v>
      </c>
      <c r="AP282" s="263">
        <v>4</v>
      </c>
      <c r="AQ282" s="209">
        <f>双柏!AM133</f>
        <v>0</v>
      </c>
      <c r="AR282" s="295">
        <f>双柏!AN133</f>
        <v>0.8</v>
      </c>
      <c r="AS282" s="199" t="str">
        <f>双柏!AO133</f>
        <v>532322196209090519</v>
      </c>
      <c r="AT282" s="199" t="str">
        <f>双柏!AP133</f>
        <v>15026017075</v>
      </c>
    </row>
    <row r="283" spans="1:46">
      <c r="A283" t="s">
        <v>1921</v>
      </c>
      <c r="B283" s="202" t="str">
        <f>VLOOKUP(A283,databases!$A$2:$B$7, 2, FALSE)</f>
        <v>ShuangBai</v>
      </c>
      <c r="C283" s="165" t="str">
        <f>双柏!B40</f>
        <v>王贵海</v>
      </c>
      <c r="D283" s="202" t="str">
        <f>VLOOKUP(C283,databases!$D$2:$E$145, 2, FALSE)</f>
        <v>R101</v>
      </c>
      <c r="E283" s="259">
        <f>INDEX(sample_database!$B$2:$B$506,MATCH(F283,sample_database!$L$2:$L$506,0))</f>
        <v>31</v>
      </c>
      <c r="F283" s="202" t="str">
        <f>双柏!A40</f>
        <v>SB039</v>
      </c>
      <c r="G283" s="257">
        <f>双柏!C40</f>
        <v>26</v>
      </c>
      <c r="H283" s="257">
        <f>双柏!D40</f>
        <v>0</v>
      </c>
      <c r="I283" s="202">
        <f>双柏!E40</f>
        <v>109</v>
      </c>
      <c r="J283" s="202">
        <f>双柏!F40</f>
        <v>1</v>
      </c>
      <c r="K283" s="202">
        <f>双柏!G40</f>
        <v>1</v>
      </c>
      <c r="L283" s="202">
        <f>双柏!H40</f>
        <v>1</v>
      </c>
      <c r="M283" s="202">
        <f>双柏!I40</f>
        <v>1</v>
      </c>
      <c r="N283" s="202">
        <f>双柏!J40</f>
        <v>1</v>
      </c>
      <c r="O283" s="202">
        <f>双柏!K40</f>
        <v>1</v>
      </c>
      <c r="P283" s="202">
        <f>双柏!L40</f>
        <v>1</v>
      </c>
      <c r="Q283" s="202">
        <f>双柏!M40</f>
        <v>2</v>
      </c>
      <c r="R283" s="202">
        <f>双柏!N40</f>
        <v>2</v>
      </c>
      <c r="S283" s="202">
        <f>双柏!O40</f>
        <v>2</v>
      </c>
      <c r="T283" s="202">
        <f>双柏!P40</f>
        <v>2</v>
      </c>
      <c r="U283" s="202">
        <f>双柏!Q40</f>
        <v>2</v>
      </c>
      <c r="V283" s="202">
        <f>双柏!R40</f>
        <v>2</v>
      </c>
      <c r="W283" s="202">
        <f>双柏!S40</f>
        <v>3</v>
      </c>
      <c r="X283" s="202">
        <f>双柏!T40</f>
        <v>4</v>
      </c>
      <c r="Y283" s="202">
        <f>双柏!U40</f>
        <v>4</v>
      </c>
      <c r="Z283" s="202">
        <f>双柏!V40</f>
        <v>4</v>
      </c>
      <c r="AA283" s="202">
        <f>双柏!W40</f>
        <v>4</v>
      </c>
      <c r="AB283" s="202">
        <f>双柏!X40</f>
        <v>4</v>
      </c>
      <c r="AC283" s="202">
        <f>双柏!Y40</f>
        <v>5</v>
      </c>
      <c r="AD283" s="202">
        <f>双柏!Z40</f>
        <v>5</v>
      </c>
      <c r="AE283" s="202">
        <f>双柏!AA40</f>
        <v>5</v>
      </c>
      <c r="AF283" s="202">
        <f>双柏!AB40</f>
        <v>15</v>
      </c>
      <c r="AG283" s="202">
        <f>双柏!AC40</f>
        <v>12</v>
      </c>
      <c r="AH283" s="202">
        <f>双柏!AD40</f>
        <v>18</v>
      </c>
      <c r="AI283" s="202">
        <f>双柏!AE40</f>
        <v>7</v>
      </c>
      <c r="AJ283" s="202">
        <f>双柏!AF40</f>
        <v>0</v>
      </c>
      <c r="AK283" s="165" t="str">
        <f>双柏!AG40</f>
        <v>双柏县老厂岔河站</v>
      </c>
      <c r="AL283" s="165" t="str">
        <f>双柏!AH40</f>
        <v>2016/0720-0825</v>
      </c>
      <c r="AM283" s="165" t="str">
        <f>双柏!AI40</f>
        <v>2016/0720-0825</v>
      </c>
      <c r="AN283" s="165">
        <f>双柏!AJ40</f>
        <v>0</v>
      </c>
      <c r="AO283" s="165">
        <f>双柏!AK40</f>
        <v>0</v>
      </c>
      <c r="AP283" s="263">
        <v>19.5</v>
      </c>
      <c r="AQ283" s="209" t="str">
        <f>双柏!AM40</f>
        <v>1.1+0.5+0.5+0.7+1.1</v>
      </c>
      <c r="AR283" s="295">
        <f>双柏!AN40</f>
        <v>3.9</v>
      </c>
      <c r="AS283" s="199" t="str">
        <f>双柏!AO40</f>
        <v>532322198610100516</v>
      </c>
      <c r="AT283" s="199" t="str">
        <f>双柏!AP40</f>
        <v>13368786046</v>
      </c>
    </row>
    <row r="284" spans="1:46">
      <c r="A284" t="s">
        <v>1921</v>
      </c>
      <c r="B284" s="202" t="str">
        <f>VLOOKUP(A284,databases!$A$2:$B$7, 2, FALSE)</f>
        <v>ShuangBai</v>
      </c>
      <c r="C284" s="165" t="str">
        <f>双柏!B41</f>
        <v>王贵海</v>
      </c>
      <c r="D284" s="202" t="str">
        <f>VLOOKUP(C284,databases!$D$2:$E$145, 2, FALSE)</f>
        <v>R101</v>
      </c>
      <c r="E284" s="259">
        <f>INDEX(sample_database!$B$2:$B$506,MATCH(F284,sample_database!$L$2:$L$506,0))</f>
        <v>31</v>
      </c>
      <c r="F284" s="202" t="str">
        <f>双柏!A41</f>
        <v>SB040</v>
      </c>
      <c r="G284" s="257">
        <f>双柏!C41</f>
        <v>0</v>
      </c>
      <c r="H284" s="257">
        <f>双柏!D41</f>
        <v>16</v>
      </c>
      <c r="I284" s="202">
        <f>双柏!E41</f>
        <v>59</v>
      </c>
      <c r="J284" s="202">
        <f>双柏!F41</f>
        <v>1</v>
      </c>
      <c r="K284" s="202">
        <f>双柏!G41</f>
        <v>1</v>
      </c>
      <c r="L284" s="202">
        <f>双柏!H41</f>
        <v>1</v>
      </c>
      <c r="M284" s="202">
        <f>双柏!I41</f>
        <v>1</v>
      </c>
      <c r="N284" s="202">
        <f>双柏!J41</f>
        <v>2</v>
      </c>
      <c r="O284" s="202">
        <f>双柏!K41</f>
        <v>2</v>
      </c>
      <c r="P284" s="202">
        <f>双柏!L41</f>
        <v>2</v>
      </c>
      <c r="Q284" s="202">
        <f>双柏!M41</f>
        <v>3</v>
      </c>
      <c r="R284" s="202">
        <f>双柏!N41</f>
        <v>3</v>
      </c>
      <c r="S284" s="202">
        <f>双柏!O41</f>
        <v>3</v>
      </c>
      <c r="T284" s="202">
        <f>双柏!P41</f>
        <v>8</v>
      </c>
      <c r="U284" s="202">
        <f>双柏!Q41</f>
        <v>7</v>
      </c>
      <c r="V284" s="202">
        <f>双柏!R41</f>
        <v>6</v>
      </c>
      <c r="W284" s="202">
        <f>双柏!S41</f>
        <v>8</v>
      </c>
      <c r="X284" s="202">
        <f>双柏!T41</f>
        <v>10</v>
      </c>
      <c r="Y284" s="202">
        <f>双柏!U41</f>
        <v>1</v>
      </c>
      <c r="Z284" s="202">
        <f>双柏!V41</f>
        <v>0</v>
      </c>
      <c r="AA284" s="202">
        <f>双柏!W41</f>
        <v>0</v>
      </c>
      <c r="AB284" s="202">
        <f>双柏!X41</f>
        <v>0</v>
      </c>
      <c r="AC284" s="202">
        <f>双柏!Y41</f>
        <v>0</v>
      </c>
      <c r="AD284" s="202">
        <f>双柏!Z41</f>
        <v>0</v>
      </c>
      <c r="AE284" s="202">
        <f>双柏!AA41</f>
        <v>0</v>
      </c>
      <c r="AF284" s="202">
        <f>双柏!AB41</f>
        <v>0</v>
      </c>
      <c r="AG284" s="202">
        <f>双柏!AC41</f>
        <v>0</v>
      </c>
      <c r="AH284" s="202">
        <f>双柏!AD41</f>
        <v>0</v>
      </c>
      <c r="AI284" s="202">
        <f>双柏!AE41</f>
        <v>0</v>
      </c>
      <c r="AJ284" s="202">
        <f>双柏!AF41</f>
        <v>0</v>
      </c>
      <c r="AK284" s="165" t="str">
        <f>双柏!AG41</f>
        <v>双柏县老厂岔河站</v>
      </c>
      <c r="AL284" s="165" t="str">
        <f>双柏!AH41</f>
        <v>2016/0720-0825</v>
      </c>
      <c r="AM284" s="165" t="str">
        <f>双柏!AI41</f>
        <v>2016/0720-0825</v>
      </c>
      <c r="AN284" s="165">
        <f>双柏!AJ41</f>
        <v>0</v>
      </c>
      <c r="AO284" s="165">
        <f>双柏!AK41</f>
        <v>0</v>
      </c>
      <c r="AP284" s="263">
        <v>10</v>
      </c>
      <c r="AQ284" s="209">
        <f>双柏!AM41</f>
        <v>0</v>
      </c>
      <c r="AR284" s="295">
        <f>双柏!AN41</f>
        <v>2</v>
      </c>
      <c r="AS284" s="199" t="str">
        <f>双柏!AO41</f>
        <v>532322198610100516</v>
      </c>
      <c r="AT284" s="199" t="str">
        <f>双柏!AP41</f>
        <v>13368786046</v>
      </c>
    </row>
    <row r="285" spans="1:46">
      <c r="A285" t="s">
        <v>1921</v>
      </c>
      <c r="B285" s="202" t="str">
        <f>VLOOKUP(A285,databases!$A$2:$B$7, 2, FALSE)</f>
        <v>ShuangBai</v>
      </c>
      <c r="C285" s="165" t="str">
        <f>双柏!B59</f>
        <v>罗永良</v>
      </c>
      <c r="D285" s="202" t="str">
        <f>VLOOKUP(C285,databases!$D$2:$E$145, 2, FALSE)</f>
        <v>R112</v>
      </c>
      <c r="E285" s="259">
        <f>INDEX(sample_database!$B$2:$B$506,MATCH(F285,sample_database!$L$2:$L$506,0))</f>
        <v>10</v>
      </c>
      <c r="F285" s="202" t="str">
        <f>双柏!A59</f>
        <v>SB058</v>
      </c>
      <c r="G285" s="257">
        <f>双柏!C59</f>
        <v>8</v>
      </c>
      <c r="H285" s="257">
        <f>双柏!D59</f>
        <v>0</v>
      </c>
      <c r="I285" s="202">
        <f>双柏!E59</f>
        <v>169</v>
      </c>
      <c r="J285" s="202">
        <f>双柏!F59</f>
        <v>20</v>
      </c>
      <c r="K285" s="202">
        <f>双柏!G59</f>
        <v>22</v>
      </c>
      <c r="L285" s="202">
        <f>双柏!H59</f>
        <v>21</v>
      </c>
      <c r="M285" s="202">
        <f>双柏!I59</f>
        <v>16</v>
      </c>
      <c r="N285" s="202">
        <f>双柏!J59</f>
        <v>26</v>
      </c>
      <c r="O285" s="202">
        <f>双柏!K59</f>
        <v>24</v>
      </c>
      <c r="P285" s="202">
        <f>双柏!L59</f>
        <v>26</v>
      </c>
      <c r="Q285" s="202">
        <f>双柏!M59</f>
        <v>14</v>
      </c>
      <c r="R285" s="202">
        <f>双柏!N59</f>
        <v>0</v>
      </c>
      <c r="S285" s="202">
        <f>双柏!O59</f>
        <v>0</v>
      </c>
      <c r="T285" s="202">
        <f>双柏!P59</f>
        <v>0</v>
      </c>
      <c r="U285" s="202">
        <f>双柏!Q59</f>
        <v>0</v>
      </c>
      <c r="V285" s="202">
        <f>双柏!R59</f>
        <v>0</v>
      </c>
      <c r="W285" s="202">
        <f>双柏!S59</f>
        <v>0</v>
      </c>
      <c r="X285" s="202">
        <f>双柏!T59</f>
        <v>0</v>
      </c>
      <c r="Y285" s="202">
        <f>双柏!U59</f>
        <v>0</v>
      </c>
      <c r="Z285" s="202">
        <f>双柏!V59</f>
        <v>0</v>
      </c>
      <c r="AA285" s="202">
        <f>双柏!W59</f>
        <v>0</v>
      </c>
      <c r="AB285" s="202">
        <f>双柏!X59</f>
        <v>0</v>
      </c>
      <c r="AC285" s="202">
        <f>双柏!Y59</f>
        <v>0</v>
      </c>
      <c r="AD285" s="202">
        <f>双柏!Z59</f>
        <v>0</v>
      </c>
      <c r="AE285" s="202">
        <f>双柏!AA59</f>
        <v>0</v>
      </c>
      <c r="AF285" s="202">
        <f>双柏!AB59</f>
        <v>0</v>
      </c>
      <c r="AG285" s="202">
        <f>双柏!AC59</f>
        <v>0</v>
      </c>
      <c r="AH285" s="202">
        <f>双柏!AD59</f>
        <v>0</v>
      </c>
      <c r="AI285" s="202">
        <f>双柏!AE59</f>
        <v>0</v>
      </c>
      <c r="AJ285" s="202">
        <f>双柏!AF59</f>
        <v>0</v>
      </c>
      <c r="AK285" s="165" t="str">
        <f>双柏!AG59</f>
        <v>双柏县鄂嘉镇麻旺村委会上丕坡</v>
      </c>
      <c r="AL285" s="165" t="str">
        <f>双柏!AH59</f>
        <v>2016/0708-0717</v>
      </c>
      <c r="AM285" s="165" t="str">
        <f>双柏!AI59</f>
        <v>2016/0708-0717</v>
      </c>
      <c r="AN285" s="165">
        <f>双柏!AJ59</f>
        <v>0</v>
      </c>
      <c r="AO285" s="165" t="str">
        <f>双柏!AK59</f>
        <v>2433.2430.2389.2294.2335.2427.2271.2375</v>
      </c>
      <c r="AP285" s="263">
        <v>31</v>
      </c>
      <c r="AQ285" s="209" t="str">
        <f>双柏!AM59</f>
        <v>1.5+1.5+0.7+2+0.5</v>
      </c>
      <c r="AR285" s="295">
        <f>双柏!AN59</f>
        <v>6.2</v>
      </c>
      <c r="AS285" s="199" t="str">
        <f>双柏!AO59</f>
        <v>532322197610050550</v>
      </c>
      <c r="AT285" s="199" t="str">
        <f>双柏!AP59</f>
        <v>13529710376</v>
      </c>
    </row>
    <row r="286" spans="1:46">
      <c r="A286" t="s">
        <v>1921</v>
      </c>
      <c r="B286" s="202" t="str">
        <f>VLOOKUP(A286,databases!$A$2:$B$7, 2, FALSE)</f>
        <v>ShuangBai</v>
      </c>
      <c r="C286" s="165" t="str">
        <f>双柏!B60</f>
        <v>罗永良</v>
      </c>
      <c r="D286" s="202" t="str">
        <f>VLOOKUP(C286,databases!$D$2:$E$145, 2, FALSE)</f>
        <v>R112</v>
      </c>
      <c r="E286" s="259">
        <f>INDEX(sample_database!$B$2:$B$506,MATCH(F286,sample_database!$L$2:$L$506,0))</f>
        <v>10</v>
      </c>
      <c r="F286" s="202" t="str">
        <f>双柏!A60</f>
        <v>SB059</v>
      </c>
      <c r="G286" s="257">
        <f>双柏!C60</f>
        <v>3</v>
      </c>
      <c r="H286" s="257">
        <f>双柏!D60</f>
        <v>0</v>
      </c>
      <c r="I286" s="202">
        <f>双柏!E60</f>
        <v>17</v>
      </c>
      <c r="J286" s="202">
        <f>双柏!F60</f>
        <v>3</v>
      </c>
      <c r="K286" s="202">
        <f>双柏!G60</f>
        <v>6</v>
      </c>
      <c r="L286" s="202">
        <f>双柏!H60</f>
        <v>8</v>
      </c>
      <c r="M286" s="202">
        <f>双柏!I60</f>
        <v>0</v>
      </c>
      <c r="N286" s="202">
        <f>双柏!J60</f>
        <v>0</v>
      </c>
      <c r="O286" s="202">
        <f>双柏!K60</f>
        <v>0</v>
      </c>
      <c r="P286" s="202">
        <f>双柏!L60</f>
        <v>0</v>
      </c>
      <c r="Q286" s="202">
        <f>双柏!M60</f>
        <v>0</v>
      </c>
      <c r="R286" s="202">
        <f>双柏!N60</f>
        <v>0</v>
      </c>
      <c r="S286" s="202">
        <f>双柏!O60</f>
        <v>0</v>
      </c>
      <c r="T286" s="202">
        <f>双柏!P60</f>
        <v>0</v>
      </c>
      <c r="U286" s="202">
        <f>双柏!Q60</f>
        <v>0</v>
      </c>
      <c r="V286" s="202">
        <f>双柏!R60</f>
        <v>0</v>
      </c>
      <c r="W286" s="202">
        <f>双柏!S60</f>
        <v>0</v>
      </c>
      <c r="X286" s="202">
        <f>双柏!T60</f>
        <v>0</v>
      </c>
      <c r="Y286" s="202">
        <f>双柏!U60</f>
        <v>0</v>
      </c>
      <c r="Z286" s="202">
        <f>双柏!V60</f>
        <v>0</v>
      </c>
      <c r="AA286" s="202">
        <f>双柏!W60</f>
        <v>0</v>
      </c>
      <c r="AB286" s="202">
        <f>双柏!X60</f>
        <v>0</v>
      </c>
      <c r="AC286" s="202">
        <f>双柏!Y60</f>
        <v>0</v>
      </c>
      <c r="AD286" s="202">
        <f>双柏!Z60</f>
        <v>0</v>
      </c>
      <c r="AE286" s="202">
        <f>双柏!AA60</f>
        <v>0</v>
      </c>
      <c r="AF286" s="202">
        <f>双柏!AB60</f>
        <v>0</v>
      </c>
      <c r="AG286" s="202">
        <f>双柏!AC60</f>
        <v>0</v>
      </c>
      <c r="AH286" s="202">
        <f>双柏!AD60</f>
        <v>0</v>
      </c>
      <c r="AI286" s="202">
        <f>双柏!AE60</f>
        <v>0</v>
      </c>
      <c r="AJ286" s="202">
        <f>双柏!AF60</f>
        <v>0</v>
      </c>
      <c r="AK286" s="165" t="str">
        <f>双柏!AG60</f>
        <v>双柏县鄂嘉镇麻旺村委会上丕坡</v>
      </c>
      <c r="AL286" s="165" t="str">
        <f>双柏!AH60</f>
        <v>2016/0718-0727</v>
      </c>
      <c r="AM286" s="165" t="str">
        <f>双柏!AI60</f>
        <v>2016/0718-0727</v>
      </c>
      <c r="AN286" s="165">
        <f>双柏!AJ60</f>
        <v>0</v>
      </c>
      <c r="AO286" s="165" t="str">
        <f>双柏!AK60</f>
        <v>2427.2353.2347</v>
      </c>
      <c r="AP286" s="263">
        <v>3</v>
      </c>
      <c r="AQ286" s="209">
        <f>双柏!AM60</f>
        <v>0</v>
      </c>
      <c r="AR286" s="295">
        <f>双柏!AN60</f>
        <v>0.6</v>
      </c>
      <c r="AS286" s="199" t="str">
        <f>双柏!AO60</f>
        <v>532322197610050550</v>
      </c>
      <c r="AT286" s="199" t="str">
        <f>双柏!AP60</f>
        <v>13529710376</v>
      </c>
    </row>
    <row r="287" spans="1:46">
      <c r="A287" t="s">
        <v>1921</v>
      </c>
      <c r="B287" s="202" t="str">
        <f>VLOOKUP(A287,databases!$A$2:$B$7, 2, FALSE)</f>
        <v>ShuangBai</v>
      </c>
      <c r="C287" s="165" t="str">
        <f>双柏!B61</f>
        <v>罗永良</v>
      </c>
      <c r="D287" s="202" t="str">
        <f>VLOOKUP(C287,databases!$D$2:$E$145, 2, FALSE)</f>
        <v>R112</v>
      </c>
      <c r="E287" s="259">
        <f>INDEX(sample_database!$B$2:$B$506,MATCH(F287,sample_database!$L$2:$L$506,0))</f>
        <v>10</v>
      </c>
      <c r="F287" s="202" t="str">
        <f>双柏!A61</f>
        <v>SB060</v>
      </c>
      <c r="G287" s="257">
        <f>双柏!C61</f>
        <v>5</v>
      </c>
      <c r="H287" s="257">
        <f>双柏!D61</f>
        <v>0</v>
      </c>
      <c r="I287" s="202">
        <f>双柏!E61</f>
        <v>100</v>
      </c>
      <c r="J287" s="202">
        <f>双柏!F61</f>
        <v>22</v>
      </c>
      <c r="K287" s="202">
        <f>双柏!G61</f>
        <v>21</v>
      </c>
      <c r="L287" s="202">
        <f>双柏!H61</f>
        <v>18</v>
      </c>
      <c r="M287" s="202">
        <f>双柏!I61</f>
        <v>16</v>
      </c>
      <c r="N287" s="202">
        <f>双柏!J61</f>
        <v>23</v>
      </c>
      <c r="O287" s="202">
        <f>双柏!K61</f>
        <v>0</v>
      </c>
      <c r="P287" s="202">
        <f>双柏!L61</f>
        <v>0</v>
      </c>
      <c r="Q287" s="202">
        <f>双柏!M61</f>
        <v>0</v>
      </c>
      <c r="R287" s="202">
        <f>双柏!N61</f>
        <v>0</v>
      </c>
      <c r="S287" s="202">
        <f>双柏!O61</f>
        <v>0</v>
      </c>
      <c r="T287" s="202">
        <f>双柏!P61</f>
        <v>0</v>
      </c>
      <c r="U287" s="202">
        <f>双柏!Q61</f>
        <v>0</v>
      </c>
      <c r="V287" s="202">
        <f>双柏!R61</f>
        <v>0</v>
      </c>
      <c r="W287" s="202">
        <f>双柏!S61</f>
        <v>0</v>
      </c>
      <c r="X287" s="202">
        <f>双柏!T61</f>
        <v>0</v>
      </c>
      <c r="Y287" s="202">
        <f>双柏!U61</f>
        <v>0</v>
      </c>
      <c r="Z287" s="202">
        <f>双柏!V61</f>
        <v>0</v>
      </c>
      <c r="AA287" s="202">
        <f>双柏!W61</f>
        <v>0</v>
      </c>
      <c r="AB287" s="202">
        <f>双柏!X61</f>
        <v>0</v>
      </c>
      <c r="AC287" s="202">
        <f>双柏!Y61</f>
        <v>0</v>
      </c>
      <c r="AD287" s="202">
        <f>双柏!Z61</f>
        <v>0</v>
      </c>
      <c r="AE287" s="202">
        <f>双柏!AA61</f>
        <v>0</v>
      </c>
      <c r="AF287" s="202">
        <f>双柏!AB61</f>
        <v>0</v>
      </c>
      <c r="AG287" s="202">
        <f>双柏!AC61</f>
        <v>0</v>
      </c>
      <c r="AH287" s="202">
        <f>双柏!AD61</f>
        <v>0</v>
      </c>
      <c r="AI287" s="202">
        <f>双柏!AE61</f>
        <v>0</v>
      </c>
      <c r="AJ287" s="202">
        <f>双柏!AF61</f>
        <v>0</v>
      </c>
      <c r="AK287" s="165" t="str">
        <f>双柏!AG61</f>
        <v>双柏县鄂嘉镇麻旺村委会上丕坡</v>
      </c>
      <c r="AL287" s="165" t="str">
        <f>双柏!AH61</f>
        <v>2016/0728-0806</v>
      </c>
      <c r="AM287" s="165" t="str">
        <f>双柏!AI61</f>
        <v>2016/0728-0806</v>
      </c>
      <c r="AN287" s="165">
        <f>双柏!AJ61</f>
        <v>0</v>
      </c>
      <c r="AO287" s="165" t="str">
        <f>双柏!AK61</f>
        <v>2565.5-2545.7-2488-2466.9-2428</v>
      </c>
      <c r="AP287" s="263">
        <v>12</v>
      </c>
      <c r="AQ287" s="209" t="str">
        <f>双柏!AM61</f>
        <v>0.9+0.5+0.5+0.5</v>
      </c>
      <c r="AR287" s="295">
        <f>双柏!AN61</f>
        <v>2.4</v>
      </c>
      <c r="AS287" s="199" t="str">
        <f>双柏!AO61</f>
        <v>532322197610050550</v>
      </c>
      <c r="AT287" s="199" t="str">
        <f>双柏!AP61</f>
        <v>13529710376</v>
      </c>
    </row>
    <row r="288" spans="1:46">
      <c r="A288" t="s">
        <v>1921</v>
      </c>
      <c r="B288" s="202" t="str">
        <f>VLOOKUP(A288,databases!$A$2:$B$7, 2, FALSE)</f>
        <v>ShuangBai</v>
      </c>
      <c r="C288" s="165" t="str">
        <f>双柏!B62</f>
        <v>罗永良</v>
      </c>
      <c r="D288" s="202" t="str">
        <f>VLOOKUP(C288,databases!$D$2:$E$145, 2, FALSE)</f>
        <v>R112</v>
      </c>
      <c r="E288" s="259">
        <f>INDEX(sample_database!$B$2:$B$506,MATCH(F288,sample_database!$L$2:$L$506,0))</f>
        <v>10</v>
      </c>
      <c r="F288" s="202" t="str">
        <f>双柏!A62</f>
        <v>SB061</v>
      </c>
      <c r="G288" s="257">
        <f>双柏!C62</f>
        <v>8</v>
      </c>
      <c r="H288" s="257">
        <f>双柏!D62</f>
        <v>0</v>
      </c>
      <c r="I288" s="202">
        <f>双柏!E62</f>
        <v>176</v>
      </c>
      <c r="J288" s="202">
        <f>双柏!F62</f>
        <v>27</v>
      </c>
      <c r="K288" s="202">
        <f>双柏!G62</f>
        <v>21</v>
      </c>
      <c r="L288" s="202">
        <f>双柏!H62</f>
        <v>21</v>
      </c>
      <c r="M288" s="202">
        <f>双柏!I62</f>
        <v>17</v>
      </c>
      <c r="N288" s="202">
        <f>双柏!J62</f>
        <v>25</v>
      </c>
      <c r="O288" s="202">
        <f>双柏!K62</f>
        <v>35</v>
      </c>
      <c r="P288" s="202">
        <f>双柏!L62</f>
        <v>15</v>
      </c>
      <c r="Q288" s="202">
        <f>双柏!M62</f>
        <v>15</v>
      </c>
      <c r="R288" s="202">
        <f>双柏!N62</f>
        <v>0</v>
      </c>
      <c r="S288" s="202">
        <f>双柏!O62</f>
        <v>0</v>
      </c>
      <c r="T288" s="202">
        <f>双柏!P62</f>
        <v>0</v>
      </c>
      <c r="U288" s="202">
        <f>双柏!Q62</f>
        <v>0</v>
      </c>
      <c r="V288" s="202">
        <f>双柏!R62</f>
        <v>0</v>
      </c>
      <c r="W288" s="202">
        <f>双柏!S62</f>
        <v>0</v>
      </c>
      <c r="X288" s="202">
        <f>双柏!T62</f>
        <v>0</v>
      </c>
      <c r="Y288" s="202">
        <f>双柏!U62</f>
        <v>0</v>
      </c>
      <c r="Z288" s="202">
        <f>双柏!V62</f>
        <v>0</v>
      </c>
      <c r="AA288" s="202">
        <f>双柏!W62</f>
        <v>0</v>
      </c>
      <c r="AB288" s="202">
        <f>双柏!X62</f>
        <v>0</v>
      </c>
      <c r="AC288" s="202">
        <f>双柏!Y62</f>
        <v>0</v>
      </c>
      <c r="AD288" s="202">
        <f>双柏!Z62</f>
        <v>0</v>
      </c>
      <c r="AE288" s="202">
        <f>双柏!AA62</f>
        <v>0</v>
      </c>
      <c r="AF288" s="202">
        <f>双柏!AB62</f>
        <v>0</v>
      </c>
      <c r="AG288" s="202">
        <f>双柏!AC62</f>
        <v>0</v>
      </c>
      <c r="AH288" s="202">
        <f>双柏!AD62</f>
        <v>0</v>
      </c>
      <c r="AI288" s="202">
        <f>双柏!AE62</f>
        <v>0</v>
      </c>
      <c r="AJ288" s="202">
        <f>双柏!AF62</f>
        <v>0</v>
      </c>
      <c r="AK288" s="165" t="str">
        <f>双柏!AG62</f>
        <v>双柏县鄂嘉镇麻旺村委会上丕坡</v>
      </c>
      <c r="AL288" s="165" t="str">
        <f>双柏!AH62</f>
        <v>2016/0807-0816</v>
      </c>
      <c r="AM288" s="165" t="str">
        <f>双柏!AI62</f>
        <v>2016/0807-0816</v>
      </c>
      <c r="AN288" s="165">
        <f>双柏!AJ62</f>
        <v>0</v>
      </c>
      <c r="AO288" s="165" t="str">
        <f>双柏!AK62</f>
        <v>2585-2363.9-2376-2457.7-2539.4-2427.4-2450-2463</v>
      </c>
      <c r="AP288" s="263">
        <v>37.5</v>
      </c>
      <c r="AQ288" s="209" t="str">
        <f>双柏!AM62</f>
        <v>1.1+2.5+1.5+1.5+0.9</v>
      </c>
      <c r="AR288" s="295">
        <f>双柏!AN62</f>
        <v>7.5</v>
      </c>
      <c r="AS288" s="199" t="str">
        <f>双柏!AO62</f>
        <v>532322197610050550</v>
      </c>
      <c r="AT288" s="199" t="str">
        <f>双柏!AP62</f>
        <v>13529710376</v>
      </c>
    </row>
    <row r="289" spans="1:46">
      <c r="A289" t="s">
        <v>1921</v>
      </c>
      <c r="B289" s="202" t="str">
        <f>VLOOKUP(A289,databases!$A$2:$B$7, 2, FALSE)</f>
        <v>ShuangBai</v>
      </c>
      <c r="C289" s="165" t="str">
        <f>双柏!B15</f>
        <v>郭万明</v>
      </c>
      <c r="D289" s="202" t="str">
        <f>VLOOKUP(C289,databases!$D$2:$E$145, 2, FALSE)</f>
        <v>R123</v>
      </c>
      <c r="E289" s="259">
        <f>INDEX(sample_database!$B$2:$B$506,MATCH(F289,sample_database!$L$2:$L$506,0))</f>
        <v>9</v>
      </c>
      <c r="F289" s="202" t="str">
        <f>双柏!A15</f>
        <v>SB014</v>
      </c>
      <c r="G289" s="257">
        <f>双柏!C15</f>
        <v>10</v>
      </c>
      <c r="H289" s="257">
        <f>双柏!D15</f>
        <v>0</v>
      </c>
      <c r="I289" s="202">
        <f>双柏!E15</f>
        <v>172</v>
      </c>
      <c r="J289" s="202">
        <f>双柏!F15</f>
        <v>18</v>
      </c>
      <c r="K289" s="202">
        <f>双柏!G15</f>
        <v>17</v>
      </c>
      <c r="L289" s="202">
        <f>双柏!H15</f>
        <v>17</v>
      </c>
      <c r="M289" s="202">
        <f>双柏!I15</f>
        <v>19</v>
      </c>
      <c r="N289" s="202">
        <f>双柏!J15</f>
        <v>23</v>
      </c>
      <c r="O289" s="202">
        <f>双柏!K15</f>
        <v>14</v>
      </c>
      <c r="P289" s="202">
        <f>双柏!L15</f>
        <v>17</v>
      </c>
      <c r="Q289" s="202">
        <f>双柏!M15</f>
        <v>19</v>
      </c>
      <c r="R289" s="202">
        <f>双柏!N15</f>
        <v>14</v>
      </c>
      <c r="S289" s="202">
        <f>双柏!O15</f>
        <v>14</v>
      </c>
      <c r="T289" s="202">
        <f>双柏!P15</f>
        <v>0</v>
      </c>
      <c r="U289" s="202">
        <f>双柏!Q15</f>
        <v>0</v>
      </c>
      <c r="V289" s="202">
        <f>双柏!R15</f>
        <v>0</v>
      </c>
      <c r="W289" s="202">
        <f>双柏!S15</f>
        <v>0</v>
      </c>
      <c r="X289" s="202">
        <f>双柏!T15</f>
        <v>0</v>
      </c>
      <c r="Y289" s="202">
        <f>双柏!U15</f>
        <v>0</v>
      </c>
      <c r="Z289" s="202">
        <f>双柏!V15</f>
        <v>0</v>
      </c>
      <c r="AA289" s="202">
        <f>双柏!W15</f>
        <v>0</v>
      </c>
      <c r="AB289" s="202">
        <f>双柏!X15</f>
        <v>0</v>
      </c>
      <c r="AC289" s="202">
        <f>双柏!Y15</f>
        <v>0</v>
      </c>
      <c r="AD289" s="202">
        <f>双柏!Z15</f>
        <v>0</v>
      </c>
      <c r="AE289" s="202">
        <f>双柏!AA15</f>
        <v>0</v>
      </c>
      <c r="AF289" s="202">
        <f>双柏!AB15</f>
        <v>0</v>
      </c>
      <c r="AG289" s="202">
        <f>双柏!AC15</f>
        <v>0</v>
      </c>
      <c r="AH289" s="202">
        <f>双柏!AD15</f>
        <v>0</v>
      </c>
      <c r="AI289" s="202">
        <f>双柏!AE15</f>
        <v>0</v>
      </c>
      <c r="AJ289" s="202">
        <f>双柏!AF15</f>
        <v>0</v>
      </c>
      <c r="AK289" s="165" t="str">
        <f>双柏!AG15</f>
        <v>双柏县鄂嘉镇麻旺村委会三岔河</v>
      </c>
      <c r="AL289" s="165" t="str">
        <f>双柏!AH15</f>
        <v>2016/0709-0718</v>
      </c>
      <c r="AM289" s="165" t="str">
        <f>双柏!AI15</f>
        <v>2016/0709-0718</v>
      </c>
      <c r="AN289" s="165">
        <f>双柏!AJ15</f>
        <v>0</v>
      </c>
      <c r="AO289" s="165" t="str">
        <f>双柏!AK15</f>
        <v>海拔2476 N24°28′29°04″，E101°5′18.53″</v>
      </c>
      <c r="AP289" s="263">
        <v>52.5</v>
      </c>
      <c r="AQ289" s="209" t="str">
        <f>双柏!AM15</f>
        <v>2+2.5+2+2+2</v>
      </c>
      <c r="AR289" s="295">
        <f>双柏!AN15</f>
        <v>10.5</v>
      </c>
      <c r="AS289" s="199" t="str">
        <f>双柏!AO15</f>
        <v>532322197306090515</v>
      </c>
      <c r="AT289" s="199" t="str">
        <f>双柏!AP15</f>
        <v>13368782547</v>
      </c>
    </row>
    <row r="290" spans="1:46">
      <c r="A290" t="s">
        <v>1921</v>
      </c>
      <c r="B290" s="202" t="str">
        <f>VLOOKUP(A290,databases!$A$2:$B$7, 2, FALSE)</f>
        <v>ShuangBai</v>
      </c>
      <c r="C290" s="165" t="str">
        <f>双柏!B16</f>
        <v>郭万明</v>
      </c>
      <c r="D290" s="202" t="str">
        <f>VLOOKUP(C290,databases!$D$2:$E$145, 2, FALSE)</f>
        <v>R123</v>
      </c>
      <c r="E290" s="259">
        <f>INDEX(sample_database!$B$2:$B$506,MATCH(F290,sample_database!$L$2:$L$506,0))</f>
        <v>9</v>
      </c>
      <c r="F290" s="202" t="str">
        <f>双柏!A16</f>
        <v>SB015</v>
      </c>
      <c r="G290" s="257">
        <f>双柏!C16</f>
        <v>10</v>
      </c>
      <c r="H290" s="257">
        <f>双柏!D16</f>
        <v>0</v>
      </c>
      <c r="I290" s="202">
        <f>双柏!E16</f>
        <v>237</v>
      </c>
      <c r="J290" s="202">
        <f>双柏!F16</f>
        <v>27</v>
      </c>
      <c r="K290" s="202">
        <f>双柏!G16</f>
        <v>26</v>
      </c>
      <c r="L290" s="202">
        <f>双柏!H16</f>
        <v>24</v>
      </c>
      <c r="M290" s="202">
        <f>双柏!I16</f>
        <v>34</v>
      </c>
      <c r="N290" s="202">
        <f>双柏!J16</f>
        <v>23</v>
      </c>
      <c r="O290" s="202">
        <f>双柏!K16</f>
        <v>20</v>
      </c>
      <c r="P290" s="202">
        <f>双柏!L16</f>
        <v>18</v>
      </c>
      <c r="Q290" s="202">
        <f>双柏!M16</f>
        <v>15</v>
      </c>
      <c r="R290" s="202">
        <f>双柏!N16</f>
        <v>25</v>
      </c>
      <c r="S290" s="202">
        <f>双柏!O16</f>
        <v>25</v>
      </c>
      <c r="T290" s="202">
        <f>双柏!P16</f>
        <v>0</v>
      </c>
      <c r="U290" s="202">
        <f>双柏!Q16</f>
        <v>0</v>
      </c>
      <c r="V290" s="202">
        <f>双柏!R16</f>
        <v>0</v>
      </c>
      <c r="W290" s="202">
        <f>双柏!S16</f>
        <v>0</v>
      </c>
      <c r="X290" s="202">
        <f>双柏!T16</f>
        <v>0</v>
      </c>
      <c r="Y290" s="202">
        <f>双柏!U16</f>
        <v>0</v>
      </c>
      <c r="Z290" s="202">
        <f>双柏!V16</f>
        <v>0</v>
      </c>
      <c r="AA290" s="202">
        <f>双柏!W16</f>
        <v>0</v>
      </c>
      <c r="AB290" s="202">
        <f>双柏!X16</f>
        <v>0</v>
      </c>
      <c r="AC290" s="202">
        <f>双柏!Y16</f>
        <v>0</v>
      </c>
      <c r="AD290" s="202">
        <f>双柏!Z16</f>
        <v>0</v>
      </c>
      <c r="AE290" s="202">
        <f>双柏!AA16</f>
        <v>0</v>
      </c>
      <c r="AF290" s="202">
        <f>双柏!AB16</f>
        <v>0</v>
      </c>
      <c r="AG290" s="202">
        <f>双柏!AC16</f>
        <v>0</v>
      </c>
      <c r="AH290" s="202">
        <f>双柏!AD16</f>
        <v>0</v>
      </c>
      <c r="AI290" s="202">
        <f>双柏!AE16</f>
        <v>0</v>
      </c>
      <c r="AJ290" s="202">
        <f>双柏!AF16</f>
        <v>0</v>
      </c>
      <c r="AK290" s="165" t="str">
        <f>双柏!AG16</f>
        <v>双柏县鄂嘉镇麻旺村委会三岔河</v>
      </c>
      <c r="AL290" s="165" t="str">
        <f>双柏!AH16</f>
        <v>2016/0719</v>
      </c>
      <c r="AM290" s="165" t="str">
        <f>双柏!AI16</f>
        <v>2016/0719</v>
      </c>
      <c r="AN290" s="165">
        <f>双柏!AJ16</f>
        <v>0</v>
      </c>
      <c r="AO290" s="165" t="str">
        <f>双柏!AK16</f>
        <v>海拔2811 N24°27′23.70″，E101°5′17.51″</v>
      </c>
      <c r="AP290" s="263">
        <v>55</v>
      </c>
      <c r="AQ290" s="209" t="str">
        <f>双柏!AM16</f>
        <v>2.5+2.5+2+2+2</v>
      </c>
      <c r="AR290" s="295">
        <f>双柏!AN16</f>
        <v>11</v>
      </c>
      <c r="AS290" s="199" t="str">
        <f>双柏!AO16</f>
        <v>532322197306090515</v>
      </c>
      <c r="AT290" s="199" t="str">
        <f>双柏!AP16</f>
        <v>13368782547</v>
      </c>
    </row>
    <row r="291" spans="1:46">
      <c r="A291" t="s">
        <v>1921</v>
      </c>
      <c r="B291" s="202" t="str">
        <f>VLOOKUP(A291,databases!$A$2:$B$7, 2, FALSE)</f>
        <v>ShuangBai</v>
      </c>
      <c r="C291" s="165" t="str">
        <f>双柏!B17</f>
        <v>郭万明</v>
      </c>
      <c r="D291" s="202" t="str">
        <f>VLOOKUP(C291,databases!$D$2:$E$145, 2, FALSE)</f>
        <v>R123</v>
      </c>
      <c r="E291" s="259">
        <f>INDEX(sample_database!$B$2:$B$506,MATCH(F291,sample_database!$L$2:$L$506,0))</f>
        <v>9</v>
      </c>
      <c r="F291" s="202" t="str">
        <f>双柏!A17</f>
        <v>SB016</v>
      </c>
      <c r="G291" s="257">
        <f>双柏!C17</f>
        <v>10</v>
      </c>
      <c r="H291" s="257">
        <f>双柏!D17</f>
        <v>0</v>
      </c>
      <c r="I291" s="202">
        <f>双柏!E17</f>
        <v>253</v>
      </c>
      <c r="J291" s="202">
        <f>双柏!F17</f>
        <v>30</v>
      </c>
      <c r="K291" s="202">
        <f>双柏!G17</f>
        <v>15</v>
      </c>
      <c r="L291" s="202">
        <f>双柏!H17</f>
        <v>20</v>
      </c>
      <c r="M291" s="202">
        <f>双柏!I17</f>
        <v>27</v>
      </c>
      <c r="N291" s="202">
        <f>双柏!J17</f>
        <v>38</v>
      </c>
      <c r="O291" s="202">
        <f>双柏!K17</f>
        <v>31</v>
      </c>
      <c r="P291" s="202">
        <f>双柏!L17</f>
        <v>29</v>
      </c>
      <c r="Q291" s="202">
        <f>双柏!M17</f>
        <v>14</v>
      </c>
      <c r="R291" s="202">
        <f>双柏!N17</f>
        <v>25</v>
      </c>
      <c r="S291" s="202">
        <f>双柏!O17</f>
        <v>24</v>
      </c>
      <c r="T291" s="202">
        <f>双柏!P17</f>
        <v>0</v>
      </c>
      <c r="U291" s="202">
        <f>双柏!Q17</f>
        <v>0</v>
      </c>
      <c r="V291" s="202">
        <f>双柏!R17</f>
        <v>0</v>
      </c>
      <c r="W291" s="202">
        <f>双柏!S17</f>
        <v>0</v>
      </c>
      <c r="X291" s="202">
        <f>双柏!T17</f>
        <v>0</v>
      </c>
      <c r="Y291" s="202">
        <f>双柏!U17</f>
        <v>0</v>
      </c>
      <c r="Z291" s="202">
        <f>双柏!V17</f>
        <v>0</v>
      </c>
      <c r="AA291" s="202">
        <f>双柏!W17</f>
        <v>0</v>
      </c>
      <c r="AB291" s="202">
        <f>双柏!X17</f>
        <v>0</v>
      </c>
      <c r="AC291" s="202">
        <f>双柏!Y17</f>
        <v>0</v>
      </c>
      <c r="AD291" s="202">
        <f>双柏!Z17</f>
        <v>0</v>
      </c>
      <c r="AE291" s="202">
        <f>双柏!AA17</f>
        <v>0</v>
      </c>
      <c r="AF291" s="202">
        <f>双柏!AB17</f>
        <v>0</v>
      </c>
      <c r="AG291" s="202">
        <f>双柏!AC17</f>
        <v>0</v>
      </c>
      <c r="AH291" s="202">
        <f>双柏!AD17</f>
        <v>0</v>
      </c>
      <c r="AI291" s="202">
        <f>双柏!AE17</f>
        <v>0</v>
      </c>
      <c r="AJ291" s="202">
        <f>双柏!AF17</f>
        <v>0</v>
      </c>
      <c r="AK291" s="165" t="str">
        <f>双柏!AG17</f>
        <v>双柏县鄂嘉镇麻旺村委会</v>
      </c>
      <c r="AL291" s="165" t="str">
        <f>双柏!AH17</f>
        <v>2016/0723</v>
      </c>
      <c r="AM291" s="165" t="str">
        <f>双柏!AI17</f>
        <v>2016/0723</v>
      </c>
      <c r="AN291" s="165">
        <f>双柏!AJ17</f>
        <v>0</v>
      </c>
      <c r="AO291" s="165" t="str">
        <f>双柏!AK17</f>
        <v>海拔2517 N23°25′27.65″，E102°54′10.78″</v>
      </c>
      <c r="AP291" s="263">
        <v>45.5</v>
      </c>
      <c r="AQ291" s="209" t="str">
        <f>双柏!AM17</f>
        <v>1.1+2+1.5+2+2.5</v>
      </c>
      <c r="AR291" s="295">
        <f>双柏!AN17</f>
        <v>9.1</v>
      </c>
      <c r="AS291" s="199" t="str">
        <f>双柏!AO17</f>
        <v>532322197306090515</v>
      </c>
      <c r="AT291" s="199" t="str">
        <f>双柏!AP17</f>
        <v>13368782547</v>
      </c>
    </row>
    <row r="292" spans="1:46">
      <c r="A292" t="s">
        <v>1921</v>
      </c>
      <c r="B292" s="202" t="str">
        <f>VLOOKUP(A292,databases!$A$2:$B$7, 2, FALSE)</f>
        <v>ShuangBai</v>
      </c>
      <c r="C292" s="165" t="str">
        <f>双柏!B18</f>
        <v>郭万明</v>
      </c>
      <c r="D292" s="202" t="str">
        <f>VLOOKUP(C292,databases!$D$2:$E$145, 2, FALSE)</f>
        <v>R123</v>
      </c>
      <c r="E292" s="259">
        <f>INDEX(sample_database!$B$2:$B$506,MATCH(F292,sample_database!$L$2:$L$506,0))</f>
        <v>9</v>
      </c>
      <c r="F292" s="202" t="str">
        <f>双柏!A18</f>
        <v>SB017</v>
      </c>
      <c r="G292" s="257">
        <f>双柏!C18</f>
        <v>10</v>
      </c>
      <c r="H292" s="257">
        <f>双柏!D18</f>
        <v>0</v>
      </c>
      <c r="I292" s="202">
        <f>双柏!E18</f>
        <v>210</v>
      </c>
      <c r="J292" s="202">
        <f>双柏!F18</f>
        <v>20</v>
      </c>
      <c r="K292" s="202">
        <f>双柏!G18</f>
        <v>26</v>
      </c>
      <c r="L292" s="202">
        <f>双柏!H18</f>
        <v>15</v>
      </c>
      <c r="M292" s="202">
        <f>双柏!I18</f>
        <v>34</v>
      </c>
      <c r="N292" s="202">
        <f>双柏!J18</f>
        <v>13</v>
      </c>
      <c r="O292" s="202">
        <f>双柏!K18</f>
        <v>22</v>
      </c>
      <c r="P292" s="202">
        <f>双柏!L18</f>
        <v>27</v>
      </c>
      <c r="Q292" s="202">
        <f>双柏!M18</f>
        <v>14</v>
      </c>
      <c r="R292" s="202">
        <f>双柏!N18</f>
        <v>19</v>
      </c>
      <c r="S292" s="202">
        <f>双柏!O18</f>
        <v>20</v>
      </c>
      <c r="T292" s="202">
        <f>双柏!P18</f>
        <v>0</v>
      </c>
      <c r="U292" s="202">
        <f>双柏!Q18</f>
        <v>0</v>
      </c>
      <c r="V292" s="202">
        <f>双柏!R18</f>
        <v>0</v>
      </c>
      <c r="W292" s="202">
        <f>双柏!S18</f>
        <v>0</v>
      </c>
      <c r="X292" s="202">
        <f>双柏!T18</f>
        <v>0</v>
      </c>
      <c r="Y292" s="202">
        <f>双柏!U18</f>
        <v>0</v>
      </c>
      <c r="Z292" s="202">
        <f>双柏!V18</f>
        <v>0</v>
      </c>
      <c r="AA292" s="202">
        <f>双柏!W18</f>
        <v>0</v>
      </c>
      <c r="AB292" s="202">
        <f>双柏!X18</f>
        <v>0</v>
      </c>
      <c r="AC292" s="202">
        <f>双柏!Y18</f>
        <v>0</v>
      </c>
      <c r="AD292" s="202">
        <f>双柏!Z18</f>
        <v>0</v>
      </c>
      <c r="AE292" s="202">
        <f>双柏!AA18</f>
        <v>0</v>
      </c>
      <c r="AF292" s="202">
        <f>双柏!AB18</f>
        <v>0</v>
      </c>
      <c r="AG292" s="202">
        <f>双柏!AC18</f>
        <v>0</v>
      </c>
      <c r="AH292" s="202">
        <f>双柏!AD18</f>
        <v>0</v>
      </c>
      <c r="AI292" s="202">
        <f>双柏!AE18</f>
        <v>0</v>
      </c>
      <c r="AJ292" s="202">
        <f>双柏!AF18</f>
        <v>0</v>
      </c>
      <c r="AK292" s="165" t="str">
        <f>双柏!AG18</f>
        <v>双柏县鄂嘉镇麻旺村委会</v>
      </c>
      <c r="AL292" s="165" t="str">
        <f>双柏!AH18</f>
        <v>2016/0726</v>
      </c>
      <c r="AM292" s="165" t="str">
        <f>双柏!AI18</f>
        <v>2016/0726</v>
      </c>
      <c r="AN292" s="165">
        <f>双柏!AJ18</f>
        <v>0</v>
      </c>
      <c r="AO292" s="165" t="str">
        <f>双柏!AK18</f>
        <v>海拔2412 N24°27′38.47″，E101°54′65″</v>
      </c>
      <c r="AP292" s="263">
        <v>60</v>
      </c>
      <c r="AQ292" s="209" t="str">
        <f>双柏!AM18</f>
        <v>2.5+2.5+2.5+2.5+2</v>
      </c>
      <c r="AR292" s="295">
        <f>双柏!AN18</f>
        <v>12</v>
      </c>
      <c r="AS292" s="199" t="str">
        <f>双柏!AO18</f>
        <v>532322197306090515</v>
      </c>
      <c r="AT292" s="199" t="str">
        <f>双柏!AP18</f>
        <v>13368782547</v>
      </c>
    </row>
    <row r="293" spans="1:46">
      <c r="A293" t="s">
        <v>1921</v>
      </c>
      <c r="B293" s="202" t="str">
        <f>VLOOKUP(A293,databases!$A$2:$B$7, 2, FALSE)</f>
        <v>ShuangBai</v>
      </c>
      <c r="C293" s="165" t="str">
        <f>双柏!B44</f>
        <v>郭存义</v>
      </c>
      <c r="D293" s="202" t="str">
        <f>VLOOKUP(C293,databases!$D$2:$E$145, 2, FALSE)</f>
        <v>R124</v>
      </c>
      <c r="E293" s="259">
        <f>INDEX(sample_database!$B$2:$B$506,MATCH(F293,sample_database!$L$2:$L$506,0))</f>
        <v>19</v>
      </c>
      <c r="F293" s="202" t="str">
        <f>双柏!A44</f>
        <v>SB043</v>
      </c>
      <c r="G293" s="257">
        <f>双柏!C44</f>
        <v>10</v>
      </c>
      <c r="H293" s="257">
        <f>双柏!D44</f>
        <v>0</v>
      </c>
      <c r="I293" s="202">
        <f>双柏!E44</f>
        <v>16</v>
      </c>
      <c r="J293" s="202">
        <f>双柏!F44</f>
        <v>1</v>
      </c>
      <c r="K293" s="202">
        <f>双柏!G44</f>
        <v>1</v>
      </c>
      <c r="L293" s="202">
        <f>双柏!H44</f>
        <v>2</v>
      </c>
      <c r="M293" s="202">
        <f>双柏!I44</f>
        <v>1</v>
      </c>
      <c r="N293" s="202">
        <f>双柏!J44</f>
        <v>1</v>
      </c>
      <c r="O293" s="202">
        <f>双柏!K44</f>
        <v>3</v>
      </c>
      <c r="P293" s="202">
        <f>双柏!L44</f>
        <v>3</v>
      </c>
      <c r="Q293" s="202">
        <f>双柏!M44</f>
        <v>1</v>
      </c>
      <c r="R293" s="202">
        <f>双柏!N44</f>
        <v>1</v>
      </c>
      <c r="S293" s="202">
        <f>双柏!O44</f>
        <v>2</v>
      </c>
      <c r="T293" s="202">
        <f>双柏!P44</f>
        <v>0</v>
      </c>
      <c r="U293" s="202">
        <f>双柏!Q44</f>
        <v>0</v>
      </c>
      <c r="V293" s="202">
        <f>双柏!R44</f>
        <v>0</v>
      </c>
      <c r="W293" s="202">
        <f>双柏!S44</f>
        <v>0</v>
      </c>
      <c r="X293" s="202">
        <f>双柏!T44</f>
        <v>0</v>
      </c>
      <c r="Y293" s="202">
        <f>双柏!U44</f>
        <v>0</v>
      </c>
      <c r="Z293" s="202">
        <f>双柏!V44</f>
        <v>0</v>
      </c>
      <c r="AA293" s="202">
        <f>双柏!W44</f>
        <v>0</v>
      </c>
      <c r="AB293" s="202">
        <f>双柏!X44</f>
        <v>0</v>
      </c>
      <c r="AC293" s="202">
        <f>双柏!Y44</f>
        <v>0</v>
      </c>
      <c r="AD293" s="202">
        <f>双柏!Z44</f>
        <v>0</v>
      </c>
      <c r="AE293" s="202">
        <f>双柏!AA44</f>
        <v>0</v>
      </c>
      <c r="AF293" s="202">
        <f>双柏!AB44</f>
        <v>0</v>
      </c>
      <c r="AG293" s="202">
        <f>双柏!AC44</f>
        <v>0</v>
      </c>
      <c r="AH293" s="202">
        <f>双柏!AD44</f>
        <v>0</v>
      </c>
      <c r="AI293" s="202">
        <f>双柏!AE44</f>
        <v>0</v>
      </c>
      <c r="AJ293" s="202">
        <f>双柏!AF44</f>
        <v>0</v>
      </c>
      <c r="AK293" s="165" t="str">
        <f>双柏!AG44</f>
        <v>双柏县老厂三岔河村</v>
      </c>
      <c r="AL293" s="165" t="str">
        <f>双柏!AH44</f>
        <v>2016/0809</v>
      </c>
      <c r="AM293" s="165" t="str">
        <f>双柏!AI44</f>
        <v>2016/0809</v>
      </c>
      <c r="AN293" s="165">
        <f>双柏!AJ44</f>
        <v>0</v>
      </c>
      <c r="AO293" s="165">
        <f>双柏!AK44</f>
        <v>0</v>
      </c>
      <c r="AP293" s="263">
        <v>4</v>
      </c>
      <c r="AQ293" s="209">
        <f>双柏!AM44</f>
        <v>0</v>
      </c>
      <c r="AR293" s="295">
        <f>双柏!AN44</f>
        <v>0.8</v>
      </c>
      <c r="AS293" s="199" t="str">
        <f>双柏!AO44</f>
        <v>53232219721207053X</v>
      </c>
      <c r="AT293" s="199" t="str">
        <f>双柏!AP44</f>
        <v>15987861510</v>
      </c>
    </row>
    <row r="294" spans="1:46">
      <c r="A294" t="s">
        <v>1921</v>
      </c>
      <c r="B294" s="202" t="str">
        <f>VLOOKUP(A294,databases!$A$2:$B$7, 2, FALSE)</f>
        <v>ShuangBai</v>
      </c>
      <c r="C294" s="165" t="str">
        <f>双柏!B45</f>
        <v>郭存义</v>
      </c>
      <c r="D294" s="202" t="str">
        <f>VLOOKUP(C294,databases!$D$2:$E$145, 2, FALSE)</f>
        <v>R124</v>
      </c>
      <c r="E294" s="259">
        <f>INDEX(sample_database!$B$2:$B$506,MATCH(F294,sample_database!$L$2:$L$506,0))</f>
        <v>19</v>
      </c>
      <c r="F294" s="202" t="str">
        <f>双柏!A45</f>
        <v>SB044</v>
      </c>
      <c r="G294" s="257">
        <f>双柏!C45</f>
        <v>10</v>
      </c>
      <c r="H294" s="257">
        <f>双柏!D45</f>
        <v>0</v>
      </c>
      <c r="I294" s="202">
        <f>双柏!E45</f>
        <v>23</v>
      </c>
      <c r="J294" s="202">
        <f>双柏!F45</f>
        <v>3</v>
      </c>
      <c r="K294" s="202">
        <f>双柏!G45</f>
        <v>2</v>
      </c>
      <c r="L294" s="202">
        <f>双柏!H45</f>
        <v>2</v>
      </c>
      <c r="M294" s="202">
        <f>双柏!I45</f>
        <v>3</v>
      </c>
      <c r="N294" s="202">
        <f>双柏!J45</f>
        <v>2</v>
      </c>
      <c r="O294" s="202">
        <f>双柏!K45</f>
        <v>2</v>
      </c>
      <c r="P294" s="202">
        <f>双柏!L45</f>
        <v>2</v>
      </c>
      <c r="Q294" s="202">
        <f>双柏!M45</f>
        <v>2</v>
      </c>
      <c r="R294" s="202">
        <f>双柏!N45</f>
        <v>3</v>
      </c>
      <c r="S294" s="202">
        <f>双柏!O45</f>
        <v>2</v>
      </c>
      <c r="T294" s="202">
        <f>双柏!P45</f>
        <v>0</v>
      </c>
      <c r="U294" s="202">
        <f>双柏!Q45</f>
        <v>0</v>
      </c>
      <c r="V294" s="202">
        <f>双柏!R45</f>
        <v>0</v>
      </c>
      <c r="W294" s="202">
        <f>双柏!S45</f>
        <v>0</v>
      </c>
      <c r="X294" s="202">
        <f>双柏!T45</f>
        <v>0</v>
      </c>
      <c r="Y294" s="202">
        <f>双柏!U45</f>
        <v>0</v>
      </c>
      <c r="Z294" s="202">
        <f>双柏!V45</f>
        <v>0</v>
      </c>
      <c r="AA294" s="202">
        <f>双柏!W45</f>
        <v>0</v>
      </c>
      <c r="AB294" s="202">
        <f>双柏!X45</f>
        <v>0</v>
      </c>
      <c r="AC294" s="202">
        <f>双柏!Y45</f>
        <v>0</v>
      </c>
      <c r="AD294" s="202">
        <f>双柏!Z45</f>
        <v>0</v>
      </c>
      <c r="AE294" s="202">
        <f>双柏!AA45</f>
        <v>0</v>
      </c>
      <c r="AF294" s="202">
        <f>双柏!AB45</f>
        <v>0</v>
      </c>
      <c r="AG294" s="202">
        <f>双柏!AC45</f>
        <v>0</v>
      </c>
      <c r="AH294" s="202">
        <f>双柏!AD45</f>
        <v>0</v>
      </c>
      <c r="AI294" s="202">
        <f>双柏!AE45</f>
        <v>0</v>
      </c>
      <c r="AJ294" s="202">
        <f>双柏!AF45</f>
        <v>0</v>
      </c>
      <c r="AK294" s="165" t="str">
        <f>双柏!AG45</f>
        <v>双柏县老厂三岔河村</v>
      </c>
      <c r="AL294" s="165" t="str">
        <f>双柏!AH45</f>
        <v>2016/0812</v>
      </c>
      <c r="AM294" s="165" t="str">
        <f>双柏!AI45</f>
        <v>2016/0812</v>
      </c>
      <c r="AN294" s="165">
        <f>双柏!AJ45</f>
        <v>0</v>
      </c>
      <c r="AO294" s="165">
        <f>双柏!AK45</f>
        <v>0</v>
      </c>
      <c r="AP294" s="263">
        <v>5</v>
      </c>
      <c r="AQ294" s="209">
        <f>双柏!AM45</f>
        <v>0</v>
      </c>
      <c r="AR294" s="295">
        <f>双柏!AN45</f>
        <v>1</v>
      </c>
      <c r="AS294" s="199" t="str">
        <f>双柏!AO45</f>
        <v>53232219721207053X</v>
      </c>
      <c r="AT294" s="199" t="str">
        <f>双柏!AP45</f>
        <v>15987861510</v>
      </c>
    </row>
    <row r="295" spans="1:46">
      <c r="A295" t="s">
        <v>1921</v>
      </c>
      <c r="B295" s="202" t="str">
        <f>VLOOKUP(A295,databases!$A$2:$B$7, 2, FALSE)</f>
        <v>ShuangBai</v>
      </c>
      <c r="C295" s="165" t="str">
        <f>双柏!B46</f>
        <v>郭存义</v>
      </c>
      <c r="D295" s="202" t="str">
        <f>VLOOKUP(C295,databases!$D$2:$E$145, 2, FALSE)</f>
        <v>R124</v>
      </c>
      <c r="E295" s="259">
        <f>INDEX(sample_database!$B$2:$B$506,MATCH(F295,sample_database!$L$2:$L$506,0))</f>
        <v>19</v>
      </c>
      <c r="F295" s="202" t="str">
        <f>双柏!A46</f>
        <v>SB045</v>
      </c>
      <c r="G295" s="257">
        <f>双柏!C46</f>
        <v>9</v>
      </c>
      <c r="H295" s="257">
        <f>双柏!D46</f>
        <v>0</v>
      </c>
      <c r="I295" s="202">
        <f>双柏!E46</f>
        <v>23</v>
      </c>
      <c r="J295" s="202">
        <f>双柏!F46</f>
        <v>2</v>
      </c>
      <c r="K295" s="202">
        <f>双柏!G46</f>
        <v>3</v>
      </c>
      <c r="L295" s="202">
        <f>双柏!H46</f>
        <v>3</v>
      </c>
      <c r="M295" s="202">
        <f>双柏!I46</f>
        <v>3</v>
      </c>
      <c r="N295" s="202">
        <f>双柏!J46</f>
        <v>3</v>
      </c>
      <c r="O295" s="202">
        <f>双柏!K46</f>
        <v>1</v>
      </c>
      <c r="P295" s="202">
        <f>双柏!L46</f>
        <v>2</v>
      </c>
      <c r="Q295" s="202">
        <f>双柏!M46</f>
        <v>3</v>
      </c>
      <c r="R295" s="202">
        <f>双柏!N46</f>
        <v>3</v>
      </c>
      <c r="S295" s="202">
        <f>双柏!O46</f>
        <v>0</v>
      </c>
      <c r="T295" s="202">
        <f>双柏!P46</f>
        <v>0</v>
      </c>
      <c r="U295" s="202">
        <f>双柏!Q46</f>
        <v>0</v>
      </c>
      <c r="V295" s="202">
        <f>双柏!R46</f>
        <v>0</v>
      </c>
      <c r="W295" s="202">
        <f>双柏!S46</f>
        <v>0</v>
      </c>
      <c r="X295" s="202">
        <f>双柏!T46</f>
        <v>0</v>
      </c>
      <c r="Y295" s="202">
        <f>双柏!U46</f>
        <v>0</v>
      </c>
      <c r="Z295" s="202">
        <f>双柏!V46</f>
        <v>0</v>
      </c>
      <c r="AA295" s="202">
        <f>双柏!W46</f>
        <v>0</v>
      </c>
      <c r="AB295" s="202">
        <f>双柏!X46</f>
        <v>0</v>
      </c>
      <c r="AC295" s="202">
        <f>双柏!Y46</f>
        <v>0</v>
      </c>
      <c r="AD295" s="202">
        <f>双柏!Z46</f>
        <v>0</v>
      </c>
      <c r="AE295" s="202">
        <f>双柏!AA46</f>
        <v>0</v>
      </c>
      <c r="AF295" s="202">
        <f>双柏!AB46</f>
        <v>0</v>
      </c>
      <c r="AG295" s="202">
        <f>双柏!AC46</f>
        <v>0</v>
      </c>
      <c r="AH295" s="202">
        <f>双柏!AD46</f>
        <v>0</v>
      </c>
      <c r="AI295" s="202">
        <f>双柏!AE46</f>
        <v>0</v>
      </c>
      <c r="AJ295" s="202">
        <f>双柏!AF46</f>
        <v>0</v>
      </c>
      <c r="AK295" s="165" t="str">
        <f>双柏!AG46</f>
        <v>双柏县老厂三岔河村</v>
      </c>
      <c r="AL295" s="165" t="str">
        <f>双柏!AH46</f>
        <v>2016/0814</v>
      </c>
      <c r="AM295" s="165" t="str">
        <f>双柏!AI46</f>
        <v>2016/0814</v>
      </c>
      <c r="AN295" s="165">
        <f>双柏!AJ46</f>
        <v>0</v>
      </c>
      <c r="AO295" s="165">
        <f>双柏!AK46</f>
        <v>0</v>
      </c>
      <c r="AP295" s="263">
        <v>2.5</v>
      </c>
      <c r="AQ295" s="209">
        <f>双柏!AM46</f>
        <v>0</v>
      </c>
      <c r="AR295" s="295">
        <f>双柏!AN46</f>
        <v>0.5</v>
      </c>
      <c r="AS295" s="199" t="str">
        <f>双柏!AO46</f>
        <v>53232219721207053X</v>
      </c>
      <c r="AT295" s="199" t="str">
        <f>双柏!AP46</f>
        <v>15987861510</v>
      </c>
    </row>
    <row r="296" spans="1:46">
      <c r="A296" t="s">
        <v>1921</v>
      </c>
      <c r="B296" s="202" t="str">
        <f>VLOOKUP(A296,databases!$A$2:$B$7, 2, FALSE)</f>
        <v>ShuangBai</v>
      </c>
      <c r="C296" s="165" t="str">
        <f>双柏!B47</f>
        <v>郭存义</v>
      </c>
      <c r="D296" s="202" t="str">
        <f>VLOOKUP(C296,databases!$D$2:$E$145, 2, FALSE)</f>
        <v>R124</v>
      </c>
      <c r="E296" s="259">
        <f>INDEX(sample_database!$B$2:$B$506,MATCH(F296,sample_database!$L$2:$L$506,0))</f>
        <v>19</v>
      </c>
      <c r="F296" s="202" t="str">
        <f>双柏!A47</f>
        <v>SB046</v>
      </c>
      <c r="G296" s="257">
        <f>双柏!C47</f>
        <v>10</v>
      </c>
      <c r="H296" s="257">
        <f>双柏!D47</f>
        <v>0</v>
      </c>
      <c r="I296" s="202">
        <f>双柏!E47</f>
        <v>24</v>
      </c>
      <c r="J296" s="202">
        <f>双柏!F47</f>
        <v>3</v>
      </c>
      <c r="K296" s="202">
        <f>双柏!G47</f>
        <v>2</v>
      </c>
      <c r="L296" s="202">
        <f>双柏!H47</f>
        <v>3</v>
      </c>
      <c r="M296" s="202">
        <f>双柏!I47</f>
        <v>1</v>
      </c>
      <c r="N296" s="202">
        <f>双柏!J47</f>
        <v>2</v>
      </c>
      <c r="O296" s="202">
        <f>双柏!K47</f>
        <v>3</v>
      </c>
      <c r="P296" s="202">
        <f>双柏!L47</f>
        <v>2</v>
      </c>
      <c r="Q296" s="202">
        <f>双柏!M47</f>
        <v>3</v>
      </c>
      <c r="R296" s="202">
        <f>双柏!N47</f>
        <v>3</v>
      </c>
      <c r="S296" s="202">
        <f>双柏!O47</f>
        <v>2</v>
      </c>
      <c r="T296" s="202">
        <f>双柏!P47</f>
        <v>0</v>
      </c>
      <c r="U296" s="202">
        <f>双柏!Q47</f>
        <v>0</v>
      </c>
      <c r="V296" s="202">
        <f>双柏!R47</f>
        <v>0</v>
      </c>
      <c r="W296" s="202">
        <f>双柏!S47</f>
        <v>0</v>
      </c>
      <c r="X296" s="202">
        <f>双柏!T47</f>
        <v>0</v>
      </c>
      <c r="Y296" s="202">
        <f>双柏!U47</f>
        <v>0</v>
      </c>
      <c r="Z296" s="202">
        <f>双柏!V47</f>
        <v>0</v>
      </c>
      <c r="AA296" s="202">
        <f>双柏!W47</f>
        <v>0</v>
      </c>
      <c r="AB296" s="202">
        <f>双柏!X47</f>
        <v>0</v>
      </c>
      <c r="AC296" s="202">
        <f>双柏!Y47</f>
        <v>0</v>
      </c>
      <c r="AD296" s="202">
        <f>双柏!Z47</f>
        <v>0</v>
      </c>
      <c r="AE296" s="202">
        <f>双柏!AA47</f>
        <v>0</v>
      </c>
      <c r="AF296" s="202">
        <f>双柏!AB47</f>
        <v>0</v>
      </c>
      <c r="AG296" s="202">
        <f>双柏!AC47</f>
        <v>0</v>
      </c>
      <c r="AH296" s="202">
        <f>双柏!AD47</f>
        <v>0</v>
      </c>
      <c r="AI296" s="202">
        <f>双柏!AE47</f>
        <v>0</v>
      </c>
      <c r="AJ296" s="202">
        <f>双柏!AF47</f>
        <v>0</v>
      </c>
      <c r="AK296" s="165" t="str">
        <f>双柏!AG47</f>
        <v>双柏县老厂三岔河村</v>
      </c>
      <c r="AL296" s="165" t="str">
        <f>双柏!AH47</f>
        <v>2016/0820</v>
      </c>
      <c r="AM296" s="165" t="str">
        <f>双柏!AI47</f>
        <v>2016/0820</v>
      </c>
      <c r="AN296" s="165">
        <f>双柏!AJ47</f>
        <v>0</v>
      </c>
      <c r="AO296" s="165">
        <f>双柏!AK47</f>
        <v>0</v>
      </c>
      <c r="AP296" s="263">
        <v>4</v>
      </c>
      <c r="AQ296" s="209">
        <f>双柏!AM47</f>
        <v>0</v>
      </c>
      <c r="AR296" s="295">
        <f>双柏!AN47</f>
        <v>0.8</v>
      </c>
      <c r="AS296" s="199" t="str">
        <f>双柏!AO47</f>
        <v>53232219721207053X</v>
      </c>
      <c r="AT296" s="199" t="str">
        <f>双柏!AP47</f>
        <v>15987861510</v>
      </c>
    </row>
    <row r="297" spans="1:46">
      <c r="A297" t="s">
        <v>1921</v>
      </c>
      <c r="B297" s="202" t="str">
        <f>VLOOKUP(A297,databases!$A$2:$B$7, 2, FALSE)</f>
        <v>ShuangBai</v>
      </c>
      <c r="C297" s="165" t="str">
        <f>双柏!B48</f>
        <v>郭存义</v>
      </c>
      <c r="D297" s="202" t="str">
        <f>VLOOKUP(C297,databases!$D$2:$E$145, 2, FALSE)</f>
        <v>R124</v>
      </c>
      <c r="E297" s="259">
        <f>INDEX(sample_database!$B$2:$B$506,MATCH(F297,sample_database!$L$2:$L$506,0))</f>
        <v>19</v>
      </c>
      <c r="F297" s="202" t="str">
        <f>双柏!A48</f>
        <v>SB047</v>
      </c>
      <c r="G297" s="257">
        <f>双柏!C48</f>
        <v>0</v>
      </c>
      <c r="H297" s="257">
        <f>双柏!D48</f>
        <v>15</v>
      </c>
      <c r="I297" s="202">
        <f>双柏!E48</f>
        <v>39</v>
      </c>
      <c r="J297" s="202">
        <f>双柏!F48</f>
        <v>3</v>
      </c>
      <c r="K297" s="202">
        <f>双柏!G48</f>
        <v>2</v>
      </c>
      <c r="L297" s="202">
        <f>双柏!H48</f>
        <v>1</v>
      </c>
      <c r="M297" s="202">
        <f>双柏!I48</f>
        <v>3</v>
      </c>
      <c r="N297" s="202">
        <f>双柏!J48</f>
        <v>2</v>
      </c>
      <c r="O297" s="202">
        <f>双柏!K48</f>
        <v>2</v>
      </c>
      <c r="P297" s="202">
        <f>双柏!L48</f>
        <v>4</v>
      </c>
      <c r="Q297" s="202">
        <f>双柏!M48</f>
        <v>2</v>
      </c>
      <c r="R297" s="202">
        <f>双柏!N48</f>
        <v>4</v>
      </c>
      <c r="S297" s="202">
        <f>双柏!O48</f>
        <v>5</v>
      </c>
      <c r="T297" s="202">
        <f>双柏!P48</f>
        <v>3</v>
      </c>
      <c r="U297" s="202">
        <f>双柏!Q48</f>
        <v>2</v>
      </c>
      <c r="V297" s="202">
        <f>双柏!R48</f>
        <v>1</v>
      </c>
      <c r="W297" s="202">
        <f>双柏!S48</f>
        <v>2</v>
      </c>
      <c r="X297" s="202">
        <f>双柏!T48</f>
        <v>3</v>
      </c>
      <c r="Y297" s="202">
        <f>双柏!U48</f>
        <v>0</v>
      </c>
      <c r="Z297" s="202">
        <f>双柏!V48</f>
        <v>0</v>
      </c>
      <c r="AA297" s="202">
        <f>双柏!W48</f>
        <v>0</v>
      </c>
      <c r="AB297" s="202">
        <f>双柏!X48</f>
        <v>0</v>
      </c>
      <c r="AC297" s="202">
        <f>双柏!Y48</f>
        <v>0</v>
      </c>
      <c r="AD297" s="202">
        <f>双柏!Z48</f>
        <v>0</v>
      </c>
      <c r="AE297" s="202">
        <f>双柏!AA48</f>
        <v>0</v>
      </c>
      <c r="AF297" s="202">
        <f>双柏!AB48</f>
        <v>0</v>
      </c>
      <c r="AG297" s="202">
        <f>双柏!AC48</f>
        <v>0</v>
      </c>
      <c r="AH297" s="202">
        <f>双柏!AD48</f>
        <v>0</v>
      </c>
      <c r="AI297" s="202">
        <f>双柏!AE48</f>
        <v>0</v>
      </c>
      <c r="AJ297" s="202">
        <f>双柏!AF48</f>
        <v>0</v>
      </c>
      <c r="AK297" s="165" t="str">
        <f>双柏!AG48</f>
        <v>双柏县老厂三岔河村</v>
      </c>
      <c r="AL297" s="165" t="str">
        <f>双柏!AH48</f>
        <v>2016/0816</v>
      </c>
      <c r="AM297" s="165" t="str">
        <f>双柏!AI48</f>
        <v>2016/0816</v>
      </c>
      <c r="AN297" s="165">
        <f>双柏!AJ48</f>
        <v>0</v>
      </c>
      <c r="AO297" s="165">
        <f>双柏!AK48</f>
        <v>0</v>
      </c>
      <c r="AP297" s="263">
        <v>5</v>
      </c>
      <c r="AQ297" s="209">
        <f>双柏!AM48</f>
        <v>0</v>
      </c>
      <c r="AR297" s="295">
        <f>双柏!AN48</f>
        <v>1</v>
      </c>
      <c r="AS297" s="199" t="str">
        <f>双柏!AO48</f>
        <v>53232219721207053X</v>
      </c>
      <c r="AT297" s="199" t="str">
        <f>双柏!AP48</f>
        <v>15987861510</v>
      </c>
    </row>
    <row r="298" spans="1:46">
      <c r="A298" t="s">
        <v>1921</v>
      </c>
      <c r="B298" s="202" t="str">
        <f>VLOOKUP(A298,databases!$A$2:$B$7, 2, FALSE)</f>
        <v>ShuangBai</v>
      </c>
      <c r="C298" s="165" t="str">
        <f>双柏!B88</f>
        <v>郭存寿&amp;王培有</v>
      </c>
      <c r="D298" s="202" t="str">
        <f>VLOOKUP(C298,databases!$D$2:$E$145, 2, FALSE)</f>
        <v>R125</v>
      </c>
      <c r="E298" s="259">
        <f>INDEX(sample_database!$B$2:$B$506,MATCH(F298,sample_database!$L$2:$L$506,0))</f>
        <v>17</v>
      </c>
      <c r="F298" s="202" t="str">
        <f>双柏!A88</f>
        <v>SB087</v>
      </c>
      <c r="G298" s="257">
        <f>双柏!C88</f>
        <v>4</v>
      </c>
      <c r="H298" s="257">
        <f>双柏!D88</f>
        <v>0</v>
      </c>
      <c r="I298" s="202">
        <f>双柏!E88</f>
        <v>20</v>
      </c>
      <c r="J298" s="202">
        <f>双柏!F88</f>
        <v>4</v>
      </c>
      <c r="K298" s="202">
        <f>双柏!G88</f>
        <v>6</v>
      </c>
      <c r="L298" s="202">
        <f>双柏!H88</f>
        <v>5</v>
      </c>
      <c r="M298" s="202">
        <f>双柏!I88</f>
        <v>5</v>
      </c>
      <c r="N298" s="202">
        <f>双柏!J88</f>
        <v>0</v>
      </c>
      <c r="O298" s="202">
        <f>双柏!K88</f>
        <v>0</v>
      </c>
      <c r="P298" s="202">
        <f>双柏!L88</f>
        <v>0</v>
      </c>
      <c r="Q298" s="202">
        <f>双柏!M88</f>
        <v>0</v>
      </c>
      <c r="R298" s="202">
        <f>双柏!N88</f>
        <v>0</v>
      </c>
      <c r="S298" s="202">
        <f>双柏!O88</f>
        <v>0</v>
      </c>
      <c r="T298" s="202">
        <f>双柏!P88</f>
        <v>0</v>
      </c>
      <c r="U298" s="202">
        <f>双柏!Q88</f>
        <v>0</v>
      </c>
      <c r="V298" s="202">
        <f>双柏!R88</f>
        <v>0</v>
      </c>
      <c r="W298" s="202">
        <f>双柏!S88</f>
        <v>0</v>
      </c>
      <c r="X298" s="202">
        <f>双柏!T88</f>
        <v>0</v>
      </c>
      <c r="Y298" s="202">
        <f>双柏!U88</f>
        <v>0</v>
      </c>
      <c r="Z298" s="202">
        <f>双柏!V88</f>
        <v>0</v>
      </c>
      <c r="AA298" s="202">
        <f>双柏!W88</f>
        <v>0</v>
      </c>
      <c r="AB298" s="202">
        <f>双柏!X88</f>
        <v>0</v>
      </c>
      <c r="AC298" s="202">
        <f>双柏!Y88</f>
        <v>0</v>
      </c>
      <c r="AD298" s="202">
        <f>双柏!Z88</f>
        <v>0</v>
      </c>
      <c r="AE298" s="202">
        <f>双柏!AA88</f>
        <v>0</v>
      </c>
      <c r="AF298" s="202">
        <f>双柏!AB88</f>
        <v>0</v>
      </c>
      <c r="AG298" s="202">
        <f>双柏!AC88</f>
        <v>0</v>
      </c>
      <c r="AH298" s="202">
        <f>双柏!AD88</f>
        <v>0</v>
      </c>
      <c r="AI298" s="202">
        <f>双柏!AE88</f>
        <v>0</v>
      </c>
      <c r="AJ298" s="202">
        <f>双柏!AF88</f>
        <v>0</v>
      </c>
      <c r="AK298" s="165" t="str">
        <f>双柏!AG88</f>
        <v>双柏县鄂嘉镇老厂村委会杏子树</v>
      </c>
      <c r="AL298" s="165" t="str">
        <f>双柏!AH88</f>
        <v>2016/0718</v>
      </c>
      <c r="AM298" s="165" t="str">
        <f>双柏!AI88</f>
        <v>2016/0718</v>
      </c>
      <c r="AN298" s="165">
        <f>双柏!AJ88</f>
        <v>0</v>
      </c>
      <c r="AO298" s="165" t="str">
        <f>双柏!AK88</f>
        <v>海拔2487 N24°23′40.46″，E101°9′46.24″</v>
      </c>
      <c r="AP298" s="263">
        <v>2</v>
      </c>
      <c r="AQ298" s="209">
        <f>双柏!AM88</f>
        <v>0</v>
      </c>
      <c r="AR298" s="295">
        <f>双柏!AN88</f>
        <v>0.4</v>
      </c>
      <c r="AS298" s="199" t="str">
        <f>双柏!AO88</f>
        <v>53232219770802051x</v>
      </c>
      <c r="AT298" s="199" t="str">
        <f>双柏!AP88</f>
        <v>13987885572</v>
      </c>
    </row>
    <row r="299" spans="1:46">
      <c r="A299" t="s">
        <v>1921</v>
      </c>
      <c r="B299" s="202" t="str">
        <f>VLOOKUP(A299,databases!$A$2:$B$7, 2, FALSE)</f>
        <v>ShuangBai</v>
      </c>
      <c r="C299" s="165" t="str">
        <f>双柏!B89</f>
        <v>郭存寿&amp;王培有</v>
      </c>
      <c r="D299" s="202" t="str">
        <f>VLOOKUP(C299,databases!$D$2:$E$145, 2, FALSE)</f>
        <v>R125</v>
      </c>
      <c r="E299" s="259">
        <f>INDEX(sample_database!$B$2:$B$506,MATCH(F299,sample_database!$L$2:$L$506,0))</f>
        <v>17</v>
      </c>
      <c r="F299" s="202" t="str">
        <f>双柏!A89</f>
        <v>SB088</v>
      </c>
      <c r="G299" s="257">
        <f>双柏!C89</f>
        <v>4</v>
      </c>
      <c r="H299" s="257">
        <f>双柏!D89</f>
        <v>0</v>
      </c>
      <c r="I299" s="202">
        <f>双柏!E89</f>
        <v>21</v>
      </c>
      <c r="J299" s="202">
        <f>双柏!F89</f>
        <v>6</v>
      </c>
      <c r="K299" s="202">
        <f>双柏!G89</f>
        <v>5</v>
      </c>
      <c r="L299" s="202">
        <f>双柏!H89</f>
        <v>9</v>
      </c>
      <c r="M299" s="202">
        <f>双柏!I89</f>
        <v>1</v>
      </c>
      <c r="N299" s="202">
        <f>双柏!J89</f>
        <v>0</v>
      </c>
      <c r="O299" s="202">
        <f>双柏!K89</f>
        <v>0</v>
      </c>
      <c r="P299" s="202">
        <f>双柏!L89</f>
        <v>0</v>
      </c>
      <c r="Q299" s="202">
        <f>双柏!M89</f>
        <v>0</v>
      </c>
      <c r="R299" s="202">
        <f>双柏!N89</f>
        <v>0</v>
      </c>
      <c r="S299" s="202">
        <f>双柏!O89</f>
        <v>0</v>
      </c>
      <c r="T299" s="202">
        <f>双柏!P89</f>
        <v>0</v>
      </c>
      <c r="U299" s="202">
        <f>双柏!Q89</f>
        <v>0</v>
      </c>
      <c r="V299" s="202">
        <f>双柏!R89</f>
        <v>0</v>
      </c>
      <c r="W299" s="202">
        <f>双柏!S89</f>
        <v>0</v>
      </c>
      <c r="X299" s="202">
        <f>双柏!T89</f>
        <v>0</v>
      </c>
      <c r="Y299" s="202">
        <f>双柏!U89</f>
        <v>0</v>
      </c>
      <c r="Z299" s="202">
        <f>双柏!V89</f>
        <v>0</v>
      </c>
      <c r="AA299" s="202">
        <f>双柏!W89</f>
        <v>0</v>
      </c>
      <c r="AB299" s="202">
        <f>双柏!X89</f>
        <v>0</v>
      </c>
      <c r="AC299" s="202">
        <f>双柏!Y89</f>
        <v>0</v>
      </c>
      <c r="AD299" s="202">
        <f>双柏!Z89</f>
        <v>0</v>
      </c>
      <c r="AE299" s="202">
        <f>双柏!AA89</f>
        <v>0</v>
      </c>
      <c r="AF299" s="202">
        <f>双柏!AB89</f>
        <v>0</v>
      </c>
      <c r="AG299" s="202">
        <f>双柏!AC89</f>
        <v>0</v>
      </c>
      <c r="AH299" s="202">
        <f>双柏!AD89</f>
        <v>0</v>
      </c>
      <c r="AI299" s="202">
        <f>双柏!AE89</f>
        <v>0</v>
      </c>
      <c r="AJ299" s="202">
        <f>双柏!AF89</f>
        <v>0</v>
      </c>
      <c r="AK299" s="165" t="str">
        <f>双柏!AG89</f>
        <v>双柏县鄂嘉镇老厂村委会杏子树</v>
      </c>
      <c r="AL299" s="165" t="str">
        <f>双柏!AH89</f>
        <v>2016/0725</v>
      </c>
      <c r="AM299" s="165" t="str">
        <f>双柏!AI89</f>
        <v>2016/0725</v>
      </c>
      <c r="AN299" s="165">
        <f>双柏!AJ89</f>
        <v>0</v>
      </c>
      <c r="AO299" s="165" t="str">
        <f>双柏!AK89</f>
        <v>海拔2351 N24°23′41.39″，E101°?′42.71″</v>
      </c>
      <c r="AP299" s="263">
        <v>4</v>
      </c>
      <c r="AQ299" s="209">
        <f>双柏!AM89</f>
        <v>0</v>
      </c>
      <c r="AR299" s="295">
        <f>双柏!AN89</f>
        <v>0.8</v>
      </c>
      <c r="AS299" s="199" t="str">
        <f>双柏!AO89</f>
        <v>53232219770802051x</v>
      </c>
      <c r="AT299" s="199" t="str">
        <f>双柏!AP89</f>
        <v>13987885572</v>
      </c>
    </row>
    <row r="300" spans="1:46">
      <c r="A300" t="s">
        <v>1921</v>
      </c>
      <c r="B300" s="202" t="str">
        <f>VLOOKUP(A300,databases!$A$2:$B$7, 2, FALSE)</f>
        <v>ShuangBai</v>
      </c>
      <c r="C300" s="165" t="str">
        <f>双柏!B90</f>
        <v>郭存寿&amp;王培有</v>
      </c>
      <c r="D300" s="202" t="str">
        <f>VLOOKUP(C300,databases!$D$2:$E$145, 2, FALSE)</f>
        <v>R125</v>
      </c>
      <c r="E300" s="259">
        <f>INDEX(sample_database!$B$2:$B$506,MATCH(F300,sample_database!$L$2:$L$506,0))</f>
        <v>17</v>
      </c>
      <c r="F300" s="202" t="str">
        <f>双柏!A90</f>
        <v>SB089</v>
      </c>
      <c r="G300" s="257">
        <f>双柏!C90</f>
        <v>4</v>
      </c>
      <c r="H300" s="257">
        <f>双柏!D90</f>
        <v>0</v>
      </c>
      <c r="I300" s="202">
        <f>双柏!E90</f>
        <v>20</v>
      </c>
      <c r="J300" s="202">
        <f>双柏!F90</f>
        <v>3</v>
      </c>
      <c r="K300" s="202">
        <f>双柏!G90</f>
        <v>4</v>
      </c>
      <c r="L300" s="202">
        <f>双柏!H90</f>
        <v>7</v>
      </c>
      <c r="M300" s="202">
        <f>双柏!I90</f>
        <v>6</v>
      </c>
      <c r="N300" s="202">
        <f>双柏!J90</f>
        <v>0</v>
      </c>
      <c r="O300" s="202">
        <f>双柏!K90</f>
        <v>0</v>
      </c>
      <c r="P300" s="202">
        <f>双柏!L90</f>
        <v>0</v>
      </c>
      <c r="Q300" s="202">
        <f>双柏!M90</f>
        <v>0</v>
      </c>
      <c r="R300" s="202">
        <f>双柏!N90</f>
        <v>0</v>
      </c>
      <c r="S300" s="202">
        <f>双柏!O90</f>
        <v>0</v>
      </c>
      <c r="T300" s="202">
        <f>双柏!P90</f>
        <v>0</v>
      </c>
      <c r="U300" s="202">
        <f>双柏!Q90</f>
        <v>0</v>
      </c>
      <c r="V300" s="202">
        <f>双柏!R90</f>
        <v>0</v>
      </c>
      <c r="W300" s="202">
        <f>双柏!S90</f>
        <v>0</v>
      </c>
      <c r="X300" s="202">
        <f>双柏!T90</f>
        <v>0</v>
      </c>
      <c r="Y300" s="202">
        <f>双柏!U90</f>
        <v>0</v>
      </c>
      <c r="Z300" s="202">
        <f>双柏!V90</f>
        <v>0</v>
      </c>
      <c r="AA300" s="202">
        <f>双柏!W90</f>
        <v>0</v>
      </c>
      <c r="AB300" s="202">
        <f>双柏!X90</f>
        <v>0</v>
      </c>
      <c r="AC300" s="202">
        <f>双柏!Y90</f>
        <v>0</v>
      </c>
      <c r="AD300" s="202">
        <f>双柏!Z90</f>
        <v>0</v>
      </c>
      <c r="AE300" s="202">
        <f>双柏!AA90</f>
        <v>0</v>
      </c>
      <c r="AF300" s="202">
        <f>双柏!AB90</f>
        <v>0</v>
      </c>
      <c r="AG300" s="202">
        <f>双柏!AC90</f>
        <v>0</v>
      </c>
      <c r="AH300" s="202">
        <f>双柏!AD90</f>
        <v>0</v>
      </c>
      <c r="AI300" s="202">
        <f>双柏!AE90</f>
        <v>0</v>
      </c>
      <c r="AJ300" s="202">
        <f>双柏!AF90</f>
        <v>0</v>
      </c>
      <c r="AK300" s="165" t="str">
        <f>双柏!AG90</f>
        <v>双柏县鄂嘉镇老厂村岔河三家村</v>
      </c>
      <c r="AL300" s="165" t="str">
        <f>双柏!AH90</f>
        <v>2016/0808</v>
      </c>
      <c r="AM300" s="165" t="str">
        <f>双柏!AI90</f>
        <v>2016/0808</v>
      </c>
      <c r="AN300" s="165">
        <f>双柏!AJ90</f>
        <v>0</v>
      </c>
      <c r="AO300" s="165" t="str">
        <f>双柏!AK90</f>
        <v>海拔2405 N24°23′40.35″，E101°9′46.17″</v>
      </c>
      <c r="AP300" s="263">
        <v>5</v>
      </c>
      <c r="AQ300" s="209">
        <f>双柏!AM90</f>
        <v>0</v>
      </c>
      <c r="AR300" s="295">
        <f>双柏!AN90</f>
        <v>1</v>
      </c>
      <c r="AS300" s="199" t="str">
        <f>双柏!AO90</f>
        <v>53232219770802051x</v>
      </c>
      <c r="AT300" s="199" t="str">
        <f>双柏!AP90</f>
        <v>13987885572</v>
      </c>
    </row>
    <row r="301" spans="1:46">
      <c r="A301" t="s">
        <v>1921</v>
      </c>
      <c r="B301" s="202" t="str">
        <f>VLOOKUP(A301,databases!$A$2:$B$7, 2, FALSE)</f>
        <v>ShuangBai</v>
      </c>
      <c r="C301" s="165" t="str">
        <f>双柏!B92</f>
        <v>郭存寿&amp;王培有</v>
      </c>
      <c r="D301" s="202" t="str">
        <f>VLOOKUP(C301,databases!$D$2:$E$145, 2, FALSE)</f>
        <v>R125</v>
      </c>
      <c r="E301" s="259">
        <f>INDEX(sample_database!$B$2:$B$506,MATCH(F301,sample_database!$L$2:$L$506,0))</f>
        <v>17</v>
      </c>
      <c r="F301" s="202" t="str">
        <f>双柏!A92</f>
        <v>SB091</v>
      </c>
      <c r="G301" s="257">
        <f>双柏!C92</f>
        <v>0</v>
      </c>
      <c r="H301" s="257">
        <f>双柏!D92</f>
        <v>1</v>
      </c>
      <c r="I301" s="202">
        <f>双柏!E92</f>
        <v>2</v>
      </c>
      <c r="J301" s="202">
        <f>双柏!F92</f>
        <v>2</v>
      </c>
      <c r="K301" s="202">
        <f>双柏!G92</f>
        <v>0</v>
      </c>
      <c r="L301" s="202">
        <f>双柏!H92</f>
        <v>0</v>
      </c>
      <c r="M301" s="202">
        <f>双柏!I92</f>
        <v>0</v>
      </c>
      <c r="N301" s="202">
        <f>双柏!J92</f>
        <v>0</v>
      </c>
      <c r="O301" s="202">
        <f>双柏!K92</f>
        <v>0</v>
      </c>
      <c r="P301" s="202">
        <f>双柏!L92</f>
        <v>0</v>
      </c>
      <c r="Q301" s="202">
        <f>双柏!M92</f>
        <v>0</v>
      </c>
      <c r="R301" s="202">
        <f>双柏!N92</f>
        <v>0</v>
      </c>
      <c r="S301" s="202">
        <f>双柏!O92</f>
        <v>0</v>
      </c>
      <c r="T301" s="202">
        <f>双柏!P92</f>
        <v>0</v>
      </c>
      <c r="U301" s="202">
        <f>双柏!Q92</f>
        <v>0</v>
      </c>
      <c r="V301" s="202">
        <f>双柏!R92</f>
        <v>0</v>
      </c>
      <c r="W301" s="202">
        <f>双柏!S92</f>
        <v>0</v>
      </c>
      <c r="X301" s="202">
        <f>双柏!T92</f>
        <v>0</v>
      </c>
      <c r="Y301" s="202">
        <f>双柏!U92</f>
        <v>0</v>
      </c>
      <c r="Z301" s="202">
        <f>双柏!V92</f>
        <v>0</v>
      </c>
      <c r="AA301" s="202">
        <f>双柏!W92</f>
        <v>0</v>
      </c>
      <c r="AB301" s="202">
        <f>双柏!X92</f>
        <v>0</v>
      </c>
      <c r="AC301" s="202">
        <f>双柏!Y92</f>
        <v>0</v>
      </c>
      <c r="AD301" s="202">
        <f>双柏!Z92</f>
        <v>0</v>
      </c>
      <c r="AE301" s="202">
        <f>双柏!AA92</f>
        <v>0</v>
      </c>
      <c r="AF301" s="202">
        <f>双柏!AB92</f>
        <v>0</v>
      </c>
      <c r="AG301" s="202">
        <f>双柏!AC92</f>
        <v>0</v>
      </c>
      <c r="AH301" s="202">
        <f>双柏!AD92</f>
        <v>0</v>
      </c>
      <c r="AI301" s="202">
        <f>双柏!AE92</f>
        <v>0</v>
      </c>
      <c r="AJ301" s="202">
        <f>双柏!AF92</f>
        <v>0</v>
      </c>
      <c r="AK301" s="165" t="str">
        <f>双柏!AG92</f>
        <v>双柏县鄂嘉镇老厂村委会杏子树</v>
      </c>
      <c r="AL301" s="165" t="str">
        <f>双柏!AH92</f>
        <v>2016/0820</v>
      </c>
      <c r="AM301" s="165" t="str">
        <f>双柏!AI92</f>
        <v>2016/0820</v>
      </c>
      <c r="AN301" s="165">
        <f>双柏!AJ92</f>
        <v>0</v>
      </c>
      <c r="AO301" s="165" t="str">
        <f>双柏!AK92</f>
        <v>海拔2351 N24°23′41.38″，E101°9′42.71″</v>
      </c>
      <c r="AP301" s="263">
        <v>0.75</v>
      </c>
      <c r="AQ301" s="209">
        <f>双柏!AM92</f>
        <v>0</v>
      </c>
      <c r="AR301" s="295">
        <f>双柏!AN92</f>
        <v>0.15</v>
      </c>
      <c r="AS301" s="199" t="str">
        <f>双柏!AO92</f>
        <v>53232219770802051x</v>
      </c>
      <c r="AT301" s="199" t="str">
        <f>双柏!AP92</f>
        <v>13987885572</v>
      </c>
    </row>
    <row r="302" spans="1:46">
      <c r="A302" t="s">
        <v>1921</v>
      </c>
      <c r="B302" s="202" t="str">
        <f>VLOOKUP(A302,databases!$A$2:$B$7, 2, FALSE)</f>
        <v>ShuangBai</v>
      </c>
      <c r="C302" s="165" t="str">
        <f>双柏!B91</f>
        <v>郭存寿&amp;王培有</v>
      </c>
      <c r="D302" s="202" t="str">
        <f>VLOOKUP(C302,databases!$D$2:$E$145, 2, FALSE)</f>
        <v>R125</v>
      </c>
      <c r="E302" s="259">
        <f>INDEX(sample_database!$B$2:$B$506,MATCH(F302,sample_database!$L$2:$L$506,0))</f>
        <v>115</v>
      </c>
      <c r="F302" s="202" t="str">
        <f>双柏!A91</f>
        <v>SB090</v>
      </c>
      <c r="G302" s="257">
        <f>双柏!C91</f>
        <v>2</v>
      </c>
      <c r="H302" s="257">
        <f>双柏!D91</f>
        <v>0</v>
      </c>
      <c r="I302" s="202">
        <f>双柏!E91</f>
        <v>14</v>
      </c>
      <c r="J302" s="202">
        <f>双柏!F91</f>
        <v>10</v>
      </c>
      <c r="K302" s="202">
        <f>双柏!G91</f>
        <v>4</v>
      </c>
      <c r="L302" s="202">
        <f>双柏!H91</f>
        <v>0</v>
      </c>
      <c r="M302" s="202">
        <f>双柏!I91</f>
        <v>0</v>
      </c>
      <c r="N302" s="202">
        <f>双柏!J91</f>
        <v>0</v>
      </c>
      <c r="O302" s="202">
        <f>双柏!K91</f>
        <v>0</v>
      </c>
      <c r="P302" s="202">
        <f>双柏!L91</f>
        <v>0</v>
      </c>
      <c r="Q302" s="202">
        <f>双柏!M91</f>
        <v>0</v>
      </c>
      <c r="R302" s="202">
        <f>双柏!N91</f>
        <v>0</v>
      </c>
      <c r="S302" s="202">
        <f>双柏!O91</f>
        <v>0</v>
      </c>
      <c r="T302" s="202">
        <f>双柏!P91</f>
        <v>0</v>
      </c>
      <c r="U302" s="202">
        <f>双柏!Q91</f>
        <v>0</v>
      </c>
      <c r="V302" s="202">
        <f>双柏!R91</f>
        <v>0</v>
      </c>
      <c r="W302" s="202">
        <f>双柏!S91</f>
        <v>0</v>
      </c>
      <c r="X302" s="202">
        <f>双柏!T91</f>
        <v>0</v>
      </c>
      <c r="Y302" s="202">
        <f>双柏!U91</f>
        <v>0</v>
      </c>
      <c r="Z302" s="202">
        <f>双柏!V91</f>
        <v>0</v>
      </c>
      <c r="AA302" s="202">
        <f>双柏!W91</f>
        <v>0</v>
      </c>
      <c r="AB302" s="202">
        <f>双柏!X91</f>
        <v>0</v>
      </c>
      <c r="AC302" s="202">
        <f>双柏!Y91</f>
        <v>0</v>
      </c>
      <c r="AD302" s="202">
        <f>双柏!Z91</f>
        <v>0</v>
      </c>
      <c r="AE302" s="202">
        <f>双柏!AA91</f>
        <v>0</v>
      </c>
      <c r="AF302" s="202">
        <f>双柏!AB91</f>
        <v>0</v>
      </c>
      <c r="AG302" s="202">
        <f>双柏!AC91</f>
        <v>0</v>
      </c>
      <c r="AH302" s="202">
        <f>双柏!AD91</f>
        <v>0</v>
      </c>
      <c r="AI302" s="202">
        <f>双柏!AE91</f>
        <v>0</v>
      </c>
      <c r="AJ302" s="202">
        <f>双柏!AF91</f>
        <v>0</v>
      </c>
      <c r="AK302" s="165" t="str">
        <f>双柏!AG91</f>
        <v>双柏县鄂嘉镇老厂村委会杏子树</v>
      </c>
      <c r="AL302" s="165" t="str">
        <f>双柏!AH91</f>
        <v>2016/0825</v>
      </c>
      <c r="AM302" s="165" t="str">
        <f>双柏!AI91</f>
        <v>2016/0825</v>
      </c>
      <c r="AN302" s="165">
        <f>双柏!AJ91</f>
        <v>0</v>
      </c>
      <c r="AO302" s="165" t="str">
        <f>双柏!AK91</f>
        <v>海拔2496 N24°24′51.57″，E101°6′45.23″</v>
      </c>
      <c r="AP302" s="263">
        <v>3</v>
      </c>
      <c r="AQ302" s="209">
        <f>双柏!AM91</f>
        <v>0</v>
      </c>
      <c r="AR302" s="295">
        <f>双柏!AN91</f>
        <v>0.6</v>
      </c>
      <c r="AS302" s="199" t="str">
        <f>双柏!AO91</f>
        <v>53232219770802051x</v>
      </c>
      <c r="AT302" s="199" t="str">
        <f>双柏!AP91</f>
        <v>13987885572</v>
      </c>
    </row>
    <row r="303" spans="1:46">
      <c r="A303" t="s">
        <v>1921</v>
      </c>
      <c r="B303" s="202" t="str">
        <f>VLOOKUP(A303,databases!$A$2:$B$7, 2, FALSE)</f>
        <v>ShuangBai</v>
      </c>
      <c r="C303" s="165" t="str">
        <f>双柏!B42</f>
        <v>郭存祥</v>
      </c>
      <c r="D303" s="273" t="str">
        <f>VLOOKUP(C303,databases!$D$2:$E$145, 2, FALSE)</f>
        <v>R126</v>
      </c>
      <c r="E303" s="274" t="str">
        <f>INDEX(sample_database!$B$2:$B$506,MATCH(F303,sample_database!$L$2:$L$506,0))</f>
        <v>NA</v>
      </c>
      <c r="F303" s="202" t="str">
        <f>双柏!A42</f>
        <v>SB041</v>
      </c>
      <c r="G303" s="257">
        <f>双柏!C42</f>
        <v>7</v>
      </c>
      <c r="H303" s="257">
        <f>双柏!D42</f>
        <v>0</v>
      </c>
      <c r="I303" s="202">
        <f>双柏!E42</f>
        <v>37</v>
      </c>
      <c r="J303" s="202">
        <f>双柏!F42</f>
        <v>1</v>
      </c>
      <c r="K303" s="202">
        <f>双柏!G42</f>
        <v>2</v>
      </c>
      <c r="L303" s="202">
        <f>双柏!H42</f>
        <v>3</v>
      </c>
      <c r="M303" s="202">
        <f>双柏!I42</f>
        <v>4</v>
      </c>
      <c r="N303" s="202">
        <f>双柏!J42</f>
        <v>7</v>
      </c>
      <c r="O303" s="202">
        <f>双柏!K42</f>
        <v>8</v>
      </c>
      <c r="P303" s="202">
        <f>双柏!L42</f>
        <v>12</v>
      </c>
      <c r="Q303" s="202">
        <f>双柏!M42</f>
        <v>0</v>
      </c>
      <c r="R303" s="202">
        <f>双柏!N42</f>
        <v>0</v>
      </c>
      <c r="S303" s="202">
        <f>双柏!O42</f>
        <v>0</v>
      </c>
      <c r="T303" s="202">
        <f>双柏!P42</f>
        <v>0</v>
      </c>
      <c r="U303" s="202">
        <f>双柏!Q42</f>
        <v>0</v>
      </c>
      <c r="V303" s="202">
        <f>双柏!R42</f>
        <v>0</v>
      </c>
      <c r="W303" s="202">
        <f>双柏!S42</f>
        <v>0</v>
      </c>
      <c r="X303" s="202">
        <f>双柏!T42</f>
        <v>0</v>
      </c>
      <c r="Y303" s="202">
        <f>双柏!U42</f>
        <v>0</v>
      </c>
      <c r="Z303" s="202">
        <f>双柏!V42</f>
        <v>0</v>
      </c>
      <c r="AA303" s="202">
        <f>双柏!W42</f>
        <v>0</v>
      </c>
      <c r="AB303" s="202">
        <f>双柏!X42</f>
        <v>0</v>
      </c>
      <c r="AC303" s="202">
        <f>双柏!Y42</f>
        <v>0</v>
      </c>
      <c r="AD303" s="202">
        <f>双柏!Z42</f>
        <v>0</v>
      </c>
      <c r="AE303" s="202">
        <f>双柏!AA42</f>
        <v>0</v>
      </c>
      <c r="AF303" s="202">
        <f>双柏!AB42</f>
        <v>0</v>
      </c>
      <c r="AG303" s="202">
        <f>双柏!AC42</f>
        <v>0</v>
      </c>
      <c r="AH303" s="202">
        <f>双柏!AD42</f>
        <v>0</v>
      </c>
      <c r="AI303" s="202">
        <f>双柏!AE42</f>
        <v>0</v>
      </c>
      <c r="AJ303" s="202">
        <f>双柏!AF42</f>
        <v>0</v>
      </c>
      <c r="AK303" s="165" t="str">
        <f>双柏!AG42</f>
        <v>双柏县老厂岔河站</v>
      </c>
      <c r="AL303" s="165" t="str">
        <f>双柏!AH42</f>
        <v>2016/0709-0828</v>
      </c>
      <c r="AM303" s="165" t="str">
        <f>双柏!AI42</f>
        <v>2016/0709-0828</v>
      </c>
      <c r="AN303" s="165">
        <f>双柏!AJ42</f>
        <v>0</v>
      </c>
      <c r="AO303" s="165">
        <f>双柏!AK42</f>
        <v>0</v>
      </c>
      <c r="AP303" s="263">
        <v>7.5</v>
      </c>
      <c r="AQ303" s="209">
        <f>双柏!AM42</f>
        <v>0</v>
      </c>
      <c r="AR303" s="295">
        <f>双柏!AN42</f>
        <v>1.5</v>
      </c>
      <c r="AS303" s="199" t="str">
        <f>双柏!AO42</f>
        <v>53232219690801059X</v>
      </c>
      <c r="AT303" s="199" t="str">
        <f>双柏!AP42</f>
        <v>15987213626</v>
      </c>
    </row>
    <row r="304" spans="1:46">
      <c r="A304" t="s">
        <v>1921</v>
      </c>
      <c r="B304" s="202" t="str">
        <f>VLOOKUP(A304,databases!$A$2:$B$7, 2, FALSE)</f>
        <v>ShuangBai</v>
      </c>
      <c r="C304" s="165" t="str">
        <f>双柏!B43</f>
        <v>郭存祥</v>
      </c>
      <c r="D304" s="277" t="str">
        <f>VLOOKUP(C304,databases!$D$2:$E$145, 2, FALSE)</f>
        <v>R126</v>
      </c>
      <c r="E304" s="278" t="str">
        <f>INDEX(sample_database!$B$2:$B$506,MATCH(F304,sample_database!$L$2:$L$506,0))</f>
        <v>NA</v>
      </c>
      <c r="F304" s="202" t="str">
        <f>双柏!A43</f>
        <v>SB042</v>
      </c>
      <c r="G304" s="257">
        <f>双柏!C43</f>
        <v>0</v>
      </c>
      <c r="H304" s="257">
        <f>双柏!D43</f>
        <v>15</v>
      </c>
      <c r="I304" s="202">
        <f>双柏!E43</f>
        <v>84</v>
      </c>
      <c r="J304" s="202">
        <f>双柏!F43</f>
        <v>1</v>
      </c>
      <c r="K304" s="202">
        <f>双柏!G43</f>
        <v>1</v>
      </c>
      <c r="L304" s="202">
        <f>双柏!H43</f>
        <v>1</v>
      </c>
      <c r="M304" s="202">
        <f>双柏!I43</f>
        <v>2</v>
      </c>
      <c r="N304" s="202">
        <f>双柏!J43</f>
        <v>2</v>
      </c>
      <c r="O304" s="202">
        <f>双柏!K43</f>
        <v>4</v>
      </c>
      <c r="P304" s="202">
        <f>双柏!L43</f>
        <v>4</v>
      </c>
      <c r="Q304" s="202">
        <f>双柏!M43</f>
        <v>4</v>
      </c>
      <c r="R304" s="202">
        <f>双柏!N43</f>
        <v>5</v>
      </c>
      <c r="S304" s="202">
        <f>双柏!O43</f>
        <v>6</v>
      </c>
      <c r="T304" s="202">
        <f>双柏!P43</f>
        <v>8</v>
      </c>
      <c r="U304" s="202">
        <f>双柏!Q43</f>
        <v>16</v>
      </c>
      <c r="V304" s="202">
        <f>双柏!R43</f>
        <v>10</v>
      </c>
      <c r="W304" s="202">
        <f>双柏!S43</f>
        <v>6</v>
      </c>
      <c r="X304" s="202">
        <f>双柏!T43</f>
        <v>14</v>
      </c>
      <c r="Y304" s="202">
        <f>双柏!U43</f>
        <v>0</v>
      </c>
      <c r="Z304" s="202">
        <f>双柏!V43</f>
        <v>0</v>
      </c>
      <c r="AA304" s="202">
        <f>双柏!W43</f>
        <v>0</v>
      </c>
      <c r="AB304" s="202">
        <f>双柏!X43</f>
        <v>0</v>
      </c>
      <c r="AC304" s="202">
        <f>双柏!Y43</f>
        <v>0</v>
      </c>
      <c r="AD304" s="202">
        <f>双柏!Z43</f>
        <v>0</v>
      </c>
      <c r="AE304" s="202">
        <f>双柏!AA43</f>
        <v>0</v>
      </c>
      <c r="AF304" s="202">
        <f>双柏!AB43</f>
        <v>0</v>
      </c>
      <c r="AG304" s="202">
        <f>双柏!AC43</f>
        <v>0</v>
      </c>
      <c r="AH304" s="202">
        <f>双柏!AD43</f>
        <v>0</v>
      </c>
      <c r="AI304" s="202">
        <f>双柏!AE43</f>
        <v>0</v>
      </c>
      <c r="AJ304" s="202">
        <f>双柏!AF43</f>
        <v>0</v>
      </c>
      <c r="AK304" s="165" t="str">
        <f>双柏!AG43</f>
        <v>双柏县老厂岔河站</v>
      </c>
      <c r="AL304" s="165" t="str">
        <f>双柏!AH43</f>
        <v>2016/0709-0828</v>
      </c>
      <c r="AM304" s="165" t="str">
        <f>双柏!AI43</f>
        <v>2016/0709-0828</v>
      </c>
      <c r="AN304" s="165">
        <f>双柏!AJ43</f>
        <v>0</v>
      </c>
      <c r="AO304" s="165">
        <f>双柏!AK43</f>
        <v>0</v>
      </c>
      <c r="AP304" s="263">
        <v>12.5</v>
      </c>
      <c r="AQ304" s="209">
        <f>双柏!AM43</f>
        <v>0</v>
      </c>
      <c r="AR304" s="295">
        <f>双柏!AN43</f>
        <v>2.5</v>
      </c>
      <c r="AS304" s="199" t="str">
        <f>双柏!AO43</f>
        <v>53232219690801059X</v>
      </c>
      <c r="AT304" s="199" t="str">
        <f>双柏!AP43</f>
        <v>15987213626</v>
      </c>
    </row>
    <row r="305" spans="1:46">
      <c r="A305" t="s">
        <v>1921</v>
      </c>
      <c r="B305" s="202" t="str">
        <f>VLOOKUP(A305,databases!$A$2:$B$7, 2, FALSE)</f>
        <v>ShuangBai</v>
      </c>
      <c r="C305" s="165" t="str">
        <f>双柏!B119</f>
        <v>陈家发</v>
      </c>
      <c r="D305" s="202" t="str">
        <f>VLOOKUP(C305,databases!$D$2:$E$145, 2, FALSE)</f>
        <v>R132</v>
      </c>
      <c r="E305" s="259">
        <f>INDEX(sample_database!$B$2:$B$506,MATCH(F305,sample_database!$L$2:$L$506,0))</f>
        <v>21</v>
      </c>
      <c r="F305" s="202" t="str">
        <f>双柏!A119</f>
        <v>SB118</v>
      </c>
      <c r="G305" s="257">
        <f>双柏!C119</f>
        <v>12</v>
      </c>
      <c r="H305" s="257">
        <f>双柏!D119</f>
        <v>0</v>
      </c>
      <c r="I305" s="202">
        <f>双柏!E119</f>
        <v>13</v>
      </c>
      <c r="J305" s="202">
        <f>双柏!F119</f>
        <v>1</v>
      </c>
      <c r="K305" s="202">
        <f>双柏!G119</f>
        <v>1</v>
      </c>
      <c r="L305" s="202">
        <f>双柏!H119</f>
        <v>1</v>
      </c>
      <c r="M305" s="202">
        <f>双柏!I119</f>
        <v>1</v>
      </c>
      <c r="N305" s="202">
        <f>双柏!J119</f>
        <v>1</v>
      </c>
      <c r="O305" s="202">
        <f>双柏!K119</f>
        <v>1</v>
      </c>
      <c r="P305" s="202">
        <f>双柏!L119</f>
        <v>1</v>
      </c>
      <c r="Q305" s="202">
        <f>双柏!M119</f>
        <v>1</v>
      </c>
      <c r="R305" s="202">
        <f>双柏!N119</f>
        <v>1</v>
      </c>
      <c r="S305" s="202">
        <f>双柏!O119</f>
        <v>1</v>
      </c>
      <c r="T305" s="202">
        <f>双柏!P119</f>
        <v>1</v>
      </c>
      <c r="U305" s="202">
        <f>双柏!Q119</f>
        <v>2</v>
      </c>
      <c r="V305" s="202">
        <f>双柏!R119</f>
        <v>0</v>
      </c>
      <c r="W305" s="202">
        <f>双柏!S119</f>
        <v>0</v>
      </c>
      <c r="X305" s="202">
        <f>双柏!T119</f>
        <v>0</v>
      </c>
      <c r="Y305" s="202">
        <f>双柏!U119</f>
        <v>0</v>
      </c>
      <c r="Z305" s="202">
        <f>双柏!V119</f>
        <v>0</v>
      </c>
      <c r="AA305" s="202">
        <f>双柏!W119</f>
        <v>0</v>
      </c>
      <c r="AB305" s="202">
        <f>双柏!X119</f>
        <v>0</v>
      </c>
      <c r="AC305" s="202">
        <f>双柏!Y119</f>
        <v>0</v>
      </c>
      <c r="AD305" s="202">
        <f>双柏!Z119</f>
        <v>0</v>
      </c>
      <c r="AE305" s="202">
        <f>双柏!AA119</f>
        <v>0</v>
      </c>
      <c r="AF305" s="202">
        <f>双柏!AB119</f>
        <v>0</v>
      </c>
      <c r="AG305" s="202">
        <f>双柏!AC119</f>
        <v>0</v>
      </c>
      <c r="AH305" s="202">
        <f>双柏!AD119</f>
        <v>0</v>
      </c>
      <c r="AI305" s="202">
        <f>双柏!AE119</f>
        <v>0</v>
      </c>
      <c r="AJ305" s="202">
        <f>双柏!AF119</f>
        <v>0</v>
      </c>
      <c r="AK305" s="165" t="str">
        <f>双柏!AG119</f>
        <v>双柏县鄂嘉镇密架村委会岔河森林管护点</v>
      </c>
      <c r="AL305" s="165" t="str">
        <f>双柏!AH119</f>
        <v>2016/0620</v>
      </c>
      <c r="AM305" s="165" t="str">
        <f>双柏!AI119</f>
        <v>2016/0620</v>
      </c>
      <c r="AN305" s="165">
        <f>双柏!AJ119</f>
        <v>0</v>
      </c>
      <c r="AO305" s="165" t="str">
        <f>双柏!AK119</f>
        <v>101°16′1.48″</v>
      </c>
      <c r="AP305" s="263">
        <v>2.5</v>
      </c>
      <c r="AQ305" s="209">
        <f>双柏!AM119</f>
        <v>0</v>
      </c>
      <c r="AR305" s="295">
        <f>双柏!AN119</f>
        <v>0.5</v>
      </c>
      <c r="AS305" s="199" t="str">
        <f>双柏!AO119</f>
        <v>532322198006250518</v>
      </c>
      <c r="AT305" s="199" t="str">
        <f>双柏!AP119</f>
        <v>13987891571</v>
      </c>
    </row>
    <row r="306" spans="1:46">
      <c r="A306" t="s">
        <v>1921</v>
      </c>
      <c r="B306" s="202" t="str">
        <f>VLOOKUP(A306,databases!$A$2:$B$7, 2, FALSE)</f>
        <v>ShuangBai</v>
      </c>
      <c r="C306" s="165" t="str">
        <f>双柏!B120</f>
        <v>陈家发</v>
      </c>
      <c r="D306" s="202" t="str">
        <f>VLOOKUP(C306,databases!$D$2:$E$145, 2, FALSE)</f>
        <v>R132</v>
      </c>
      <c r="E306" s="259">
        <f>INDEX(sample_database!$B$2:$B$506,MATCH(F306,sample_database!$L$2:$L$506,0))</f>
        <v>21</v>
      </c>
      <c r="F306" s="202" t="str">
        <f>双柏!A120</f>
        <v>SB119</v>
      </c>
      <c r="G306" s="257">
        <f>双柏!C120</f>
        <v>10</v>
      </c>
      <c r="H306" s="257">
        <f>双柏!D120</f>
        <v>0</v>
      </c>
      <c r="I306" s="202">
        <f>双柏!E120</f>
        <v>10</v>
      </c>
      <c r="J306" s="202">
        <f>双柏!F120</f>
        <v>1</v>
      </c>
      <c r="K306" s="202">
        <f>双柏!G120</f>
        <v>1</v>
      </c>
      <c r="L306" s="202">
        <f>双柏!H120</f>
        <v>1</v>
      </c>
      <c r="M306" s="202">
        <f>双柏!I120</f>
        <v>1</v>
      </c>
      <c r="N306" s="202">
        <f>双柏!J120</f>
        <v>1</v>
      </c>
      <c r="O306" s="202">
        <f>双柏!K120</f>
        <v>1</v>
      </c>
      <c r="P306" s="202">
        <f>双柏!L120</f>
        <v>1</v>
      </c>
      <c r="Q306" s="202">
        <f>双柏!M120</f>
        <v>1</v>
      </c>
      <c r="R306" s="202">
        <f>双柏!N120</f>
        <v>1</v>
      </c>
      <c r="S306" s="202">
        <f>双柏!O120</f>
        <v>1</v>
      </c>
      <c r="T306" s="202">
        <f>双柏!P120</f>
        <v>0</v>
      </c>
      <c r="U306" s="202">
        <f>双柏!Q120</f>
        <v>0</v>
      </c>
      <c r="V306" s="202">
        <f>双柏!R120</f>
        <v>0</v>
      </c>
      <c r="W306" s="202">
        <f>双柏!S120</f>
        <v>0</v>
      </c>
      <c r="X306" s="202">
        <f>双柏!T120</f>
        <v>0</v>
      </c>
      <c r="Y306" s="202">
        <f>双柏!U120</f>
        <v>0</v>
      </c>
      <c r="Z306" s="202">
        <f>双柏!V120</f>
        <v>0</v>
      </c>
      <c r="AA306" s="202">
        <f>双柏!W120</f>
        <v>0</v>
      </c>
      <c r="AB306" s="202">
        <f>双柏!X120</f>
        <v>0</v>
      </c>
      <c r="AC306" s="202">
        <f>双柏!Y120</f>
        <v>0</v>
      </c>
      <c r="AD306" s="202">
        <f>双柏!Z120</f>
        <v>0</v>
      </c>
      <c r="AE306" s="202">
        <f>双柏!AA120</f>
        <v>0</v>
      </c>
      <c r="AF306" s="202">
        <f>双柏!AB120</f>
        <v>0</v>
      </c>
      <c r="AG306" s="202">
        <f>双柏!AC120</f>
        <v>0</v>
      </c>
      <c r="AH306" s="202">
        <f>双柏!AD120</f>
        <v>0</v>
      </c>
      <c r="AI306" s="202">
        <f>双柏!AE120</f>
        <v>0</v>
      </c>
      <c r="AJ306" s="202">
        <f>双柏!AF120</f>
        <v>0</v>
      </c>
      <c r="AK306" s="165" t="str">
        <f>双柏!AG120</f>
        <v>双柏县鄂嘉镇密架村委会岔河森林管护点</v>
      </c>
      <c r="AL306" s="165" t="str">
        <f>双柏!AH120</f>
        <v>2016/0710</v>
      </c>
      <c r="AM306" s="165" t="str">
        <f>双柏!AI120</f>
        <v>2016/0710</v>
      </c>
      <c r="AN306" s="165">
        <f>双柏!AJ120</f>
        <v>0</v>
      </c>
      <c r="AO306" s="165" t="str">
        <f>双柏!AK120</f>
        <v>24°24′56.92″</v>
      </c>
      <c r="AP306" s="263">
        <v>3</v>
      </c>
      <c r="AQ306" s="209">
        <f>双柏!AM120</f>
        <v>0</v>
      </c>
      <c r="AR306" s="295">
        <f>双柏!AN120</f>
        <v>0.6</v>
      </c>
      <c r="AS306" s="199" t="str">
        <f>双柏!AO120</f>
        <v>532322198006250518</v>
      </c>
      <c r="AT306" s="199" t="str">
        <f>双柏!AP120</f>
        <v>13987891571</v>
      </c>
    </row>
    <row r="307" spans="1:46">
      <c r="A307" t="s">
        <v>1921</v>
      </c>
      <c r="B307" s="202" t="str">
        <f>VLOOKUP(A307,databases!$A$2:$B$7, 2, FALSE)</f>
        <v>ShuangBai</v>
      </c>
      <c r="C307" s="165" t="str">
        <f>双柏!B121</f>
        <v>陈家发</v>
      </c>
      <c r="D307" s="202" t="str">
        <f>VLOOKUP(C307,databases!$D$2:$E$145, 2, FALSE)</f>
        <v>R132</v>
      </c>
      <c r="E307" s="259">
        <f>INDEX(sample_database!$B$2:$B$506,MATCH(F307,sample_database!$L$2:$L$506,0))</f>
        <v>21</v>
      </c>
      <c r="F307" s="202" t="str">
        <f>双柏!A121</f>
        <v>SB120</v>
      </c>
      <c r="G307" s="257">
        <f>双柏!C121</f>
        <v>10</v>
      </c>
      <c r="H307" s="257">
        <f>双柏!D121</f>
        <v>0</v>
      </c>
      <c r="I307" s="202">
        <f>双柏!E121</f>
        <v>10</v>
      </c>
      <c r="J307" s="202">
        <f>双柏!F121</f>
        <v>1</v>
      </c>
      <c r="K307" s="202">
        <f>双柏!G121</f>
        <v>1</v>
      </c>
      <c r="L307" s="202">
        <f>双柏!H121</f>
        <v>1</v>
      </c>
      <c r="M307" s="202">
        <f>双柏!I121</f>
        <v>1</v>
      </c>
      <c r="N307" s="202">
        <f>双柏!J121</f>
        <v>1</v>
      </c>
      <c r="O307" s="202">
        <f>双柏!K121</f>
        <v>1</v>
      </c>
      <c r="P307" s="202">
        <f>双柏!L121</f>
        <v>1</v>
      </c>
      <c r="Q307" s="202">
        <f>双柏!M121</f>
        <v>1</v>
      </c>
      <c r="R307" s="202">
        <f>双柏!N121</f>
        <v>1</v>
      </c>
      <c r="S307" s="202">
        <f>双柏!O121</f>
        <v>1</v>
      </c>
      <c r="T307" s="202">
        <f>双柏!P121</f>
        <v>0</v>
      </c>
      <c r="U307" s="202">
        <f>双柏!Q121</f>
        <v>0</v>
      </c>
      <c r="V307" s="202">
        <f>双柏!R121</f>
        <v>0</v>
      </c>
      <c r="W307" s="202">
        <f>双柏!S121</f>
        <v>0</v>
      </c>
      <c r="X307" s="202">
        <f>双柏!T121</f>
        <v>0</v>
      </c>
      <c r="Y307" s="202">
        <f>双柏!U121</f>
        <v>0</v>
      </c>
      <c r="Z307" s="202">
        <f>双柏!V121</f>
        <v>0</v>
      </c>
      <c r="AA307" s="202">
        <f>双柏!W121</f>
        <v>0</v>
      </c>
      <c r="AB307" s="202">
        <f>双柏!X121</f>
        <v>0</v>
      </c>
      <c r="AC307" s="202">
        <f>双柏!Y121</f>
        <v>0</v>
      </c>
      <c r="AD307" s="202">
        <f>双柏!Z121</f>
        <v>0</v>
      </c>
      <c r="AE307" s="202">
        <f>双柏!AA121</f>
        <v>0</v>
      </c>
      <c r="AF307" s="202">
        <f>双柏!AB121</f>
        <v>0</v>
      </c>
      <c r="AG307" s="202">
        <f>双柏!AC121</f>
        <v>0</v>
      </c>
      <c r="AH307" s="202">
        <f>双柏!AD121</f>
        <v>0</v>
      </c>
      <c r="AI307" s="202">
        <f>双柏!AE121</f>
        <v>0</v>
      </c>
      <c r="AJ307" s="202">
        <f>双柏!AF121</f>
        <v>0</v>
      </c>
      <c r="AK307" s="165" t="str">
        <f>双柏!AG121</f>
        <v>双柏县鄂嘉镇密架村委会岔河森林管护点</v>
      </c>
      <c r="AL307" s="165" t="str">
        <f>双柏!AH121</f>
        <v>2016/0720</v>
      </c>
      <c r="AM307" s="165" t="str">
        <f>双柏!AI121</f>
        <v>2016/0720</v>
      </c>
      <c r="AN307" s="165">
        <f>双柏!AJ121</f>
        <v>0</v>
      </c>
      <c r="AO307" s="165" t="str">
        <f>双柏!AK121</f>
        <v>24°24′38.93″</v>
      </c>
      <c r="AP307" s="263">
        <v>1.5</v>
      </c>
      <c r="AQ307" s="209">
        <f>双柏!AM121</f>
        <v>0</v>
      </c>
      <c r="AR307" s="295">
        <f>双柏!AN121</f>
        <v>0.3</v>
      </c>
      <c r="AS307" s="199" t="str">
        <f>双柏!AO121</f>
        <v>532322198006250518</v>
      </c>
      <c r="AT307" s="199" t="str">
        <f>双柏!AP121</f>
        <v>13987891571</v>
      </c>
    </row>
    <row r="308" spans="1:46">
      <c r="A308" t="s">
        <v>1921</v>
      </c>
      <c r="B308" s="202" t="str">
        <f>VLOOKUP(A308,databases!$A$2:$B$7, 2, FALSE)</f>
        <v>ShuangBai</v>
      </c>
      <c r="C308" s="165" t="str">
        <f>双柏!B122</f>
        <v>陈家发</v>
      </c>
      <c r="D308" s="202" t="str">
        <f>VLOOKUP(C308,databases!$D$2:$E$145, 2, FALSE)</f>
        <v>R132</v>
      </c>
      <c r="E308" s="259">
        <f>INDEX(sample_database!$B$2:$B$506,MATCH(F308,sample_database!$L$2:$L$506,0))</f>
        <v>21</v>
      </c>
      <c r="F308" s="202" t="str">
        <f>双柏!A122</f>
        <v>SB121</v>
      </c>
      <c r="G308" s="257">
        <f>双柏!C122</f>
        <v>0</v>
      </c>
      <c r="H308" s="257">
        <f>双柏!D122</f>
        <v>19</v>
      </c>
      <c r="I308" s="202">
        <f>双柏!E122</f>
        <v>42</v>
      </c>
      <c r="J308" s="202">
        <f>双柏!F122</f>
        <v>2</v>
      </c>
      <c r="K308" s="202">
        <f>双柏!G122</f>
        <v>2</v>
      </c>
      <c r="L308" s="202">
        <f>双柏!H122</f>
        <v>2</v>
      </c>
      <c r="M308" s="202">
        <f>双柏!I122</f>
        <v>2</v>
      </c>
      <c r="N308" s="202">
        <f>双柏!J122</f>
        <v>2</v>
      </c>
      <c r="O308" s="202">
        <f>双柏!K122</f>
        <v>2</v>
      </c>
      <c r="P308" s="202">
        <f>双柏!L122</f>
        <v>2</v>
      </c>
      <c r="Q308" s="202">
        <f>双柏!M122</f>
        <v>2</v>
      </c>
      <c r="R308" s="202">
        <f>双柏!N122</f>
        <v>2</v>
      </c>
      <c r="S308" s="202">
        <f>双柏!O122</f>
        <v>2</v>
      </c>
      <c r="T308" s="202">
        <f>双柏!P122</f>
        <v>2</v>
      </c>
      <c r="U308" s="202">
        <f>双柏!Q122</f>
        <v>2</v>
      </c>
      <c r="V308" s="202">
        <f>双柏!R122</f>
        <v>2</v>
      </c>
      <c r="W308" s="202">
        <f>双柏!S122</f>
        <v>2</v>
      </c>
      <c r="X308" s="202">
        <f>双柏!T122</f>
        <v>2</v>
      </c>
      <c r="Y308" s="202">
        <f>双柏!U122</f>
        <v>2</v>
      </c>
      <c r="Z308" s="202">
        <f>双柏!V122</f>
        <v>3</v>
      </c>
      <c r="AA308" s="202">
        <f>双柏!W122</f>
        <v>3</v>
      </c>
      <c r="AB308" s="202">
        <f>双柏!X122</f>
        <v>4</v>
      </c>
      <c r="AC308" s="202">
        <f>双柏!Y122</f>
        <v>0</v>
      </c>
      <c r="AD308" s="202">
        <f>双柏!Z122</f>
        <v>0</v>
      </c>
      <c r="AE308" s="202">
        <f>双柏!AA122</f>
        <v>0</v>
      </c>
      <c r="AF308" s="202">
        <f>双柏!AB122</f>
        <v>0</v>
      </c>
      <c r="AG308" s="202">
        <f>双柏!AC122</f>
        <v>0</v>
      </c>
      <c r="AH308" s="202">
        <f>双柏!AD122</f>
        <v>0</v>
      </c>
      <c r="AI308" s="202">
        <f>双柏!AE122</f>
        <v>0</v>
      </c>
      <c r="AJ308" s="202">
        <f>双柏!AF122</f>
        <v>0</v>
      </c>
      <c r="AK308" s="165" t="str">
        <f>双柏!AG122</f>
        <v>双柏县鄂嘉镇密架村委会际天树岔河森林管护点</v>
      </c>
      <c r="AL308" s="165" t="str">
        <f>双柏!AH122</f>
        <v>2016/0810</v>
      </c>
      <c r="AM308" s="165" t="str">
        <f>双柏!AI122</f>
        <v>2016/0810</v>
      </c>
      <c r="AN308" s="165">
        <f>双柏!AJ122</f>
        <v>0</v>
      </c>
      <c r="AO308" s="165" t="str">
        <f>双柏!AK122</f>
        <v>N24°24′38.36″ E101°19′1.49″</v>
      </c>
      <c r="AP308" s="263">
        <v>2</v>
      </c>
      <c r="AQ308" s="209">
        <f>双柏!AM122</f>
        <v>0</v>
      </c>
      <c r="AR308" s="295">
        <f>双柏!AN122</f>
        <v>0.4</v>
      </c>
      <c r="AS308" s="199" t="str">
        <f>双柏!AO122</f>
        <v>532322198006250518</v>
      </c>
      <c r="AT308" s="199" t="str">
        <f>双柏!AP122</f>
        <v>13987891571</v>
      </c>
    </row>
    <row r="309" spans="1:46">
      <c r="A309" t="s">
        <v>1921</v>
      </c>
      <c r="B309" s="202" t="str">
        <f>VLOOKUP(A309,databases!$A$2:$B$7, 2, FALSE)</f>
        <v>ShuangBai</v>
      </c>
      <c r="C309" s="165" t="str">
        <f>双柏!B2</f>
        <v>鲁兴连&amp;祝正贵</v>
      </c>
      <c r="D309" s="202" t="str">
        <f>VLOOKUP(C309,databases!$D$2:$E$145, 2, FALSE)</f>
        <v>R135</v>
      </c>
      <c r="E309" s="259">
        <f>INDEX(sample_database!$B$2:$B$506,MATCH(F309,sample_database!$L$2:$L$506,0))</f>
        <v>29</v>
      </c>
      <c r="F309" s="202" t="str">
        <f>双柏!A2</f>
        <v>SB001</v>
      </c>
      <c r="G309" s="257">
        <f>双柏!C2</f>
        <v>10</v>
      </c>
      <c r="H309" s="257">
        <f>双柏!D2</f>
        <v>0</v>
      </c>
      <c r="I309" s="202">
        <f>双柏!E2</f>
        <v>87</v>
      </c>
      <c r="J309" s="202">
        <f>双柏!F2</f>
        <v>10</v>
      </c>
      <c r="K309" s="202">
        <f>双柏!G2</f>
        <v>5</v>
      </c>
      <c r="L309" s="202">
        <f>双柏!H2</f>
        <v>9</v>
      </c>
      <c r="M309" s="202">
        <f>双柏!I2</f>
        <v>10</v>
      </c>
      <c r="N309" s="202">
        <f>双柏!J2</f>
        <v>10</v>
      </c>
      <c r="O309" s="202">
        <f>双柏!K2</f>
        <v>6</v>
      </c>
      <c r="P309" s="202">
        <f>双柏!L2</f>
        <v>11</v>
      </c>
      <c r="Q309" s="202">
        <f>双柏!M2</f>
        <v>8</v>
      </c>
      <c r="R309" s="202">
        <f>双柏!N2</f>
        <v>8</v>
      </c>
      <c r="S309" s="202">
        <f>双柏!O2</f>
        <v>10</v>
      </c>
      <c r="T309" s="202">
        <f>双柏!P2</f>
        <v>0</v>
      </c>
      <c r="U309" s="202">
        <f>双柏!Q2</f>
        <v>0</v>
      </c>
      <c r="V309" s="202">
        <f>双柏!R2</f>
        <v>0</v>
      </c>
      <c r="W309" s="202">
        <f>双柏!S2</f>
        <v>0</v>
      </c>
      <c r="X309" s="202">
        <f>双柏!T2</f>
        <v>0</v>
      </c>
      <c r="Y309" s="202">
        <f>双柏!U2</f>
        <v>0</v>
      </c>
      <c r="Z309" s="202">
        <f>双柏!V2</f>
        <v>0</v>
      </c>
      <c r="AA309" s="202">
        <f>双柏!W2</f>
        <v>0</v>
      </c>
      <c r="AB309" s="202">
        <f>双柏!X2</f>
        <v>0</v>
      </c>
      <c r="AC309" s="202">
        <f>双柏!Y2</f>
        <v>0</v>
      </c>
      <c r="AD309" s="202">
        <f>双柏!Z2</f>
        <v>0</v>
      </c>
      <c r="AE309" s="202">
        <f>双柏!AA2</f>
        <v>0</v>
      </c>
      <c r="AF309" s="202">
        <f>双柏!AB2</f>
        <v>0</v>
      </c>
      <c r="AG309" s="202">
        <f>双柏!AC2</f>
        <v>0</v>
      </c>
      <c r="AH309" s="202">
        <f>双柏!AD2</f>
        <v>0</v>
      </c>
      <c r="AI309" s="202">
        <f>双柏!AE2</f>
        <v>0</v>
      </c>
      <c r="AJ309" s="202">
        <f>双柏!AF2</f>
        <v>0</v>
      </c>
      <c r="AK309" s="165" t="str">
        <f>双柏!AG2</f>
        <v>双柏县鄂嘉镇新树村委会</v>
      </c>
      <c r="AL309" s="173">
        <f>双柏!AH2</f>
        <v>42571</v>
      </c>
      <c r="AM309" s="173">
        <f>双柏!AI2</f>
        <v>42575</v>
      </c>
      <c r="AN309" s="173">
        <f>双柏!AJ2</f>
        <v>2534</v>
      </c>
      <c r="AO309" s="173" t="str">
        <f>双柏!AK2</f>
        <v>NA</v>
      </c>
      <c r="AP309" s="263">
        <v>15</v>
      </c>
      <c r="AQ309" s="209">
        <f>双柏!AM2</f>
        <v>0</v>
      </c>
      <c r="AR309" s="295">
        <f>双柏!AN2</f>
        <v>3</v>
      </c>
      <c r="AS309" s="200" t="str">
        <f>双柏!AO2</f>
        <v>532322196511060548</v>
      </c>
      <c r="AT309" s="200" t="str">
        <f>双柏!AP2</f>
        <v>14769315809</v>
      </c>
    </row>
    <row r="310" spans="1:46">
      <c r="A310" t="s">
        <v>1921</v>
      </c>
      <c r="B310" s="202" t="str">
        <f>VLOOKUP(A310,databases!$A$2:$B$7, 2, FALSE)</f>
        <v>ShuangBai</v>
      </c>
      <c r="C310" s="165" t="str">
        <f>双柏!B3</f>
        <v>鲁兴连&amp;祝正贵</v>
      </c>
      <c r="D310" s="202" t="str">
        <f>VLOOKUP(C310,databases!$D$2:$E$145, 2, FALSE)</f>
        <v>R135</v>
      </c>
      <c r="E310" s="259">
        <f>INDEX(sample_database!$B$2:$B$506,MATCH(F310,sample_database!$L$2:$L$506,0))</f>
        <v>29</v>
      </c>
      <c r="F310" s="202" t="str">
        <f>双柏!A3</f>
        <v>SB002</v>
      </c>
      <c r="G310" s="257">
        <f>双柏!C3</f>
        <v>10</v>
      </c>
      <c r="H310" s="257">
        <f>双柏!D3</f>
        <v>0</v>
      </c>
      <c r="I310" s="202">
        <f>双柏!E3</f>
        <v>57</v>
      </c>
      <c r="J310" s="202">
        <f>双柏!F3</f>
        <v>5</v>
      </c>
      <c r="K310" s="202">
        <f>双柏!G3</f>
        <v>7</v>
      </c>
      <c r="L310" s="202">
        <f>双柏!H3</f>
        <v>9</v>
      </c>
      <c r="M310" s="202">
        <f>双柏!I3</f>
        <v>5</v>
      </c>
      <c r="N310" s="202">
        <f>双柏!J3</f>
        <v>5</v>
      </c>
      <c r="O310" s="202">
        <f>双柏!K3</f>
        <v>5</v>
      </c>
      <c r="P310" s="202">
        <f>双柏!L3</f>
        <v>7</v>
      </c>
      <c r="Q310" s="202">
        <f>双柏!M3</f>
        <v>4</v>
      </c>
      <c r="R310" s="202">
        <f>双柏!N3</f>
        <v>7</v>
      </c>
      <c r="S310" s="202">
        <f>双柏!O3</f>
        <v>3</v>
      </c>
      <c r="T310" s="202">
        <f>双柏!P3</f>
        <v>0</v>
      </c>
      <c r="U310" s="202">
        <f>双柏!Q3</f>
        <v>0</v>
      </c>
      <c r="V310" s="202">
        <f>双柏!R3</f>
        <v>0</v>
      </c>
      <c r="W310" s="202">
        <f>双柏!S3</f>
        <v>0</v>
      </c>
      <c r="X310" s="202">
        <f>双柏!T3</f>
        <v>0</v>
      </c>
      <c r="Y310" s="202">
        <f>双柏!U3</f>
        <v>0</v>
      </c>
      <c r="Z310" s="202">
        <f>双柏!V3</f>
        <v>0</v>
      </c>
      <c r="AA310" s="202">
        <f>双柏!W3</f>
        <v>0</v>
      </c>
      <c r="AB310" s="202">
        <f>双柏!X3</f>
        <v>0</v>
      </c>
      <c r="AC310" s="202">
        <f>双柏!Y3</f>
        <v>0</v>
      </c>
      <c r="AD310" s="202">
        <f>双柏!Z3</f>
        <v>0</v>
      </c>
      <c r="AE310" s="202">
        <f>双柏!AA3</f>
        <v>0</v>
      </c>
      <c r="AF310" s="202">
        <f>双柏!AB3</f>
        <v>0</v>
      </c>
      <c r="AG310" s="202">
        <f>双柏!AC3</f>
        <v>0</v>
      </c>
      <c r="AH310" s="202">
        <f>双柏!AD3</f>
        <v>0</v>
      </c>
      <c r="AI310" s="202">
        <f>双柏!AE3</f>
        <v>0</v>
      </c>
      <c r="AJ310" s="202">
        <f>双柏!AF3</f>
        <v>0</v>
      </c>
      <c r="AK310" s="165" t="str">
        <f>双柏!AG3</f>
        <v>双柏县鄂嘉镇新树村委会</v>
      </c>
      <c r="AL310" s="165">
        <f>双柏!AH3</f>
        <v>42586</v>
      </c>
      <c r="AM310" s="165">
        <f>双柏!AI3</f>
        <v>42586</v>
      </c>
      <c r="AN310" s="165">
        <f>双柏!AJ3</f>
        <v>2599</v>
      </c>
      <c r="AO310" s="165" t="str">
        <f>双柏!AK3</f>
        <v>NA</v>
      </c>
      <c r="AP310" s="263">
        <v>6</v>
      </c>
      <c r="AQ310" s="209">
        <f>双柏!AM3</f>
        <v>0</v>
      </c>
      <c r="AR310" s="295">
        <f>双柏!AN3</f>
        <v>1.2</v>
      </c>
      <c r="AS310" s="199" t="str">
        <f>双柏!AO3</f>
        <v>532322196511060548</v>
      </c>
      <c r="AT310" s="199" t="str">
        <f>双柏!AP3</f>
        <v>14769315809</v>
      </c>
    </row>
    <row r="311" spans="1:46">
      <c r="A311" t="s">
        <v>1921</v>
      </c>
      <c r="B311" s="202" t="str">
        <f>VLOOKUP(A311,databases!$A$2:$B$7, 2, FALSE)</f>
        <v>ShuangBai</v>
      </c>
      <c r="C311" s="165" t="str">
        <f>双柏!B4</f>
        <v>鲁兴连&amp;祝正贵</v>
      </c>
      <c r="D311" s="202" t="str">
        <f>VLOOKUP(C311,databases!$D$2:$E$145, 2, FALSE)</f>
        <v>R135</v>
      </c>
      <c r="E311" s="259">
        <f>INDEX(sample_database!$B$2:$B$506,MATCH(F311,sample_database!$L$2:$L$506,0))</f>
        <v>29</v>
      </c>
      <c r="F311" s="202" t="str">
        <f>双柏!A4</f>
        <v>SB003</v>
      </c>
      <c r="G311" s="257">
        <f>双柏!C4</f>
        <v>10</v>
      </c>
      <c r="H311" s="257">
        <f>双柏!D4</f>
        <v>0</v>
      </c>
      <c r="I311" s="202">
        <f>双柏!E4</f>
        <v>92</v>
      </c>
      <c r="J311" s="202">
        <f>双柏!F4</f>
        <v>7</v>
      </c>
      <c r="K311" s="202">
        <f>双柏!G4</f>
        <v>10</v>
      </c>
      <c r="L311" s="202">
        <f>双柏!H4</f>
        <v>10</v>
      </c>
      <c r="M311" s="202">
        <f>双柏!I4</f>
        <v>11</v>
      </c>
      <c r="N311" s="202">
        <f>双柏!J4</f>
        <v>8</v>
      </c>
      <c r="O311" s="202">
        <f>双柏!K4</f>
        <v>10</v>
      </c>
      <c r="P311" s="202">
        <f>双柏!L4</f>
        <v>11</v>
      </c>
      <c r="Q311" s="202">
        <f>双柏!M4</f>
        <v>9</v>
      </c>
      <c r="R311" s="202">
        <f>双柏!N4</f>
        <v>10</v>
      </c>
      <c r="S311" s="202">
        <f>双柏!O4</f>
        <v>6</v>
      </c>
      <c r="T311" s="202">
        <f>双柏!P4</f>
        <v>0</v>
      </c>
      <c r="U311" s="202">
        <f>双柏!Q4</f>
        <v>0</v>
      </c>
      <c r="V311" s="202">
        <f>双柏!R4</f>
        <v>0</v>
      </c>
      <c r="W311" s="202">
        <f>双柏!S4</f>
        <v>0</v>
      </c>
      <c r="X311" s="202">
        <f>双柏!T4</f>
        <v>0</v>
      </c>
      <c r="Y311" s="202">
        <f>双柏!U4</f>
        <v>0</v>
      </c>
      <c r="Z311" s="202">
        <f>双柏!V4</f>
        <v>0</v>
      </c>
      <c r="AA311" s="202">
        <f>双柏!W4</f>
        <v>0</v>
      </c>
      <c r="AB311" s="202">
        <f>双柏!X4</f>
        <v>0</v>
      </c>
      <c r="AC311" s="202">
        <f>双柏!Y4</f>
        <v>0</v>
      </c>
      <c r="AD311" s="202">
        <f>双柏!Z4</f>
        <v>0</v>
      </c>
      <c r="AE311" s="202">
        <f>双柏!AA4</f>
        <v>0</v>
      </c>
      <c r="AF311" s="202">
        <f>双柏!AB4</f>
        <v>0</v>
      </c>
      <c r="AG311" s="202">
        <f>双柏!AC4</f>
        <v>0</v>
      </c>
      <c r="AH311" s="202">
        <f>双柏!AD4</f>
        <v>0</v>
      </c>
      <c r="AI311" s="202">
        <f>双柏!AE4</f>
        <v>0</v>
      </c>
      <c r="AJ311" s="202">
        <f>双柏!AF4</f>
        <v>0</v>
      </c>
      <c r="AK311" s="165" t="str">
        <f>双柏!AG4</f>
        <v>双柏县鄂嘉镇新树村委会</v>
      </c>
      <c r="AL311" s="165">
        <f>双柏!AH4</f>
        <v>42592</v>
      </c>
      <c r="AM311" s="165">
        <f>双柏!AI4</f>
        <v>42592</v>
      </c>
      <c r="AN311" s="165">
        <f>双柏!AJ4</f>
        <v>2660</v>
      </c>
      <c r="AO311" s="165" t="str">
        <f>双柏!AK4</f>
        <v>NA</v>
      </c>
      <c r="AP311" s="263">
        <v>12.5</v>
      </c>
      <c r="AQ311" s="209">
        <f>双柏!AM4</f>
        <v>0</v>
      </c>
      <c r="AR311" s="295">
        <f>双柏!AN4</f>
        <v>2.5</v>
      </c>
      <c r="AS311" s="199" t="str">
        <f>双柏!AO4</f>
        <v>532322196511060548</v>
      </c>
      <c r="AT311" s="199" t="str">
        <f>双柏!AP4</f>
        <v>14769315809</v>
      </c>
    </row>
    <row r="312" spans="1:46">
      <c r="A312" t="s">
        <v>1921</v>
      </c>
      <c r="B312" s="202" t="str">
        <f>VLOOKUP(A312,databases!$A$2:$B$7, 2, FALSE)</f>
        <v>ShuangBai</v>
      </c>
      <c r="C312" s="165" t="str">
        <f>双柏!B5</f>
        <v>鲁兴连&amp;祝正贵</v>
      </c>
      <c r="D312" s="202" t="str">
        <f>VLOOKUP(C312,databases!$D$2:$E$145, 2, FALSE)</f>
        <v>R135</v>
      </c>
      <c r="E312" s="259">
        <f>INDEX(sample_database!$B$2:$B$506,MATCH(F312,sample_database!$L$2:$L$506,0))</f>
        <v>29</v>
      </c>
      <c r="F312" s="202" t="str">
        <f>双柏!A5</f>
        <v>SB004</v>
      </c>
      <c r="G312" s="257">
        <f>双柏!C5</f>
        <v>10</v>
      </c>
      <c r="H312" s="257">
        <f>双柏!D5</f>
        <v>0</v>
      </c>
      <c r="I312" s="202">
        <f>双柏!E5</f>
        <v>70</v>
      </c>
      <c r="J312" s="202">
        <f>双柏!F5</f>
        <v>5</v>
      </c>
      <c r="K312" s="202">
        <f>双柏!G5</f>
        <v>5</v>
      </c>
      <c r="L312" s="202">
        <f>双柏!H5</f>
        <v>8</v>
      </c>
      <c r="M312" s="202">
        <f>双柏!I5</f>
        <v>5</v>
      </c>
      <c r="N312" s="202">
        <f>双柏!J5</f>
        <v>5</v>
      </c>
      <c r="O312" s="202">
        <f>双柏!K5</f>
        <v>5</v>
      </c>
      <c r="P312" s="202">
        <f>双柏!L5</f>
        <v>13</v>
      </c>
      <c r="Q312" s="202">
        <f>双柏!M5</f>
        <v>5</v>
      </c>
      <c r="R312" s="202">
        <f>双柏!N5</f>
        <v>6</v>
      </c>
      <c r="S312" s="202">
        <f>双柏!O5</f>
        <v>13</v>
      </c>
      <c r="T312" s="202">
        <f>双柏!P5</f>
        <v>0</v>
      </c>
      <c r="U312" s="202">
        <f>双柏!Q5</f>
        <v>0</v>
      </c>
      <c r="V312" s="202">
        <f>双柏!R5</f>
        <v>0</v>
      </c>
      <c r="W312" s="202">
        <f>双柏!S5</f>
        <v>0</v>
      </c>
      <c r="X312" s="202">
        <f>双柏!T5</f>
        <v>0</v>
      </c>
      <c r="Y312" s="202">
        <f>双柏!U5</f>
        <v>0</v>
      </c>
      <c r="Z312" s="202">
        <f>双柏!V5</f>
        <v>0</v>
      </c>
      <c r="AA312" s="202">
        <f>双柏!W5</f>
        <v>0</v>
      </c>
      <c r="AB312" s="202">
        <f>双柏!X5</f>
        <v>0</v>
      </c>
      <c r="AC312" s="202">
        <f>双柏!Y5</f>
        <v>0</v>
      </c>
      <c r="AD312" s="202">
        <f>双柏!Z5</f>
        <v>0</v>
      </c>
      <c r="AE312" s="202">
        <f>双柏!AA5</f>
        <v>0</v>
      </c>
      <c r="AF312" s="202">
        <f>双柏!AB5</f>
        <v>0</v>
      </c>
      <c r="AG312" s="202">
        <f>双柏!AC5</f>
        <v>0</v>
      </c>
      <c r="AH312" s="202">
        <f>双柏!AD5</f>
        <v>0</v>
      </c>
      <c r="AI312" s="202">
        <f>双柏!AE5</f>
        <v>0</v>
      </c>
      <c r="AJ312" s="202">
        <f>双柏!AF5</f>
        <v>0</v>
      </c>
      <c r="AK312" s="165" t="str">
        <f>双柏!AG5</f>
        <v>双柏县鄂嘉镇新树村委会</v>
      </c>
      <c r="AL312" s="165">
        <f>双柏!AH5</f>
        <v>42610</v>
      </c>
      <c r="AM312" s="165">
        <f>双柏!AI5</f>
        <v>42610</v>
      </c>
      <c r="AN312" s="165">
        <f>双柏!AJ5</f>
        <v>2680</v>
      </c>
      <c r="AO312" s="165" t="str">
        <f>双柏!AK5</f>
        <v>NA</v>
      </c>
      <c r="AP312" s="263">
        <v>7.5</v>
      </c>
      <c r="AQ312" s="209">
        <f>双柏!AM5</f>
        <v>0</v>
      </c>
      <c r="AR312" s="295">
        <f>双柏!AN5</f>
        <v>1.5</v>
      </c>
      <c r="AS312" s="199" t="str">
        <f>双柏!AO5</f>
        <v>532322196511060548</v>
      </c>
      <c r="AT312" s="199" t="str">
        <f>双柏!AP5</f>
        <v>14769315809</v>
      </c>
    </row>
    <row r="313" spans="1:46">
      <c r="A313" t="s">
        <v>1921</v>
      </c>
      <c r="B313" s="202" t="str">
        <f>VLOOKUP(A313,databases!$A$2:$B$7, 2, FALSE)</f>
        <v>ShuangBai</v>
      </c>
      <c r="C313" s="165" t="str">
        <f>双柏!B6</f>
        <v>黄丕山</v>
      </c>
      <c r="D313" s="202" t="str">
        <f>VLOOKUP(C313,databases!$D$2:$E$145, 2, FALSE)</f>
        <v>R141</v>
      </c>
      <c r="E313" s="259">
        <f>INDEX(sample_database!$B$2:$B$506,MATCH(F313,sample_database!$L$2:$L$506,0))</f>
        <v>14</v>
      </c>
      <c r="F313" s="202" t="str">
        <f>双柏!A6</f>
        <v>SB005</v>
      </c>
      <c r="G313" s="257">
        <f>双柏!C6</f>
        <v>5</v>
      </c>
      <c r="H313" s="257">
        <f>双柏!D6</f>
        <v>0</v>
      </c>
      <c r="I313" s="202">
        <f>双柏!E6</f>
        <v>37</v>
      </c>
      <c r="J313" s="202">
        <f>双柏!F6</f>
        <v>2</v>
      </c>
      <c r="K313" s="202">
        <f>双柏!G6</f>
        <v>6</v>
      </c>
      <c r="L313" s="202">
        <f>双柏!H6</f>
        <v>9</v>
      </c>
      <c r="M313" s="202">
        <f>双柏!I6</f>
        <v>8</v>
      </c>
      <c r="N313" s="202">
        <f>双柏!J6</f>
        <v>12</v>
      </c>
      <c r="O313" s="202">
        <f>双柏!K6</f>
        <v>0</v>
      </c>
      <c r="P313" s="202">
        <f>双柏!L6</f>
        <v>0</v>
      </c>
      <c r="Q313" s="202">
        <f>双柏!M6</f>
        <v>0</v>
      </c>
      <c r="R313" s="202">
        <f>双柏!N6</f>
        <v>0</v>
      </c>
      <c r="S313" s="202">
        <f>双柏!O6</f>
        <v>0</v>
      </c>
      <c r="T313" s="202">
        <f>双柏!P6</f>
        <v>0</v>
      </c>
      <c r="U313" s="202">
        <f>双柏!Q6</f>
        <v>0</v>
      </c>
      <c r="V313" s="202">
        <f>双柏!R6</f>
        <v>0</v>
      </c>
      <c r="W313" s="202">
        <f>双柏!S6</f>
        <v>0</v>
      </c>
      <c r="X313" s="202">
        <f>双柏!T6</f>
        <v>0</v>
      </c>
      <c r="Y313" s="202">
        <f>双柏!U6</f>
        <v>0</v>
      </c>
      <c r="Z313" s="202">
        <f>双柏!V6</f>
        <v>0</v>
      </c>
      <c r="AA313" s="202">
        <f>双柏!W6</f>
        <v>0</v>
      </c>
      <c r="AB313" s="202">
        <f>双柏!X6</f>
        <v>0</v>
      </c>
      <c r="AC313" s="202">
        <f>双柏!Y6</f>
        <v>0</v>
      </c>
      <c r="AD313" s="202">
        <f>双柏!Z6</f>
        <v>0</v>
      </c>
      <c r="AE313" s="202">
        <f>双柏!AA6</f>
        <v>0</v>
      </c>
      <c r="AF313" s="202">
        <f>双柏!AB6</f>
        <v>0</v>
      </c>
      <c r="AG313" s="202">
        <f>双柏!AC6</f>
        <v>0</v>
      </c>
      <c r="AH313" s="202">
        <f>双柏!AD6</f>
        <v>0</v>
      </c>
      <c r="AI313" s="202">
        <f>双柏!AE6</f>
        <v>0</v>
      </c>
      <c r="AJ313" s="202">
        <f>双柏!AF6</f>
        <v>0</v>
      </c>
      <c r="AK313" s="165" t="str">
        <f>双柏!AG6</f>
        <v>双柏县鄂嘉镇麻旺村委会大麻旧村</v>
      </c>
      <c r="AL313" s="165">
        <f>双柏!AH6</f>
        <v>42564</v>
      </c>
      <c r="AM313" s="165">
        <f>双柏!AI6</f>
        <v>42565</v>
      </c>
      <c r="AN313" s="165">
        <f>双柏!AJ6</f>
        <v>2541</v>
      </c>
      <c r="AO313" s="165" t="str">
        <f>双柏!AK6</f>
        <v>24°26′39.61″</v>
      </c>
      <c r="AP313" s="263">
        <v>5</v>
      </c>
      <c r="AQ313" s="209">
        <f>双柏!AM6</f>
        <v>0</v>
      </c>
      <c r="AR313" s="295">
        <f>双柏!AN6</f>
        <v>1</v>
      </c>
      <c r="AS313" s="199" t="str">
        <f>双柏!AO6</f>
        <v>532322196404060534</v>
      </c>
      <c r="AT313" s="199" t="str">
        <f>双柏!AP6</f>
        <v>18183781341</v>
      </c>
    </row>
    <row r="314" spans="1:46">
      <c r="A314" t="s">
        <v>1921</v>
      </c>
      <c r="B314" s="202" t="str">
        <f>VLOOKUP(A314,databases!$A$2:$B$7, 2, FALSE)</f>
        <v>ShuangBai</v>
      </c>
      <c r="C314" s="165" t="str">
        <f>双柏!B7</f>
        <v>黄丕山</v>
      </c>
      <c r="D314" s="202" t="str">
        <f>VLOOKUP(C314,databases!$D$2:$E$145, 2, FALSE)</f>
        <v>R141</v>
      </c>
      <c r="E314" s="259">
        <f>INDEX(sample_database!$B$2:$B$506,MATCH(F314,sample_database!$L$2:$L$506,0))</f>
        <v>14</v>
      </c>
      <c r="F314" s="202" t="str">
        <f>双柏!A7</f>
        <v>SB006</v>
      </c>
      <c r="G314" s="257">
        <f>双柏!C7</f>
        <v>5</v>
      </c>
      <c r="H314" s="257">
        <f>双柏!D7</f>
        <v>0</v>
      </c>
      <c r="I314" s="202">
        <f>双柏!E7</f>
        <v>21</v>
      </c>
      <c r="J314" s="202">
        <f>双柏!F7</f>
        <v>5</v>
      </c>
      <c r="K314" s="202">
        <f>双柏!G7</f>
        <v>7</v>
      </c>
      <c r="L314" s="202">
        <f>双柏!H7</f>
        <v>1</v>
      </c>
      <c r="M314" s="202">
        <f>双柏!I7</f>
        <v>4</v>
      </c>
      <c r="N314" s="202">
        <f>双柏!J7</f>
        <v>4</v>
      </c>
      <c r="O314" s="202">
        <f>双柏!K7</f>
        <v>0</v>
      </c>
      <c r="P314" s="202">
        <f>双柏!L7</f>
        <v>0</v>
      </c>
      <c r="Q314" s="202">
        <f>双柏!M7</f>
        <v>0</v>
      </c>
      <c r="R314" s="202">
        <f>双柏!N7</f>
        <v>0</v>
      </c>
      <c r="S314" s="202">
        <f>双柏!O7</f>
        <v>0</v>
      </c>
      <c r="T314" s="202">
        <f>双柏!P7</f>
        <v>0</v>
      </c>
      <c r="U314" s="202">
        <f>双柏!Q7</f>
        <v>0</v>
      </c>
      <c r="V314" s="202">
        <f>双柏!R7</f>
        <v>0</v>
      </c>
      <c r="W314" s="202">
        <f>双柏!S7</f>
        <v>0</v>
      </c>
      <c r="X314" s="202">
        <f>双柏!T7</f>
        <v>0</v>
      </c>
      <c r="Y314" s="202">
        <f>双柏!U7</f>
        <v>0</v>
      </c>
      <c r="Z314" s="202">
        <f>双柏!V7</f>
        <v>0</v>
      </c>
      <c r="AA314" s="202">
        <f>双柏!W7</f>
        <v>0</v>
      </c>
      <c r="AB314" s="202">
        <f>双柏!X7</f>
        <v>0</v>
      </c>
      <c r="AC314" s="202">
        <f>双柏!Y7</f>
        <v>0</v>
      </c>
      <c r="AD314" s="202">
        <f>双柏!Z7</f>
        <v>0</v>
      </c>
      <c r="AE314" s="202">
        <f>双柏!AA7</f>
        <v>0</v>
      </c>
      <c r="AF314" s="202">
        <f>双柏!AB7</f>
        <v>0</v>
      </c>
      <c r="AG314" s="202">
        <f>双柏!AC7</f>
        <v>0</v>
      </c>
      <c r="AH314" s="202">
        <f>双柏!AD7</f>
        <v>0</v>
      </c>
      <c r="AI314" s="202">
        <f>双柏!AE7</f>
        <v>0</v>
      </c>
      <c r="AJ314" s="202">
        <f>双柏!AF7</f>
        <v>0</v>
      </c>
      <c r="AK314" s="165" t="str">
        <f>双柏!AG7</f>
        <v>双柏县鄂嘉镇麻旺村委会大麻旧村</v>
      </c>
      <c r="AL314" s="165">
        <f>双柏!AH7</f>
        <v>42572</v>
      </c>
      <c r="AM314" s="165">
        <f>双柏!AI7</f>
        <v>42575</v>
      </c>
      <c r="AN314" s="165">
        <f>双柏!AJ7</f>
        <v>0</v>
      </c>
      <c r="AO314" s="165" t="str">
        <f>双柏!AK7</f>
        <v>海拔2496-2578 101°07′65.98″</v>
      </c>
      <c r="AP314" s="263">
        <v>4</v>
      </c>
      <c r="AQ314" s="209">
        <f>双柏!AM7</f>
        <v>0</v>
      </c>
      <c r="AR314" s="295">
        <f>双柏!AN7</f>
        <v>0.8</v>
      </c>
      <c r="AS314" s="199" t="str">
        <f>双柏!AO7</f>
        <v>532322196404060534</v>
      </c>
      <c r="AT314" s="199" t="str">
        <f>双柏!AP7</f>
        <v>18183781341</v>
      </c>
    </row>
    <row r="315" spans="1:46">
      <c r="A315" t="s">
        <v>1921</v>
      </c>
      <c r="B315" s="202" t="str">
        <f>VLOOKUP(A315,databases!$A$2:$B$7, 2, FALSE)</f>
        <v>ShuangBai</v>
      </c>
      <c r="C315" s="165" t="str">
        <f>双柏!B8</f>
        <v>黄丕山</v>
      </c>
      <c r="D315" s="202" t="str">
        <f>VLOOKUP(C315,databases!$D$2:$E$145, 2, FALSE)</f>
        <v>R141</v>
      </c>
      <c r="E315" s="259">
        <f>INDEX(sample_database!$B$2:$B$506,MATCH(F315,sample_database!$L$2:$L$506,0))</f>
        <v>14</v>
      </c>
      <c r="F315" s="202" t="str">
        <f>双柏!A8</f>
        <v>SB007</v>
      </c>
      <c r="G315" s="257">
        <f>双柏!C8</f>
        <v>2</v>
      </c>
      <c r="H315" s="257">
        <f>双柏!D8</f>
        <v>0</v>
      </c>
      <c r="I315" s="202">
        <f>双柏!E8</f>
        <v>5</v>
      </c>
      <c r="J315" s="202">
        <f>双柏!F8</f>
        <v>1</v>
      </c>
      <c r="K315" s="202">
        <f>双柏!G8</f>
        <v>4</v>
      </c>
      <c r="L315" s="202">
        <f>双柏!H8</f>
        <v>0</v>
      </c>
      <c r="M315" s="202">
        <f>双柏!I8</f>
        <v>0</v>
      </c>
      <c r="N315" s="202">
        <f>双柏!J8</f>
        <v>0</v>
      </c>
      <c r="O315" s="202">
        <f>双柏!K8</f>
        <v>0</v>
      </c>
      <c r="P315" s="202">
        <f>双柏!L8</f>
        <v>0</v>
      </c>
      <c r="Q315" s="202">
        <f>双柏!M8</f>
        <v>0</v>
      </c>
      <c r="R315" s="202">
        <f>双柏!N8</f>
        <v>0</v>
      </c>
      <c r="S315" s="202">
        <f>双柏!O8</f>
        <v>0</v>
      </c>
      <c r="T315" s="202">
        <f>双柏!P8</f>
        <v>0</v>
      </c>
      <c r="U315" s="202">
        <f>双柏!Q8</f>
        <v>0</v>
      </c>
      <c r="V315" s="202">
        <f>双柏!R8</f>
        <v>0</v>
      </c>
      <c r="W315" s="202">
        <f>双柏!S8</f>
        <v>0</v>
      </c>
      <c r="X315" s="202">
        <f>双柏!T8</f>
        <v>0</v>
      </c>
      <c r="Y315" s="202">
        <f>双柏!U8</f>
        <v>0</v>
      </c>
      <c r="Z315" s="202">
        <f>双柏!V8</f>
        <v>0</v>
      </c>
      <c r="AA315" s="202">
        <f>双柏!W8</f>
        <v>0</v>
      </c>
      <c r="AB315" s="202">
        <f>双柏!X8</f>
        <v>0</v>
      </c>
      <c r="AC315" s="202">
        <f>双柏!Y8</f>
        <v>0</v>
      </c>
      <c r="AD315" s="202">
        <f>双柏!Z8</f>
        <v>0</v>
      </c>
      <c r="AE315" s="202">
        <f>双柏!AA8</f>
        <v>0</v>
      </c>
      <c r="AF315" s="202">
        <f>双柏!AB8</f>
        <v>0</v>
      </c>
      <c r="AG315" s="202">
        <f>双柏!AC8</f>
        <v>0</v>
      </c>
      <c r="AH315" s="202">
        <f>双柏!AD8</f>
        <v>0</v>
      </c>
      <c r="AI315" s="202">
        <f>双柏!AE8</f>
        <v>0</v>
      </c>
      <c r="AJ315" s="202">
        <f>双柏!AF8</f>
        <v>0</v>
      </c>
      <c r="AK315" s="165" t="str">
        <f>双柏!AG8</f>
        <v>双柏县鄂嘉镇麻旺村委会大麻旧村</v>
      </c>
      <c r="AL315" s="165">
        <f>双柏!AH8</f>
        <v>42588</v>
      </c>
      <c r="AM315" s="165">
        <f>双柏!AI8</f>
        <v>42590</v>
      </c>
      <c r="AN315" s="165">
        <f>双柏!AJ8</f>
        <v>0</v>
      </c>
      <c r="AO315" s="165" t="str">
        <f>双柏!AK8</f>
        <v>海拔2543-2548 24°26′46.11″</v>
      </c>
      <c r="AP315" s="263">
        <v>1.5</v>
      </c>
      <c r="AQ315" s="209">
        <f>双柏!AM8</f>
        <v>0</v>
      </c>
      <c r="AR315" s="295">
        <f>双柏!AN8</f>
        <v>0.3</v>
      </c>
      <c r="AS315" s="199" t="str">
        <f>双柏!AO8</f>
        <v>532322196404060534</v>
      </c>
      <c r="AT315" s="199" t="str">
        <f>双柏!AP8</f>
        <v>18183781341</v>
      </c>
    </row>
    <row r="316" spans="1:46">
      <c r="A316" t="s">
        <v>1921</v>
      </c>
      <c r="B316" s="202" t="str">
        <f>VLOOKUP(A316,databases!$A$2:$B$7, 2, FALSE)</f>
        <v>ShuangBai</v>
      </c>
      <c r="C316" s="165" t="str">
        <f>双柏!B9</f>
        <v>黄丕山</v>
      </c>
      <c r="D316" s="202" t="str">
        <f>VLOOKUP(C316,databases!$D$2:$E$145, 2, FALSE)</f>
        <v>R141</v>
      </c>
      <c r="E316" s="259">
        <f>INDEX(sample_database!$B$2:$B$506,MATCH(F316,sample_database!$L$2:$L$506,0))</f>
        <v>14</v>
      </c>
      <c r="F316" s="202" t="str">
        <f>双柏!A9</f>
        <v>SB008</v>
      </c>
      <c r="G316" s="257">
        <f>双柏!C9</f>
        <v>3</v>
      </c>
      <c r="H316" s="257">
        <f>双柏!D9</f>
        <v>0</v>
      </c>
      <c r="I316" s="202">
        <f>双柏!E9</f>
        <v>14</v>
      </c>
      <c r="J316" s="202">
        <f>双柏!F9</f>
        <v>3</v>
      </c>
      <c r="K316" s="202">
        <f>双柏!G9</f>
        <v>6</v>
      </c>
      <c r="L316" s="202">
        <f>双柏!H9</f>
        <v>5</v>
      </c>
      <c r="M316" s="202">
        <f>双柏!I9</f>
        <v>0</v>
      </c>
      <c r="N316" s="202">
        <f>双柏!J9</f>
        <v>0</v>
      </c>
      <c r="O316" s="202">
        <f>双柏!K9</f>
        <v>0</v>
      </c>
      <c r="P316" s="202">
        <f>双柏!L9</f>
        <v>0</v>
      </c>
      <c r="Q316" s="202">
        <f>双柏!M9</f>
        <v>0</v>
      </c>
      <c r="R316" s="202">
        <f>双柏!N9</f>
        <v>0</v>
      </c>
      <c r="S316" s="202">
        <f>双柏!O9</f>
        <v>0</v>
      </c>
      <c r="T316" s="202">
        <f>双柏!P9</f>
        <v>0</v>
      </c>
      <c r="U316" s="202">
        <f>双柏!Q9</f>
        <v>0</v>
      </c>
      <c r="V316" s="202">
        <f>双柏!R9</f>
        <v>0</v>
      </c>
      <c r="W316" s="202">
        <f>双柏!S9</f>
        <v>0</v>
      </c>
      <c r="X316" s="202">
        <f>双柏!T9</f>
        <v>0</v>
      </c>
      <c r="Y316" s="202">
        <f>双柏!U9</f>
        <v>0</v>
      </c>
      <c r="Z316" s="202">
        <f>双柏!V9</f>
        <v>0</v>
      </c>
      <c r="AA316" s="202">
        <f>双柏!W9</f>
        <v>0</v>
      </c>
      <c r="AB316" s="202">
        <f>双柏!X9</f>
        <v>0</v>
      </c>
      <c r="AC316" s="202">
        <f>双柏!Y9</f>
        <v>0</v>
      </c>
      <c r="AD316" s="202">
        <f>双柏!Z9</f>
        <v>0</v>
      </c>
      <c r="AE316" s="202">
        <f>双柏!AA9</f>
        <v>0</v>
      </c>
      <c r="AF316" s="202">
        <f>双柏!AB9</f>
        <v>0</v>
      </c>
      <c r="AG316" s="202">
        <f>双柏!AC9</f>
        <v>0</v>
      </c>
      <c r="AH316" s="202">
        <f>双柏!AD9</f>
        <v>0</v>
      </c>
      <c r="AI316" s="202">
        <f>双柏!AE9</f>
        <v>0</v>
      </c>
      <c r="AJ316" s="202">
        <f>双柏!AF9</f>
        <v>0</v>
      </c>
      <c r="AK316" s="165" t="str">
        <f>双柏!AG9</f>
        <v>双柏县鄂嘉镇麻旺村委会大麻旧村</v>
      </c>
      <c r="AL316" s="165">
        <f>双柏!AH9</f>
        <v>42591</v>
      </c>
      <c r="AM316" s="165">
        <f>双柏!AI9</f>
        <v>42597</v>
      </c>
      <c r="AN316" s="165">
        <f>双柏!AJ9</f>
        <v>0</v>
      </c>
      <c r="AO316" s="165" t="str">
        <f>双柏!AK9</f>
        <v>海拔2572-2486 101°06′59.81″</v>
      </c>
      <c r="AP316" s="263">
        <v>4</v>
      </c>
      <c r="AQ316" s="209">
        <f>双柏!AM9</f>
        <v>0</v>
      </c>
      <c r="AR316" s="295">
        <f>双柏!AN9</f>
        <v>0.8</v>
      </c>
      <c r="AS316" s="199" t="str">
        <f>双柏!AO9</f>
        <v>532322196404060534</v>
      </c>
      <c r="AT316" s="199" t="str">
        <f>双柏!AP9</f>
        <v>18183781341</v>
      </c>
    </row>
    <row r="317" spans="1:46">
      <c r="A317" t="s">
        <v>1921</v>
      </c>
      <c r="B317" s="202" t="str">
        <f>VLOOKUP(A317,databases!$A$2:$B$7, 2, FALSE)</f>
        <v>ShuangBai</v>
      </c>
      <c r="C317" s="165" t="str">
        <f>双柏!B10</f>
        <v>黄中学</v>
      </c>
      <c r="D317" s="202" t="str">
        <f>VLOOKUP(C317,databases!$D$2:$E$145, 2, FALSE)</f>
        <v>R142</v>
      </c>
      <c r="E317" s="259">
        <f>INDEX(sample_database!$B$2:$B$506,MATCH(F317,sample_database!$L$2:$L$506,0))</f>
        <v>30</v>
      </c>
      <c r="F317" s="202" t="str">
        <f>双柏!A10</f>
        <v>SB009</v>
      </c>
      <c r="G317" s="257">
        <f>双柏!C10</f>
        <v>10</v>
      </c>
      <c r="H317" s="257">
        <f>双柏!D10</f>
        <v>0</v>
      </c>
      <c r="I317" s="202">
        <f>双柏!E10</f>
        <v>20</v>
      </c>
      <c r="J317" s="202">
        <f>双柏!F10</f>
        <v>2</v>
      </c>
      <c r="K317" s="202">
        <f>双柏!G10</f>
        <v>3</v>
      </c>
      <c r="L317" s="202">
        <f>双柏!H10</f>
        <v>2</v>
      </c>
      <c r="M317" s="202">
        <f>双柏!I10</f>
        <v>2</v>
      </c>
      <c r="N317" s="202">
        <f>双柏!J10</f>
        <v>2</v>
      </c>
      <c r="O317" s="202">
        <f>双柏!K10</f>
        <v>2</v>
      </c>
      <c r="P317" s="202">
        <f>双柏!L10</f>
        <v>2</v>
      </c>
      <c r="Q317" s="202">
        <f>双柏!M10</f>
        <v>1</v>
      </c>
      <c r="R317" s="202">
        <f>双柏!N10</f>
        <v>2</v>
      </c>
      <c r="S317" s="202">
        <f>双柏!O10</f>
        <v>2</v>
      </c>
      <c r="T317" s="202">
        <f>双柏!P10</f>
        <v>0</v>
      </c>
      <c r="U317" s="202">
        <f>双柏!Q10</f>
        <v>0</v>
      </c>
      <c r="V317" s="202">
        <f>双柏!R10</f>
        <v>0</v>
      </c>
      <c r="W317" s="202">
        <f>双柏!S10</f>
        <v>0</v>
      </c>
      <c r="X317" s="202">
        <f>双柏!T10</f>
        <v>0</v>
      </c>
      <c r="Y317" s="202">
        <f>双柏!U10</f>
        <v>0</v>
      </c>
      <c r="Z317" s="202">
        <f>双柏!V10</f>
        <v>0</v>
      </c>
      <c r="AA317" s="202">
        <f>双柏!W10</f>
        <v>0</v>
      </c>
      <c r="AB317" s="202">
        <f>双柏!X10</f>
        <v>0</v>
      </c>
      <c r="AC317" s="202">
        <f>双柏!Y10</f>
        <v>0</v>
      </c>
      <c r="AD317" s="202">
        <f>双柏!Z10</f>
        <v>0</v>
      </c>
      <c r="AE317" s="202">
        <f>双柏!AA10</f>
        <v>0</v>
      </c>
      <c r="AF317" s="202">
        <f>双柏!AB10</f>
        <v>0</v>
      </c>
      <c r="AG317" s="202">
        <f>双柏!AC10</f>
        <v>0</v>
      </c>
      <c r="AH317" s="202">
        <f>双柏!AD10</f>
        <v>0</v>
      </c>
      <c r="AI317" s="202">
        <f>双柏!AE10</f>
        <v>0</v>
      </c>
      <c r="AJ317" s="202">
        <f>双柏!AF10</f>
        <v>0</v>
      </c>
      <c r="AK317" s="165" t="str">
        <f>双柏!AG10</f>
        <v>双柏县鄂嘉镇新树村委会旧垄山</v>
      </c>
      <c r="AL317" s="165" t="str">
        <f>双柏!AH10</f>
        <v>2016/0718-0727</v>
      </c>
      <c r="AM317" s="165" t="str">
        <f>双柏!AI10</f>
        <v>2016/0718-0727</v>
      </c>
      <c r="AN317" s="165">
        <f>双柏!AJ10</f>
        <v>0</v>
      </c>
      <c r="AO317" s="165" t="str">
        <f>双柏!AK10</f>
        <v>海拔2334，N24°22′52.5″ E101°15′33.9″</v>
      </c>
      <c r="AP317" s="263">
        <v>5</v>
      </c>
      <c r="AQ317" s="209">
        <f>双柏!AM10</f>
        <v>0</v>
      </c>
      <c r="AR317" s="295">
        <f>双柏!AN10</f>
        <v>1</v>
      </c>
      <c r="AS317" s="199" t="str">
        <f>双柏!AO10</f>
        <v>532322197507090511</v>
      </c>
      <c r="AT317" s="199" t="str">
        <f>双柏!AP10</f>
        <v>18387810209</v>
      </c>
    </row>
    <row r="318" spans="1:46">
      <c r="A318" t="s">
        <v>1921</v>
      </c>
      <c r="B318" s="202" t="str">
        <f>VLOOKUP(A318,databases!$A$2:$B$7, 2, FALSE)</f>
        <v>ShuangBai</v>
      </c>
      <c r="C318" s="165" t="str">
        <f>双柏!B11</f>
        <v>黄中学</v>
      </c>
      <c r="D318" s="202" t="str">
        <f>VLOOKUP(C318,databases!$D$2:$E$145, 2, FALSE)</f>
        <v>R142</v>
      </c>
      <c r="E318" s="259">
        <f>INDEX(sample_database!$B$2:$B$506,MATCH(F318,sample_database!$L$2:$L$506,0))</f>
        <v>30</v>
      </c>
      <c r="F318" s="202" t="str">
        <f>双柏!A11</f>
        <v>SB010</v>
      </c>
      <c r="G318" s="257">
        <f>双柏!C11</f>
        <v>10</v>
      </c>
      <c r="H318" s="257">
        <f>双柏!D11</f>
        <v>0</v>
      </c>
      <c r="I318" s="202">
        <f>双柏!E11</f>
        <v>21</v>
      </c>
      <c r="J318" s="202">
        <f>双柏!F11</f>
        <v>6</v>
      </c>
      <c r="K318" s="202">
        <f>双柏!G11</f>
        <v>1</v>
      </c>
      <c r="L318" s="202">
        <f>双柏!H11</f>
        <v>1</v>
      </c>
      <c r="M318" s="202">
        <f>双柏!I11</f>
        <v>2</v>
      </c>
      <c r="N318" s="202">
        <f>双柏!J11</f>
        <v>2</v>
      </c>
      <c r="O318" s="202">
        <f>双柏!K11</f>
        <v>1</v>
      </c>
      <c r="P318" s="202">
        <f>双柏!L11</f>
        <v>3</v>
      </c>
      <c r="Q318" s="202">
        <f>双柏!M11</f>
        <v>1</v>
      </c>
      <c r="R318" s="202">
        <f>双柏!N11</f>
        <v>2</v>
      </c>
      <c r="S318" s="202">
        <f>双柏!O11</f>
        <v>2</v>
      </c>
      <c r="T318" s="202">
        <f>双柏!P11</f>
        <v>0</v>
      </c>
      <c r="U318" s="202">
        <f>双柏!Q11</f>
        <v>0</v>
      </c>
      <c r="V318" s="202">
        <f>双柏!R11</f>
        <v>0</v>
      </c>
      <c r="W318" s="202">
        <f>双柏!S11</f>
        <v>0</v>
      </c>
      <c r="X318" s="202">
        <f>双柏!T11</f>
        <v>0</v>
      </c>
      <c r="Y318" s="202">
        <f>双柏!U11</f>
        <v>0</v>
      </c>
      <c r="Z318" s="202">
        <f>双柏!V11</f>
        <v>0</v>
      </c>
      <c r="AA318" s="202">
        <f>双柏!W11</f>
        <v>0</v>
      </c>
      <c r="AB318" s="202">
        <f>双柏!X11</f>
        <v>0</v>
      </c>
      <c r="AC318" s="202">
        <f>双柏!Y11</f>
        <v>0</v>
      </c>
      <c r="AD318" s="202">
        <f>双柏!Z11</f>
        <v>0</v>
      </c>
      <c r="AE318" s="202">
        <f>双柏!AA11</f>
        <v>0</v>
      </c>
      <c r="AF318" s="202">
        <f>双柏!AB11</f>
        <v>0</v>
      </c>
      <c r="AG318" s="202">
        <f>双柏!AC11</f>
        <v>0</v>
      </c>
      <c r="AH318" s="202">
        <f>双柏!AD11</f>
        <v>0</v>
      </c>
      <c r="AI318" s="202">
        <f>双柏!AE11</f>
        <v>0</v>
      </c>
      <c r="AJ318" s="202">
        <f>双柏!AF11</f>
        <v>0</v>
      </c>
      <c r="AK318" s="165" t="str">
        <f>双柏!AG11</f>
        <v>双柏县鄂嘉镇新树村委会旧垄山</v>
      </c>
      <c r="AL318" s="165" t="str">
        <f>双柏!AH11</f>
        <v>2016/0725-08/05</v>
      </c>
      <c r="AM318" s="165" t="str">
        <f>双柏!AI11</f>
        <v>2016/0725-08/05</v>
      </c>
      <c r="AN318" s="165">
        <f>双柏!AJ11</f>
        <v>0</v>
      </c>
      <c r="AO318" s="165" t="str">
        <f>双柏!AK11</f>
        <v>海拔2614，N24°22′16.9″ E101°15′39.8″</v>
      </c>
      <c r="AP318" s="263">
        <v>4</v>
      </c>
      <c r="AQ318" s="209">
        <f>双柏!AM11</f>
        <v>0</v>
      </c>
      <c r="AR318" s="295">
        <f>双柏!AN11</f>
        <v>0.8</v>
      </c>
      <c r="AS318" s="199" t="str">
        <f>双柏!AO11</f>
        <v>532322197507090511</v>
      </c>
      <c r="AT318" s="199" t="str">
        <f>双柏!AP11</f>
        <v>18387810209</v>
      </c>
    </row>
    <row r="319" spans="1:46">
      <c r="A319" t="s">
        <v>1921</v>
      </c>
      <c r="B319" s="202" t="str">
        <f>VLOOKUP(A319,databases!$A$2:$B$7, 2, FALSE)</f>
        <v>ShuangBai</v>
      </c>
      <c r="C319" s="165" t="str">
        <f>双柏!B12</f>
        <v>黄中学</v>
      </c>
      <c r="D319" s="202" t="str">
        <f>VLOOKUP(C319,databases!$D$2:$E$145, 2, FALSE)</f>
        <v>R142</v>
      </c>
      <c r="E319" s="259">
        <f>INDEX(sample_database!$B$2:$B$506,MATCH(F319,sample_database!$L$2:$L$506,0))</f>
        <v>30</v>
      </c>
      <c r="F319" s="202" t="str">
        <f>双柏!A12</f>
        <v>SB011</v>
      </c>
      <c r="G319" s="257">
        <f>双柏!C12</f>
        <v>10</v>
      </c>
      <c r="H319" s="257">
        <f>双柏!D12</f>
        <v>0</v>
      </c>
      <c r="I319" s="202">
        <f>双柏!E12</f>
        <v>37</v>
      </c>
      <c r="J319" s="202">
        <f>双柏!F12</f>
        <v>4</v>
      </c>
      <c r="K319" s="202">
        <f>双柏!G12</f>
        <v>2</v>
      </c>
      <c r="L319" s="202">
        <f>双柏!H12</f>
        <v>4</v>
      </c>
      <c r="M319" s="202">
        <f>双柏!I12</f>
        <v>4</v>
      </c>
      <c r="N319" s="202">
        <f>双柏!J12</f>
        <v>3</v>
      </c>
      <c r="O319" s="202">
        <f>双柏!K12</f>
        <v>2</v>
      </c>
      <c r="P319" s="202">
        <f>双柏!L12</f>
        <v>5</v>
      </c>
      <c r="Q319" s="202">
        <f>双柏!M12</f>
        <v>4</v>
      </c>
      <c r="R319" s="202">
        <f>双柏!N12</f>
        <v>6</v>
      </c>
      <c r="S319" s="202">
        <f>双柏!O12</f>
        <v>3</v>
      </c>
      <c r="T319" s="202">
        <f>双柏!P12</f>
        <v>0</v>
      </c>
      <c r="U319" s="202">
        <f>双柏!Q12</f>
        <v>0</v>
      </c>
      <c r="V319" s="202">
        <f>双柏!R12</f>
        <v>0</v>
      </c>
      <c r="W319" s="202">
        <f>双柏!S12</f>
        <v>0</v>
      </c>
      <c r="X319" s="202">
        <f>双柏!T12</f>
        <v>0</v>
      </c>
      <c r="Y319" s="202">
        <f>双柏!U12</f>
        <v>0</v>
      </c>
      <c r="Z319" s="202">
        <f>双柏!V12</f>
        <v>0</v>
      </c>
      <c r="AA319" s="202">
        <f>双柏!W12</f>
        <v>0</v>
      </c>
      <c r="AB319" s="202">
        <f>双柏!X12</f>
        <v>0</v>
      </c>
      <c r="AC319" s="202">
        <f>双柏!Y12</f>
        <v>0</v>
      </c>
      <c r="AD319" s="202">
        <f>双柏!Z12</f>
        <v>0</v>
      </c>
      <c r="AE319" s="202">
        <f>双柏!AA12</f>
        <v>0</v>
      </c>
      <c r="AF319" s="202">
        <f>双柏!AB12</f>
        <v>0</v>
      </c>
      <c r="AG319" s="202">
        <f>双柏!AC12</f>
        <v>0</v>
      </c>
      <c r="AH319" s="202">
        <f>双柏!AD12</f>
        <v>0</v>
      </c>
      <c r="AI319" s="202">
        <f>双柏!AE12</f>
        <v>0</v>
      </c>
      <c r="AJ319" s="202">
        <f>双柏!AF12</f>
        <v>0</v>
      </c>
      <c r="AK319" s="165" t="str">
        <f>双柏!AG12</f>
        <v>双柏县鄂嘉镇新树村委会旧垄山</v>
      </c>
      <c r="AL319" s="165" t="str">
        <f>双柏!AH12</f>
        <v>2016/08/09-08/18</v>
      </c>
      <c r="AM319" s="165" t="str">
        <f>双柏!AI12</f>
        <v>2016/08/09-08/18</v>
      </c>
      <c r="AN319" s="165">
        <f>双柏!AJ12</f>
        <v>0</v>
      </c>
      <c r="AO319" s="165" t="str">
        <f>双柏!AK12</f>
        <v>海拔2488，N24°21′25.6″ E101°16′21.3″</v>
      </c>
      <c r="AP319" s="263">
        <v>10</v>
      </c>
      <c r="AQ319" s="209">
        <f>双柏!AM12</f>
        <v>0</v>
      </c>
      <c r="AR319" s="295">
        <f>双柏!AN12</f>
        <v>2</v>
      </c>
      <c r="AS319" s="199" t="str">
        <f>双柏!AO12</f>
        <v>532322197507090511</v>
      </c>
      <c r="AT319" s="199" t="str">
        <f>双柏!AP12</f>
        <v>18387810209</v>
      </c>
    </row>
    <row r="320" spans="1:46">
      <c r="A320" t="s">
        <v>1921</v>
      </c>
      <c r="B320" s="202" t="str">
        <f>VLOOKUP(A320,databases!$A$2:$B$7, 2, FALSE)</f>
        <v>ShuangBai</v>
      </c>
      <c r="C320" s="165" t="str">
        <f>双柏!B13</f>
        <v>黄中学</v>
      </c>
      <c r="D320" s="202" t="str">
        <f>VLOOKUP(C320,databases!$D$2:$E$145, 2, FALSE)</f>
        <v>R142</v>
      </c>
      <c r="E320" s="259">
        <f>INDEX(sample_database!$B$2:$B$506,MATCH(F320,sample_database!$L$2:$L$506,0))</f>
        <v>30</v>
      </c>
      <c r="F320" s="202" t="str">
        <f>双柏!A13</f>
        <v>SB012</v>
      </c>
      <c r="G320" s="257">
        <f>双柏!C13</f>
        <v>10</v>
      </c>
      <c r="H320" s="257">
        <f>双柏!D13</f>
        <v>0</v>
      </c>
      <c r="I320" s="202">
        <f>双柏!E13</f>
        <v>13</v>
      </c>
      <c r="J320" s="202">
        <f>双柏!F13</f>
        <v>1</v>
      </c>
      <c r="K320" s="202">
        <f>双柏!G13</f>
        <v>1</v>
      </c>
      <c r="L320" s="202">
        <f>双柏!H13</f>
        <v>1</v>
      </c>
      <c r="M320" s="202">
        <f>双柏!I13</f>
        <v>1</v>
      </c>
      <c r="N320" s="202">
        <f>双柏!J13</f>
        <v>1</v>
      </c>
      <c r="O320" s="202">
        <f>双柏!K13</f>
        <v>1</v>
      </c>
      <c r="P320" s="202">
        <f>双柏!L13</f>
        <v>1</v>
      </c>
      <c r="Q320" s="202">
        <f>双柏!M13</f>
        <v>2</v>
      </c>
      <c r="R320" s="202">
        <f>双柏!N13</f>
        <v>2</v>
      </c>
      <c r="S320" s="202">
        <f>双柏!O13</f>
        <v>2</v>
      </c>
      <c r="T320" s="202">
        <f>双柏!P13</f>
        <v>0</v>
      </c>
      <c r="U320" s="202">
        <f>双柏!Q13</f>
        <v>0</v>
      </c>
      <c r="V320" s="202">
        <f>双柏!R13</f>
        <v>0</v>
      </c>
      <c r="W320" s="202">
        <f>双柏!S13</f>
        <v>0</v>
      </c>
      <c r="X320" s="202">
        <f>双柏!T13</f>
        <v>0</v>
      </c>
      <c r="Y320" s="202">
        <f>双柏!U13</f>
        <v>0</v>
      </c>
      <c r="Z320" s="202">
        <f>双柏!V13</f>
        <v>0</v>
      </c>
      <c r="AA320" s="202">
        <f>双柏!W13</f>
        <v>0</v>
      </c>
      <c r="AB320" s="202">
        <f>双柏!X13</f>
        <v>0</v>
      </c>
      <c r="AC320" s="202">
        <f>双柏!Y13</f>
        <v>0</v>
      </c>
      <c r="AD320" s="202">
        <f>双柏!Z13</f>
        <v>0</v>
      </c>
      <c r="AE320" s="202">
        <f>双柏!AA13</f>
        <v>0</v>
      </c>
      <c r="AF320" s="202">
        <f>双柏!AB13</f>
        <v>0</v>
      </c>
      <c r="AG320" s="202">
        <f>双柏!AC13</f>
        <v>0</v>
      </c>
      <c r="AH320" s="202">
        <f>双柏!AD13</f>
        <v>0</v>
      </c>
      <c r="AI320" s="202">
        <f>双柏!AE13</f>
        <v>0</v>
      </c>
      <c r="AJ320" s="202">
        <f>双柏!AF13</f>
        <v>0</v>
      </c>
      <c r="AK320" s="165" t="str">
        <f>双柏!AG13</f>
        <v>双柏县鄂嘉镇新树村委会旧垄山</v>
      </c>
      <c r="AL320" s="165" t="str">
        <f>双柏!AH13</f>
        <v>2016/0819-0828</v>
      </c>
      <c r="AM320" s="165" t="str">
        <f>双柏!AI13</f>
        <v>2016/0819-0828</v>
      </c>
      <c r="AN320" s="165">
        <f>双柏!AJ13</f>
        <v>0</v>
      </c>
      <c r="AO320" s="165" t="str">
        <f>双柏!AK13</f>
        <v>海拔2818，N24°21′59.9″ E101°96′02″</v>
      </c>
      <c r="AP320" s="263">
        <v>2</v>
      </c>
      <c r="AQ320" s="209">
        <f>双柏!AM13</f>
        <v>0</v>
      </c>
      <c r="AR320" s="295">
        <f>双柏!AN13</f>
        <v>0.4</v>
      </c>
      <c r="AS320" s="199" t="str">
        <f>双柏!AO13</f>
        <v>532322197507090511</v>
      </c>
      <c r="AT320" s="199" t="str">
        <f>双柏!AP13</f>
        <v>18387810209</v>
      </c>
    </row>
    <row r="321" spans="1:46">
      <c r="A321" t="s">
        <v>1921</v>
      </c>
      <c r="B321" s="202" t="str">
        <f>VLOOKUP(A321,databases!$A$2:$B$7, 2, FALSE)</f>
        <v>ShuangBai</v>
      </c>
      <c r="C321" s="165" t="str">
        <f>双柏!B14</f>
        <v>黄中学</v>
      </c>
      <c r="D321" s="202" t="str">
        <f>VLOOKUP(C321,databases!$D$2:$E$145, 2, FALSE)</f>
        <v>R142</v>
      </c>
      <c r="E321" s="259">
        <f>INDEX(sample_database!$B$2:$B$506,MATCH(F321,sample_database!$L$2:$L$506,0))</f>
        <v>30</v>
      </c>
      <c r="F321" s="202" t="str">
        <f>双柏!A14</f>
        <v>SB013</v>
      </c>
      <c r="G321" s="257">
        <f>双柏!C14</f>
        <v>0</v>
      </c>
      <c r="H321" s="257">
        <f>双柏!D14</f>
        <v>3</v>
      </c>
      <c r="I321" s="202">
        <f>双柏!E14</f>
        <v>3</v>
      </c>
      <c r="J321" s="202">
        <f>双柏!F14</f>
        <v>1</v>
      </c>
      <c r="K321" s="202">
        <f>双柏!G14</f>
        <v>1</v>
      </c>
      <c r="L321" s="202">
        <f>双柏!H14</f>
        <v>1</v>
      </c>
      <c r="M321" s="202">
        <f>双柏!I14</f>
        <v>0</v>
      </c>
      <c r="N321" s="202">
        <f>双柏!J14</f>
        <v>0</v>
      </c>
      <c r="O321" s="202">
        <f>双柏!K14</f>
        <v>0</v>
      </c>
      <c r="P321" s="202">
        <f>双柏!L14</f>
        <v>0</v>
      </c>
      <c r="Q321" s="202">
        <f>双柏!M14</f>
        <v>0</v>
      </c>
      <c r="R321" s="202">
        <f>双柏!N14</f>
        <v>0</v>
      </c>
      <c r="S321" s="202">
        <f>双柏!O14</f>
        <v>0</v>
      </c>
      <c r="T321" s="202">
        <f>双柏!P14</f>
        <v>0</v>
      </c>
      <c r="U321" s="202">
        <f>双柏!Q14</f>
        <v>0</v>
      </c>
      <c r="V321" s="202">
        <f>双柏!R14</f>
        <v>0</v>
      </c>
      <c r="W321" s="202">
        <f>双柏!S14</f>
        <v>0</v>
      </c>
      <c r="X321" s="202">
        <f>双柏!T14</f>
        <v>0</v>
      </c>
      <c r="Y321" s="202">
        <f>双柏!U14</f>
        <v>0</v>
      </c>
      <c r="Z321" s="202">
        <f>双柏!V14</f>
        <v>0</v>
      </c>
      <c r="AA321" s="202">
        <f>双柏!W14</f>
        <v>0</v>
      </c>
      <c r="AB321" s="202">
        <f>双柏!X14</f>
        <v>0</v>
      </c>
      <c r="AC321" s="202">
        <f>双柏!Y14</f>
        <v>0</v>
      </c>
      <c r="AD321" s="202">
        <f>双柏!Z14</f>
        <v>0</v>
      </c>
      <c r="AE321" s="202">
        <f>双柏!AA14</f>
        <v>0</v>
      </c>
      <c r="AF321" s="202">
        <f>双柏!AB14</f>
        <v>0</v>
      </c>
      <c r="AG321" s="202">
        <f>双柏!AC14</f>
        <v>0</v>
      </c>
      <c r="AH321" s="202">
        <f>双柏!AD14</f>
        <v>0</v>
      </c>
      <c r="AI321" s="202">
        <f>双柏!AE14</f>
        <v>0</v>
      </c>
      <c r="AJ321" s="202">
        <f>双柏!AF14</f>
        <v>0</v>
      </c>
      <c r="AK321" s="165" t="str">
        <f>双柏!AG14</f>
        <v>双柏县鄂嘉镇新树村委会旧垄山</v>
      </c>
      <c r="AL321" s="165" t="str">
        <f>双柏!AH14</f>
        <v>2016/0829-0830</v>
      </c>
      <c r="AM321" s="165" t="str">
        <f>双柏!AI14</f>
        <v>2016/0829-0830</v>
      </c>
      <c r="AN321" s="165">
        <f>双柏!AJ14</f>
        <v>0</v>
      </c>
      <c r="AO321" s="165" t="str">
        <f>双柏!AK14</f>
        <v>海拔2276，N24°22′50.5″ E101°16′58.4″</v>
      </c>
      <c r="AP321" s="263">
        <v>1</v>
      </c>
      <c r="AQ321" s="209">
        <f>双柏!AM14</f>
        <v>0</v>
      </c>
      <c r="AR321" s="295">
        <f>双柏!AN14</f>
        <v>0.2</v>
      </c>
      <c r="AS321" s="199" t="str">
        <f>双柏!AO14</f>
        <v>532322197507090511</v>
      </c>
      <c r="AT321" s="199" t="str">
        <f>双柏!AP14</f>
        <v>18387810209</v>
      </c>
    </row>
    <row r="322" spans="1:46">
      <c r="A322" s="165" t="s">
        <v>1922</v>
      </c>
      <c r="B322" s="202" t="str">
        <f>VLOOKUP(A322,databases!$A$2:$B$7, 2, FALSE)</f>
        <v>XinPing</v>
      </c>
      <c r="C322" s="165" t="str">
        <f>新平!B124</f>
        <v>四-余朝明</v>
      </c>
      <c r="D322" s="279" t="str">
        <f>VLOOKUP(C322,databases!$D$2:$E$145, 2, FALSE)</f>
        <v>R12</v>
      </c>
      <c r="E322" s="280" t="str">
        <f>INDEX(sample_database!$B$2:$B$506,MATCH(F322,sample_database!$L$2:$L$506,0))</f>
        <v>NA</v>
      </c>
      <c r="F322" s="202" t="str">
        <f>新平!A124</f>
        <v>XP123</v>
      </c>
      <c r="G322" s="257">
        <f>新平!C124</f>
        <v>10</v>
      </c>
      <c r="H322" s="257">
        <f>新平!D124</f>
        <v>0</v>
      </c>
      <c r="I322" s="202">
        <f>新平!E124</f>
        <v>110</v>
      </c>
      <c r="J322" s="202">
        <f>新平!F124</f>
        <v>7</v>
      </c>
      <c r="K322" s="202">
        <f>新平!G124</f>
        <v>7</v>
      </c>
      <c r="L322" s="202">
        <f>新平!H124</f>
        <v>14</v>
      </c>
      <c r="M322" s="202">
        <f>新平!I124</f>
        <v>14</v>
      </c>
      <c r="N322" s="202">
        <f>新平!J124</f>
        <v>9</v>
      </c>
      <c r="O322" s="202">
        <f>新平!K124</f>
        <v>12</v>
      </c>
      <c r="P322" s="202">
        <f>新平!L124</f>
        <v>16</v>
      </c>
      <c r="Q322" s="202">
        <f>新平!M124</f>
        <v>16</v>
      </c>
      <c r="R322" s="202">
        <f>新平!N124</f>
        <v>5</v>
      </c>
      <c r="S322" s="202">
        <f>新平!O124</f>
        <v>10</v>
      </c>
      <c r="T322" s="202">
        <f>新平!P124</f>
        <v>0</v>
      </c>
      <c r="U322" s="202">
        <f>新平!Q124</f>
        <v>0</v>
      </c>
      <c r="V322" s="202">
        <f>新平!R124</f>
        <v>0</v>
      </c>
      <c r="W322" s="202">
        <f>新平!S124</f>
        <v>0</v>
      </c>
      <c r="X322" s="202">
        <f>新平!T124</f>
        <v>0</v>
      </c>
      <c r="Y322" s="202">
        <f>新平!U124</f>
        <v>0</v>
      </c>
      <c r="Z322" s="202">
        <f>新平!V124</f>
        <v>0</v>
      </c>
      <c r="AA322" s="202">
        <f>新平!W124</f>
        <v>0</v>
      </c>
      <c r="AB322" s="202">
        <f>新平!X124</f>
        <v>0</v>
      </c>
      <c r="AC322" s="202">
        <f>新平!Y124</f>
        <v>0</v>
      </c>
      <c r="AD322" s="202">
        <f>新平!Z124</f>
        <v>0</v>
      </c>
      <c r="AE322" s="202">
        <f>新平!AA124</f>
        <v>0</v>
      </c>
      <c r="AF322" s="202">
        <f>新平!AB124</f>
        <v>0</v>
      </c>
      <c r="AG322" s="202">
        <f>新平!AC124</f>
        <v>0</v>
      </c>
      <c r="AH322" s="202">
        <f>新平!AD124</f>
        <v>0</v>
      </c>
      <c r="AI322" s="202">
        <f>新平!AE124</f>
        <v>0</v>
      </c>
      <c r="AJ322" s="202">
        <f>新平!AF124</f>
        <v>0</v>
      </c>
      <c r="AK322" s="165" t="str">
        <f>新平!AG124</f>
        <v>新平县戛洒镇耀南村徐？草塘22号</v>
      </c>
      <c r="AL322" s="165" t="str">
        <f>新平!AH124</f>
        <v>20160729</v>
      </c>
      <c r="AM322" s="165">
        <f>新平!AI124</f>
        <v>0</v>
      </c>
      <c r="AN322" s="165">
        <f>新平!AJ124</f>
        <v>0</v>
      </c>
      <c r="AO322" s="165" t="str">
        <f>新平!AK124</f>
        <v>海拔2197.4，2658735.2-17755045.4</v>
      </c>
      <c r="AP322" s="263">
        <v>24.5</v>
      </c>
      <c r="AQ322" s="209" t="str">
        <f>新平!AM124</f>
        <v>1.1+0.7+1.1+0.9+1.1</v>
      </c>
      <c r="AR322" s="295">
        <f>新平!AN124</f>
        <v>4.9000000000000004</v>
      </c>
      <c r="AS322" s="199" t="str">
        <f>新平!AO124</f>
        <v>余朝明-13577786771</v>
      </c>
      <c r="AT322" s="199" t="str">
        <f>新平!AP124</f>
        <v>532428196006121331</v>
      </c>
    </row>
    <row r="323" spans="1:46">
      <c r="A323" s="165" t="s">
        <v>1922</v>
      </c>
      <c r="B323" s="202" t="str">
        <f>VLOOKUP(A323,databases!$A$2:$B$7, 2, FALSE)</f>
        <v>XinPing</v>
      </c>
      <c r="C323" s="165" t="str">
        <f>新平!B120</f>
        <v>四-李世冲</v>
      </c>
      <c r="D323" s="273" t="str">
        <f>VLOOKUP(C323,databases!$D$2:$E$145, 2, FALSE)</f>
        <v>R13</v>
      </c>
      <c r="E323" s="274" t="str">
        <f>INDEX(sample_database!$B$2:$B$506,MATCH(F323,sample_database!$L$2:$L$506,0))</f>
        <v>NA</v>
      </c>
      <c r="F323" s="202" t="str">
        <f>新平!A120</f>
        <v>XP119</v>
      </c>
      <c r="G323" s="257">
        <f>新平!C120</f>
        <v>10</v>
      </c>
      <c r="H323" s="257">
        <f>新平!D120</f>
        <v>0</v>
      </c>
      <c r="I323" s="202">
        <f>新平!E120</f>
        <v>146</v>
      </c>
      <c r="J323" s="202">
        <f>新平!F120</f>
        <v>13</v>
      </c>
      <c r="K323" s="202">
        <f>新平!G120</f>
        <v>17</v>
      </c>
      <c r="L323" s="202">
        <f>新平!H120</f>
        <v>13</v>
      </c>
      <c r="M323" s="202">
        <f>新平!I120</f>
        <v>12</v>
      </c>
      <c r="N323" s="202">
        <f>新平!J120</f>
        <v>15</v>
      </c>
      <c r="O323" s="202">
        <f>新平!K120</f>
        <v>12</v>
      </c>
      <c r="P323" s="202">
        <f>新平!L120</f>
        <v>12</v>
      </c>
      <c r="Q323" s="202">
        <f>新平!M120</f>
        <v>18</v>
      </c>
      <c r="R323" s="202">
        <f>新平!N120</f>
        <v>25</v>
      </c>
      <c r="S323" s="202">
        <f>新平!O120</f>
        <v>9</v>
      </c>
      <c r="T323" s="202">
        <f>新平!P120</f>
        <v>0</v>
      </c>
      <c r="U323" s="202">
        <f>新平!Q120</f>
        <v>0</v>
      </c>
      <c r="V323" s="202">
        <f>新平!R120</f>
        <v>0</v>
      </c>
      <c r="W323" s="202">
        <f>新平!S120</f>
        <v>0</v>
      </c>
      <c r="X323" s="202">
        <f>新平!T120</f>
        <v>0</v>
      </c>
      <c r="Y323" s="202">
        <f>新平!U120</f>
        <v>0</v>
      </c>
      <c r="Z323" s="202">
        <f>新平!V120</f>
        <v>0</v>
      </c>
      <c r="AA323" s="202">
        <f>新平!W120</f>
        <v>0</v>
      </c>
      <c r="AB323" s="202">
        <f>新平!X120</f>
        <v>0</v>
      </c>
      <c r="AC323" s="202">
        <f>新平!Y120</f>
        <v>0</v>
      </c>
      <c r="AD323" s="202">
        <f>新平!Z120</f>
        <v>0</v>
      </c>
      <c r="AE323" s="202">
        <f>新平!AA120</f>
        <v>0</v>
      </c>
      <c r="AF323" s="202">
        <f>新平!AB120</f>
        <v>0</v>
      </c>
      <c r="AG323" s="202">
        <f>新平!AC120</f>
        <v>0</v>
      </c>
      <c r="AH323" s="202">
        <f>新平!AD120</f>
        <v>0</v>
      </c>
      <c r="AI323" s="202">
        <f>新平!AE120</f>
        <v>0</v>
      </c>
      <c r="AJ323" s="202">
        <f>新平!AF120</f>
        <v>0</v>
      </c>
      <c r="AK323" s="165" t="str">
        <f>新平!AG120</f>
        <v>新平县戛洒发启火山</v>
      </c>
      <c r="AL323" s="165" t="str">
        <f>新平!AH120</f>
        <v>20160729</v>
      </c>
      <c r="AM323" s="165">
        <f>新平!AI120</f>
        <v>0</v>
      </c>
      <c r="AN323" s="165">
        <f>新平!AJ120</f>
        <v>0</v>
      </c>
      <c r="AO323" s="165" t="str">
        <f>新平!AK120</f>
        <v>海拔2111.3，2658807.7-17755085.0</v>
      </c>
      <c r="AP323" s="263">
        <v>28.500000000000007</v>
      </c>
      <c r="AQ323" s="209" t="str">
        <f>新平!AM120</f>
        <v>1.5+1.1+1.1+1.1+0.9</v>
      </c>
      <c r="AR323" s="295">
        <f>新平!AN120</f>
        <v>5.7000000000000011</v>
      </c>
      <c r="AS323" s="199" t="str">
        <f>新平!AO120</f>
        <v>李世冲-15969317098</v>
      </c>
      <c r="AT323" s="199" t="str">
        <f>新平!AP120</f>
        <v>532428197512191337</v>
      </c>
    </row>
    <row r="324" spans="1:46">
      <c r="A324" s="165" t="s">
        <v>1922</v>
      </c>
      <c r="B324" s="202" t="str">
        <f>VLOOKUP(A324,databases!$A$2:$B$7, 2, FALSE)</f>
        <v>XinPing</v>
      </c>
      <c r="C324" s="165" t="str">
        <f>新平!B121</f>
        <v>四-李世冲</v>
      </c>
      <c r="D324" s="277" t="str">
        <f>VLOOKUP(C324,databases!$D$2:$E$145, 2, FALSE)</f>
        <v>R13</v>
      </c>
      <c r="E324" s="278" t="str">
        <f>INDEX(sample_database!$B$2:$B$506,MATCH(F324,sample_database!$L$2:$L$506,0))</f>
        <v>NA</v>
      </c>
      <c r="F324" s="202" t="str">
        <f>新平!A121</f>
        <v>XP120</v>
      </c>
      <c r="G324" s="257">
        <f>新平!C121</f>
        <v>0</v>
      </c>
      <c r="H324" s="257">
        <f>新平!D121</f>
        <v>20</v>
      </c>
      <c r="I324" s="202">
        <f>新平!E121</f>
        <v>129</v>
      </c>
      <c r="J324" s="202">
        <f>新平!F121</f>
        <v>4</v>
      </c>
      <c r="K324" s="202">
        <f>新平!G121</f>
        <v>4</v>
      </c>
      <c r="L324" s="202">
        <f>新平!H121</f>
        <v>5</v>
      </c>
      <c r="M324" s="202">
        <f>新平!I121</f>
        <v>5</v>
      </c>
      <c r="N324" s="202">
        <f>新平!J121</f>
        <v>5</v>
      </c>
      <c r="O324" s="202">
        <f>新平!K121</f>
        <v>5</v>
      </c>
      <c r="P324" s="202">
        <f>新平!L121</f>
        <v>5</v>
      </c>
      <c r="Q324" s="202">
        <f>新平!M121</f>
        <v>5</v>
      </c>
      <c r="R324" s="202">
        <f>新平!N121</f>
        <v>5</v>
      </c>
      <c r="S324" s="202">
        <f>新平!O121</f>
        <v>5</v>
      </c>
      <c r="T324" s="202">
        <f>新平!P121</f>
        <v>6</v>
      </c>
      <c r="U324" s="202">
        <f>新平!Q121</f>
        <v>6</v>
      </c>
      <c r="V324" s="202">
        <f>新平!R121</f>
        <v>6</v>
      </c>
      <c r="W324" s="202">
        <f>新平!S121</f>
        <v>6</v>
      </c>
      <c r="X324" s="202">
        <f>新平!T121</f>
        <v>7</v>
      </c>
      <c r="Y324" s="202">
        <f>新平!U121</f>
        <v>8</v>
      </c>
      <c r="Z324" s="202">
        <f>新平!V121</f>
        <v>8</v>
      </c>
      <c r="AA324" s="202">
        <f>新平!W121</f>
        <v>10</v>
      </c>
      <c r="AB324" s="202">
        <f>新平!X121</f>
        <v>11</v>
      </c>
      <c r="AC324" s="202">
        <f>新平!Y121</f>
        <v>13</v>
      </c>
      <c r="AD324" s="202">
        <f>新平!Z121</f>
        <v>0</v>
      </c>
      <c r="AE324" s="202">
        <f>新平!AA121</f>
        <v>0</v>
      </c>
      <c r="AF324" s="202">
        <f>新平!AB121</f>
        <v>0</v>
      </c>
      <c r="AG324" s="202">
        <f>新平!AC121</f>
        <v>0</v>
      </c>
      <c r="AH324" s="202">
        <f>新平!AD121</f>
        <v>0</v>
      </c>
      <c r="AI324" s="202">
        <f>新平!AE121</f>
        <v>0</v>
      </c>
      <c r="AJ324" s="202">
        <f>新平!AF121</f>
        <v>0</v>
      </c>
      <c r="AK324" s="165" t="str">
        <f>新平!AG121</f>
        <v>新平县戛洒发启火山</v>
      </c>
      <c r="AL324" s="165" t="str">
        <f>新平!AH121</f>
        <v>20160729</v>
      </c>
      <c r="AM324" s="165">
        <f>新平!AI121</f>
        <v>0</v>
      </c>
      <c r="AN324" s="165">
        <f>新平!AJ121</f>
        <v>0</v>
      </c>
      <c r="AO324" s="165" t="str">
        <f>新平!AK121</f>
        <v>海拔2225.9，2658710.3-17755048.6</v>
      </c>
      <c r="AP324" s="263">
        <v>35.5</v>
      </c>
      <c r="AQ324" s="209" t="str">
        <f>新平!AM121</f>
        <v>1.5*4+1.1</v>
      </c>
      <c r="AR324" s="295">
        <f>新平!AN121</f>
        <v>7.1</v>
      </c>
      <c r="AS324" s="199" t="str">
        <f>新平!AO121</f>
        <v>李世冲-15969317098</v>
      </c>
      <c r="AT324" s="199" t="str">
        <f>新平!AP121</f>
        <v>532428197512191337</v>
      </c>
    </row>
    <row r="325" spans="1:46">
      <c r="A325" s="165" t="s">
        <v>1922</v>
      </c>
      <c r="B325" s="202" t="str">
        <f>VLOOKUP(A325,databases!$A$2:$B$7, 2, FALSE)</f>
        <v>XinPing</v>
      </c>
      <c r="C325" s="165" t="str">
        <f>新平!B122</f>
        <v>四-李宗平</v>
      </c>
      <c r="D325" s="279" t="str">
        <f>VLOOKUP(C325,databases!$D$2:$E$145, 2, FALSE)</f>
        <v>R14</v>
      </c>
      <c r="E325" s="280" t="str">
        <f>INDEX(sample_database!$B$2:$B$506,MATCH(F325,sample_database!$L$2:$L$506,0))</f>
        <v>NA</v>
      </c>
      <c r="F325" s="202" t="str">
        <f>新平!A122</f>
        <v>XP121</v>
      </c>
      <c r="G325" s="257">
        <f>新平!C122</f>
        <v>10</v>
      </c>
      <c r="H325" s="257">
        <f>新平!D122</f>
        <v>0</v>
      </c>
      <c r="I325" s="202">
        <f>新平!E122</f>
        <v>130</v>
      </c>
      <c r="J325" s="202">
        <f>新平!F122</f>
        <v>18</v>
      </c>
      <c r="K325" s="202">
        <f>新平!G122</f>
        <v>20</v>
      </c>
      <c r="L325" s="202">
        <f>新平!H122</f>
        <v>9</v>
      </c>
      <c r="M325" s="202">
        <f>新平!I122</f>
        <v>6</v>
      </c>
      <c r="N325" s="202">
        <f>新平!J122</f>
        <v>11</v>
      </c>
      <c r="O325" s="202">
        <f>新平!K122</f>
        <v>17</v>
      </c>
      <c r="P325" s="202">
        <f>新平!L122</f>
        <v>15</v>
      </c>
      <c r="Q325" s="202">
        <f>新平!M122</f>
        <v>9</v>
      </c>
      <c r="R325" s="202">
        <f>新平!N122</f>
        <v>12</v>
      </c>
      <c r="S325" s="202">
        <f>新平!O122</f>
        <v>13</v>
      </c>
      <c r="T325" s="202">
        <f>新平!P122</f>
        <v>0</v>
      </c>
      <c r="U325" s="202">
        <f>新平!Q122</f>
        <v>0</v>
      </c>
      <c r="V325" s="202">
        <f>新平!R122</f>
        <v>0</v>
      </c>
      <c r="W325" s="202">
        <f>新平!S122</f>
        <v>0</v>
      </c>
      <c r="X325" s="202">
        <f>新平!T122</f>
        <v>0</v>
      </c>
      <c r="Y325" s="202">
        <f>新平!U122</f>
        <v>0</v>
      </c>
      <c r="Z325" s="202">
        <f>新平!V122</f>
        <v>0</v>
      </c>
      <c r="AA325" s="202">
        <f>新平!W122</f>
        <v>0</v>
      </c>
      <c r="AB325" s="202">
        <f>新平!X122</f>
        <v>0</v>
      </c>
      <c r="AC325" s="202">
        <f>新平!Y122</f>
        <v>0</v>
      </c>
      <c r="AD325" s="202">
        <f>新平!Z122</f>
        <v>0</v>
      </c>
      <c r="AE325" s="202">
        <f>新平!AA122</f>
        <v>0</v>
      </c>
      <c r="AF325" s="202">
        <f>新平!AB122</f>
        <v>0</v>
      </c>
      <c r="AG325" s="202">
        <f>新平!AC122</f>
        <v>0</v>
      </c>
      <c r="AH325" s="202">
        <f>新平!AD122</f>
        <v>0</v>
      </c>
      <c r="AI325" s="202">
        <f>新平!AE122</f>
        <v>0</v>
      </c>
      <c r="AJ325" s="202">
        <f>新平!AF122</f>
        <v>0</v>
      </c>
      <c r="AK325" s="165" t="str">
        <f>新平!AG122</f>
        <v>新平县戛洒镇耀南村云盘</v>
      </c>
      <c r="AL325" s="165" t="str">
        <f>新平!AH122</f>
        <v>20160729</v>
      </c>
      <c r="AM325" s="165">
        <f>新平!AI122</f>
        <v>0</v>
      </c>
      <c r="AN325" s="165">
        <f>新平!AJ122</f>
        <v>0</v>
      </c>
      <c r="AO325" s="165" t="str">
        <f>新平!AK122</f>
        <v>海拔2203，2658725.4-17755056.2</v>
      </c>
      <c r="AP325" s="263">
        <v>26.500000000000004</v>
      </c>
      <c r="AQ325" s="209" t="str">
        <f>新平!AM122</f>
        <v>1.1+1.5+1.1+0.7+0.9</v>
      </c>
      <c r="AR325" s="295">
        <f>新平!AN122</f>
        <v>5.3000000000000007</v>
      </c>
      <c r="AS325" s="199" t="str">
        <f>新平!AO122</f>
        <v>李宗平-18088911702</v>
      </c>
      <c r="AT325" s="199" t="str">
        <f>新平!AP122</f>
        <v>532428198209091311</v>
      </c>
    </row>
    <row r="326" spans="1:46">
      <c r="A326" s="165" t="s">
        <v>1922</v>
      </c>
      <c r="B326" s="202" t="str">
        <f>VLOOKUP(A326,databases!$A$2:$B$7, 2, FALSE)</f>
        <v>XinPing</v>
      </c>
      <c r="C326" s="165" t="str">
        <f>新平!B123</f>
        <v>四-李荣昌</v>
      </c>
      <c r="D326" s="279" t="str">
        <f>VLOOKUP(C326,databases!$D$2:$E$145, 2, FALSE)</f>
        <v>R15</v>
      </c>
      <c r="E326" s="280" t="str">
        <f>INDEX(sample_database!$B$2:$B$506,MATCH(F326,sample_database!$L$2:$L$506,0))</f>
        <v>NA</v>
      </c>
      <c r="F326" s="202" t="str">
        <f>新平!A123</f>
        <v>XP122</v>
      </c>
      <c r="G326" s="257">
        <f>新平!C123</f>
        <v>10</v>
      </c>
      <c r="H326" s="257">
        <f>新平!D123</f>
        <v>0</v>
      </c>
      <c r="I326" s="202">
        <f>新平!E123</f>
        <v>169</v>
      </c>
      <c r="J326" s="202">
        <f>新平!F123</f>
        <v>10</v>
      </c>
      <c r="K326" s="202">
        <f>新平!G123</f>
        <v>18</v>
      </c>
      <c r="L326" s="202">
        <f>新平!H123</f>
        <v>17</v>
      </c>
      <c r="M326" s="202">
        <f>新平!I123</f>
        <v>21</v>
      </c>
      <c r="N326" s="202">
        <f>新平!J123</f>
        <v>19</v>
      </c>
      <c r="O326" s="202">
        <f>新平!K123</f>
        <v>15</v>
      </c>
      <c r="P326" s="202">
        <f>新平!L123</f>
        <v>25</v>
      </c>
      <c r="Q326" s="202">
        <f>新平!M123</f>
        <v>16</v>
      </c>
      <c r="R326" s="202">
        <f>新平!N123</f>
        <v>10</v>
      </c>
      <c r="S326" s="202">
        <f>新平!O123</f>
        <v>18</v>
      </c>
      <c r="T326" s="202">
        <f>新平!P123</f>
        <v>0</v>
      </c>
      <c r="U326" s="202">
        <f>新平!Q123</f>
        <v>0</v>
      </c>
      <c r="V326" s="202">
        <f>新平!R123</f>
        <v>0</v>
      </c>
      <c r="W326" s="202">
        <f>新平!S123</f>
        <v>0</v>
      </c>
      <c r="X326" s="202">
        <f>新平!T123</f>
        <v>0</v>
      </c>
      <c r="Y326" s="202">
        <f>新平!U123</f>
        <v>0</v>
      </c>
      <c r="Z326" s="202">
        <f>新平!V123</f>
        <v>0</v>
      </c>
      <c r="AA326" s="202">
        <f>新平!W123</f>
        <v>0</v>
      </c>
      <c r="AB326" s="202">
        <f>新平!X123</f>
        <v>0</v>
      </c>
      <c r="AC326" s="202">
        <f>新平!Y123</f>
        <v>0</v>
      </c>
      <c r="AD326" s="202">
        <f>新平!Z123</f>
        <v>0</v>
      </c>
      <c r="AE326" s="202">
        <f>新平!AA123</f>
        <v>0</v>
      </c>
      <c r="AF326" s="202">
        <f>新平!AB123</f>
        <v>0</v>
      </c>
      <c r="AG326" s="202">
        <f>新平!AC123</f>
        <v>0</v>
      </c>
      <c r="AH326" s="202">
        <f>新平!AD123</f>
        <v>0</v>
      </c>
      <c r="AI326" s="202">
        <f>新平!AE123</f>
        <v>0</v>
      </c>
      <c r="AJ326" s="202">
        <f>新平!AF123</f>
        <v>0</v>
      </c>
      <c r="AK326" s="165" t="str">
        <f>新平!AG123</f>
        <v>新平县戛洒发启盘龙</v>
      </c>
      <c r="AL326" s="165" t="str">
        <f>新平!AH123</f>
        <v>20160729</v>
      </c>
      <c r="AM326" s="165">
        <f>新平!AI123</f>
        <v>0</v>
      </c>
      <c r="AN326" s="165">
        <f>新平!AJ123</f>
        <v>0</v>
      </c>
      <c r="AO326" s="165" t="str">
        <f>新平!AK123</f>
        <v>海拔2124，2658804.7-17755022.0</v>
      </c>
      <c r="AP326" s="263">
        <v>24.5</v>
      </c>
      <c r="AQ326" s="209" t="str">
        <f>新平!AM123</f>
        <v>0.9*3+1.1+1.1</v>
      </c>
      <c r="AR326" s="295">
        <f>新平!AN123</f>
        <v>4.9000000000000004</v>
      </c>
      <c r="AS326" s="199" t="str">
        <f>新平!AO123</f>
        <v>李荣昌-18787771048</v>
      </c>
      <c r="AT326" s="199" t="str">
        <f>新平!AP123</f>
        <v>530427197009161351</v>
      </c>
    </row>
    <row r="327" spans="1:46">
      <c r="A327" s="165" t="s">
        <v>1922</v>
      </c>
      <c r="B327" s="202" t="str">
        <f>VLOOKUP(A327,databases!$A$2:$B$7, 2, FALSE)</f>
        <v>XinPing</v>
      </c>
      <c r="C327" s="165" t="str">
        <f>新平!B73</f>
        <v>张学林</v>
      </c>
      <c r="D327" s="273" t="str">
        <f>VLOOKUP(C327,databases!$D$2:$E$145, 2, FALSE)</f>
        <v>R17</v>
      </c>
      <c r="E327" s="274" t="str">
        <f>INDEX(sample_database!$B$2:$B$506,MATCH(F327,sample_database!$L$2:$L$506,0))</f>
        <v>NA</v>
      </c>
      <c r="F327" s="202" t="str">
        <f>新平!A73</f>
        <v>XP072</v>
      </c>
      <c r="G327" s="257">
        <f>新平!C73</f>
        <v>10</v>
      </c>
      <c r="H327" s="257">
        <f>新平!D73</f>
        <v>0</v>
      </c>
      <c r="I327" s="202">
        <f>新平!E73</f>
        <v>68</v>
      </c>
      <c r="J327" s="202">
        <f>新平!F73</f>
        <v>4</v>
      </c>
      <c r="K327" s="202">
        <f>新平!G73</f>
        <v>4</v>
      </c>
      <c r="L327" s="202">
        <f>新平!H73</f>
        <v>7</v>
      </c>
      <c r="M327" s="202">
        <f>新平!I73</f>
        <v>16</v>
      </c>
      <c r="N327" s="202">
        <f>新平!J73</f>
        <v>10</v>
      </c>
      <c r="O327" s="202">
        <f>新平!K73</f>
        <v>4</v>
      </c>
      <c r="P327" s="202">
        <f>新平!L73</f>
        <v>6</v>
      </c>
      <c r="Q327" s="202">
        <f>新平!M73</f>
        <v>4</v>
      </c>
      <c r="R327" s="202">
        <f>新平!N73</f>
        <v>6</v>
      </c>
      <c r="S327" s="202">
        <f>新平!O73</f>
        <v>7</v>
      </c>
      <c r="T327" s="202">
        <f>新平!P73</f>
        <v>0</v>
      </c>
      <c r="U327" s="202">
        <f>新平!Q73</f>
        <v>0</v>
      </c>
      <c r="V327" s="202">
        <f>新平!R73</f>
        <v>0</v>
      </c>
      <c r="W327" s="202">
        <f>新平!S73</f>
        <v>0</v>
      </c>
      <c r="X327" s="202">
        <f>新平!T73</f>
        <v>0</v>
      </c>
      <c r="Y327" s="202">
        <f>新平!U73</f>
        <v>0</v>
      </c>
      <c r="Z327" s="202">
        <f>新平!V73</f>
        <v>0</v>
      </c>
      <c r="AA327" s="202">
        <f>新平!W73</f>
        <v>0</v>
      </c>
      <c r="AB327" s="202">
        <f>新平!X73</f>
        <v>0</v>
      </c>
      <c r="AC327" s="202">
        <f>新平!Y73</f>
        <v>0</v>
      </c>
      <c r="AD327" s="202">
        <f>新平!Z73</f>
        <v>0</v>
      </c>
      <c r="AE327" s="202">
        <f>新平!AA73</f>
        <v>0</v>
      </c>
      <c r="AF327" s="202">
        <f>新平!AB73</f>
        <v>0</v>
      </c>
      <c r="AG327" s="202">
        <f>新平!AC73</f>
        <v>0</v>
      </c>
      <c r="AH327" s="202">
        <f>新平!AD73</f>
        <v>0</v>
      </c>
      <c r="AI327" s="202">
        <f>新平!AE73</f>
        <v>0</v>
      </c>
      <c r="AJ327" s="202">
        <f>新平!AF73</f>
        <v>0</v>
      </c>
      <c r="AK327" s="165" t="str">
        <f>新平!AG73</f>
        <v>新平县戛沙镇小坝多村阴波黑组</v>
      </c>
      <c r="AL327" s="165" t="str">
        <f>新平!AH73</f>
        <v>20160715</v>
      </c>
      <c r="AM327" s="165">
        <f>新平!AI73</f>
        <v>0</v>
      </c>
      <c r="AN327" s="165">
        <f>新平!AJ73</f>
        <v>0</v>
      </c>
      <c r="AO327" s="165" t="str">
        <f>新平!AK73</f>
        <v>老箐，海拔2222。N23°49′59.05″ E101°36′30.31″</v>
      </c>
      <c r="AP327" s="263">
        <v>10</v>
      </c>
      <c r="AQ327" s="209">
        <f>新平!AM73</f>
        <v>0</v>
      </c>
      <c r="AR327" s="295">
        <f>新平!AN73</f>
        <v>2</v>
      </c>
      <c r="AS327" s="199" t="str">
        <f>新平!AO73</f>
        <v>530427197312242314</v>
      </c>
      <c r="AT327" s="199" t="str">
        <f>新平!AP73</f>
        <v>18088911726</v>
      </c>
    </row>
    <row r="328" spans="1:46">
      <c r="A328" s="165" t="s">
        <v>1922</v>
      </c>
      <c r="B328" s="202" t="str">
        <f>VLOOKUP(A328,databases!$A$2:$B$7, 2, FALSE)</f>
        <v>XinPing</v>
      </c>
      <c r="C328" s="165" t="str">
        <f>新平!B74</f>
        <v>张学林</v>
      </c>
      <c r="D328" s="275" t="str">
        <f>VLOOKUP(C328,databases!$D$2:$E$145, 2, FALSE)</f>
        <v>R17</v>
      </c>
      <c r="E328" s="276" t="str">
        <f>INDEX(sample_database!$B$2:$B$506,MATCH(F328,sample_database!$L$2:$L$506,0))</f>
        <v>NA</v>
      </c>
      <c r="F328" s="202" t="str">
        <f>新平!A74</f>
        <v>XP073</v>
      </c>
      <c r="G328" s="257">
        <f>新平!C74</f>
        <v>10</v>
      </c>
      <c r="H328" s="257">
        <f>新平!D74</f>
        <v>0</v>
      </c>
      <c r="I328" s="202">
        <f>新平!E74</f>
        <v>131</v>
      </c>
      <c r="J328" s="202">
        <f>新平!F74</f>
        <v>38</v>
      </c>
      <c r="K328" s="202">
        <f>新平!G74</f>
        <v>8</v>
      </c>
      <c r="L328" s="202">
        <f>新平!H74</f>
        <v>9</v>
      </c>
      <c r="M328" s="202">
        <f>新平!I74</f>
        <v>6</v>
      </c>
      <c r="N328" s="202">
        <f>新平!J74</f>
        <v>4</v>
      </c>
      <c r="O328" s="202">
        <f>新平!K74</f>
        <v>35</v>
      </c>
      <c r="P328" s="202">
        <f>新平!L74</f>
        <v>7</v>
      </c>
      <c r="Q328" s="202">
        <f>新平!M74</f>
        <v>9</v>
      </c>
      <c r="R328" s="202">
        <f>新平!N74</f>
        <v>8</v>
      </c>
      <c r="S328" s="202">
        <f>新平!O74</f>
        <v>7</v>
      </c>
      <c r="T328" s="202">
        <f>新平!P74</f>
        <v>0</v>
      </c>
      <c r="U328" s="202">
        <f>新平!Q74</f>
        <v>0</v>
      </c>
      <c r="V328" s="202">
        <f>新平!R74</f>
        <v>0</v>
      </c>
      <c r="W328" s="202">
        <f>新平!S74</f>
        <v>0</v>
      </c>
      <c r="X328" s="202">
        <f>新平!T74</f>
        <v>0</v>
      </c>
      <c r="Y328" s="202">
        <f>新平!U74</f>
        <v>0</v>
      </c>
      <c r="Z328" s="202">
        <f>新平!V74</f>
        <v>0</v>
      </c>
      <c r="AA328" s="202">
        <f>新平!W74</f>
        <v>0</v>
      </c>
      <c r="AB328" s="202">
        <f>新平!X74</f>
        <v>0</v>
      </c>
      <c r="AC328" s="202">
        <f>新平!Y74</f>
        <v>0</v>
      </c>
      <c r="AD328" s="202">
        <f>新平!Z74</f>
        <v>0</v>
      </c>
      <c r="AE328" s="202">
        <f>新平!AA74</f>
        <v>0</v>
      </c>
      <c r="AF328" s="202">
        <f>新平!AB74</f>
        <v>0</v>
      </c>
      <c r="AG328" s="202">
        <f>新平!AC74</f>
        <v>0</v>
      </c>
      <c r="AH328" s="202">
        <f>新平!AD74</f>
        <v>0</v>
      </c>
      <c r="AI328" s="202">
        <f>新平!AE74</f>
        <v>0</v>
      </c>
      <c r="AJ328" s="202">
        <f>新平!AF74</f>
        <v>0</v>
      </c>
      <c r="AK328" s="165" t="str">
        <f>新平!AG74</f>
        <v>NA</v>
      </c>
      <c r="AL328" s="165" t="str">
        <f>新平!AH74</f>
        <v>NA</v>
      </c>
      <c r="AM328" s="165">
        <f>新平!AI74</f>
        <v>0</v>
      </c>
      <c r="AN328" s="165">
        <f>新平!AJ74</f>
        <v>0</v>
      </c>
      <c r="AO328" s="165">
        <f>新平!AK74</f>
        <v>0</v>
      </c>
      <c r="AP328" s="263">
        <v>20.500000000000004</v>
      </c>
      <c r="AQ328" s="209" t="str">
        <f>新平!AM74</f>
        <v>0.7+1.1+0.9+1.1+0.3</v>
      </c>
      <c r="AR328" s="295">
        <f>新平!AN74</f>
        <v>4.1000000000000005</v>
      </c>
      <c r="AS328" s="199" t="str">
        <f>新平!AO74</f>
        <v>530427197312242314</v>
      </c>
      <c r="AT328" s="199" t="str">
        <f>新平!AP74</f>
        <v>18088911726</v>
      </c>
    </row>
    <row r="329" spans="1:46">
      <c r="A329" s="165" t="s">
        <v>1922</v>
      </c>
      <c r="B329" s="202" t="str">
        <f>VLOOKUP(A329,databases!$A$2:$B$7, 2, FALSE)</f>
        <v>XinPing</v>
      </c>
      <c r="C329" s="165" t="str">
        <f>新平!B75</f>
        <v>张学林</v>
      </c>
      <c r="D329" s="275" t="str">
        <f>VLOOKUP(C329,databases!$D$2:$E$145, 2, FALSE)</f>
        <v>R17</v>
      </c>
      <c r="E329" s="276" t="str">
        <f>INDEX(sample_database!$B$2:$B$506,MATCH(F329,sample_database!$L$2:$L$506,0))</f>
        <v>NA</v>
      </c>
      <c r="F329" s="202" t="str">
        <f>新平!A75</f>
        <v>XP074</v>
      </c>
      <c r="G329" s="257">
        <f>新平!C75</f>
        <v>10</v>
      </c>
      <c r="H329" s="257">
        <f>新平!D75</f>
        <v>0</v>
      </c>
      <c r="I329" s="202">
        <f>新平!E75</f>
        <v>119</v>
      </c>
      <c r="J329" s="202">
        <f>新平!F75</f>
        <v>12</v>
      </c>
      <c r="K329" s="202">
        <f>新平!G75</f>
        <v>15</v>
      </c>
      <c r="L329" s="202">
        <f>新平!H75</f>
        <v>9</v>
      </c>
      <c r="M329" s="202">
        <f>新平!I75</f>
        <v>10</v>
      </c>
      <c r="N329" s="202">
        <f>新平!J75</f>
        <v>10</v>
      </c>
      <c r="O329" s="202">
        <f>新平!K75</f>
        <v>10</v>
      </c>
      <c r="P329" s="202">
        <f>新平!L75</f>
        <v>15</v>
      </c>
      <c r="Q329" s="202">
        <f>新平!M75</f>
        <v>8</v>
      </c>
      <c r="R329" s="202">
        <f>新平!N75</f>
        <v>20</v>
      </c>
      <c r="S329" s="202">
        <f>新平!O75</f>
        <v>10</v>
      </c>
      <c r="T329" s="202">
        <f>新平!P75</f>
        <v>0</v>
      </c>
      <c r="U329" s="202">
        <f>新平!Q75</f>
        <v>0</v>
      </c>
      <c r="V329" s="202">
        <f>新平!R75</f>
        <v>0</v>
      </c>
      <c r="W329" s="202">
        <f>新平!S75</f>
        <v>0</v>
      </c>
      <c r="X329" s="202">
        <f>新平!T75</f>
        <v>0</v>
      </c>
      <c r="Y329" s="202">
        <f>新平!U75</f>
        <v>0</v>
      </c>
      <c r="Z329" s="202">
        <f>新平!V75</f>
        <v>0</v>
      </c>
      <c r="AA329" s="202">
        <f>新平!W75</f>
        <v>0</v>
      </c>
      <c r="AB329" s="202">
        <f>新平!X75</f>
        <v>0</v>
      </c>
      <c r="AC329" s="202">
        <f>新平!Y75</f>
        <v>0</v>
      </c>
      <c r="AD329" s="202">
        <f>新平!Z75</f>
        <v>0</v>
      </c>
      <c r="AE329" s="202">
        <f>新平!AA75</f>
        <v>0</v>
      </c>
      <c r="AF329" s="202">
        <f>新平!AB75</f>
        <v>0</v>
      </c>
      <c r="AG329" s="202">
        <f>新平!AC75</f>
        <v>0</v>
      </c>
      <c r="AH329" s="202">
        <f>新平!AD75</f>
        <v>0</v>
      </c>
      <c r="AI329" s="202">
        <f>新平!AE75</f>
        <v>0</v>
      </c>
      <c r="AJ329" s="202">
        <f>新平!AF75</f>
        <v>0</v>
      </c>
      <c r="AK329" s="165" t="str">
        <f>新平!AG75</f>
        <v>NA</v>
      </c>
      <c r="AL329" s="165" t="str">
        <f>新平!AH75</f>
        <v>NA</v>
      </c>
      <c r="AM329" s="165">
        <f>新平!AI75</f>
        <v>0</v>
      </c>
      <c r="AN329" s="165">
        <f>新平!AJ75</f>
        <v>0</v>
      </c>
      <c r="AO329" s="165">
        <f>新平!AK75</f>
        <v>0</v>
      </c>
      <c r="AP329" s="263">
        <v>18.5</v>
      </c>
      <c r="AQ329" s="209" t="str">
        <f>新平!AM75</f>
        <v>0.9+1.1+0.5+0.9+0.3</v>
      </c>
      <c r="AR329" s="295">
        <f>新平!AN75</f>
        <v>3.6999999999999997</v>
      </c>
      <c r="AS329" s="199" t="str">
        <f>新平!AO75</f>
        <v>530427197312242314</v>
      </c>
      <c r="AT329" s="199" t="str">
        <f>新平!AP75</f>
        <v>18088911726</v>
      </c>
    </row>
    <row r="330" spans="1:46">
      <c r="A330" s="165" t="s">
        <v>1922</v>
      </c>
      <c r="B330" s="202" t="str">
        <f>VLOOKUP(A330,databases!$A$2:$B$7, 2, FALSE)</f>
        <v>XinPing</v>
      </c>
      <c r="C330" s="165" t="str">
        <f>新平!B76</f>
        <v>张学林</v>
      </c>
      <c r="D330" s="275" t="str">
        <f>VLOOKUP(C330,databases!$D$2:$E$145, 2, FALSE)</f>
        <v>R17</v>
      </c>
      <c r="E330" s="276" t="str">
        <f>INDEX(sample_database!$B$2:$B$506,MATCH(F330,sample_database!$L$2:$L$506,0))</f>
        <v>NA</v>
      </c>
      <c r="F330" s="202" t="str">
        <f>新平!A76</f>
        <v>XP075</v>
      </c>
      <c r="G330" s="257">
        <f>新平!C76</f>
        <v>10</v>
      </c>
      <c r="H330" s="257">
        <f>新平!D76</f>
        <v>0</v>
      </c>
      <c r="I330" s="202">
        <f>新平!E76</f>
        <v>75</v>
      </c>
      <c r="J330" s="202">
        <f>新平!F76</f>
        <v>8</v>
      </c>
      <c r="K330" s="202">
        <f>新平!G76</f>
        <v>5</v>
      </c>
      <c r="L330" s="202">
        <f>新平!H76</f>
        <v>9</v>
      </c>
      <c r="M330" s="202">
        <f>新平!I76</f>
        <v>9</v>
      </c>
      <c r="N330" s="202">
        <f>新平!J76</f>
        <v>7</v>
      </c>
      <c r="O330" s="202">
        <f>新平!K76</f>
        <v>6</v>
      </c>
      <c r="P330" s="202">
        <f>新平!L76</f>
        <v>8</v>
      </c>
      <c r="Q330" s="202">
        <f>新平!M76</f>
        <v>10</v>
      </c>
      <c r="R330" s="202">
        <f>新平!N76</f>
        <v>8</v>
      </c>
      <c r="S330" s="202">
        <f>新平!O76</f>
        <v>5</v>
      </c>
      <c r="T330" s="202">
        <f>新平!P76</f>
        <v>0</v>
      </c>
      <c r="U330" s="202">
        <f>新平!Q76</f>
        <v>0</v>
      </c>
      <c r="V330" s="202">
        <f>新平!R76</f>
        <v>0</v>
      </c>
      <c r="W330" s="202">
        <f>新平!S76</f>
        <v>0</v>
      </c>
      <c r="X330" s="202">
        <f>新平!T76</f>
        <v>0</v>
      </c>
      <c r="Y330" s="202">
        <f>新平!U76</f>
        <v>0</v>
      </c>
      <c r="Z330" s="202">
        <f>新平!V76</f>
        <v>0</v>
      </c>
      <c r="AA330" s="202">
        <f>新平!W76</f>
        <v>0</v>
      </c>
      <c r="AB330" s="202">
        <f>新平!X76</f>
        <v>0</v>
      </c>
      <c r="AC330" s="202">
        <f>新平!Y76</f>
        <v>0</v>
      </c>
      <c r="AD330" s="202">
        <f>新平!Z76</f>
        <v>0</v>
      </c>
      <c r="AE330" s="202">
        <f>新平!AA76</f>
        <v>0</v>
      </c>
      <c r="AF330" s="202">
        <f>新平!AB76</f>
        <v>0</v>
      </c>
      <c r="AG330" s="202">
        <f>新平!AC76</f>
        <v>0</v>
      </c>
      <c r="AH330" s="202">
        <f>新平!AD76</f>
        <v>0</v>
      </c>
      <c r="AI330" s="202">
        <f>新平!AE76</f>
        <v>0</v>
      </c>
      <c r="AJ330" s="202">
        <f>新平!AF76</f>
        <v>0</v>
      </c>
      <c r="AK330" s="165" t="str">
        <f>新平!AG76</f>
        <v>NA</v>
      </c>
      <c r="AL330" s="165" t="str">
        <f>新平!AH76</f>
        <v>NA</v>
      </c>
      <c r="AM330" s="165">
        <f>新平!AI76</f>
        <v>0</v>
      </c>
      <c r="AN330" s="165">
        <f>新平!AJ76</f>
        <v>0</v>
      </c>
      <c r="AO330" s="165">
        <f>新平!AK76</f>
        <v>0</v>
      </c>
      <c r="AP330" s="263">
        <v>10</v>
      </c>
      <c r="AQ330" s="209">
        <f>新平!AM76</f>
        <v>0</v>
      </c>
      <c r="AR330" s="295">
        <f>新平!AN76</f>
        <v>2</v>
      </c>
      <c r="AS330" s="199" t="str">
        <f>新平!AO76</f>
        <v>530427197312242314</v>
      </c>
      <c r="AT330" s="199" t="str">
        <f>新平!AP76</f>
        <v>18088911726</v>
      </c>
    </row>
    <row r="331" spans="1:46">
      <c r="A331" s="165" t="s">
        <v>1922</v>
      </c>
      <c r="B331" s="202" t="str">
        <f>VLOOKUP(A331,databases!$A$2:$B$7, 2, FALSE)</f>
        <v>XinPing</v>
      </c>
      <c r="C331" s="165" t="str">
        <f>新平!B77</f>
        <v>张学林</v>
      </c>
      <c r="D331" s="277" t="str">
        <f>VLOOKUP(C331,databases!$D$2:$E$145, 2, FALSE)</f>
        <v>R17</v>
      </c>
      <c r="E331" s="278" t="str">
        <f>INDEX(sample_database!$B$2:$B$506,MATCH(F331,sample_database!$L$2:$L$506,0))</f>
        <v>NA</v>
      </c>
      <c r="F331" s="202" t="str">
        <f>新平!A77</f>
        <v>XP076</v>
      </c>
      <c r="G331" s="257">
        <f>新平!C77</f>
        <v>0</v>
      </c>
      <c r="H331" s="257">
        <f>新平!D77</f>
        <v>20</v>
      </c>
      <c r="I331" s="202">
        <f>新平!E77</f>
        <v>78</v>
      </c>
      <c r="J331" s="202">
        <f>新平!F77</f>
        <v>13</v>
      </c>
      <c r="K331" s="202">
        <f>新平!G77</f>
        <v>1</v>
      </c>
      <c r="L331" s="202">
        <f>新平!H77</f>
        <v>1</v>
      </c>
      <c r="M331" s="202">
        <f>新平!I77</f>
        <v>2</v>
      </c>
      <c r="N331" s="202">
        <f>新平!J77</f>
        <v>2</v>
      </c>
      <c r="O331" s="202">
        <f>新平!K77</f>
        <v>2</v>
      </c>
      <c r="P331" s="202">
        <f>新平!L77</f>
        <v>2</v>
      </c>
      <c r="Q331" s="202">
        <f>新平!M77</f>
        <v>3</v>
      </c>
      <c r="R331" s="202">
        <f>新平!N77</f>
        <v>3</v>
      </c>
      <c r="S331" s="202">
        <f>新平!O77</f>
        <v>3</v>
      </c>
      <c r="T331" s="202">
        <f>新平!P77</f>
        <v>3</v>
      </c>
      <c r="U331" s="202">
        <f>新平!Q77</f>
        <v>3</v>
      </c>
      <c r="V331" s="202">
        <f>新平!R77</f>
        <v>3</v>
      </c>
      <c r="W331" s="202">
        <f>新平!S77</f>
        <v>4</v>
      </c>
      <c r="X331" s="202">
        <f>新平!T77</f>
        <v>5</v>
      </c>
      <c r="Y331" s="202">
        <f>新平!U77</f>
        <v>5</v>
      </c>
      <c r="Z331" s="202">
        <f>新平!V77</f>
        <v>5</v>
      </c>
      <c r="AA331" s="202">
        <f>新平!W77</f>
        <v>6</v>
      </c>
      <c r="AB331" s="202">
        <f>新平!X77</f>
        <v>6</v>
      </c>
      <c r="AC331" s="202">
        <f>新平!Y77</f>
        <v>6</v>
      </c>
      <c r="AD331" s="202">
        <f>新平!Z77</f>
        <v>0</v>
      </c>
      <c r="AE331" s="202">
        <f>新平!AA77</f>
        <v>0</v>
      </c>
      <c r="AF331" s="202">
        <f>新平!AB77</f>
        <v>0</v>
      </c>
      <c r="AG331" s="202">
        <f>新平!AC77</f>
        <v>0</v>
      </c>
      <c r="AH331" s="202">
        <f>新平!AD77</f>
        <v>0</v>
      </c>
      <c r="AI331" s="202">
        <f>新平!AE77</f>
        <v>0</v>
      </c>
      <c r="AJ331" s="202">
        <f>新平!AF77</f>
        <v>0</v>
      </c>
      <c r="AK331" s="165" t="str">
        <f>新平!AG77</f>
        <v>NA</v>
      </c>
      <c r="AL331" s="165" t="str">
        <f>新平!AH77</f>
        <v>NA</v>
      </c>
      <c r="AM331" s="165">
        <f>新平!AI77</f>
        <v>0</v>
      </c>
      <c r="AN331" s="165">
        <f>新平!AJ77</f>
        <v>0</v>
      </c>
      <c r="AO331" s="165">
        <f>新平!AK77</f>
        <v>0</v>
      </c>
      <c r="AP331" s="263">
        <v>20</v>
      </c>
      <c r="AQ331" s="209">
        <f>新平!AM77</f>
        <v>0</v>
      </c>
      <c r="AR331" s="295">
        <f>新平!AN77</f>
        <v>4</v>
      </c>
      <c r="AS331" s="199" t="str">
        <f>新平!AO77</f>
        <v>530427197312242314</v>
      </c>
      <c r="AT331" s="199" t="str">
        <f>新平!AP77</f>
        <v>18088911726</v>
      </c>
    </row>
    <row r="332" spans="1:46">
      <c r="A332" s="165" t="s">
        <v>1922</v>
      </c>
      <c r="B332" s="202" t="str">
        <f>VLOOKUP(A332,databases!$A$2:$B$7, 2, FALSE)</f>
        <v>XinPing</v>
      </c>
      <c r="C332" s="165" t="str">
        <f>新平!B95</f>
        <v>张明忠</v>
      </c>
      <c r="D332" s="273" t="str">
        <f>VLOOKUP(C332,databases!$D$2:$E$145, 2, FALSE)</f>
        <v>R21</v>
      </c>
      <c r="E332" s="274" t="str">
        <f>INDEX(sample_database!$B$2:$B$506,MATCH(F332,sample_database!$L$2:$L$506,0))</f>
        <v>NA</v>
      </c>
      <c r="F332" s="202" t="str">
        <f>新平!A95</f>
        <v>XP094</v>
      </c>
      <c r="G332" s="257">
        <f>新平!C95</f>
        <v>10</v>
      </c>
      <c r="H332" s="257">
        <f>新平!D95</f>
        <v>0</v>
      </c>
      <c r="I332" s="202">
        <f>新平!E95</f>
        <v>231</v>
      </c>
      <c r="J332" s="202">
        <f>新平!F95</f>
        <v>26</v>
      </c>
      <c r="K332" s="202">
        <f>新平!G95</f>
        <v>15</v>
      </c>
      <c r="L332" s="202">
        <f>新平!H95</f>
        <v>22</v>
      </c>
      <c r="M332" s="202">
        <f>新平!I95</f>
        <v>19</v>
      </c>
      <c r="N332" s="202">
        <f>新平!J95</f>
        <v>33</v>
      </c>
      <c r="O332" s="202">
        <f>新平!K95</f>
        <v>26</v>
      </c>
      <c r="P332" s="202">
        <f>新平!L95</f>
        <v>32</v>
      </c>
      <c r="Q332" s="202">
        <f>新平!M95</f>
        <v>24</v>
      </c>
      <c r="R332" s="202">
        <f>新平!N95</f>
        <v>18</v>
      </c>
      <c r="S332" s="202">
        <f>新平!O95</f>
        <v>16</v>
      </c>
      <c r="T332" s="202">
        <f>新平!P95</f>
        <v>0</v>
      </c>
      <c r="U332" s="202">
        <f>新平!Q95</f>
        <v>0</v>
      </c>
      <c r="V332" s="202">
        <f>新平!R95</f>
        <v>0</v>
      </c>
      <c r="W332" s="202">
        <f>新平!S95</f>
        <v>0</v>
      </c>
      <c r="X332" s="202">
        <f>新平!T95</f>
        <v>0</v>
      </c>
      <c r="Y332" s="202">
        <f>新平!U95</f>
        <v>0</v>
      </c>
      <c r="Z332" s="202">
        <f>新平!V95</f>
        <v>0</v>
      </c>
      <c r="AA332" s="202">
        <f>新平!W95</f>
        <v>0</v>
      </c>
      <c r="AB332" s="202">
        <f>新平!X95</f>
        <v>0</v>
      </c>
      <c r="AC332" s="202">
        <f>新平!Y95</f>
        <v>0</v>
      </c>
      <c r="AD332" s="202">
        <f>新平!Z95</f>
        <v>0</v>
      </c>
      <c r="AE332" s="202">
        <f>新平!AA95</f>
        <v>0</v>
      </c>
      <c r="AF332" s="202">
        <f>新平!AB95</f>
        <v>0</v>
      </c>
      <c r="AG332" s="202">
        <f>新平!AC95</f>
        <v>0</v>
      </c>
      <c r="AH332" s="202">
        <f>新平!AD95</f>
        <v>0</v>
      </c>
      <c r="AI332" s="202">
        <f>新平!AE95</f>
        <v>0</v>
      </c>
      <c r="AJ332" s="202">
        <f>新平!AF95</f>
        <v>0</v>
      </c>
      <c r="AK332" s="165" t="str">
        <f>新平!AG95</f>
        <v>新平县戛洒镇耀南村金山原始森林</v>
      </c>
      <c r="AL332" s="165" t="str">
        <f>新平!AH95</f>
        <v>20160729</v>
      </c>
      <c r="AM332" s="165">
        <f>新平!AI95</f>
        <v>0</v>
      </c>
      <c r="AN332" s="165">
        <f>新平!AJ95</f>
        <v>0</v>
      </c>
      <c r="AO332" s="165" t="str">
        <f>新平!AK95</f>
        <v>海拔2485,2650893.7-17755086.3</v>
      </c>
      <c r="AP332" s="263">
        <v>50</v>
      </c>
      <c r="AQ332" s="209" t="str">
        <f>新平!AM95</f>
        <v>2*5</v>
      </c>
      <c r="AR332" s="295">
        <f>新平!AN95</f>
        <v>10</v>
      </c>
      <c r="AS332" s="199" t="str">
        <f>新平!AO95</f>
        <v>532428196404082139</v>
      </c>
      <c r="AT332" s="199" t="str">
        <f>新平!AP95</f>
        <v>13988455214</v>
      </c>
    </row>
    <row r="333" spans="1:46">
      <c r="A333" s="165" t="s">
        <v>1922</v>
      </c>
      <c r="B333" s="202" t="str">
        <f>VLOOKUP(A333,databases!$A$2:$B$7, 2, FALSE)</f>
        <v>XinPing</v>
      </c>
      <c r="C333" s="165" t="str">
        <f>新平!B96</f>
        <v>张明忠</v>
      </c>
      <c r="D333" s="275" t="str">
        <f>VLOOKUP(C333,databases!$D$2:$E$145, 2, FALSE)</f>
        <v>R21</v>
      </c>
      <c r="E333" s="276" t="str">
        <f>INDEX(sample_database!$B$2:$B$506,MATCH(F333,sample_database!$L$2:$L$506,0))</f>
        <v>NA</v>
      </c>
      <c r="F333" s="202" t="str">
        <f>新平!A96</f>
        <v>XP095</v>
      </c>
      <c r="G333" s="257">
        <f>新平!C96</f>
        <v>10</v>
      </c>
      <c r="H333" s="257">
        <f>新平!D96</f>
        <v>0</v>
      </c>
      <c r="I333" s="202">
        <f>新平!E96</f>
        <v>186</v>
      </c>
      <c r="J333" s="202">
        <f>新平!F96</f>
        <v>16</v>
      </c>
      <c r="K333" s="202">
        <f>新平!G96</f>
        <v>16</v>
      </c>
      <c r="L333" s="202">
        <f>新平!H96</f>
        <v>16</v>
      </c>
      <c r="M333" s="202">
        <f>新平!I96</f>
        <v>22</v>
      </c>
      <c r="N333" s="202">
        <f>新平!J96</f>
        <v>22</v>
      </c>
      <c r="O333" s="202">
        <f>新平!K96</f>
        <v>21</v>
      </c>
      <c r="P333" s="202">
        <f>新平!L96</f>
        <v>19</v>
      </c>
      <c r="Q333" s="202">
        <f>新平!M96</f>
        <v>14</v>
      </c>
      <c r="R333" s="202">
        <f>新平!N96</f>
        <v>23</v>
      </c>
      <c r="S333" s="202">
        <f>新平!O96</f>
        <v>17</v>
      </c>
      <c r="T333" s="202">
        <f>新平!P96</f>
        <v>0</v>
      </c>
      <c r="U333" s="202">
        <f>新平!Q96</f>
        <v>0</v>
      </c>
      <c r="V333" s="202">
        <f>新平!R96</f>
        <v>0</v>
      </c>
      <c r="W333" s="202">
        <f>新平!S96</f>
        <v>0</v>
      </c>
      <c r="X333" s="202">
        <f>新平!T96</f>
        <v>0</v>
      </c>
      <c r="Y333" s="202">
        <f>新平!U96</f>
        <v>0</v>
      </c>
      <c r="Z333" s="202">
        <f>新平!V96</f>
        <v>0</v>
      </c>
      <c r="AA333" s="202">
        <f>新平!W96</f>
        <v>0</v>
      </c>
      <c r="AB333" s="202">
        <f>新平!X96</f>
        <v>0</v>
      </c>
      <c r="AC333" s="202">
        <f>新平!Y96</f>
        <v>0</v>
      </c>
      <c r="AD333" s="202">
        <f>新平!Z96</f>
        <v>0</v>
      </c>
      <c r="AE333" s="202">
        <f>新平!AA96</f>
        <v>0</v>
      </c>
      <c r="AF333" s="202">
        <f>新平!AB96</f>
        <v>0</v>
      </c>
      <c r="AG333" s="202">
        <f>新平!AC96</f>
        <v>0</v>
      </c>
      <c r="AH333" s="202">
        <f>新平!AD96</f>
        <v>0</v>
      </c>
      <c r="AI333" s="202">
        <f>新平!AE96</f>
        <v>0</v>
      </c>
      <c r="AJ333" s="202">
        <f>新平!AF96</f>
        <v>0</v>
      </c>
      <c r="AK333" s="165" t="str">
        <f>新平!AG96</f>
        <v>新平县戛洒镇耀南村金山丫口金山原始森林</v>
      </c>
      <c r="AL333" s="165" t="str">
        <f>新平!AH96</f>
        <v>20160729</v>
      </c>
      <c r="AM333" s="165">
        <f>新平!AI96</f>
        <v>0</v>
      </c>
      <c r="AN333" s="165">
        <f>新平!AJ96</f>
        <v>0</v>
      </c>
      <c r="AO333" s="165" t="str">
        <f>新平!AK96</f>
        <v>海拔2498,2650911.7-17755190.7</v>
      </c>
      <c r="AP333" s="263">
        <v>47.5</v>
      </c>
      <c r="AQ333" s="209" t="str">
        <f>新平!AM96</f>
        <v>1.5+2*4</v>
      </c>
      <c r="AR333" s="295">
        <f>新平!AN96</f>
        <v>9.5</v>
      </c>
      <c r="AS333" s="199" t="str">
        <f>新平!AO96</f>
        <v>532428196404082139</v>
      </c>
      <c r="AT333" s="199" t="str">
        <f>新平!AP96</f>
        <v>13988455214</v>
      </c>
    </row>
    <row r="334" spans="1:46">
      <c r="A334" s="165" t="s">
        <v>1922</v>
      </c>
      <c r="B334" s="202" t="str">
        <f>VLOOKUP(A334,databases!$A$2:$B$7, 2, FALSE)</f>
        <v>XinPing</v>
      </c>
      <c r="C334" s="165" t="str">
        <f>新平!B97</f>
        <v>张明忠</v>
      </c>
      <c r="D334" s="275" t="str">
        <f>VLOOKUP(C334,databases!$D$2:$E$145, 2, FALSE)</f>
        <v>R21</v>
      </c>
      <c r="E334" s="276" t="str">
        <f>INDEX(sample_database!$B$2:$B$506,MATCH(F334,sample_database!$L$2:$L$506,0))</f>
        <v>NA</v>
      </c>
      <c r="F334" s="202" t="str">
        <f>新平!A97</f>
        <v>XP096</v>
      </c>
      <c r="G334" s="257">
        <f>新平!C97</f>
        <v>10</v>
      </c>
      <c r="H334" s="257">
        <f>新平!D97</f>
        <v>0</v>
      </c>
      <c r="I334" s="202">
        <f>新平!E97</f>
        <v>178</v>
      </c>
      <c r="J334" s="202">
        <f>新平!F97</f>
        <v>13</v>
      </c>
      <c r="K334" s="202">
        <f>新平!G97</f>
        <v>20</v>
      </c>
      <c r="L334" s="202">
        <f>新平!H97</f>
        <v>20</v>
      </c>
      <c r="M334" s="202">
        <f>新平!I97</f>
        <v>25</v>
      </c>
      <c r="N334" s="202">
        <f>新平!J97</f>
        <v>16</v>
      </c>
      <c r="O334" s="202">
        <f>新平!K97</f>
        <v>17</v>
      </c>
      <c r="P334" s="202">
        <f>新平!L97</f>
        <v>19</v>
      </c>
      <c r="Q334" s="202">
        <f>新平!M97</f>
        <v>19</v>
      </c>
      <c r="R334" s="202">
        <f>新平!N97</f>
        <v>19</v>
      </c>
      <c r="S334" s="202">
        <f>新平!O97</f>
        <v>10</v>
      </c>
      <c r="T334" s="202">
        <f>新平!P97</f>
        <v>0</v>
      </c>
      <c r="U334" s="202">
        <f>新平!Q97</f>
        <v>0</v>
      </c>
      <c r="V334" s="202">
        <f>新平!R97</f>
        <v>0</v>
      </c>
      <c r="W334" s="202">
        <f>新平!S97</f>
        <v>0</v>
      </c>
      <c r="X334" s="202">
        <f>新平!T97</f>
        <v>0</v>
      </c>
      <c r="Y334" s="202">
        <f>新平!U97</f>
        <v>0</v>
      </c>
      <c r="Z334" s="202">
        <f>新平!V97</f>
        <v>0</v>
      </c>
      <c r="AA334" s="202">
        <f>新平!W97</f>
        <v>0</v>
      </c>
      <c r="AB334" s="202">
        <f>新平!X97</f>
        <v>0</v>
      </c>
      <c r="AC334" s="202">
        <f>新平!Y97</f>
        <v>0</v>
      </c>
      <c r="AD334" s="202">
        <f>新平!Z97</f>
        <v>0</v>
      </c>
      <c r="AE334" s="202">
        <f>新平!AA97</f>
        <v>0</v>
      </c>
      <c r="AF334" s="202">
        <f>新平!AB97</f>
        <v>0</v>
      </c>
      <c r="AG334" s="202">
        <f>新平!AC97</f>
        <v>0</v>
      </c>
      <c r="AH334" s="202">
        <f>新平!AD97</f>
        <v>0</v>
      </c>
      <c r="AI334" s="202">
        <f>新平!AE97</f>
        <v>0</v>
      </c>
      <c r="AJ334" s="202">
        <f>新平!AF97</f>
        <v>0</v>
      </c>
      <c r="AK334" s="165" t="str">
        <f>新平!AG97</f>
        <v>新平县戛洒镇耀南村花山脚金拱洞</v>
      </c>
      <c r="AL334" s="165" t="str">
        <f>新平!AH97</f>
        <v>20160729</v>
      </c>
      <c r="AM334" s="165">
        <f>新平!AI97</f>
        <v>0</v>
      </c>
      <c r="AN334" s="165">
        <f>新平!AJ97</f>
        <v>0</v>
      </c>
      <c r="AO334" s="165" t="str">
        <f>新平!AK97</f>
        <v>海拔2516,2651054.1-17755397.2</v>
      </c>
      <c r="AP334" s="263">
        <v>42</v>
      </c>
      <c r="AQ334" s="209" t="str">
        <f>新平!AM97</f>
        <v>0.9+2+2+2+1.5</v>
      </c>
      <c r="AR334" s="295">
        <f>新平!AN97</f>
        <v>8.4</v>
      </c>
      <c r="AS334" s="199" t="str">
        <f>新平!AO97</f>
        <v>532428196404082139</v>
      </c>
      <c r="AT334" s="199" t="str">
        <f>新平!AP97</f>
        <v>13988455214</v>
      </c>
    </row>
    <row r="335" spans="1:46">
      <c r="A335" s="165" t="s">
        <v>1922</v>
      </c>
      <c r="B335" s="202" t="str">
        <f>VLOOKUP(A335,databases!$A$2:$B$7, 2, FALSE)</f>
        <v>XinPing</v>
      </c>
      <c r="C335" s="165" t="str">
        <f>新平!B98</f>
        <v>张明忠</v>
      </c>
      <c r="D335" s="275" t="str">
        <f>VLOOKUP(C335,databases!$D$2:$E$145, 2, FALSE)</f>
        <v>R21</v>
      </c>
      <c r="E335" s="276" t="str">
        <f>INDEX(sample_database!$B$2:$B$506,MATCH(F335,sample_database!$L$2:$L$506,0))</f>
        <v>NA</v>
      </c>
      <c r="F335" s="202" t="str">
        <f>新平!A98</f>
        <v>XP097</v>
      </c>
      <c r="G335" s="257">
        <f>新平!C98</f>
        <v>10</v>
      </c>
      <c r="H335" s="257">
        <f>新平!D98</f>
        <v>0</v>
      </c>
      <c r="I335" s="202">
        <f>新平!E98</f>
        <v>226</v>
      </c>
      <c r="J335" s="202">
        <f>新平!F98</f>
        <v>20</v>
      </c>
      <c r="K335" s="202">
        <f>新平!G98</f>
        <v>28</v>
      </c>
      <c r="L335" s="202">
        <f>新平!H98</f>
        <v>25</v>
      </c>
      <c r="M335" s="202">
        <f>新平!I98</f>
        <v>27</v>
      </c>
      <c r="N335" s="202">
        <f>新平!J98</f>
        <v>19</v>
      </c>
      <c r="O335" s="202">
        <f>新平!K98</f>
        <v>23</v>
      </c>
      <c r="P335" s="202">
        <f>新平!L98</f>
        <v>21</v>
      </c>
      <c r="Q335" s="202">
        <f>新平!M98</f>
        <v>21</v>
      </c>
      <c r="R335" s="202">
        <f>新平!N98</f>
        <v>21</v>
      </c>
      <c r="S335" s="202">
        <f>新平!O98</f>
        <v>21</v>
      </c>
      <c r="T335" s="202">
        <f>新平!P98</f>
        <v>0</v>
      </c>
      <c r="U335" s="202">
        <f>新平!Q98</f>
        <v>0</v>
      </c>
      <c r="V335" s="202">
        <f>新平!R98</f>
        <v>0</v>
      </c>
      <c r="W335" s="202">
        <f>新平!S98</f>
        <v>0</v>
      </c>
      <c r="X335" s="202">
        <f>新平!T98</f>
        <v>0</v>
      </c>
      <c r="Y335" s="202">
        <f>新平!U98</f>
        <v>0</v>
      </c>
      <c r="Z335" s="202">
        <f>新平!V98</f>
        <v>0</v>
      </c>
      <c r="AA335" s="202">
        <f>新平!W98</f>
        <v>0</v>
      </c>
      <c r="AB335" s="202">
        <f>新平!X98</f>
        <v>0</v>
      </c>
      <c r="AC335" s="202">
        <f>新平!Y98</f>
        <v>0</v>
      </c>
      <c r="AD335" s="202">
        <f>新平!Z98</f>
        <v>0</v>
      </c>
      <c r="AE335" s="202">
        <f>新平!AA98</f>
        <v>0</v>
      </c>
      <c r="AF335" s="202">
        <f>新平!AB98</f>
        <v>0</v>
      </c>
      <c r="AG335" s="202">
        <f>新平!AC98</f>
        <v>0</v>
      </c>
      <c r="AH335" s="202">
        <f>新平!AD98</f>
        <v>0</v>
      </c>
      <c r="AI335" s="202">
        <f>新平!AE98</f>
        <v>0</v>
      </c>
      <c r="AJ335" s="202">
        <f>新平!AF98</f>
        <v>0</v>
      </c>
      <c r="AK335" s="165" t="str">
        <f>新平!AG98</f>
        <v>新平县戛洒镇耀南村花山脚金拱洞</v>
      </c>
      <c r="AL335" s="165" t="str">
        <f>新平!AH98</f>
        <v>20160729</v>
      </c>
      <c r="AM335" s="165">
        <f>新平!AI98</f>
        <v>0</v>
      </c>
      <c r="AN335" s="165">
        <f>新平!AJ98</f>
        <v>0</v>
      </c>
      <c r="AO335" s="165" t="str">
        <f>新平!AK98</f>
        <v>海拔2521,2651204.1.1-17755496.1</v>
      </c>
      <c r="AP335" s="263">
        <v>33.5</v>
      </c>
      <c r="AQ335" s="209" t="str">
        <f>新平!AM98</f>
        <v>1.5+1.1+1.5+1.1+1.5</v>
      </c>
      <c r="AR335" s="295">
        <f>新平!AN98</f>
        <v>6.6999999999999993</v>
      </c>
      <c r="AS335" s="199" t="str">
        <f>新平!AO98</f>
        <v>532428196404082139</v>
      </c>
      <c r="AT335" s="199" t="str">
        <f>新平!AP98</f>
        <v>13988455214</v>
      </c>
    </row>
    <row r="336" spans="1:46">
      <c r="A336" s="165" t="s">
        <v>1922</v>
      </c>
      <c r="B336" s="202" t="str">
        <f>VLOOKUP(A336,databases!$A$2:$B$7, 2, FALSE)</f>
        <v>XinPing</v>
      </c>
      <c r="C336" s="165" t="str">
        <f>新平!B99</f>
        <v>张明忠</v>
      </c>
      <c r="D336" s="277" t="str">
        <f>VLOOKUP(C336,databases!$D$2:$E$145, 2, FALSE)</f>
        <v>R21</v>
      </c>
      <c r="E336" s="278" t="str">
        <f>INDEX(sample_database!$B$2:$B$506,MATCH(F336,sample_database!$L$2:$L$506,0))</f>
        <v>NA</v>
      </c>
      <c r="F336" s="202" t="str">
        <f>新平!A99</f>
        <v>XP098</v>
      </c>
      <c r="G336" s="257">
        <f>新平!C99</f>
        <v>0</v>
      </c>
      <c r="H336" s="257">
        <f>新平!D99</f>
        <v>20</v>
      </c>
      <c r="I336" s="202">
        <f>新平!E99</f>
        <v>58</v>
      </c>
      <c r="J336" s="202">
        <f>新平!F99</f>
        <v>1</v>
      </c>
      <c r="K336" s="202">
        <f>新平!G99</f>
        <v>1</v>
      </c>
      <c r="L336" s="202">
        <f>新平!H99</f>
        <v>1</v>
      </c>
      <c r="M336" s="202">
        <f>新平!I99</f>
        <v>1</v>
      </c>
      <c r="N336" s="202">
        <f>新平!J99</f>
        <v>2</v>
      </c>
      <c r="O336" s="202">
        <f>新平!K99</f>
        <v>2</v>
      </c>
      <c r="P336" s="202">
        <f>新平!L99</f>
        <v>2</v>
      </c>
      <c r="Q336" s="202">
        <f>新平!M99</f>
        <v>2</v>
      </c>
      <c r="R336" s="202">
        <f>新平!N99</f>
        <v>2</v>
      </c>
      <c r="S336" s="202">
        <f>新平!O99</f>
        <v>2</v>
      </c>
      <c r="T336" s="202">
        <f>新平!P99</f>
        <v>3</v>
      </c>
      <c r="U336" s="202">
        <f>新平!Q99</f>
        <v>3</v>
      </c>
      <c r="V336" s="202">
        <f>新平!R99</f>
        <v>3</v>
      </c>
      <c r="W336" s="202">
        <f>新平!S99</f>
        <v>3</v>
      </c>
      <c r="X336" s="202">
        <f>新平!T99</f>
        <v>3</v>
      </c>
      <c r="Y336" s="202">
        <f>新平!U99</f>
        <v>4</v>
      </c>
      <c r="Z336" s="202">
        <f>新平!V99</f>
        <v>5</v>
      </c>
      <c r="AA336" s="202">
        <f>新平!W99</f>
        <v>5</v>
      </c>
      <c r="AB336" s="202">
        <f>新平!X99</f>
        <v>6</v>
      </c>
      <c r="AC336" s="202">
        <f>新平!Y99</f>
        <v>7</v>
      </c>
      <c r="AD336" s="202">
        <f>新平!Z99</f>
        <v>0</v>
      </c>
      <c r="AE336" s="202">
        <f>新平!AA99</f>
        <v>0</v>
      </c>
      <c r="AF336" s="202">
        <f>新平!AB99</f>
        <v>0</v>
      </c>
      <c r="AG336" s="202">
        <f>新平!AC99</f>
        <v>0</v>
      </c>
      <c r="AH336" s="202">
        <f>新平!AD99</f>
        <v>0</v>
      </c>
      <c r="AI336" s="202">
        <f>新平!AE99</f>
        <v>0</v>
      </c>
      <c r="AJ336" s="202">
        <f>新平!AF99</f>
        <v>0</v>
      </c>
      <c r="AK336" s="165" t="str">
        <f>新平!AG99</f>
        <v>新平县戛洒镇耀南村金山丫口</v>
      </c>
      <c r="AL336" s="165" t="str">
        <f>新平!AH99</f>
        <v>20160729</v>
      </c>
      <c r="AM336" s="165">
        <f>新平!AI99</f>
        <v>0</v>
      </c>
      <c r="AN336" s="165">
        <f>新平!AJ99</f>
        <v>0</v>
      </c>
      <c r="AO336" s="165" t="str">
        <f>新平!AK99</f>
        <v>海拔2546,2650798.3-17755473.2</v>
      </c>
      <c r="AP336" s="263">
        <v>7.5</v>
      </c>
      <c r="AQ336" s="209">
        <f>新平!AM99</f>
        <v>0</v>
      </c>
      <c r="AR336" s="295">
        <f>新平!AN99</f>
        <v>1.5</v>
      </c>
      <c r="AS336" s="199" t="str">
        <f>新平!AO99</f>
        <v>532428196404082139</v>
      </c>
      <c r="AT336" s="199" t="str">
        <f>新平!AP99</f>
        <v>13988455214</v>
      </c>
    </row>
    <row r="337" spans="1:46">
      <c r="A337" s="165" t="s">
        <v>1922</v>
      </c>
      <c r="B337" s="202" t="str">
        <f>VLOOKUP(A337,databases!$A$2:$B$7, 2, FALSE)</f>
        <v>XinPing</v>
      </c>
      <c r="C337" s="165" t="str">
        <f>新平!B90</f>
        <v>张春应</v>
      </c>
      <c r="D337" s="273" t="str">
        <f>VLOOKUP(C337,databases!$D$2:$E$145, 2, FALSE)</f>
        <v>R22</v>
      </c>
      <c r="E337" s="274" t="str">
        <f>INDEX(sample_database!$B$2:$B$506,MATCH(F337,sample_database!$L$2:$L$506,0))</f>
        <v>NA</v>
      </c>
      <c r="F337" s="202" t="str">
        <f>新平!A90</f>
        <v>XP089</v>
      </c>
      <c r="G337" s="257">
        <f>新平!C90</f>
        <v>9</v>
      </c>
      <c r="H337" s="257">
        <f>新平!D90</f>
        <v>0</v>
      </c>
      <c r="I337" s="202">
        <f>新平!E90</f>
        <v>56</v>
      </c>
      <c r="J337" s="202">
        <f>新平!F90</f>
        <v>2</v>
      </c>
      <c r="K337" s="202">
        <f>新平!G90</f>
        <v>4</v>
      </c>
      <c r="L337" s="202">
        <f>新平!H90</f>
        <v>5</v>
      </c>
      <c r="M337" s="202">
        <f>新平!I90</f>
        <v>5</v>
      </c>
      <c r="N337" s="202">
        <f>新平!J90</f>
        <v>5</v>
      </c>
      <c r="O337" s="202">
        <f>新平!K90</f>
        <v>7</v>
      </c>
      <c r="P337" s="202">
        <f>新平!L90</f>
        <v>7</v>
      </c>
      <c r="Q337" s="202">
        <f>新平!M90</f>
        <v>10</v>
      </c>
      <c r="R337" s="202">
        <f>新平!N90</f>
        <v>11</v>
      </c>
      <c r="S337" s="202">
        <f>新平!O90</f>
        <v>0</v>
      </c>
      <c r="T337" s="202">
        <f>新平!P90</f>
        <v>0</v>
      </c>
      <c r="U337" s="202">
        <f>新平!Q90</f>
        <v>0</v>
      </c>
      <c r="V337" s="202">
        <f>新平!R90</f>
        <v>0</v>
      </c>
      <c r="W337" s="202">
        <f>新平!S90</f>
        <v>0</v>
      </c>
      <c r="X337" s="202">
        <f>新平!T90</f>
        <v>0</v>
      </c>
      <c r="Y337" s="202">
        <f>新平!U90</f>
        <v>0</v>
      </c>
      <c r="Z337" s="202">
        <f>新平!V90</f>
        <v>0</v>
      </c>
      <c r="AA337" s="202">
        <f>新平!W90</f>
        <v>0</v>
      </c>
      <c r="AB337" s="202">
        <f>新平!X90</f>
        <v>0</v>
      </c>
      <c r="AC337" s="202">
        <f>新平!Y90</f>
        <v>0</v>
      </c>
      <c r="AD337" s="202">
        <f>新平!Z90</f>
        <v>0</v>
      </c>
      <c r="AE337" s="202">
        <f>新平!AA90</f>
        <v>0</v>
      </c>
      <c r="AF337" s="202">
        <f>新平!AB90</f>
        <v>0</v>
      </c>
      <c r="AG337" s="202">
        <f>新平!AC90</f>
        <v>0</v>
      </c>
      <c r="AH337" s="202">
        <f>新平!AD90</f>
        <v>0</v>
      </c>
      <c r="AI337" s="202">
        <f>新平!AE90</f>
        <v>0</v>
      </c>
      <c r="AJ337" s="202">
        <f>新平!AF90</f>
        <v>0</v>
      </c>
      <c r="AK337" s="165" t="str">
        <f>新平!AG90</f>
        <v>？？？</v>
      </c>
      <c r="AL337" s="165" t="str">
        <f>新平!AH90</f>
        <v>？</v>
      </c>
      <c r="AM337" s="165">
        <f>新平!AI90</f>
        <v>0</v>
      </c>
      <c r="AN337" s="165">
        <f>新平!AJ90</f>
        <v>0</v>
      </c>
      <c r="AO337" s="165" t="str">
        <f>新平!AK90</f>
        <v>？</v>
      </c>
      <c r="AP337" s="263">
        <v>7.5</v>
      </c>
      <c r="AQ337" s="209">
        <f>新平!AM90</f>
        <v>0</v>
      </c>
      <c r="AR337" s="295">
        <f>新平!AN90</f>
        <v>1.5</v>
      </c>
      <c r="AS337" s="199" t="str">
        <f>新平!AO90</f>
        <v>530427197801080950</v>
      </c>
      <c r="AT337" s="199" t="str">
        <f>新平!AP90</f>
        <v>18088911725</v>
      </c>
    </row>
    <row r="338" spans="1:46">
      <c r="A338" s="165" t="s">
        <v>1922</v>
      </c>
      <c r="B338" s="202" t="str">
        <f>VLOOKUP(A338,databases!$A$2:$B$7, 2, FALSE)</f>
        <v>XinPing</v>
      </c>
      <c r="C338" s="165" t="str">
        <f>新平!B91</f>
        <v>张春应</v>
      </c>
      <c r="D338" s="275" t="str">
        <f>VLOOKUP(C338,databases!$D$2:$E$145, 2, FALSE)</f>
        <v>R22</v>
      </c>
      <c r="E338" s="276" t="str">
        <f>INDEX(sample_database!$B$2:$B$506,MATCH(F338,sample_database!$L$2:$L$506,0))</f>
        <v>NA</v>
      </c>
      <c r="F338" s="202" t="str">
        <f>新平!A91</f>
        <v>XP090</v>
      </c>
      <c r="G338" s="257">
        <f>新平!C91</f>
        <v>10</v>
      </c>
      <c r="H338" s="257">
        <f>新平!D91</f>
        <v>0</v>
      </c>
      <c r="I338" s="202">
        <f>新平!E91</f>
        <v>104</v>
      </c>
      <c r="J338" s="202">
        <f>新平!F91</f>
        <v>2</v>
      </c>
      <c r="K338" s="202">
        <f>新平!G91</f>
        <v>4</v>
      </c>
      <c r="L338" s="202">
        <f>新平!H91</f>
        <v>5</v>
      </c>
      <c r="M338" s="202">
        <f>新平!I91</f>
        <v>5</v>
      </c>
      <c r="N338" s="202">
        <f>新平!J91</f>
        <v>6</v>
      </c>
      <c r="O338" s="202">
        <f>新平!K91</f>
        <v>6</v>
      </c>
      <c r="P338" s="202">
        <f>新平!L91</f>
        <v>7</v>
      </c>
      <c r="Q338" s="202">
        <f>新平!M91</f>
        <v>9</v>
      </c>
      <c r="R338" s="202">
        <f>新平!N91</f>
        <v>11</v>
      </c>
      <c r="S338" s="202">
        <f>新平!O91</f>
        <v>49</v>
      </c>
      <c r="T338" s="202">
        <f>新平!P91</f>
        <v>0</v>
      </c>
      <c r="U338" s="202">
        <f>新平!Q91</f>
        <v>0</v>
      </c>
      <c r="V338" s="202">
        <f>新平!R91</f>
        <v>0</v>
      </c>
      <c r="W338" s="202">
        <f>新平!S91</f>
        <v>0</v>
      </c>
      <c r="X338" s="202">
        <f>新平!T91</f>
        <v>0</v>
      </c>
      <c r="Y338" s="202">
        <f>新平!U91</f>
        <v>0</v>
      </c>
      <c r="Z338" s="202">
        <f>新平!V91</f>
        <v>0</v>
      </c>
      <c r="AA338" s="202">
        <f>新平!W91</f>
        <v>0</v>
      </c>
      <c r="AB338" s="202">
        <f>新平!X91</f>
        <v>0</v>
      </c>
      <c r="AC338" s="202">
        <f>新平!Y91</f>
        <v>0</v>
      </c>
      <c r="AD338" s="202">
        <f>新平!Z91</f>
        <v>0</v>
      </c>
      <c r="AE338" s="202">
        <f>新平!AA91</f>
        <v>0</v>
      </c>
      <c r="AF338" s="202">
        <f>新平!AB91</f>
        <v>0</v>
      </c>
      <c r="AG338" s="202">
        <f>新平!AC91</f>
        <v>0</v>
      </c>
      <c r="AH338" s="202">
        <f>新平!AD91</f>
        <v>0</v>
      </c>
      <c r="AI338" s="202">
        <f>新平!AE91</f>
        <v>0</v>
      </c>
      <c r="AJ338" s="202">
        <f>新平!AF91</f>
        <v>0</v>
      </c>
      <c r="AK338" s="165" t="str">
        <f>新平!AG91</f>
        <v>？？？</v>
      </c>
      <c r="AL338" s="165" t="str">
        <f>新平!AH91</f>
        <v>编号10-1</v>
      </c>
      <c r="AM338" s="165">
        <f>新平!AI91</f>
        <v>0</v>
      </c>
      <c r="AN338" s="165">
        <f>新平!AJ91</f>
        <v>0</v>
      </c>
      <c r="AO338" s="165" t="str">
        <f>新平!AK91</f>
        <v>？</v>
      </c>
      <c r="AP338" s="263">
        <v>17.499999999999996</v>
      </c>
      <c r="AQ338" s="209" t="str">
        <f>新平!AM91</f>
        <v>0.5+0.9+0.5+0.7+0.9</v>
      </c>
      <c r="AR338" s="295">
        <f>新平!AN91</f>
        <v>3.4999999999999996</v>
      </c>
      <c r="AS338" s="199" t="str">
        <f>新平!AO91</f>
        <v>530427197801080950</v>
      </c>
      <c r="AT338" s="199" t="str">
        <f>新平!AP91</f>
        <v>18088911725</v>
      </c>
    </row>
    <row r="339" spans="1:46">
      <c r="A339" s="253" t="s">
        <v>1922</v>
      </c>
      <c r="B339" s="202" t="str">
        <f>VLOOKUP(A339,databases!$A$2:$B$7, 2, FALSE)</f>
        <v>XinPing</v>
      </c>
      <c r="C339" s="253" t="str">
        <f>新平!B92</f>
        <v>张春应</v>
      </c>
      <c r="D339" s="275" t="str">
        <f>VLOOKUP(C339,databases!$D$2:$E$145, 2, FALSE)</f>
        <v>R22</v>
      </c>
      <c r="E339" s="276" t="str">
        <f>INDEX(sample_database!$B$2:$B$506,MATCH(F339,sample_database!$L$2:$L$506,0))</f>
        <v>NA</v>
      </c>
      <c r="F339" s="236" t="str">
        <f>新平!A92</f>
        <v>XP091</v>
      </c>
      <c r="G339" s="258">
        <f>新平!C92</f>
        <v>10</v>
      </c>
      <c r="H339" s="258">
        <f>新平!D92</f>
        <v>0</v>
      </c>
      <c r="I339" s="236">
        <f>新平!E92</f>
        <v>134</v>
      </c>
      <c r="J339" s="236">
        <f>新平!F92</f>
        <v>8</v>
      </c>
      <c r="K339" s="236">
        <f>新平!G92</f>
        <v>8</v>
      </c>
      <c r="L339" s="236">
        <f>新平!H92</f>
        <v>10</v>
      </c>
      <c r="M339" s="236">
        <f>新平!I92</f>
        <v>11</v>
      </c>
      <c r="N339" s="236">
        <f>新平!J92</f>
        <v>13</v>
      </c>
      <c r="O339" s="236">
        <f>新平!K92</f>
        <v>14</v>
      </c>
      <c r="P339" s="236">
        <f>新平!L92</f>
        <v>14</v>
      </c>
      <c r="Q339" s="236">
        <f>新平!M92</f>
        <v>15</v>
      </c>
      <c r="R339" s="236">
        <f>新平!N92</f>
        <v>17</v>
      </c>
      <c r="S339" s="236">
        <f>新平!O92</f>
        <v>24</v>
      </c>
      <c r="T339" s="236">
        <f>新平!P92</f>
        <v>0</v>
      </c>
      <c r="U339" s="236">
        <f>新平!Q92</f>
        <v>0</v>
      </c>
      <c r="V339" s="236">
        <f>新平!R92</f>
        <v>0</v>
      </c>
      <c r="W339" s="236">
        <f>新平!S92</f>
        <v>0</v>
      </c>
      <c r="X339" s="236">
        <f>新平!T92</f>
        <v>0</v>
      </c>
      <c r="Y339" s="236">
        <f>新平!U92</f>
        <v>0</v>
      </c>
      <c r="Z339" s="236">
        <f>新平!V92</f>
        <v>0</v>
      </c>
      <c r="AA339" s="236">
        <f>新平!W92</f>
        <v>0</v>
      </c>
      <c r="AB339" s="236">
        <f>新平!X92</f>
        <v>0</v>
      </c>
      <c r="AC339" s="236">
        <f>新平!Y92</f>
        <v>0</v>
      </c>
      <c r="AD339" s="236">
        <f>新平!Z92</f>
        <v>0</v>
      </c>
      <c r="AE339" s="236">
        <f>新平!AA92</f>
        <v>0</v>
      </c>
      <c r="AF339" s="236">
        <f>新平!AB92</f>
        <v>0</v>
      </c>
      <c r="AG339" s="236">
        <f>新平!AC92</f>
        <v>0</v>
      </c>
      <c r="AH339" s="236">
        <f>新平!AD92</f>
        <v>0</v>
      </c>
      <c r="AI339" s="236">
        <f>新平!AE92</f>
        <v>0</v>
      </c>
      <c r="AJ339" s="236">
        <f>新平!AF92</f>
        <v>0</v>
      </c>
      <c r="AK339" s="253" t="str">
        <f>新平!AG92</f>
        <v>？？？</v>
      </c>
      <c r="AL339" s="253" t="str">
        <f>新平!AH92</f>
        <v>编号10-2</v>
      </c>
      <c r="AM339" s="253">
        <f>新平!AI92</f>
        <v>0</v>
      </c>
      <c r="AN339" s="253">
        <f>新平!AJ92</f>
        <v>0</v>
      </c>
      <c r="AO339" s="253" t="str">
        <f>新平!AK92</f>
        <v>？</v>
      </c>
      <c r="AP339" s="264">
        <v>17.5</v>
      </c>
      <c r="AQ339" s="260" t="str">
        <f>新平!AM92</f>
        <v>0.9+0.7+0.7+0.7+0.5</v>
      </c>
      <c r="AR339" s="296">
        <f>新平!AN92</f>
        <v>3.5</v>
      </c>
      <c r="AS339" s="255" t="str">
        <f>新平!AO92</f>
        <v>530427197801080950</v>
      </c>
      <c r="AT339" s="255" t="str">
        <f>新平!AP92</f>
        <v>18088911725</v>
      </c>
    </row>
    <row r="340" spans="1:46">
      <c r="A340" s="165" t="s">
        <v>1922</v>
      </c>
      <c r="B340" s="202" t="str">
        <f>VLOOKUP(A340,databases!$A$2:$B$7, 2, FALSE)</f>
        <v>XinPing</v>
      </c>
      <c r="C340" s="165" t="str">
        <f>新平!B93</f>
        <v>张春应</v>
      </c>
      <c r="D340" s="275" t="str">
        <f>VLOOKUP(C340,databases!$D$2:$E$145, 2, FALSE)</f>
        <v>R22</v>
      </c>
      <c r="E340" s="276" t="str">
        <f>INDEX(sample_database!$B$2:$B$506,MATCH(F340,sample_database!$L$2:$L$506,0))</f>
        <v>NA</v>
      </c>
      <c r="F340" s="202" t="str">
        <f>新平!A93</f>
        <v>XP092</v>
      </c>
      <c r="G340" s="257">
        <f>新平!C93</f>
        <v>10</v>
      </c>
      <c r="H340" s="257">
        <f>新平!D93</f>
        <v>0</v>
      </c>
      <c r="I340" s="202">
        <f>新平!E93</f>
        <v>142</v>
      </c>
      <c r="J340" s="202">
        <f>新平!F93</f>
        <v>23</v>
      </c>
      <c r="K340" s="202">
        <f>新平!G93</f>
        <v>13</v>
      </c>
      <c r="L340" s="202">
        <f>新平!H93</f>
        <v>12</v>
      </c>
      <c r="M340" s="202">
        <f>新平!I93</f>
        <v>10</v>
      </c>
      <c r="N340" s="202">
        <f>新平!J93</f>
        <v>8</v>
      </c>
      <c r="O340" s="202">
        <f>新平!K93</f>
        <v>23</v>
      </c>
      <c r="P340" s="202">
        <f>新平!L93</f>
        <v>13</v>
      </c>
      <c r="Q340" s="202">
        <f>新平!M93</f>
        <v>12</v>
      </c>
      <c r="R340" s="202">
        <f>新平!N93</f>
        <v>14</v>
      </c>
      <c r="S340" s="202">
        <f>新平!O93</f>
        <v>14</v>
      </c>
      <c r="T340" s="202">
        <f>新平!P93</f>
        <v>0</v>
      </c>
      <c r="U340" s="202">
        <f>新平!Q93</f>
        <v>0</v>
      </c>
      <c r="V340" s="202">
        <f>新平!R93</f>
        <v>0</v>
      </c>
      <c r="W340" s="202">
        <f>新平!S93</f>
        <v>0</v>
      </c>
      <c r="X340" s="202">
        <f>新平!T93</f>
        <v>0</v>
      </c>
      <c r="Y340" s="202">
        <f>新平!U93</f>
        <v>0</v>
      </c>
      <c r="Z340" s="202">
        <f>新平!V93</f>
        <v>0</v>
      </c>
      <c r="AA340" s="202">
        <f>新平!W93</f>
        <v>0</v>
      </c>
      <c r="AB340" s="202">
        <f>新平!X93</f>
        <v>0</v>
      </c>
      <c r="AC340" s="202">
        <f>新平!Y93</f>
        <v>0</v>
      </c>
      <c r="AD340" s="202">
        <f>新平!Z93</f>
        <v>0</v>
      </c>
      <c r="AE340" s="202">
        <f>新平!AA93</f>
        <v>0</v>
      </c>
      <c r="AF340" s="202">
        <f>新平!AB93</f>
        <v>0</v>
      </c>
      <c r="AG340" s="202">
        <f>新平!AC93</f>
        <v>0</v>
      </c>
      <c r="AH340" s="202">
        <f>新平!AD93</f>
        <v>0</v>
      </c>
      <c r="AI340" s="202">
        <f>新平!AE93</f>
        <v>0</v>
      </c>
      <c r="AJ340" s="202">
        <f>新平!AF93</f>
        <v>0</v>
      </c>
      <c r="AK340" s="165" t="str">
        <f>新平!AG93</f>
        <v>？？？</v>
      </c>
      <c r="AL340" s="165" t="str">
        <f>新平!AH93</f>
        <v>？</v>
      </c>
      <c r="AM340" s="165">
        <f>新平!AI93</f>
        <v>0</v>
      </c>
      <c r="AN340" s="165">
        <f>新平!AJ93</f>
        <v>0</v>
      </c>
      <c r="AO340" s="165" t="str">
        <f>新平!AK93</f>
        <v>？</v>
      </c>
      <c r="AP340" s="263">
        <v>16.5</v>
      </c>
      <c r="AQ340" s="209" t="str">
        <f>新平!AM93</f>
        <v>0.7*4+0.5</v>
      </c>
      <c r="AR340" s="295">
        <f>新平!AN93</f>
        <v>3.3</v>
      </c>
      <c r="AS340" s="199" t="str">
        <f>新平!AO93</f>
        <v>530427197801080950</v>
      </c>
      <c r="AT340" s="199" t="str">
        <f>新平!AP93</f>
        <v>18088911725</v>
      </c>
    </row>
    <row r="341" spans="1:46">
      <c r="A341" s="165" t="s">
        <v>1922</v>
      </c>
      <c r="B341" s="202" t="str">
        <f>VLOOKUP(A341,databases!$A$2:$B$7, 2, FALSE)</f>
        <v>XinPing</v>
      </c>
      <c r="C341" s="165" t="str">
        <f>新平!B94</f>
        <v>张春应</v>
      </c>
      <c r="D341" s="277" t="str">
        <f>VLOOKUP(C341,databases!$D$2:$E$145, 2, FALSE)</f>
        <v>R22</v>
      </c>
      <c r="E341" s="278" t="str">
        <f>INDEX(sample_database!$B$2:$B$506,MATCH(F341,sample_database!$L$2:$L$506,0))</f>
        <v>NA</v>
      </c>
      <c r="F341" s="202" t="str">
        <f>新平!A94</f>
        <v>XP093</v>
      </c>
      <c r="G341" s="257">
        <f>新平!C94</f>
        <v>0</v>
      </c>
      <c r="H341" s="257">
        <f>新平!D94</f>
        <v>20</v>
      </c>
      <c r="I341" s="202">
        <f>新平!E94</f>
        <v>137</v>
      </c>
      <c r="J341" s="202">
        <f>新平!F94</f>
        <v>1</v>
      </c>
      <c r="K341" s="202">
        <f>新平!G94</f>
        <v>3</v>
      </c>
      <c r="L341" s="202">
        <f>新平!H94</f>
        <v>3</v>
      </c>
      <c r="M341" s="202">
        <f>新平!I94</f>
        <v>5</v>
      </c>
      <c r="N341" s="202">
        <f>新平!J94</f>
        <v>5</v>
      </c>
      <c r="O341" s="202">
        <f>新平!K94</f>
        <v>5</v>
      </c>
      <c r="P341" s="202">
        <f>新平!L94</f>
        <v>5</v>
      </c>
      <c r="Q341" s="202">
        <f>新平!M94</f>
        <v>6</v>
      </c>
      <c r="R341" s="202">
        <f>新平!N94</f>
        <v>6</v>
      </c>
      <c r="S341" s="202">
        <f>新平!O94</f>
        <v>6</v>
      </c>
      <c r="T341" s="202">
        <f>新平!P94</f>
        <v>7</v>
      </c>
      <c r="U341" s="202">
        <f>新平!Q94</f>
        <v>7</v>
      </c>
      <c r="V341" s="202">
        <f>新平!R94</f>
        <v>8</v>
      </c>
      <c r="W341" s="202">
        <f>新平!S94</f>
        <v>9</v>
      </c>
      <c r="X341" s="202">
        <f>新平!T94</f>
        <v>9</v>
      </c>
      <c r="Y341" s="202">
        <f>新平!U94</f>
        <v>9</v>
      </c>
      <c r="Z341" s="202">
        <f>新平!V94</f>
        <v>10</v>
      </c>
      <c r="AA341" s="202">
        <f>新平!W94</f>
        <v>10</v>
      </c>
      <c r="AB341" s="202">
        <f>新平!X94</f>
        <v>11</v>
      </c>
      <c r="AC341" s="202">
        <f>新平!Y94</f>
        <v>12</v>
      </c>
      <c r="AD341" s="202">
        <f>新平!Z94</f>
        <v>0</v>
      </c>
      <c r="AE341" s="202">
        <f>新平!AA94</f>
        <v>0</v>
      </c>
      <c r="AF341" s="202">
        <f>新平!AB94</f>
        <v>0</v>
      </c>
      <c r="AG341" s="202">
        <f>新平!AC94</f>
        <v>0</v>
      </c>
      <c r="AH341" s="202">
        <f>新平!AD94</f>
        <v>0</v>
      </c>
      <c r="AI341" s="202">
        <f>新平!AE94</f>
        <v>0</v>
      </c>
      <c r="AJ341" s="202">
        <f>新平!AF94</f>
        <v>0</v>
      </c>
      <c r="AK341" s="165" t="str">
        <f>新平!AG94</f>
        <v>新平县蓡沙镇胜利村段甲组</v>
      </c>
      <c r="AL341" s="165" t="str">
        <f>新平!AH94</f>
        <v>20160725</v>
      </c>
      <c r="AM341" s="165">
        <f>新平!AI94</f>
        <v>0</v>
      </c>
      <c r="AN341" s="165">
        <f>新平!AJ94</f>
        <v>0</v>
      </c>
      <c r="AO341" s="165" t="str">
        <f>新平!AK94</f>
        <v>白石岩，海拔2388。N23°48′00.92″ E101°38′03.83″</v>
      </c>
      <c r="AP341" s="263">
        <v>17.5</v>
      </c>
      <c r="AQ341" s="209" t="str">
        <f>新平!AM94</f>
        <v>0.7*5</v>
      </c>
      <c r="AR341" s="295">
        <f>新平!AN94</f>
        <v>3.5</v>
      </c>
      <c r="AS341" s="199" t="str">
        <f>新平!AO94</f>
        <v>530427197801080950</v>
      </c>
      <c r="AT341" s="199" t="str">
        <f>新平!AP94</f>
        <v>18088911725</v>
      </c>
    </row>
    <row r="342" spans="1:46">
      <c r="A342" s="165" t="s">
        <v>1922</v>
      </c>
      <c r="B342" s="202" t="str">
        <f>VLOOKUP(A342,databases!$A$2:$B$7, 2, FALSE)</f>
        <v>XinPing</v>
      </c>
      <c r="C342" s="165" t="str">
        <f>新平!B80</f>
        <v>张立德</v>
      </c>
      <c r="D342" s="273" t="str">
        <f>VLOOKUP(C342,databases!$D$2:$E$145, 2, FALSE)</f>
        <v>R25</v>
      </c>
      <c r="E342" s="274" t="str">
        <f>INDEX(sample_database!$B$2:$B$506,MATCH(F342,sample_database!$L$2:$L$506,0))</f>
        <v>NA</v>
      </c>
      <c r="F342" s="202" t="str">
        <f>新平!A80</f>
        <v>XP079</v>
      </c>
      <c r="G342" s="257">
        <f>新平!C80</f>
        <v>10</v>
      </c>
      <c r="H342" s="257">
        <f>新平!D80</f>
        <v>0</v>
      </c>
      <c r="I342" s="202">
        <f>新平!E80</f>
        <v>17</v>
      </c>
      <c r="J342" s="202">
        <f>新平!F80</f>
        <v>1</v>
      </c>
      <c r="K342" s="202">
        <f>新平!G80</f>
        <v>1</v>
      </c>
      <c r="L342" s="202">
        <f>新平!H80</f>
        <v>1</v>
      </c>
      <c r="M342" s="202">
        <f>新平!I80</f>
        <v>1</v>
      </c>
      <c r="N342" s="202">
        <f>新平!J80</f>
        <v>2</v>
      </c>
      <c r="O342" s="202">
        <f>新平!K80</f>
        <v>2</v>
      </c>
      <c r="P342" s="202">
        <f>新平!L80</f>
        <v>2</v>
      </c>
      <c r="Q342" s="202">
        <f>新平!M80</f>
        <v>2</v>
      </c>
      <c r="R342" s="202">
        <f>新平!N80</f>
        <v>2</v>
      </c>
      <c r="S342" s="202">
        <f>新平!O80</f>
        <v>3</v>
      </c>
      <c r="T342" s="202">
        <f>新平!P80</f>
        <v>0</v>
      </c>
      <c r="U342" s="202">
        <f>新平!Q80</f>
        <v>0</v>
      </c>
      <c r="V342" s="202">
        <f>新平!R80</f>
        <v>0</v>
      </c>
      <c r="W342" s="202">
        <f>新平!S80</f>
        <v>0</v>
      </c>
      <c r="X342" s="202">
        <f>新平!T80</f>
        <v>0</v>
      </c>
      <c r="Y342" s="202">
        <f>新平!U80</f>
        <v>0</v>
      </c>
      <c r="Z342" s="202">
        <f>新平!V80</f>
        <v>0</v>
      </c>
      <c r="AA342" s="202">
        <f>新平!W80</f>
        <v>0</v>
      </c>
      <c r="AB342" s="202">
        <f>新平!X80</f>
        <v>0</v>
      </c>
      <c r="AC342" s="202">
        <f>新平!Y80</f>
        <v>0</v>
      </c>
      <c r="AD342" s="202">
        <f>新平!Z80</f>
        <v>0</v>
      </c>
      <c r="AE342" s="202">
        <f>新平!AA80</f>
        <v>0</v>
      </c>
      <c r="AF342" s="202">
        <f>新平!AB80</f>
        <v>0</v>
      </c>
      <c r="AG342" s="202">
        <f>新平!AC80</f>
        <v>0</v>
      </c>
      <c r="AH342" s="202">
        <f>新平!AD80</f>
        <v>0</v>
      </c>
      <c r="AI342" s="202">
        <f>新平!AE80</f>
        <v>0</v>
      </c>
      <c r="AJ342" s="202">
        <f>新平!AF80</f>
        <v>0</v>
      </c>
      <c r="AK342" s="165" t="str">
        <f>新平!AG80</f>
        <v>？？？</v>
      </c>
      <c r="AL342" s="165" t="str">
        <f>新平!AH80</f>
        <v>20160611</v>
      </c>
      <c r="AM342" s="165">
        <f>新平!AI80</f>
        <v>0</v>
      </c>
      <c r="AN342" s="165">
        <f>新平!AJ80</f>
        <v>0</v>
      </c>
      <c r="AO342" s="165" t="str">
        <f>新平!AK80</f>
        <v>太山箐，海拔2199。N23°22′37.45″ E103°22′81.62″</v>
      </c>
      <c r="AP342" s="263">
        <v>6</v>
      </c>
      <c r="AQ342" s="209">
        <f>新平!AM80</f>
        <v>0</v>
      </c>
      <c r="AR342" s="295">
        <f>新平!AN80</f>
        <v>1.2</v>
      </c>
      <c r="AS342" s="199" t="str">
        <f>新平!AO80</f>
        <v>530427197904142114</v>
      </c>
      <c r="AT342" s="199" t="str">
        <f>新平!AP80</f>
        <v>15284433862</v>
      </c>
    </row>
    <row r="343" spans="1:46">
      <c r="A343" s="165" t="s">
        <v>1922</v>
      </c>
      <c r="B343" s="202" t="str">
        <f>VLOOKUP(A343,databases!$A$2:$B$7, 2, FALSE)</f>
        <v>XinPing</v>
      </c>
      <c r="C343" s="165" t="str">
        <f>新平!B81</f>
        <v>张立德</v>
      </c>
      <c r="D343" s="275" t="str">
        <f>VLOOKUP(C343,databases!$D$2:$E$145, 2, FALSE)</f>
        <v>R25</v>
      </c>
      <c r="E343" s="276" t="str">
        <f>INDEX(sample_database!$B$2:$B$506,MATCH(F343,sample_database!$L$2:$L$506,0))</f>
        <v>NA</v>
      </c>
      <c r="F343" s="202" t="str">
        <f>新平!A81</f>
        <v>XP080</v>
      </c>
      <c r="G343" s="257">
        <f>新平!C81</f>
        <v>10</v>
      </c>
      <c r="H343" s="257">
        <f>新平!D81</f>
        <v>0</v>
      </c>
      <c r="I343" s="202">
        <f>新平!E81</f>
        <v>19</v>
      </c>
      <c r="J343" s="202">
        <f>新平!F81</f>
        <v>1</v>
      </c>
      <c r="K343" s="202">
        <f>新平!G81</f>
        <v>2</v>
      </c>
      <c r="L343" s="202">
        <f>新平!H81</f>
        <v>2</v>
      </c>
      <c r="M343" s="202">
        <f>新平!I81</f>
        <v>2</v>
      </c>
      <c r="N343" s="202">
        <f>新平!J81</f>
        <v>2</v>
      </c>
      <c r="O343" s="202">
        <f>新平!K81</f>
        <v>2</v>
      </c>
      <c r="P343" s="202">
        <f>新平!L81</f>
        <v>2</v>
      </c>
      <c r="Q343" s="202">
        <f>新平!M81</f>
        <v>2</v>
      </c>
      <c r="R343" s="202">
        <f>新平!N81</f>
        <v>2</v>
      </c>
      <c r="S343" s="202">
        <f>新平!O81</f>
        <v>2</v>
      </c>
      <c r="T343" s="202">
        <f>新平!P81</f>
        <v>0</v>
      </c>
      <c r="U343" s="202">
        <f>新平!Q81</f>
        <v>0</v>
      </c>
      <c r="V343" s="202">
        <f>新平!R81</f>
        <v>0</v>
      </c>
      <c r="W343" s="202">
        <f>新平!S81</f>
        <v>0</v>
      </c>
      <c r="X343" s="202">
        <f>新平!T81</f>
        <v>0</v>
      </c>
      <c r="Y343" s="202">
        <f>新平!U81</f>
        <v>0</v>
      </c>
      <c r="Z343" s="202">
        <f>新平!V81</f>
        <v>0</v>
      </c>
      <c r="AA343" s="202">
        <f>新平!W81</f>
        <v>0</v>
      </c>
      <c r="AB343" s="202">
        <f>新平!X81</f>
        <v>0</v>
      </c>
      <c r="AC343" s="202">
        <f>新平!Y81</f>
        <v>0</v>
      </c>
      <c r="AD343" s="202">
        <f>新平!Z81</f>
        <v>0</v>
      </c>
      <c r="AE343" s="202">
        <f>新平!AA81</f>
        <v>0</v>
      </c>
      <c r="AF343" s="202">
        <f>新平!AB81</f>
        <v>0</v>
      </c>
      <c r="AG343" s="202">
        <f>新平!AC81</f>
        <v>0</v>
      </c>
      <c r="AH343" s="202">
        <f>新平!AD81</f>
        <v>0</v>
      </c>
      <c r="AI343" s="202">
        <f>新平!AE81</f>
        <v>0</v>
      </c>
      <c r="AJ343" s="202">
        <f>新平!AF81</f>
        <v>0</v>
      </c>
      <c r="AK343" s="165" t="str">
        <f>新平!AG81</f>
        <v>？？？</v>
      </c>
      <c r="AL343" s="165" t="str">
        <f>新平!AH81</f>
        <v>20160620</v>
      </c>
      <c r="AM343" s="165">
        <f>新平!AI81</f>
        <v>0</v>
      </c>
      <c r="AN343" s="165">
        <f>新平!AJ81</f>
        <v>0</v>
      </c>
      <c r="AO343" s="165" t="str">
        <f>新平!AK81</f>
        <v>太山箐，海拔2199。N23°22′37.45″ E103°22′81.62″</v>
      </c>
      <c r="AP343" s="263">
        <v>3</v>
      </c>
      <c r="AQ343" s="209">
        <f>新平!AM81</f>
        <v>0</v>
      </c>
      <c r="AR343" s="295">
        <f>新平!AN81</f>
        <v>0.6</v>
      </c>
      <c r="AS343" s="199" t="str">
        <f>新平!AO81</f>
        <v>530427197904142114</v>
      </c>
      <c r="AT343" s="199" t="str">
        <f>新平!AP81</f>
        <v>15284433862</v>
      </c>
    </row>
    <row r="344" spans="1:46">
      <c r="A344" s="165" t="s">
        <v>1922</v>
      </c>
      <c r="B344" s="202" t="str">
        <f>VLOOKUP(A344,databases!$A$2:$B$7, 2, FALSE)</f>
        <v>XinPing</v>
      </c>
      <c r="C344" s="165" t="str">
        <f>新平!B82</f>
        <v>张立德</v>
      </c>
      <c r="D344" s="275" t="str">
        <f>VLOOKUP(C344,databases!$D$2:$E$145, 2, FALSE)</f>
        <v>R25</v>
      </c>
      <c r="E344" s="276" t="str">
        <f>INDEX(sample_database!$B$2:$B$506,MATCH(F344,sample_database!$L$2:$L$506,0))</f>
        <v>NA</v>
      </c>
      <c r="F344" s="202" t="str">
        <f>新平!A82</f>
        <v>XP081</v>
      </c>
      <c r="G344" s="257">
        <f>新平!C82</f>
        <v>10</v>
      </c>
      <c r="H344" s="257">
        <f>新平!D82</f>
        <v>0</v>
      </c>
      <c r="I344" s="202">
        <f>新平!E82</f>
        <v>16</v>
      </c>
      <c r="J344" s="202">
        <f>新平!F82</f>
        <v>1</v>
      </c>
      <c r="K344" s="202">
        <f>新平!G82</f>
        <v>1</v>
      </c>
      <c r="L344" s="202">
        <f>新平!H82</f>
        <v>1</v>
      </c>
      <c r="M344" s="202">
        <f>新平!I82</f>
        <v>1</v>
      </c>
      <c r="N344" s="202">
        <f>新平!J82</f>
        <v>2</v>
      </c>
      <c r="O344" s="202">
        <f>新平!K82</f>
        <v>2</v>
      </c>
      <c r="P344" s="202">
        <f>新平!L82</f>
        <v>2</v>
      </c>
      <c r="Q344" s="202">
        <f>新平!M82</f>
        <v>2</v>
      </c>
      <c r="R344" s="202">
        <f>新平!N82</f>
        <v>2</v>
      </c>
      <c r="S344" s="202">
        <f>新平!O82</f>
        <v>2</v>
      </c>
      <c r="T344" s="202">
        <f>新平!P82</f>
        <v>0</v>
      </c>
      <c r="U344" s="202">
        <f>新平!Q82</f>
        <v>0</v>
      </c>
      <c r="V344" s="202">
        <f>新平!R82</f>
        <v>0</v>
      </c>
      <c r="W344" s="202">
        <f>新平!S82</f>
        <v>0</v>
      </c>
      <c r="X344" s="202">
        <f>新平!T82</f>
        <v>0</v>
      </c>
      <c r="Y344" s="202">
        <f>新平!U82</f>
        <v>0</v>
      </c>
      <c r="Z344" s="202">
        <f>新平!V82</f>
        <v>0</v>
      </c>
      <c r="AA344" s="202">
        <f>新平!W82</f>
        <v>0</v>
      </c>
      <c r="AB344" s="202">
        <f>新平!X82</f>
        <v>0</v>
      </c>
      <c r="AC344" s="202">
        <f>新平!Y82</f>
        <v>0</v>
      </c>
      <c r="AD344" s="202">
        <f>新平!Z82</f>
        <v>0</v>
      </c>
      <c r="AE344" s="202">
        <f>新平!AA82</f>
        <v>0</v>
      </c>
      <c r="AF344" s="202">
        <f>新平!AB82</f>
        <v>0</v>
      </c>
      <c r="AG344" s="202">
        <f>新平!AC82</f>
        <v>0</v>
      </c>
      <c r="AH344" s="202">
        <f>新平!AD82</f>
        <v>0</v>
      </c>
      <c r="AI344" s="202">
        <f>新平!AE82</f>
        <v>0</v>
      </c>
      <c r="AJ344" s="202">
        <f>新平!AF82</f>
        <v>0</v>
      </c>
      <c r="AK344" s="165" t="str">
        <f>新平!AG82</f>
        <v>？？？</v>
      </c>
      <c r="AL344" s="165" t="str">
        <f>新平!AH82</f>
        <v>20160629</v>
      </c>
      <c r="AM344" s="165">
        <f>新平!AI82</f>
        <v>0</v>
      </c>
      <c r="AN344" s="165">
        <f>新平!AJ82</f>
        <v>0</v>
      </c>
      <c r="AO344" s="165" t="str">
        <f>新平!AK82</f>
        <v>太山箐，海拔2199。N23°22′37.45″ E103°22′81.62″</v>
      </c>
      <c r="AP344" s="263">
        <v>2</v>
      </c>
      <c r="AQ344" s="209">
        <f>新平!AM82</f>
        <v>0</v>
      </c>
      <c r="AR344" s="295">
        <f>新平!AN82</f>
        <v>0.4</v>
      </c>
      <c r="AS344" s="199" t="str">
        <f>新平!AO82</f>
        <v>530427197904142114</v>
      </c>
      <c r="AT344" s="199" t="str">
        <f>新平!AP82</f>
        <v>15284433862</v>
      </c>
    </row>
    <row r="345" spans="1:46">
      <c r="A345" s="165" t="s">
        <v>1922</v>
      </c>
      <c r="B345" s="202" t="str">
        <f>VLOOKUP(A345,databases!$A$2:$B$7, 2, FALSE)</f>
        <v>XinPing</v>
      </c>
      <c r="C345" s="165" t="str">
        <f>新平!B83</f>
        <v>张立德</v>
      </c>
      <c r="D345" s="275" t="str">
        <f>VLOOKUP(C345,databases!$D$2:$E$145, 2, FALSE)</f>
        <v>R25</v>
      </c>
      <c r="E345" s="276" t="str">
        <f>INDEX(sample_database!$B$2:$B$506,MATCH(F345,sample_database!$L$2:$L$506,0))</f>
        <v>NA</v>
      </c>
      <c r="F345" s="202" t="str">
        <f>新平!A83</f>
        <v>XP082</v>
      </c>
      <c r="G345" s="257">
        <f>新平!C83</f>
        <v>10</v>
      </c>
      <c r="H345" s="257">
        <f>新平!D83</f>
        <v>0</v>
      </c>
      <c r="I345" s="202">
        <f>新平!E83</f>
        <v>19</v>
      </c>
      <c r="J345" s="202">
        <f>新平!F83</f>
        <v>1</v>
      </c>
      <c r="K345" s="202">
        <f>新平!G83</f>
        <v>1</v>
      </c>
      <c r="L345" s="202">
        <f>新平!H83</f>
        <v>1</v>
      </c>
      <c r="M345" s="202">
        <f>新平!I83</f>
        <v>2</v>
      </c>
      <c r="N345" s="202">
        <f>新平!J83</f>
        <v>2</v>
      </c>
      <c r="O345" s="202">
        <f>新平!K83</f>
        <v>2</v>
      </c>
      <c r="P345" s="202">
        <f>新平!L83</f>
        <v>2</v>
      </c>
      <c r="Q345" s="202">
        <f>新平!M83</f>
        <v>2</v>
      </c>
      <c r="R345" s="202">
        <f>新平!N83</f>
        <v>2</v>
      </c>
      <c r="S345" s="202">
        <f>新平!O83</f>
        <v>4</v>
      </c>
      <c r="T345" s="202">
        <f>新平!P83</f>
        <v>0</v>
      </c>
      <c r="U345" s="202">
        <f>新平!Q83</f>
        <v>0</v>
      </c>
      <c r="V345" s="202">
        <f>新平!R83</f>
        <v>0</v>
      </c>
      <c r="W345" s="202">
        <f>新平!S83</f>
        <v>0</v>
      </c>
      <c r="X345" s="202">
        <f>新平!T83</f>
        <v>0</v>
      </c>
      <c r="Y345" s="202">
        <f>新平!U83</f>
        <v>0</v>
      </c>
      <c r="Z345" s="202">
        <f>新平!V83</f>
        <v>0</v>
      </c>
      <c r="AA345" s="202">
        <f>新平!W83</f>
        <v>0</v>
      </c>
      <c r="AB345" s="202">
        <f>新平!X83</f>
        <v>0</v>
      </c>
      <c r="AC345" s="202">
        <f>新平!Y83</f>
        <v>0</v>
      </c>
      <c r="AD345" s="202">
        <f>新平!Z83</f>
        <v>0</v>
      </c>
      <c r="AE345" s="202">
        <f>新平!AA83</f>
        <v>0</v>
      </c>
      <c r="AF345" s="202">
        <f>新平!AB83</f>
        <v>0</v>
      </c>
      <c r="AG345" s="202">
        <f>新平!AC83</f>
        <v>0</v>
      </c>
      <c r="AH345" s="202">
        <f>新平!AD83</f>
        <v>0</v>
      </c>
      <c r="AI345" s="202">
        <f>新平!AE83</f>
        <v>0</v>
      </c>
      <c r="AJ345" s="202">
        <f>新平!AF83</f>
        <v>0</v>
      </c>
      <c r="AK345" s="165" t="str">
        <f>新平!AG83</f>
        <v>？？？</v>
      </c>
      <c r="AL345" s="165" t="str">
        <f>新平!AH83</f>
        <v>2016????</v>
      </c>
      <c r="AM345" s="165">
        <f>新平!AI83</f>
        <v>0</v>
      </c>
      <c r="AN345" s="165">
        <f>新平!AJ83</f>
        <v>0</v>
      </c>
      <c r="AO345" s="165" t="str">
        <f>新平!AK83</f>
        <v>太山箐，海拔2199。N23°22′37.45″ E103°22′81.62″</v>
      </c>
      <c r="AP345" s="263">
        <v>6</v>
      </c>
      <c r="AQ345" s="209">
        <f>新平!AM83</f>
        <v>0</v>
      </c>
      <c r="AR345" s="295">
        <f>新平!AN83</f>
        <v>1.2</v>
      </c>
      <c r="AS345" s="199" t="str">
        <f>新平!AO83</f>
        <v>530427197904142114</v>
      </c>
      <c r="AT345" s="199" t="str">
        <f>新平!AP83</f>
        <v>15284433862</v>
      </c>
    </row>
    <row r="346" spans="1:46">
      <c r="A346" s="165" t="s">
        <v>1922</v>
      </c>
      <c r="B346" s="202" t="str">
        <f>VLOOKUP(A346,databases!$A$2:$B$7, 2, FALSE)</f>
        <v>XinPing</v>
      </c>
      <c r="C346" s="165" t="str">
        <f>新平!B84</f>
        <v>张立德</v>
      </c>
      <c r="D346" s="277" t="str">
        <f>VLOOKUP(C346,databases!$D$2:$E$145, 2, FALSE)</f>
        <v>R25</v>
      </c>
      <c r="E346" s="278" t="str">
        <f>INDEX(sample_database!$B$2:$B$506,MATCH(F346,sample_database!$L$2:$L$506,0))</f>
        <v>NA</v>
      </c>
      <c r="F346" s="202" t="str">
        <f>新平!A84</f>
        <v>XP083</v>
      </c>
      <c r="G346" s="257">
        <f>新平!C84</f>
        <v>0</v>
      </c>
      <c r="H346" s="257">
        <f>新平!D84</f>
        <v>20</v>
      </c>
      <c r="I346" s="202">
        <f>新平!E84</f>
        <v>63</v>
      </c>
      <c r="J346" s="202">
        <f>新平!F84</f>
        <v>1</v>
      </c>
      <c r="K346" s="202">
        <f>新平!G84</f>
        <v>2</v>
      </c>
      <c r="L346" s="202">
        <f>新平!H84</f>
        <v>2</v>
      </c>
      <c r="M346" s="202">
        <f>新平!I84</f>
        <v>2</v>
      </c>
      <c r="N346" s="202">
        <f>新平!J84</f>
        <v>2</v>
      </c>
      <c r="O346" s="202">
        <f>新平!K84</f>
        <v>2</v>
      </c>
      <c r="P346" s="202">
        <f>新平!L84</f>
        <v>3</v>
      </c>
      <c r="Q346" s="202">
        <f>新平!M84</f>
        <v>3</v>
      </c>
      <c r="R346" s="202">
        <f>新平!N84</f>
        <v>3</v>
      </c>
      <c r="S346" s="202">
        <f>新平!O84</f>
        <v>3</v>
      </c>
      <c r="T346" s="202">
        <f>新平!P84</f>
        <v>3</v>
      </c>
      <c r="U346" s="202">
        <f>新平!Q84</f>
        <v>3</v>
      </c>
      <c r="V346" s="202">
        <f>新平!R84</f>
        <v>3</v>
      </c>
      <c r="W346" s="202">
        <f>新平!S84</f>
        <v>3</v>
      </c>
      <c r="X346" s="202">
        <f>新平!T84</f>
        <v>4</v>
      </c>
      <c r="Y346" s="202">
        <f>新平!U84</f>
        <v>4</v>
      </c>
      <c r="Z346" s="202">
        <f>新平!V84</f>
        <v>4</v>
      </c>
      <c r="AA346" s="202">
        <f>新平!W84</f>
        <v>4</v>
      </c>
      <c r="AB346" s="202">
        <f>新平!X84</f>
        <v>5</v>
      </c>
      <c r="AC346" s="202">
        <f>新平!Y84</f>
        <v>7</v>
      </c>
      <c r="AD346" s="202">
        <f>新平!Z84</f>
        <v>0</v>
      </c>
      <c r="AE346" s="202">
        <f>新平!AA84</f>
        <v>0</v>
      </c>
      <c r="AF346" s="202">
        <f>新平!AB84</f>
        <v>0</v>
      </c>
      <c r="AG346" s="202">
        <f>新平!AC84</f>
        <v>0</v>
      </c>
      <c r="AH346" s="202">
        <f>新平!AD84</f>
        <v>0</v>
      </c>
      <c r="AI346" s="202">
        <f>新平!AE84</f>
        <v>0</v>
      </c>
      <c r="AJ346" s="202">
        <f>新平!AF84</f>
        <v>0</v>
      </c>
      <c r="AK346" s="165" t="str">
        <f>新平!AG84</f>
        <v>新平县平掌乡仓房村旧岩小组</v>
      </c>
      <c r="AL346" s="165" t="str">
        <f>新平!AH84</f>
        <v>20160715</v>
      </c>
      <c r="AM346" s="165">
        <f>新平!AI84</f>
        <v>0</v>
      </c>
      <c r="AN346" s="165">
        <f>新平!AJ84</f>
        <v>0</v>
      </c>
      <c r="AO346" s="165" t="str">
        <f>新平!AK84</f>
        <v>太山箐，海拔2199。N23°22′37.45″ E103°22′81.62″</v>
      </c>
      <c r="AP346" s="263">
        <v>7.5</v>
      </c>
      <c r="AQ346" s="209">
        <f>新平!AM84</f>
        <v>0</v>
      </c>
      <c r="AR346" s="295">
        <f>新平!AN84</f>
        <v>1.5</v>
      </c>
      <c r="AS346" s="199" t="str">
        <f>新平!AO84</f>
        <v>530427197904142114</v>
      </c>
      <c r="AT346" s="199" t="str">
        <f>新平!AP84</f>
        <v>15284433862</v>
      </c>
    </row>
    <row r="347" spans="1:46">
      <c r="A347" s="165" t="s">
        <v>1922</v>
      </c>
      <c r="B347" s="202" t="str">
        <f>VLOOKUP(A347,databases!$A$2:$B$7, 2, FALSE)</f>
        <v>XinPing</v>
      </c>
      <c r="C347" s="165" t="str">
        <f>新平!B49</f>
        <v>张贵昌</v>
      </c>
      <c r="D347" s="202" t="str">
        <f>VLOOKUP(C347,databases!$D$2:$E$145, 2, FALSE)</f>
        <v>R26</v>
      </c>
      <c r="E347" s="259">
        <f>INDEX(sample_database!$B$2:$B$506,MATCH(F347,sample_database!$L$2:$L$506,0))</f>
        <v>156</v>
      </c>
      <c r="F347" s="202" t="str">
        <f>新平!A49</f>
        <v>XP048</v>
      </c>
      <c r="G347" s="257">
        <f>新平!C49</f>
        <v>5</v>
      </c>
      <c r="H347" s="257">
        <f>新平!D49</f>
        <v>0</v>
      </c>
      <c r="I347" s="202">
        <f>新平!E49</f>
        <v>27</v>
      </c>
      <c r="J347" s="202">
        <f>新平!F49</f>
        <v>5</v>
      </c>
      <c r="K347" s="202">
        <f>新平!G49</f>
        <v>5</v>
      </c>
      <c r="L347" s="202">
        <f>新平!H49</f>
        <v>8</v>
      </c>
      <c r="M347" s="202">
        <f>新平!I49</f>
        <v>4</v>
      </c>
      <c r="N347" s="202">
        <f>新平!J49</f>
        <v>5</v>
      </c>
      <c r="O347" s="202">
        <f>新平!K49</f>
        <v>0</v>
      </c>
      <c r="P347" s="202">
        <f>新平!L49</f>
        <v>0</v>
      </c>
      <c r="Q347" s="202">
        <f>新平!M49</f>
        <v>0</v>
      </c>
      <c r="R347" s="202">
        <f>新平!N49</f>
        <v>0</v>
      </c>
      <c r="S347" s="202">
        <f>新平!O49</f>
        <v>0</v>
      </c>
      <c r="T347" s="202">
        <f>新平!P49</f>
        <v>0</v>
      </c>
      <c r="U347" s="202">
        <f>新平!Q49</f>
        <v>0</v>
      </c>
      <c r="V347" s="202">
        <f>新平!R49</f>
        <v>0</v>
      </c>
      <c r="W347" s="202">
        <f>新平!S49</f>
        <v>0</v>
      </c>
      <c r="X347" s="202">
        <f>新平!T49</f>
        <v>0</v>
      </c>
      <c r="Y347" s="202">
        <f>新平!U49</f>
        <v>0</v>
      </c>
      <c r="Z347" s="202">
        <f>新平!V49</f>
        <v>0</v>
      </c>
      <c r="AA347" s="202">
        <f>新平!W49</f>
        <v>0</v>
      </c>
      <c r="AB347" s="202">
        <f>新平!X49</f>
        <v>0</v>
      </c>
      <c r="AC347" s="202">
        <f>新平!Y49</f>
        <v>0</v>
      </c>
      <c r="AD347" s="202">
        <f>新平!Z49</f>
        <v>0</v>
      </c>
      <c r="AE347" s="202">
        <f>新平!AA49</f>
        <v>0</v>
      </c>
      <c r="AF347" s="202">
        <f>新平!AB49</f>
        <v>0</v>
      </c>
      <c r="AG347" s="202">
        <f>新平!AC49</f>
        <v>0</v>
      </c>
      <c r="AH347" s="202">
        <f>新平!AD49</f>
        <v>0</v>
      </c>
      <c r="AI347" s="202">
        <f>新平!AE49</f>
        <v>0</v>
      </c>
      <c r="AJ347" s="202">
        <f>新平!AF49</f>
        <v>0</v>
      </c>
      <c r="AK347" s="165" t="str">
        <f>新平!AG49</f>
        <v>新平者竜春元村</v>
      </c>
      <c r="AL347" s="165" t="str">
        <f>新平!AH49</f>
        <v>20160811</v>
      </c>
      <c r="AM347" s="165">
        <f>新平!AI49</f>
        <v>0</v>
      </c>
      <c r="AN347" s="165">
        <f>新平!AJ49</f>
        <v>0</v>
      </c>
      <c r="AO347" s="165" t="str">
        <f>新平!AK49</f>
        <v>2678324-17739715</v>
      </c>
      <c r="AP347" s="263">
        <v>5</v>
      </c>
      <c r="AQ347" s="209">
        <f>新平!AM49</f>
        <v>0</v>
      </c>
      <c r="AR347" s="295">
        <f>新平!AN49</f>
        <v>1</v>
      </c>
      <c r="AS347" s="199" t="str">
        <f>新平!AO49</f>
        <v>53242819650217191X</v>
      </c>
      <c r="AT347" s="199" t="str">
        <f>新平!AP49</f>
        <v>18088911762</v>
      </c>
    </row>
    <row r="348" spans="1:46">
      <c r="A348" s="165" t="s">
        <v>1922</v>
      </c>
      <c r="B348" s="202" t="str">
        <f>VLOOKUP(A348,databases!$A$2:$B$7, 2, FALSE)</f>
        <v>XinPing</v>
      </c>
      <c r="C348" s="165" t="str">
        <f>新平!B50</f>
        <v>张贵昌</v>
      </c>
      <c r="D348" s="202" t="str">
        <f>VLOOKUP(C348,databases!$D$2:$E$145, 2, FALSE)</f>
        <v>R26</v>
      </c>
      <c r="E348" s="259">
        <f>INDEX(sample_database!$B$2:$B$506,MATCH(F348,sample_database!$L$2:$L$506,0))</f>
        <v>156</v>
      </c>
      <c r="F348" s="202" t="str">
        <f>新平!A50</f>
        <v>XP049</v>
      </c>
      <c r="G348" s="257">
        <f>新平!C50</f>
        <v>5</v>
      </c>
      <c r="H348" s="257">
        <f>新平!D50</f>
        <v>0</v>
      </c>
      <c r="I348" s="202">
        <f>新平!E50</f>
        <v>33</v>
      </c>
      <c r="J348" s="202">
        <f>新平!F50</f>
        <v>5</v>
      </c>
      <c r="K348" s="202">
        <f>新平!G50</f>
        <v>10</v>
      </c>
      <c r="L348" s="202">
        <f>新平!H50</f>
        <v>8</v>
      </c>
      <c r="M348" s="202">
        <f>新平!I50</f>
        <v>4</v>
      </c>
      <c r="N348" s="202">
        <f>新平!J50</f>
        <v>6</v>
      </c>
      <c r="O348" s="202">
        <f>新平!K50</f>
        <v>0</v>
      </c>
      <c r="P348" s="202">
        <f>新平!L50</f>
        <v>0</v>
      </c>
      <c r="Q348" s="202">
        <f>新平!M50</f>
        <v>0</v>
      </c>
      <c r="R348" s="202">
        <f>新平!N50</f>
        <v>0</v>
      </c>
      <c r="S348" s="202">
        <f>新平!O50</f>
        <v>0</v>
      </c>
      <c r="T348" s="202">
        <f>新平!P50</f>
        <v>0</v>
      </c>
      <c r="U348" s="202">
        <f>新平!Q50</f>
        <v>0</v>
      </c>
      <c r="V348" s="202">
        <f>新平!R50</f>
        <v>0</v>
      </c>
      <c r="W348" s="202">
        <f>新平!S50</f>
        <v>0</v>
      </c>
      <c r="X348" s="202">
        <f>新平!T50</f>
        <v>0</v>
      </c>
      <c r="Y348" s="202">
        <f>新平!U50</f>
        <v>0</v>
      </c>
      <c r="Z348" s="202">
        <f>新平!V50</f>
        <v>0</v>
      </c>
      <c r="AA348" s="202">
        <f>新平!W50</f>
        <v>0</v>
      </c>
      <c r="AB348" s="202">
        <f>新平!X50</f>
        <v>0</v>
      </c>
      <c r="AC348" s="202">
        <f>新平!Y50</f>
        <v>0</v>
      </c>
      <c r="AD348" s="202">
        <f>新平!Z50</f>
        <v>0</v>
      </c>
      <c r="AE348" s="202">
        <f>新平!AA50</f>
        <v>0</v>
      </c>
      <c r="AF348" s="202">
        <f>新平!AB50</f>
        <v>0</v>
      </c>
      <c r="AG348" s="202">
        <f>新平!AC50</f>
        <v>0</v>
      </c>
      <c r="AH348" s="202">
        <f>新平!AD50</f>
        <v>0</v>
      </c>
      <c r="AI348" s="202">
        <f>新平!AE50</f>
        <v>0</v>
      </c>
      <c r="AJ348" s="202">
        <f>新平!AF50</f>
        <v>0</v>
      </c>
      <c r="AK348" s="165" t="str">
        <f>新平!AG50</f>
        <v>新平者竜春元村</v>
      </c>
      <c r="AL348" s="165" t="str">
        <f>新平!AH50</f>
        <v>20160811</v>
      </c>
      <c r="AM348" s="165">
        <f>新平!AI50</f>
        <v>0</v>
      </c>
      <c r="AN348" s="165">
        <f>新平!AJ50</f>
        <v>0</v>
      </c>
      <c r="AO348" s="165" t="str">
        <f>新平!AK50</f>
        <v>2677914-17740076</v>
      </c>
      <c r="AP348" s="263">
        <v>6</v>
      </c>
      <c r="AQ348" s="209">
        <f>新平!AM50</f>
        <v>0</v>
      </c>
      <c r="AR348" s="295">
        <f>新平!AN50</f>
        <v>1.2</v>
      </c>
      <c r="AS348" s="199" t="str">
        <f>新平!AO50</f>
        <v>53242819650217191X</v>
      </c>
      <c r="AT348" s="199" t="str">
        <f>新平!AP50</f>
        <v>18088911762</v>
      </c>
    </row>
    <row r="349" spans="1:46">
      <c r="A349" s="165" t="s">
        <v>1922</v>
      </c>
      <c r="B349" s="202" t="str">
        <f>VLOOKUP(A349,databases!$A$2:$B$7, 2, FALSE)</f>
        <v>XinPing</v>
      </c>
      <c r="C349" s="165" t="str">
        <f>新平!B51</f>
        <v>张贵昌</v>
      </c>
      <c r="D349" s="202" t="str">
        <f>VLOOKUP(C349,databases!$D$2:$E$145, 2, FALSE)</f>
        <v>R26</v>
      </c>
      <c r="E349" s="259">
        <f>INDEX(sample_database!$B$2:$B$506,MATCH(F349,sample_database!$L$2:$L$506,0))</f>
        <v>156</v>
      </c>
      <c r="F349" s="202" t="str">
        <f>新平!A51</f>
        <v>XP050</v>
      </c>
      <c r="G349" s="257">
        <f>新平!C51</f>
        <v>5</v>
      </c>
      <c r="H349" s="257">
        <f>新平!D51</f>
        <v>0</v>
      </c>
      <c r="I349" s="202">
        <f>新平!E51</f>
        <v>23</v>
      </c>
      <c r="J349" s="202">
        <f>新平!F51</f>
        <v>3</v>
      </c>
      <c r="K349" s="202">
        <f>新平!G51</f>
        <v>4</v>
      </c>
      <c r="L349" s="202">
        <f>新平!H51</f>
        <v>6</v>
      </c>
      <c r="M349" s="202">
        <f>新平!I51</f>
        <v>5</v>
      </c>
      <c r="N349" s="202">
        <f>新平!J51</f>
        <v>5</v>
      </c>
      <c r="O349" s="202">
        <f>新平!K51</f>
        <v>0</v>
      </c>
      <c r="P349" s="202">
        <f>新平!L51</f>
        <v>0</v>
      </c>
      <c r="Q349" s="202">
        <f>新平!M51</f>
        <v>0</v>
      </c>
      <c r="R349" s="202">
        <f>新平!N51</f>
        <v>0</v>
      </c>
      <c r="S349" s="202">
        <f>新平!O51</f>
        <v>0</v>
      </c>
      <c r="T349" s="202">
        <f>新平!P51</f>
        <v>0</v>
      </c>
      <c r="U349" s="202">
        <f>新平!Q51</f>
        <v>0</v>
      </c>
      <c r="V349" s="202">
        <f>新平!R51</f>
        <v>0</v>
      </c>
      <c r="W349" s="202">
        <f>新平!S51</f>
        <v>0</v>
      </c>
      <c r="X349" s="202">
        <f>新平!T51</f>
        <v>0</v>
      </c>
      <c r="Y349" s="202">
        <f>新平!U51</f>
        <v>0</v>
      </c>
      <c r="Z349" s="202">
        <f>新平!V51</f>
        <v>0</v>
      </c>
      <c r="AA349" s="202">
        <f>新平!W51</f>
        <v>0</v>
      </c>
      <c r="AB349" s="202">
        <f>新平!X51</f>
        <v>0</v>
      </c>
      <c r="AC349" s="202">
        <f>新平!Y51</f>
        <v>0</v>
      </c>
      <c r="AD349" s="202">
        <f>新平!Z51</f>
        <v>0</v>
      </c>
      <c r="AE349" s="202">
        <f>新平!AA51</f>
        <v>0</v>
      </c>
      <c r="AF349" s="202">
        <f>新平!AB51</f>
        <v>0</v>
      </c>
      <c r="AG349" s="202">
        <f>新平!AC51</f>
        <v>0</v>
      </c>
      <c r="AH349" s="202">
        <f>新平!AD51</f>
        <v>0</v>
      </c>
      <c r="AI349" s="202">
        <f>新平!AE51</f>
        <v>0</v>
      </c>
      <c r="AJ349" s="202">
        <f>新平!AF51</f>
        <v>0</v>
      </c>
      <c r="AK349" s="165" t="str">
        <f>新平!AG51</f>
        <v>新平者竜春元村</v>
      </c>
      <c r="AL349" s="165" t="str">
        <f>新平!AH51</f>
        <v>20160812</v>
      </c>
      <c r="AM349" s="165">
        <f>新平!AI51</f>
        <v>0</v>
      </c>
      <c r="AN349" s="165">
        <f>新平!AJ51</f>
        <v>0</v>
      </c>
      <c r="AO349" s="165" t="str">
        <f>新平!AK51</f>
        <v>2679070-17738982</v>
      </c>
      <c r="AP349" s="263">
        <v>6</v>
      </c>
      <c r="AQ349" s="209">
        <f>新平!AM51</f>
        <v>0</v>
      </c>
      <c r="AR349" s="295">
        <f>新平!AN51</f>
        <v>1.2</v>
      </c>
      <c r="AS349" s="199" t="str">
        <f>新平!AO51</f>
        <v>53242819650217191X</v>
      </c>
      <c r="AT349" s="199" t="str">
        <f>新平!AP51</f>
        <v>18088911762</v>
      </c>
    </row>
    <row r="350" spans="1:46">
      <c r="A350" s="165" t="s">
        <v>1922</v>
      </c>
      <c r="B350" s="202" t="str">
        <f>VLOOKUP(A350,databases!$A$2:$B$7, 2, FALSE)</f>
        <v>XinPing</v>
      </c>
      <c r="C350" s="165" t="str">
        <f>新平!B52</f>
        <v>张贵昌</v>
      </c>
      <c r="D350" s="202" t="str">
        <f>VLOOKUP(C350,databases!$D$2:$E$145, 2, FALSE)</f>
        <v>R26</v>
      </c>
      <c r="E350" s="259">
        <f>INDEX(sample_database!$B$2:$B$506,MATCH(F350,sample_database!$L$2:$L$506,0))</f>
        <v>156</v>
      </c>
      <c r="F350" s="202" t="str">
        <f>新平!A52</f>
        <v>XP051</v>
      </c>
      <c r="G350" s="257">
        <f>新平!C52</f>
        <v>5</v>
      </c>
      <c r="H350" s="257">
        <f>新平!D52</f>
        <v>0</v>
      </c>
      <c r="I350" s="202">
        <f>新平!E52</f>
        <v>33</v>
      </c>
      <c r="J350" s="202">
        <f>新平!F52</f>
        <v>4</v>
      </c>
      <c r="K350" s="202">
        <f>新平!G52</f>
        <v>7</v>
      </c>
      <c r="L350" s="202">
        <f>新平!H52</f>
        <v>8</v>
      </c>
      <c r="M350" s="202">
        <f>新平!I52</f>
        <v>8</v>
      </c>
      <c r="N350" s="202">
        <f>新平!J52</f>
        <v>6</v>
      </c>
      <c r="O350" s="202">
        <f>新平!K52</f>
        <v>0</v>
      </c>
      <c r="P350" s="202">
        <f>新平!L52</f>
        <v>0</v>
      </c>
      <c r="Q350" s="202">
        <f>新平!M52</f>
        <v>0</v>
      </c>
      <c r="R350" s="202">
        <f>新平!N52</f>
        <v>0</v>
      </c>
      <c r="S350" s="202">
        <f>新平!O52</f>
        <v>0</v>
      </c>
      <c r="T350" s="202">
        <f>新平!P52</f>
        <v>0</v>
      </c>
      <c r="U350" s="202">
        <f>新平!Q52</f>
        <v>0</v>
      </c>
      <c r="V350" s="202">
        <f>新平!R52</f>
        <v>0</v>
      </c>
      <c r="W350" s="202">
        <f>新平!S52</f>
        <v>0</v>
      </c>
      <c r="X350" s="202">
        <f>新平!T52</f>
        <v>0</v>
      </c>
      <c r="Y350" s="202">
        <f>新平!U52</f>
        <v>0</v>
      </c>
      <c r="Z350" s="202">
        <f>新平!V52</f>
        <v>0</v>
      </c>
      <c r="AA350" s="202">
        <f>新平!W52</f>
        <v>0</v>
      </c>
      <c r="AB350" s="202">
        <f>新平!X52</f>
        <v>0</v>
      </c>
      <c r="AC350" s="202">
        <f>新平!Y52</f>
        <v>0</v>
      </c>
      <c r="AD350" s="202">
        <f>新平!Z52</f>
        <v>0</v>
      </c>
      <c r="AE350" s="202">
        <f>新平!AA52</f>
        <v>0</v>
      </c>
      <c r="AF350" s="202">
        <f>新平!AB52</f>
        <v>0</v>
      </c>
      <c r="AG350" s="202">
        <f>新平!AC52</f>
        <v>0</v>
      </c>
      <c r="AH350" s="202">
        <f>新平!AD52</f>
        <v>0</v>
      </c>
      <c r="AI350" s="202">
        <f>新平!AE52</f>
        <v>0</v>
      </c>
      <c r="AJ350" s="202">
        <f>新平!AF52</f>
        <v>0</v>
      </c>
      <c r="AK350" s="165" t="str">
        <f>新平!AG52</f>
        <v>新平者竜春元村</v>
      </c>
      <c r="AL350" s="165" t="str">
        <f>新平!AH52</f>
        <v>20160812</v>
      </c>
      <c r="AM350" s="165">
        <f>新平!AI52</f>
        <v>0</v>
      </c>
      <c r="AN350" s="165">
        <f>新平!AJ52</f>
        <v>0</v>
      </c>
      <c r="AO350" s="165" t="str">
        <f>新平!AK52</f>
        <v>2679400-17739129</v>
      </c>
      <c r="AP350" s="263">
        <v>7.5</v>
      </c>
      <c r="AQ350" s="209">
        <f>新平!AM52</f>
        <v>0</v>
      </c>
      <c r="AR350" s="295">
        <f>新平!AN52</f>
        <v>1.5</v>
      </c>
      <c r="AS350" s="199" t="str">
        <f>新平!AO52</f>
        <v>53242819650217191X</v>
      </c>
      <c r="AT350" s="199" t="str">
        <f>新平!AP52</f>
        <v>18088911762</v>
      </c>
    </row>
    <row r="351" spans="1:46">
      <c r="A351" s="165" t="s">
        <v>1922</v>
      </c>
      <c r="B351" s="202" t="str">
        <f>VLOOKUP(A351,databases!$A$2:$B$7, 2, FALSE)</f>
        <v>XinPing</v>
      </c>
      <c r="C351" s="165" t="str">
        <f>新平!B105</f>
        <v>普国全</v>
      </c>
      <c r="D351" s="273" t="str">
        <f>VLOOKUP(C351,databases!$D$2:$E$145, 2, FALSE)</f>
        <v>R29</v>
      </c>
      <c r="E351" s="274" t="str">
        <f>INDEX(sample_database!$B$2:$B$506,MATCH(F351,sample_database!$L$2:$L$506,0))</f>
        <v>NA</v>
      </c>
      <c r="F351" s="202" t="str">
        <f>新平!A105</f>
        <v>XP104</v>
      </c>
      <c r="G351" s="257">
        <f>新平!C105</f>
        <v>10</v>
      </c>
      <c r="H351" s="257">
        <f>新平!D105</f>
        <v>0</v>
      </c>
      <c r="I351" s="202">
        <f>新平!E105</f>
        <v>32</v>
      </c>
      <c r="J351" s="202">
        <f>新平!F105</f>
        <v>2</v>
      </c>
      <c r="K351" s="202">
        <f>新平!G105</f>
        <v>2</v>
      </c>
      <c r="L351" s="202">
        <f>新平!H105</f>
        <v>3</v>
      </c>
      <c r="M351" s="202">
        <f>新平!I105</f>
        <v>3</v>
      </c>
      <c r="N351" s="202">
        <f>新平!J105</f>
        <v>3</v>
      </c>
      <c r="O351" s="202">
        <f>新平!K105</f>
        <v>3</v>
      </c>
      <c r="P351" s="202">
        <f>新平!L105</f>
        <v>3</v>
      </c>
      <c r="Q351" s="202">
        <f>新平!M105</f>
        <v>3</v>
      </c>
      <c r="R351" s="202">
        <f>新平!N105</f>
        <v>5</v>
      </c>
      <c r="S351" s="202">
        <f>新平!O105</f>
        <v>5</v>
      </c>
      <c r="T351" s="202">
        <f>新平!P105</f>
        <v>0</v>
      </c>
      <c r="U351" s="202">
        <f>新平!Q105</f>
        <v>0</v>
      </c>
      <c r="V351" s="202">
        <f>新平!R105</f>
        <v>0</v>
      </c>
      <c r="W351" s="202">
        <f>新平!S105</f>
        <v>0</v>
      </c>
      <c r="X351" s="202">
        <f>新平!T105</f>
        <v>0</v>
      </c>
      <c r="Y351" s="202">
        <f>新平!U105</f>
        <v>0</v>
      </c>
      <c r="Z351" s="202">
        <f>新平!V105</f>
        <v>0</v>
      </c>
      <c r="AA351" s="202">
        <f>新平!W105</f>
        <v>0</v>
      </c>
      <c r="AB351" s="202">
        <f>新平!X105</f>
        <v>0</v>
      </c>
      <c r="AC351" s="202">
        <f>新平!Y105</f>
        <v>0</v>
      </c>
      <c r="AD351" s="202">
        <f>新平!Z105</f>
        <v>0</v>
      </c>
      <c r="AE351" s="202">
        <f>新平!AA105</f>
        <v>0</v>
      </c>
      <c r="AF351" s="202">
        <f>新平!AB105</f>
        <v>0</v>
      </c>
      <c r="AG351" s="202">
        <f>新平!AC105</f>
        <v>0</v>
      </c>
      <c r="AH351" s="202">
        <f>新平!AD105</f>
        <v>0</v>
      </c>
      <c r="AI351" s="202">
        <f>新平!AE105</f>
        <v>0</v>
      </c>
      <c r="AJ351" s="202">
        <f>新平!AF105</f>
        <v>0</v>
      </c>
      <c r="AK351" s="165" t="str">
        <f>新平!AG105</f>
        <v>新平县戛洒镇耀南村（长臂猿听点）</v>
      </c>
      <c r="AL351" s="165" t="str">
        <f>新平!AH105</f>
        <v>201607</v>
      </c>
      <c r="AM351" s="165">
        <f>新平!AI105</f>
        <v>0</v>
      </c>
      <c r="AN351" s="165">
        <f>新平!AJ105</f>
        <v>0</v>
      </c>
      <c r="AO351" s="165" t="str">
        <f>新平!AK105</f>
        <v>海拔2391，十字路口长臂猿，2651749.1-17757171.4</v>
      </c>
      <c r="AP351" s="263">
        <v>5</v>
      </c>
      <c r="AQ351" s="209">
        <f>新平!AM105</f>
        <v>0</v>
      </c>
      <c r="AR351" s="295">
        <f>新平!AN105</f>
        <v>1</v>
      </c>
      <c r="AS351" s="199" t="str">
        <f>新平!AO105</f>
        <v>530427197601131311</v>
      </c>
      <c r="AT351" s="199" t="str">
        <f>新平!AP105</f>
        <v>18724831039</v>
      </c>
    </row>
    <row r="352" spans="1:46">
      <c r="A352" s="165" t="s">
        <v>1922</v>
      </c>
      <c r="B352" s="202" t="str">
        <f>VLOOKUP(A352,databases!$A$2:$B$7, 2, FALSE)</f>
        <v>XinPing</v>
      </c>
      <c r="C352" s="165" t="str">
        <f>新平!B106</f>
        <v>普国全</v>
      </c>
      <c r="D352" s="275" t="str">
        <f>VLOOKUP(C352,databases!$D$2:$E$145, 2, FALSE)</f>
        <v>R29</v>
      </c>
      <c r="E352" s="276" t="str">
        <f>INDEX(sample_database!$B$2:$B$506,MATCH(F352,sample_database!$L$2:$L$506,0))</f>
        <v>NA</v>
      </c>
      <c r="F352" s="202" t="str">
        <f>新平!A106</f>
        <v>XP105</v>
      </c>
      <c r="G352" s="257">
        <f>新平!C106</f>
        <v>10</v>
      </c>
      <c r="H352" s="257">
        <f>新平!D106</f>
        <v>0</v>
      </c>
      <c r="I352" s="202">
        <f>新平!E106</f>
        <v>59</v>
      </c>
      <c r="J352" s="202">
        <f>新平!F106</f>
        <v>5</v>
      </c>
      <c r="K352" s="202">
        <f>新平!G106</f>
        <v>6</v>
      </c>
      <c r="L352" s="202">
        <f>新平!H106</f>
        <v>6</v>
      </c>
      <c r="M352" s="202">
        <f>新平!I106</f>
        <v>6</v>
      </c>
      <c r="N352" s="202">
        <f>新平!J106</f>
        <v>6</v>
      </c>
      <c r="O352" s="202">
        <f>新平!K106</f>
        <v>6</v>
      </c>
      <c r="P352" s="202">
        <f>新平!L106</f>
        <v>6</v>
      </c>
      <c r="Q352" s="202">
        <f>新平!M106</f>
        <v>6</v>
      </c>
      <c r="R352" s="202">
        <f>新平!N106</f>
        <v>6</v>
      </c>
      <c r="S352" s="202">
        <f>新平!O106</f>
        <v>6</v>
      </c>
      <c r="T352" s="202">
        <f>新平!P106</f>
        <v>0</v>
      </c>
      <c r="U352" s="202">
        <f>新平!Q106</f>
        <v>0</v>
      </c>
      <c r="V352" s="202">
        <f>新平!R106</f>
        <v>0</v>
      </c>
      <c r="W352" s="202">
        <f>新平!S106</f>
        <v>0</v>
      </c>
      <c r="X352" s="202">
        <f>新平!T106</f>
        <v>0</v>
      </c>
      <c r="Y352" s="202">
        <f>新平!U106</f>
        <v>0</v>
      </c>
      <c r="Z352" s="202">
        <f>新平!V106</f>
        <v>0</v>
      </c>
      <c r="AA352" s="202">
        <f>新平!W106</f>
        <v>0</v>
      </c>
      <c r="AB352" s="202">
        <f>新平!X106</f>
        <v>0</v>
      </c>
      <c r="AC352" s="202">
        <f>新平!Y106</f>
        <v>0</v>
      </c>
      <c r="AD352" s="202">
        <f>新平!Z106</f>
        <v>0</v>
      </c>
      <c r="AE352" s="202">
        <f>新平!AA106</f>
        <v>0</v>
      </c>
      <c r="AF352" s="202">
        <f>新平!AB106</f>
        <v>0</v>
      </c>
      <c r="AG352" s="202">
        <f>新平!AC106</f>
        <v>0</v>
      </c>
      <c r="AH352" s="202">
        <f>新平!AD106</f>
        <v>0</v>
      </c>
      <c r="AI352" s="202">
        <f>新平!AE106</f>
        <v>0</v>
      </c>
      <c r="AJ352" s="202">
        <f>新平!AF106</f>
        <v>0</v>
      </c>
      <c r="AK352" s="165" t="str">
        <f>新平!AG106</f>
        <v>新平县戛洒镇耀南村</v>
      </c>
      <c r="AL352" s="165" t="str">
        <f>新平!AH106</f>
        <v>201607</v>
      </c>
      <c r="AM352" s="165">
        <f>新平!AI106</f>
        <v>0</v>
      </c>
      <c r="AN352" s="165">
        <f>新平!AJ106</f>
        <v>0</v>
      </c>
      <c r="AO352" s="165" t="str">
        <f>新平!AK106</f>
        <v>海拔2546.2650708.3-17755473.2</v>
      </c>
      <c r="AP352" s="263">
        <v>7.5</v>
      </c>
      <c r="AQ352" s="209">
        <f>新平!AM106</f>
        <v>0</v>
      </c>
      <c r="AR352" s="295">
        <f>新平!AN106</f>
        <v>1.5</v>
      </c>
      <c r="AS352" s="199" t="str">
        <f>新平!AO106</f>
        <v>530427197601131311</v>
      </c>
      <c r="AT352" s="199" t="str">
        <f>新平!AP106</f>
        <v>18724831039</v>
      </c>
    </row>
    <row r="353" spans="1:46">
      <c r="A353" s="165" t="s">
        <v>1922</v>
      </c>
      <c r="B353" s="202" t="str">
        <f>VLOOKUP(A353,databases!$A$2:$B$7, 2, FALSE)</f>
        <v>XinPing</v>
      </c>
      <c r="C353" s="165" t="str">
        <f>新平!B107</f>
        <v>普国全</v>
      </c>
      <c r="D353" s="275" t="str">
        <f>VLOOKUP(C353,databases!$D$2:$E$145, 2, FALSE)</f>
        <v>R29</v>
      </c>
      <c r="E353" s="276" t="str">
        <f>INDEX(sample_database!$B$2:$B$506,MATCH(F353,sample_database!$L$2:$L$506,0))</f>
        <v>NA</v>
      </c>
      <c r="F353" s="202" t="str">
        <f>新平!A107</f>
        <v>XP106</v>
      </c>
      <c r="G353" s="257">
        <f>新平!C107</f>
        <v>10</v>
      </c>
      <c r="H353" s="257">
        <f>新平!D107</f>
        <v>0</v>
      </c>
      <c r="I353" s="202">
        <f>新平!E107</f>
        <v>80</v>
      </c>
      <c r="J353" s="202">
        <f>新平!F107</f>
        <v>5</v>
      </c>
      <c r="K353" s="202">
        <f>新平!G107</f>
        <v>6</v>
      </c>
      <c r="L353" s="202">
        <f>新平!H107</f>
        <v>6</v>
      </c>
      <c r="M353" s="202">
        <f>新平!I107</f>
        <v>6</v>
      </c>
      <c r="N353" s="202">
        <f>新平!J107</f>
        <v>8</v>
      </c>
      <c r="O353" s="202">
        <f>新平!K107</f>
        <v>8</v>
      </c>
      <c r="P353" s="202">
        <f>新平!L107</f>
        <v>10</v>
      </c>
      <c r="Q353" s="202">
        <f>新平!M107</f>
        <v>10</v>
      </c>
      <c r="R353" s="202">
        <f>新平!N107</f>
        <v>10</v>
      </c>
      <c r="S353" s="202">
        <f>新平!O107</f>
        <v>11</v>
      </c>
      <c r="T353" s="202">
        <f>新平!P107</f>
        <v>0</v>
      </c>
      <c r="U353" s="202">
        <f>新平!Q107</f>
        <v>0</v>
      </c>
      <c r="V353" s="202">
        <f>新平!R107</f>
        <v>0</v>
      </c>
      <c r="W353" s="202">
        <f>新平!S107</f>
        <v>0</v>
      </c>
      <c r="X353" s="202">
        <f>新平!T107</f>
        <v>0</v>
      </c>
      <c r="Y353" s="202">
        <f>新平!U107</f>
        <v>0</v>
      </c>
      <c r="Z353" s="202">
        <f>新平!V107</f>
        <v>0</v>
      </c>
      <c r="AA353" s="202">
        <f>新平!W107</f>
        <v>0</v>
      </c>
      <c r="AB353" s="202">
        <f>新平!X107</f>
        <v>0</v>
      </c>
      <c r="AC353" s="202">
        <f>新平!Y107</f>
        <v>0</v>
      </c>
      <c r="AD353" s="202">
        <f>新平!Z107</f>
        <v>0</v>
      </c>
      <c r="AE353" s="202">
        <f>新平!AA107</f>
        <v>0</v>
      </c>
      <c r="AF353" s="202">
        <f>新平!AB107</f>
        <v>0</v>
      </c>
      <c r="AG353" s="202">
        <f>新平!AC107</f>
        <v>0</v>
      </c>
      <c r="AH353" s="202">
        <f>新平!AD107</f>
        <v>0</v>
      </c>
      <c r="AI353" s="202">
        <f>新平!AE107</f>
        <v>0</v>
      </c>
      <c r="AJ353" s="202">
        <f>新平!AF107</f>
        <v>0</v>
      </c>
      <c r="AK353" s="165" t="str">
        <f>新平!AG107</f>
        <v>新平县戛洒镇耀南村</v>
      </c>
      <c r="AL353" s="165" t="str">
        <f>新平!AH107</f>
        <v>201607</v>
      </c>
      <c r="AM353" s="165">
        <f>新平!AI107</f>
        <v>0</v>
      </c>
      <c r="AN353" s="165">
        <f>新平!AJ107</f>
        <v>0</v>
      </c>
      <c r="AO353" s="165" t="str">
        <f>新平!AK107</f>
        <v>海拔2516.2650764.2-17755470.1</v>
      </c>
      <c r="AP353" s="263">
        <v>10</v>
      </c>
      <c r="AQ353" s="209">
        <f>新平!AM107</f>
        <v>0</v>
      </c>
      <c r="AR353" s="295">
        <f>新平!AN107</f>
        <v>2</v>
      </c>
      <c r="AS353" s="199" t="str">
        <f>新平!AO107</f>
        <v>530427197601131311</v>
      </c>
      <c r="AT353" s="199" t="str">
        <f>新平!AP107</f>
        <v>18724831039</v>
      </c>
    </row>
    <row r="354" spans="1:46">
      <c r="A354" s="165" t="s">
        <v>1922</v>
      </c>
      <c r="B354" s="202" t="str">
        <f>VLOOKUP(A354,databases!$A$2:$B$7, 2, FALSE)</f>
        <v>XinPing</v>
      </c>
      <c r="C354" s="165" t="str">
        <f>新平!B108</f>
        <v>普国全</v>
      </c>
      <c r="D354" s="275" t="str">
        <f>VLOOKUP(C354,databases!$D$2:$E$145, 2, FALSE)</f>
        <v>R29</v>
      </c>
      <c r="E354" s="276" t="str">
        <f>INDEX(sample_database!$B$2:$B$506,MATCH(F354,sample_database!$L$2:$L$506,0))</f>
        <v>NA</v>
      </c>
      <c r="F354" s="202" t="str">
        <f>新平!A108</f>
        <v>XP107</v>
      </c>
      <c r="G354" s="257">
        <f>新平!C108</f>
        <v>10</v>
      </c>
      <c r="H354" s="257">
        <f>新平!D108</f>
        <v>0</v>
      </c>
      <c r="I354" s="202">
        <f>新平!E108</f>
        <v>30</v>
      </c>
      <c r="J354" s="202">
        <f>新平!F108</f>
        <v>2</v>
      </c>
      <c r="K354" s="202">
        <f>新平!G108</f>
        <v>3</v>
      </c>
      <c r="L354" s="202">
        <f>新平!H108</f>
        <v>3</v>
      </c>
      <c r="M354" s="202">
        <f>新平!I108</f>
        <v>3</v>
      </c>
      <c r="N354" s="202">
        <f>新平!J108</f>
        <v>3</v>
      </c>
      <c r="O354" s="202">
        <f>新平!K108</f>
        <v>3</v>
      </c>
      <c r="P354" s="202">
        <f>新平!L108</f>
        <v>3</v>
      </c>
      <c r="Q354" s="202">
        <f>新平!M108</f>
        <v>3</v>
      </c>
      <c r="R354" s="202">
        <f>新平!N108</f>
        <v>3</v>
      </c>
      <c r="S354" s="202">
        <f>新平!O108</f>
        <v>4</v>
      </c>
      <c r="T354" s="202">
        <f>新平!P108</f>
        <v>0</v>
      </c>
      <c r="U354" s="202">
        <f>新平!Q108</f>
        <v>0</v>
      </c>
      <c r="V354" s="202">
        <f>新平!R108</f>
        <v>0</v>
      </c>
      <c r="W354" s="202">
        <f>新平!S108</f>
        <v>0</v>
      </c>
      <c r="X354" s="202">
        <f>新平!T108</f>
        <v>0</v>
      </c>
      <c r="Y354" s="202">
        <f>新平!U108</f>
        <v>0</v>
      </c>
      <c r="Z354" s="202">
        <f>新平!V108</f>
        <v>0</v>
      </c>
      <c r="AA354" s="202">
        <f>新平!W108</f>
        <v>0</v>
      </c>
      <c r="AB354" s="202">
        <f>新平!X108</f>
        <v>0</v>
      </c>
      <c r="AC354" s="202">
        <f>新平!Y108</f>
        <v>0</v>
      </c>
      <c r="AD354" s="202">
        <f>新平!Z108</f>
        <v>0</v>
      </c>
      <c r="AE354" s="202">
        <f>新平!AA108</f>
        <v>0</v>
      </c>
      <c r="AF354" s="202">
        <f>新平!AB108</f>
        <v>0</v>
      </c>
      <c r="AG354" s="202">
        <f>新平!AC108</f>
        <v>0</v>
      </c>
      <c r="AH354" s="202">
        <f>新平!AD108</f>
        <v>0</v>
      </c>
      <c r="AI354" s="202">
        <f>新平!AE108</f>
        <v>0</v>
      </c>
      <c r="AJ354" s="202">
        <f>新平!AF108</f>
        <v>0</v>
      </c>
      <c r="AK354" s="165" t="str">
        <f>新平!AG108</f>
        <v>？？？</v>
      </c>
      <c r="AL354" s="165" t="str">
        <f>新平!AH108</f>
        <v>？</v>
      </c>
      <c r="AM354" s="165">
        <f>新平!AI108</f>
        <v>0</v>
      </c>
      <c r="AN354" s="165">
        <f>新平!AJ108</f>
        <v>0</v>
      </c>
      <c r="AO354" s="165" t="str">
        <f>新平!AK108</f>
        <v>海拔2174，茶马古道，2652589.4-17755865.6</v>
      </c>
      <c r="AP354" s="263">
        <v>6</v>
      </c>
      <c r="AQ354" s="209">
        <f>新平!AM108</f>
        <v>0</v>
      </c>
      <c r="AR354" s="295">
        <f>新平!AN108</f>
        <v>1.2</v>
      </c>
      <c r="AS354" s="199" t="str">
        <f>新平!AO108</f>
        <v>530427197601131311</v>
      </c>
      <c r="AT354" s="199" t="str">
        <f>新平!AP108</f>
        <v>18724831039</v>
      </c>
    </row>
    <row r="355" spans="1:46">
      <c r="A355" s="165" t="s">
        <v>1922</v>
      </c>
      <c r="B355" s="202" t="str">
        <f>VLOOKUP(A355,databases!$A$2:$B$7, 2, FALSE)</f>
        <v>XinPing</v>
      </c>
      <c r="C355" s="165" t="str">
        <f>新平!B109</f>
        <v>普国全</v>
      </c>
      <c r="D355" s="277" t="str">
        <f>VLOOKUP(C355,databases!$D$2:$E$145, 2, FALSE)</f>
        <v>R29</v>
      </c>
      <c r="E355" s="278" t="str">
        <f>INDEX(sample_database!$B$2:$B$506,MATCH(F355,sample_database!$L$2:$L$506,0))</f>
        <v>NA</v>
      </c>
      <c r="F355" s="202" t="str">
        <f>新平!A109</f>
        <v>XP108</v>
      </c>
      <c r="G355" s="257">
        <f>新平!C109</f>
        <v>0</v>
      </c>
      <c r="H355" s="257">
        <f>新平!D109</f>
        <v>20</v>
      </c>
      <c r="I355" s="202">
        <f>新平!E109</f>
        <v>34</v>
      </c>
      <c r="J355" s="202">
        <f>新平!F109</f>
        <v>1</v>
      </c>
      <c r="K355" s="202">
        <f>新平!G109</f>
        <v>1</v>
      </c>
      <c r="L355" s="202">
        <f>新平!H109</f>
        <v>1</v>
      </c>
      <c r="M355" s="202">
        <f>新平!I109</f>
        <v>1</v>
      </c>
      <c r="N355" s="202">
        <f>新平!J109</f>
        <v>1</v>
      </c>
      <c r="O355" s="202">
        <f>新平!K109</f>
        <v>1</v>
      </c>
      <c r="P355" s="202">
        <f>新平!L109</f>
        <v>1</v>
      </c>
      <c r="Q355" s="202">
        <f>新平!M109</f>
        <v>2</v>
      </c>
      <c r="R355" s="202">
        <f>新平!N109</f>
        <v>2</v>
      </c>
      <c r="S355" s="202">
        <f>新平!O109</f>
        <v>2</v>
      </c>
      <c r="T355" s="202">
        <f>新平!P109</f>
        <v>2</v>
      </c>
      <c r="U355" s="202">
        <f>新平!Q109</f>
        <v>2</v>
      </c>
      <c r="V355" s="202">
        <f>新平!R109</f>
        <v>2</v>
      </c>
      <c r="W355" s="202">
        <f>新平!S109</f>
        <v>2</v>
      </c>
      <c r="X355" s="202">
        <f>新平!T109</f>
        <v>2</v>
      </c>
      <c r="Y355" s="202">
        <f>新平!U109</f>
        <v>2</v>
      </c>
      <c r="Z355" s="202">
        <f>新平!V109</f>
        <v>2</v>
      </c>
      <c r="AA355" s="202">
        <f>新平!W109</f>
        <v>2</v>
      </c>
      <c r="AB355" s="202">
        <f>新平!X109</f>
        <v>2</v>
      </c>
      <c r="AC355" s="202">
        <f>新平!Y109</f>
        <v>3</v>
      </c>
      <c r="AD355" s="202">
        <f>新平!Z109</f>
        <v>0</v>
      </c>
      <c r="AE355" s="202">
        <f>新平!AA109</f>
        <v>0</v>
      </c>
      <c r="AF355" s="202">
        <f>新平!AB109</f>
        <v>0</v>
      </c>
      <c r="AG355" s="202">
        <f>新平!AC109</f>
        <v>0</v>
      </c>
      <c r="AH355" s="202">
        <f>新平!AD109</f>
        <v>0</v>
      </c>
      <c r="AI355" s="202">
        <f>新平!AE109</f>
        <v>0</v>
      </c>
      <c r="AJ355" s="202">
        <f>新平!AF109</f>
        <v>0</v>
      </c>
      <c r="AK355" s="165" t="str">
        <f>新平!AG109</f>
        <v>新平县戛洒镇耀南村</v>
      </c>
      <c r="AL355" s="165" t="str">
        <f>新平!AH109</f>
        <v>201607</v>
      </c>
      <c r="AM355" s="165">
        <f>新平!AI109</f>
        <v>0</v>
      </c>
      <c r="AN355" s="165">
        <f>新平!AJ109</f>
        <v>0</v>
      </c>
      <c r="AO355" s="165" t="str">
        <f>新平!AK109</f>
        <v>海拔2401，金山丫口，2651398.4-17754510.1</v>
      </c>
      <c r="AP355" s="263">
        <v>7.5</v>
      </c>
      <c r="AQ355" s="209">
        <f>新平!AM109</f>
        <v>0</v>
      </c>
      <c r="AR355" s="295">
        <f>新平!AN109</f>
        <v>1.5</v>
      </c>
      <c r="AS355" s="199" t="str">
        <f>新平!AO109</f>
        <v>530427197601131311</v>
      </c>
      <c r="AT355" s="199" t="str">
        <f>新平!AP109</f>
        <v>18724831039</v>
      </c>
    </row>
    <row r="356" spans="1:46">
      <c r="A356" s="165" t="s">
        <v>1922</v>
      </c>
      <c r="B356" s="202" t="str">
        <f>VLOOKUP(A356,databases!$A$2:$B$7, 2, FALSE)</f>
        <v>XinPing</v>
      </c>
      <c r="C356" s="165" t="str">
        <f>新平!B41</f>
        <v>普学忠</v>
      </c>
      <c r="D356" s="202" t="str">
        <f>VLOOKUP(C356,databases!$D$2:$E$145, 2, FALSE)</f>
        <v>R30</v>
      </c>
      <c r="E356" s="259">
        <f>INDEX(sample_database!$B$2:$B$506,MATCH(F356,sample_database!$L$2:$L$506,0))</f>
        <v>136</v>
      </c>
      <c r="F356" s="202" t="str">
        <f>新平!A41</f>
        <v>XP040</v>
      </c>
      <c r="G356" s="257">
        <f>新平!C41</f>
        <v>2</v>
      </c>
      <c r="H356" s="257">
        <f>新平!D41</f>
        <v>0</v>
      </c>
      <c r="I356" s="202">
        <f>新平!E41</f>
        <v>6</v>
      </c>
      <c r="J356" s="202">
        <f>新平!F41</f>
        <v>3</v>
      </c>
      <c r="K356" s="202">
        <f>新平!G41</f>
        <v>3</v>
      </c>
      <c r="L356" s="202">
        <f>新平!H41</f>
        <v>0</v>
      </c>
      <c r="M356" s="202">
        <f>新平!I41</f>
        <v>0</v>
      </c>
      <c r="N356" s="202">
        <f>新平!J41</f>
        <v>0</v>
      </c>
      <c r="O356" s="202">
        <f>新平!K41</f>
        <v>0</v>
      </c>
      <c r="P356" s="202">
        <f>新平!L41</f>
        <v>0</v>
      </c>
      <c r="Q356" s="202">
        <f>新平!M41</f>
        <v>0</v>
      </c>
      <c r="R356" s="202">
        <f>新平!N41</f>
        <v>0</v>
      </c>
      <c r="S356" s="202">
        <f>新平!O41</f>
        <v>0</v>
      </c>
      <c r="T356" s="202">
        <f>新平!P41</f>
        <v>0</v>
      </c>
      <c r="U356" s="202">
        <f>新平!Q41</f>
        <v>0</v>
      </c>
      <c r="V356" s="202">
        <f>新平!R41</f>
        <v>0</v>
      </c>
      <c r="W356" s="202">
        <f>新平!S41</f>
        <v>0</v>
      </c>
      <c r="X356" s="202">
        <f>新平!T41</f>
        <v>0</v>
      </c>
      <c r="Y356" s="202">
        <f>新平!U41</f>
        <v>0</v>
      </c>
      <c r="Z356" s="202">
        <f>新平!V41</f>
        <v>0</v>
      </c>
      <c r="AA356" s="202">
        <f>新平!W41</f>
        <v>0</v>
      </c>
      <c r="AB356" s="202">
        <f>新平!X41</f>
        <v>0</v>
      </c>
      <c r="AC356" s="202">
        <f>新平!Y41</f>
        <v>0</v>
      </c>
      <c r="AD356" s="202">
        <f>新平!Z41</f>
        <v>0</v>
      </c>
      <c r="AE356" s="202">
        <f>新平!AA41</f>
        <v>0</v>
      </c>
      <c r="AF356" s="202">
        <f>新平!AB41</f>
        <v>0</v>
      </c>
      <c r="AG356" s="202">
        <f>新平!AC41</f>
        <v>0</v>
      </c>
      <c r="AH356" s="202">
        <f>新平!AD41</f>
        <v>0</v>
      </c>
      <c r="AI356" s="202">
        <f>新平!AE41</f>
        <v>0</v>
      </c>
      <c r="AJ356" s="202">
        <f>新平!AF41</f>
        <v>0</v>
      </c>
      <c r="AK356" s="165" t="str">
        <f>新平!AG41</f>
        <v>红柒林</v>
      </c>
      <c r="AL356" s="165" t="str">
        <f>新平!AH41</f>
        <v>20160711-0716</v>
      </c>
      <c r="AM356" s="165">
        <f>新平!AI41</f>
        <v>0</v>
      </c>
      <c r="AN356" s="165">
        <f>新平!AJ41</f>
        <v>0</v>
      </c>
      <c r="AO356" s="165">
        <f>新平!AK41</f>
        <v>0</v>
      </c>
      <c r="AP356" s="263">
        <v>2</v>
      </c>
      <c r="AQ356" s="209">
        <f>新平!AM41</f>
        <v>0</v>
      </c>
      <c r="AR356" s="295">
        <f>新平!AN41</f>
        <v>0.4</v>
      </c>
      <c r="AS356" s="199" t="str">
        <f>新平!AO41</f>
        <v>530427196301231535</v>
      </c>
      <c r="AT356" s="199" t="str">
        <f>新平!AP41</f>
        <v>13529991363</v>
      </c>
    </row>
    <row r="357" spans="1:46">
      <c r="A357" s="165" t="s">
        <v>1922</v>
      </c>
      <c r="B357" s="202" t="str">
        <f>VLOOKUP(A357,databases!$A$2:$B$7, 2, FALSE)</f>
        <v>XinPing</v>
      </c>
      <c r="C357" s="165" t="str">
        <f>新平!B42</f>
        <v>普学忠</v>
      </c>
      <c r="D357" s="202" t="str">
        <f>VLOOKUP(C357,databases!$D$2:$E$145, 2, FALSE)</f>
        <v>R30</v>
      </c>
      <c r="E357" s="259">
        <f>INDEX(sample_database!$B$2:$B$506,MATCH(F357,sample_database!$L$2:$L$506,0))</f>
        <v>136</v>
      </c>
      <c r="F357" s="202" t="str">
        <f>新平!A42</f>
        <v>XP041</v>
      </c>
      <c r="G357" s="257">
        <f>新平!C42</f>
        <v>2</v>
      </c>
      <c r="H357" s="257">
        <f>新平!D42</f>
        <v>0</v>
      </c>
      <c r="I357" s="202">
        <f>新平!E42</f>
        <v>4</v>
      </c>
      <c r="J357" s="202">
        <f>新平!F42</f>
        <v>2</v>
      </c>
      <c r="K357" s="202">
        <f>新平!G42</f>
        <v>2</v>
      </c>
      <c r="L357" s="202">
        <f>新平!H42</f>
        <v>0</v>
      </c>
      <c r="M357" s="202">
        <f>新平!I42</f>
        <v>0</v>
      </c>
      <c r="N357" s="202">
        <f>新平!J42</f>
        <v>0</v>
      </c>
      <c r="O357" s="202">
        <f>新平!K42</f>
        <v>0</v>
      </c>
      <c r="P357" s="202">
        <f>新平!L42</f>
        <v>0</v>
      </c>
      <c r="Q357" s="202">
        <f>新平!M42</f>
        <v>0</v>
      </c>
      <c r="R357" s="202">
        <f>新平!N42</f>
        <v>0</v>
      </c>
      <c r="S357" s="202">
        <f>新平!O42</f>
        <v>0</v>
      </c>
      <c r="T357" s="202">
        <f>新平!P42</f>
        <v>0</v>
      </c>
      <c r="U357" s="202">
        <f>新平!Q42</f>
        <v>0</v>
      </c>
      <c r="V357" s="202">
        <f>新平!R42</f>
        <v>0</v>
      </c>
      <c r="W357" s="202">
        <f>新平!S42</f>
        <v>0</v>
      </c>
      <c r="X357" s="202">
        <f>新平!T42</f>
        <v>0</v>
      </c>
      <c r="Y357" s="202">
        <f>新平!U42</f>
        <v>0</v>
      </c>
      <c r="Z357" s="202">
        <f>新平!V42</f>
        <v>0</v>
      </c>
      <c r="AA357" s="202">
        <f>新平!W42</f>
        <v>0</v>
      </c>
      <c r="AB357" s="202">
        <f>新平!X42</f>
        <v>0</v>
      </c>
      <c r="AC357" s="202">
        <f>新平!Y42</f>
        <v>0</v>
      </c>
      <c r="AD357" s="202">
        <f>新平!Z42</f>
        <v>0</v>
      </c>
      <c r="AE357" s="202">
        <f>新平!AA42</f>
        <v>0</v>
      </c>
      <c r="AF357" s="202">
        <f>新平!AB42</f>
        <v>0</v>
      </c>
      <c r="AG357" s="202">
        <f>新平!AC42</f>
        <v>0</v>
      </c>
      <c r="AH357" s="202">
        <f>新平!AD42</f>
        <v>0</v>
      </c>
      <c r="AI357" s="202">
        <f>新平!AE42</f>
        <v>0</v>
      </c>
      <c r="AJ357" s="202">
        <f>新平!AF42</f>
        <v>0</v>
      </c>
      <c r="AK357" s="165" t="str">
        <f>新平!AG42</f>
        <v>白水河</v>
      </c>
      <c r="AL357" s="165" t="str">
        <f>新平!AH42</f>
        <v>20160802-0804</v>
      </c>
      <c r="AM357" s="165">
        <f>新平!AI42</f>
        <v>0</v>
      </c>
      <c r="AN357" s="165">
        <f>新平!AJ42</f>
        <v>0</v>
      </c>
      <c r="AO357" s="165">
        <f>新平!AK42</f>
        <v>0</v>
      </c>
      <c r="AP357" s="263">
        <v>2</v>
      </c>
      <c r="AQ357" s="209">
        <f>新平!AM42</f>
        <v>0</v>
      </c>
      <c r="AR357" s="295">
        <f>新平!AN42</f>
        <v>0.4</v>
      </c>
      <c r="AS357" s="199" t="str">
        <f>新平!AO42</f>
        <v>530427196301231535</v>
      </c>
      <c r="AT357" s="199" t="str">
        <f>新平!AP42</f>
        <v>13529991363</v>
      </c>
    </row>
    <row r="358" spans="1:46">
      <c r="A358" s="165" t="s">
        <v>1922</v>
      </c>
      <c r="B358" s="202" t="str">
        <f>VLOOKUP(A358,databases!$A$2:$B$7, 2, FALSE)</f>
        <v>XinPing</v>
      </c>
      <c r="C358" s="165" t="str">
        <f>新平!B43</f>
        <v>普学忠</v>
      </c>
      <c r="D358" s="202" t="str">
        <f>VLOOKUP(C358,databases!$D$2:$E$145, 2, FALSE)</f>
        <v>R30</v>
      </c>
      <c r="E358" s="259">
        <f>INDEX(sample_database!$B$2:$B$506,MATCH(F358,sample_database!$L$2:$L$506,0))</f>
        <v>136</v>
      </c>
      <c r="F358" s="202" t="str">
        <f>新平!A43</f>
        <v>XP042</v>
      </c>
      <c r="G358" s="257">
        <f>新平!C43</f>
        <v>2</v>
      </c>
      <c r="H358" s="257">
        <f>新平!D43</f>
        <v>0</v>
      </c>
      <c r="I358" s="202">
        <f>新平!E43</f>
        <v>7</v>
      </c>
      <c r="J358" s="202">
        <f>新平!F43</f>
        <v>2</v>
      </c>
      <c r="K358" s="202">
        <f>新平!G43</f>
        <v>5</v>
      </c>
      <c r="L358" s="202">
        <f>新平!H43</f>
        <v>0</v>
      </c>
      <c r="M358" s="202">
        <f>新平!I43</f>
        <v>0</v>
      </c>
      <c r="N358" s="202">
        <f>新平!J43</f>
        <v>0</v>
      </c>
      <c r="O358" s="202">
        <f>新平!K43</f>
        <v>0</v>
      </c>
      <c r="P358" s="202">
        <f>新平!L43</f>
        <v>0</v>
      </c>
      <c r="Q358" s="202">
        <f>新平!M43</f>
        <v>0</v>
      </c>
      <c r="R358" s="202">
        <f>新平!N43</f>
        <v>0</v>
      </c>
      <c r="S358" s="202">
        <f>新平!O43</f>
        <v>0</v>
      </c>
      <c r="T358" s="202">
        <f>新平!P43</f>
        <v>0</v>
      </c>
      <c r="U358" s="202">
        <f>新平!Q43</f>
        <v>0</v>
      </c>
      <c r="V358" s="202">
        <f>新平!R43</f>
        <v>0</v>
      </c>
      <c r="W358" s="202">
        <f>新平!S43</f>
        <v>0</v>
      </c>
      <c r="X358" s="202">
        <f>新平!T43</f>
        <v>0</v>
      </c>
      <c r="Y358" s="202">
        <f>新平!U43</f>
        <v>0</v>
      </c>
      <c r="Z358" s="202">
        <f>新平!V43</f>
        <v>0</v>
      </c>
      <c r="AA358" s="202">
        <f>新平!W43</f>
        <v>0</v>
      </c>
      <c r="AB358" s="202">
        <f>新平!X43</f>
        <v>0</v>
      </c>
      <c r="AC358" s="202">
        <f>新平!Y43</f>
        <v>0</v>
      </c>
      <c r="AD358" s="202">
        <f>新平!Z43</f>
        <v>0</v>
      </c>
      <c r="AE358" s="202">
        <f>新平!AA43</f>
        <v>0</v>
      </c>
      <c r="AF358" s="202">
        <f>新平!AB43</f>
        <v>0</v>
      </c>
      <c r="AG358" s="202">
        <f>新平!AC43</f>
        <v>0</v>
      </c>
      <c r="AH358" s="202">
        <f>新平!AD43</f>
        <v>0</v>
      </c>
      <c r="AI358" s="202">
        <f>新平!AE43</f>
        <v>0</v>
      </c>
      <c r="AJ358" s="202">
        <f>新平!AF43</f>
        <v>0</v>
      </c>
      <c r="AK358" s="165" t="str">
        <f>新平!AG43</f>
        <v>大个甲</v>
      </c>
      <c r="AL358" s="165" t="str">
        <f>新平!AH43</f>
        <v>20160813-0821</v>
      </c>
      <c r="AM358" s="165">
        <f>新平!AI43</f>
        <v>0</v>
      </c>
      <c r="AN358" s="165">
        <f>新平!AJ43</f>
        <v>0</v>
      </c>
      <c r="AO358" s="165">
        <f>新平!AK43</f>
        <v>0</v>
      </c>
      <c r="AP358" s="263">
        <v>2</v>
      </c>
      <c r="AQ358" s="209">
        <f>新平!AM43</f>
        <v>0</v>
      </c>
      <c r="AR358" s="295">
        <f>新平!AN43</f>
        <v>0.4</v>
      </c>
      <c r="AS358" s="199" t="str">
        <f>新平!AO43</f>
        <v>530427196301231535</v>
      </c>
      <c r="AT358" s="199" t="str">
        <f>新平!AP43</f>
        <v>13529991363</v>
      </c>
    </row>
    <row r="359" spans="1:46">
      <c r="A359" s="165" t="s">
        <v>1922</v>
      </c>
      <c r="B359" s="202" t="str">
        <f>VLOOKUP(A359,databases!$A$2:$B$7, 2, FALSE)</f>
        <v>XinPing</v>
      </c>
      <c r="C359" s="165" t="str">
        <f>新平!B9</f>
        <v>李发新</v>
      </c>
      <c r="D359" s="281" t="str">
        <f>VLOOKUP(C359,databases!$D$2:$E$145, 2, FALSE)</f>
        <v>R40</v>
      </c>
      <c r="E359" s="282">
        <f>INDEX(sample_database!$B$2:$B$506,MATCH(F359,sample_database!$L$2:$L$506,0))</f>
        <v>142</v>
      </c>
      <c r="F359" s="202" t="str">
        <f>新平!A9</f>
        <v>XP008</v>
      </c>
      <c r="G359" s="257">
        <f>新平!C9</f>
        <v>3</v>
      </c>
      <c r="H359" s="257">
        <f>新平!D9</f>
        <v>0</v>
      </c>
      <c r="I359" s="202">
        <f>新平!E9</f>
        <v>49</v>
      </c>
      <c r="J359" s="202">
        <f>新平!F9</f>
        <v>19</v>
      </c>
      <c r="K359" s="202">
        <f>新平!G9</f>
        <v>19</v>
      </c>
      <c r="L359" s="202">
        <f>新平!H9</f>
        <v>11</v>
      </c>
      <c r="M359" s="202">
        <f>新平!I9</f>
        <v>0</v>
      </c>
      <c r="N359" s="202">
        <f>新平!J9</f>
        <v>0</v>
      </c>
      <c r="O359" s="202">
        <f>新平!K9</f>
        <v>0</v>
      </c>
      <c r="P359" s="202">
        <f>新平!L9</f>
        <v>0</v>
      </c>
      <c r="Q359" s="202">
        <f>新平!M9</f>
        <v>0</v>
      </c>
      <c r="R359" s="202">
        <f>新平!N9</f>
        <v>0</v>
      </c>
      <c r="S359" s="202">
        <f>新平!O9</f>
        <v>0</v>
      </c>
      <c r="T359" s="202">
        <f>新平!P9</f>
        <v>0</v>
      </c>
      <c r="U359" s="202">
        <f>新平!Q9</f>
        <v>0</v>
      </c>
      <c r="V359" s="202">
        <f>新平!R9</f>
        <v>0</v>
      </c>
      <c r="W359" s="202">
        <f>新平!S9</f>
        <v>0</v>
      </c>
      <c r="X359" s="202">
        <f>新平!T9</f>
        <v>0</v>
      </c>
      <c r="Y359" s="202">
        <f>新平!U9</f>
        <v>0</v>
      </c>
      <c r="Z359" s="202">
        <f>新平!V9</f>
        <v>0</v>
      </c>
      <c r="AA359" s="202">
        <f>新平!W9</f>
        <v>0</v>
      </c>
      <c r="AB359" s="202">
        <f>新平!X9</f>
        <v>0</v>
      </c>
      <c r="AC359" s="202">
        <f>新平!Y9</f>
        <v>0</v>
      </c>
      <c r="AD359" s="202">
        <f>新平!Z9</f>
        <v>0</v>
      </c>
      <c r="AE359" s="202">
        <f>新平!AA9</f>
        <v>0</v>
      </c>
      <c r="AF359" s="202">
        <f>新平!AB9</f>
        <v>0</v>
      </c>
      <c r="AG359" s="202">
        <f>新平!AC9</f>
        <v>0</v>
      </c>
      <c r="AH359" s="202">
        <f>新平!AD9</f>
        <v>0</v>
      </c>
      <c r="AI359" s="202">
        <f>新平!AE9</f>
        <v>0</v>
      </c>
      <c r="AJ359" s="202">
        <f>新平!AF9</f>
        <v>0</v>
      </c>
      <c r="AK359" s="165" t="str">
        <f>新平!AG9</f>
        <v>新平县者竜乡者竜村</v>
      </c>
      <c r="AL359" s="165" t="str">
        <f>新平!AH9</f>
        <v>20160923</v>
      </c>
      <c r="AM359" s="165">
        <f>新平!AI9</f>
        <v>0</v>
      </c>
      <c r="AN359" s="165">
        <f>新平!AJ9</f>
        <v>0</v>
      </c>
      <c r="AO359" s="165" t="str">
        <f>新平!AK9</f>
        <v>2690774-17733590</v>
      </c>
      <c r="AP359" s="263">
        <v>7.5</v>
      </c>
      <c r="AQ359" s="209">
        <f>新平!AM9</f>
        <v>0</v>
      </c>
      <c r="AR359" s="295">
        <f>新平!AN9</f>
        <v>1.5</v>
      </c>
      <c r="AS359" s="199" t="str">
        <f>新平!AO9</f>
        <v>532428197303171911</v>
      </c>
      <c r="AT359" s="199" t="str">
        <f>新平!AP9</f>
        <v>18088911760</v>
      </c>
    </row>
    <row r="360" spans="1:46">
      <c r="A360" s="165" t="s">
        <v>1922</v>
      </c>
      <c r="B360" s="202" t="str">
        <f>VLOOKUP(A360,databases!$A$2:$B$7, 2, FALSE)</f>
        <v>XinPing</v>
      </c>
      <c r="C360" s="165" t="str">
        <f>新平!B8</f>
        <v>李发新</v>
      </c>
      <c r="D360" s="283" t="str">
        <f>VLOOKUP(C360,databases!$D$2:$E$145, 2, FALSE)</f>
        <v>R40</v>
      </c>
      <c r="E360" s="284">
        <f>INDEX(sample_database!$B$2:$B$506,MATCH(F360,sample_database!$L$2:$L$506,0))</f>
        <v>143</v>
      </c>
      <c r="F360" s="202" t="str">
        <f>新平!A8</f>
        <v>XP007</v>
      </c>
      <c r="G360" s="257">
        <f>新平!C8</f>
        <v>2</v>
      </c>
      <c r="H360" s="257">
        <f>新平!D8</f>
        <v>0</v>
      </c>
      <c r="I360" s="202">
        <f>新平!E8</f>
        <v>23</v>
      </c>
      <c r="J360" s="202">
        <f>新平!F8</f>
        <v>8</v>
      </c>
      <c r="K360" s="202">
        <f>新平!G8</f>
        <v>15</v>
      </c>
      <c r="L360" s="202">
        <f>新平!H8</f>
        <v>0</v>
      </c>
      <c r="M360" s="202">
        <f>新平!I8</f>
        <v>0</v>
      </c>
      <c r="N360" s="202">
        <f>新平!J8</f>
        <v>0</v>
      </c>
      <c r="O360" s="202">
        <f>新平!K8</f>
        <v>0</v>
      </c>
      <c r="P360" s="202">
        <f>新平!L8</f>
        <v>0</v>
      </c>
      <c r="Q360" s="202">
        <f>新平!M8</f>
        <v>0</v>
      </c>
      <c r="R360" s="202">
        <f>新平!N8</f>
        <v>0</v>
      </c>
      <c r="S360" s="202">
        <f>新平!O8</f>
        <v>0</v>
      </c>
      <c r="T360" s="202">
        <f>新平!P8</f>
        <v>0</v>
      </c>
      <c r="U360" s="202">
        <f>新平!Q8</f>
        <v>0</v>
      </c>
      <c r="V360" s="202">
        <f>新平!R8</f>
        <v>0</v>
      </c>
      <c r="W360" s="202">
        <f>新平!S8</f>
        <v>0</v>
      </c>
      <c r="X360" s="202">
        <f>新平!T8</f>
        <v>0</v>
      </c>
      <c r="Y360" s="202">
        <f>新平!U8</f>
        <v>0</v>
      </c>
      <c r="Z360" s="202">
        <f>新平!V8</f>
        <v>0</v>
      </c>
      <c r="AA360" s="202">
        <f>新平!W8</f>
        <v>0</v>
      </c>
      <c r="AB360" s="202">
        <f>新平!X8</f>
        <v>0</v>
      </c>
      <c r="AC360" s="202">
        <f>新平!Y8</f>
        <v>0</v>
      </c>
      <c r="AD360" s="202">
        <f>新平!Z8</f>
        <v>0</v>
      </c>
      <c r="AE360" s="202">
        <f>新平!AA8</f>
        <v>0</v>
      </c>
      <c r="AF360" s="202">
        <f>新平!AB8</f>
        <v>0</v>
      </c>
      <c r="AG360" s="202">
        <f>新平!AC8</f>
        <v>0</v>
      </c>
      <c r="AH360" s="202">
        <f>新平!AD8</f>
        <v>0</v>
      </c>
      <c r="AI360" s="202">
        <f>新平!AE8</f>
        <v>0</v>
      </c>
      <c r="AJ360" s="202">
        <f>新平!AF8</f>
        <v>0</v>
      </c>
      <c r="AK360" s="165" t="str">
        <f>新平!AG8</f>
        <v>新平县者竜乡者竜村</v>
      </c>
      <c r="AL360" s="165" t="str">
        <f>新平!AH8</f>
        <v>20160923</v>
      </c>
      <c r="AM360" s="165">
        <f>新平!AI8</f>
        <v>0</v>
      </c>
      <c r="AN360" s="165">
        <f>新平!AJ8</f>
        <v>0</v>
      </c>
      <c r="AO360" s="165" t="str">
        <f>新平!AK8</f>
        <v>2691341-17733590</v>
      </c>
      <c r="AP360" s="263">
        <v>5</v>
      </c>
      <c r="AQ360" s="209">
        <f>新平!AM8</f>
        <v>0</v>
      </c>
      <c r="AR360" s="295">
        <f>新平!AN8</f>
        <v>1</v>
      </c>
      <c r="AS360" s="199" t="str">
        <f>新平!AO8</f>
        <v>532428197303171911</v>
      </c>
      <c r="AT360" s="199" t="str">
        <f>新平!AP8</f>
        <v>18088911760</v>
      </c>
    </row>
    <row r="361" spans="1:46">
      <c r="A361" s="165" t="s">
        <v>1922</v>
      </c>
      <c r="B361" s="202" t="str">
        <f>VLOOKUP(A361,databases!$A$2:$B$7, 2, FALSE)</f>
        <v>XinPing</v>
      </c>
      <c r="C361" s="165" t="str">
        <f>新平!B7</f>
        <v>李发新</v>
      </c>
      <c r="D361" s="283" t="str">
        <f>VLOOKUP(C361,databases!$D$2:$E$145, 2, FALSE)</f>
        <v>R40</v>
      </c>
      <c r="E361" s="284">
        <f>INDEX(sample_database!$B$2:$B$506,MATCH(F361,sample_database!$L$2:$L$506,0))</f>
        <v>144</v>
      </c>
      <c r="F361" s="202" t="str">
        <f>新平!A7</f>
        <v>XP006</v>
      </c>
      <c r="G361" s="257">
        <f>新平!C7</f>
        <v>3</v>
      </c>
      <c r="H361" s="257">
        <f>新平!D7</f>
        <v>0</v>
      </c>
      <c r="I361" s="202">
        <f>新平!E7</f>
        <v>59</v>
      </c>
      <c r="J361" s="202">
        <f>新平!F7</f>
        <v>22</v>
      </c>
      <c r="K361" s="202">
        <f>新平!G7</f>
        <v>25</v>
      </c>
      <c r="L361" s="202">
        <f>新平!H7</f>
        <v>12</v>
      </c>
      <c r="M361" s="202">
        <f>新平!I7</f>
        <v>0</v>
      </c>
      <c r="N361" s="202">
        <f>新平!J7</f>
        <v>0</v>
      </c>
      <c r="O361" s="202">
        <f>新平!K7</f>
        <v>0</v>
      </c>
      <c r="P361" s="202">
        <f>新平!L7</f>
        <v>0</v>
      </c>
      <c r="Q361" s="202">
        <f>新平!M7</f>
        <v>0</v>
      </c>
      <c r="R361" s="202">
        <f>新平!N7</f>
        <v>0</v>
      </c>
      <c r="S361" s="202">
        <f>新平!O7</f>
        <v>0</v>
      </c>
      <c r="T361" s="202">
        <f>新平!P7</f>
        <v>0</v>
      </c>
      <c r="U361" s="202">
        <f>新平!Q7</f>
        <v>0</v>
      </c>
      <c r="V361" s="202">
        <f>新平!R7</f>
        <v>0</v>
      </c>
      <c r="W361" s="202">
        <f>新平!S7</f>
        <v>0</v>
      </c>
      <c r="X361" s="202">
        <f>新平!T7</f>
        <v>0</v>
      </c>
      <c r="Y361" s="202">
        <f>新平!U7</f>
        <v>0</v>
      </c>
      <c r="Z361" s="202">
        <f>新平!V7</f>
        <v>0</v>
      </c>
      <c r="AA361" s="202">
        <f>新平!W7</f>
        <v>0</v>
      </c>
      <c r="AB361" s="202">
        <f>新平!X7</f>
        <v>0</v>
      </c>
      <c r="AC361" s="202">
        <f>新平!Y7</f>
        <v>0</v>
      </c>
      <c r="AD361" s="202">
        <f>新平!Z7</f>
        <v>0</v>
      </c>
      <c r="AE361" s="202">
        <f>新平!AA7</f>
        <v>0</v>
      </c>
      <c r="AF361" s="202">
        <f>新平!AB7</f>
        <v>0</v>
      </c>
      <c r="AG361" s="202">
        <f>新平!AC7</f>
        <v>0</v>
      </c>
      <c r="AH361" s="202">
        <f>新平!AD7</f>
        <v>0</v>
      </c>
      <c r="AI361" s="202">
        <f>新平!AE7</f>
        <v>0</v>
      </c>
      <c r="AJ361" s="202">
        <f>新平!AF7</f>
        <v>0</v>
      </c>
      <c r="AK361" s="165" t="str">
        <f>新平!AG7</f>
        <v>新平县者竜乡者竜村</v>
      </c>
      <c r="AL361" s="165" t="str">
        <f>新平!AH7</f>
        <v>20160923</v>
      </c>
      <c r="AM361" s="165">
        <f>新平!AI7</f>
        <v>0</v>
      </c>
      <c r="AN361" s="165">
        <f>新平!AJ7</f>
        <v>0</v>
      </c>
      <c r="AO361" s="165" t="str">
        <f>新平!AK7</f>
        <v>2690447-1773400</v>
      </c>
      <c r="AP361" s="263">
        <v>10</v>
      </c>
      <c r="AQ361" s="209">
        <f>新平!AM7</f>
        <v>0</v>
      </c>
      <c r="AR361" s="295">
        <f>新平!AN7</f>
        <v>2</v>
      </c>
      <c r="AS361" s="199" t="str">
        <f>新平!AO7</f>
        <v>532428197303171911</v>
      </c>
      <c r="AT361" s="199" t="str">
        <f>新平!AP7</f>
        <v>18088911760</v>
      </c>
    </row>
    <row r="362" spans="1:46">
      <c r="A362" s="165" t="s">
        <v>1922</v>
      </c>
      <c r="B362" s="202" t="str">
        <f>VLOOKUP(A362,databases!$A$2:$B$7, 2, FALSE)</f>
        <v>XinPing</v>
      </c>
      <c r="C362" s="165" t="str">
        <f>新平!B5</f>
        <v>李发新</v>
      </c>
      <c r="D362" s="283" t="str">
        <f>VLOOKUP(C362,databases!$D$2:$E$145, 2, FALSE)</f>
        <v>R40</v>
      </c>
      <c r="E362" s="284">
        <f>INDEX(sample_database!$B$2:$B$506,MATCH(F362,sample_database!$L$2:$L$506,0))</f>
        <v>157</v>
      </c>
      <c r="F362" s="202" t="str">
        <f>新平!A5</f>
        <v>XP004</v>
      </c>
      <c r="G362" s="257">
        <f>新平!C5</f>
        <v>4</v>
      </c>
      <c r="H362" s="257">
        <f>新平!D5</f>
        <v>0</v>
      </c>
      <c r="I362" s="202">
        <f>新平!E5</f>
        <v>44</v>
      </c>
      <c r="J362" s="202">
        <f>新平!F5</f>
        <v>14</v>
      </c>
      <c r="K362" s="202">
        <f>新平!G5</f>
        <v>15</v>
      </c>
      <c r="L362" s="202">
        <f>新平!H5</f>
        <v>8</v>
      </c>
      <c r="M362" s="202">
        <f>新平!I5</f>
        <v>7</v>
      </c>
      <c r="N362" s="202">
        <f>新平!J5</f>
        <v>0</v>
      </c>
      <c r="O362" s="202">
        <f>新平!K5</f>
        <v>0</v>
      </c>
      <c r="P362" s="202">
        <f>新平!L5</f>
        <v>0</v>
      </c>
      <c r="Q362" s="202">
        <f>新平!M5</f>
        <v>0</v>
      </c>
      <c r="R362" s="202">
        <f>新平!N5</f>
        <v>0</v>
      </c>
      <c r="S362" s="202">
        <f>新平!O5</f>
        <v>0</v>
      </c>
      <c r="T362" s="202">
        <f>新平!P5</f>
        <v>0</v>
      </c>
      <c r="U362" s="202">
        <f>新平!Q5</f>
        <v>0</v>
      </c>
      <c r="V362" s="202">
        <f>新平!R5</f>
        <v>0</v>
      </c>
      <c r="W362" s="202">
        <f>新平!S5</f>
        <v>0</v>
      </c>
      <c r="X362" s="202">
        <f>新平!T5</f>
        <v>0</v>
      </c>
      <c r="Y362" s="202">
        <f>新平!U5</f>
        <v>0</v>
      </c>
      <c r="Z362" s="202">
        <f>新平!V5</f>
        <v>0</v>
      </c>
      <c r="AA362" s="202">
        <f>新平!W5</f>
        <v>0</v>
      </c>
      <c r="AB362" s="202">
        <f>新平!X5</f>
        <v>0</v>
      </c>
      <c r="AC362" s="202">
        <f>新平!Y5</f>
        <v>0</v>
      </c>
      <c r="AD362" s="202">
        <f>新平!Z5</f>
        <v>0</v>
      </c>
      <c r="AE362" s="202">
        <f>新平!AA5</f>
        <v>0</v>
      </c>
      <c r="AF362" s="202">
        <f>新平!AB5</f>
        <v>0</v>
      </c>
      <c r="AG362" s="202">
        <f>新平!AC5</f>
        <v>0</v>
      </c>
      <c r="AH362" s="202">
        <f>新平!AD5</f>
        <v>0</v>
      </c>
      <c r="AI362" s="202">
        <f>新平!AE5</f>
        <v>0</v>
      </c>
      <c r="AJ362" s="202">
        <f>新平!AF5</f>
        <v>0</v>
      </c>
      <c r="AK362" s="165" t="str">
        <f>新平!AG5</f>
        <v>新平县者竜乡者竜村</v>
      </c>
      <c r="AL362" s="165" t="str">
        <f>新平!AH5</f>
        <v>20160815</v>
      </c>
      <c r="AM362" s="165">
        <f>新平!AI5</f>
        <v>0</v>
      </c>
      <c r="AN362" s="165">
        <f>新平!AJ5</f>
        <v>0</v>
      </c>
      <c r="AO362" s="165" t="str">
        <f>新平!AK5</f>
        <v>2688340-17734928</v>
      </c>
      <c r="AP362" s="263">
        <v>10</v>
      </c>
      <c r="AQ362" s="209">
        <f>新平!AM5</f>
        <v>0</v>
      </c>
      <c r="AR362" s="295">
        <f>新平!AN5</f>
        <v>2</v>
      </c>
      <c r="AS362" s="199" t="str">
        <f>新平!AO5</f>
        <v>532428197303171911</v>
      </c>
      <c r="AT362" s="199" t="str">
        <f>新平!AP5</f>
        <v>18088911760</v>
      </c>
    </row>
    <row r="363" spans="1:46">
      <c r="A363" s="165" t="s">
        <v>1922</v>
      </c>
      <c r="B363" s="202" t="str">
        <f>VLOOKUP(A363,databases!$A$2:$B$7, 2, FALSE)</f>
        <v>XinPing</v>
      </c>
      <c r="C363" s="165" t="str">
        <f>新平!B2</f>
        <v>李发新</v>
      </c>
      <c r="D363" s="283" t="str">
        <f>VLOOKUP(C363,databases!$D$2:$E$145, 2, FALSE)</f>
        <v>R40</v>
      </c>
      <c r="E363" s="284" t="str">
        <f>INDEX(sample_database!$B$2:$B$506,MATCH(F363,sample_database!$L$2:$L$506,0))</f>
        <v>NA</v>
      </c>
      <c r="F363" s="202" t="str">
        <f>新平!A2</f>
        <v>XP001</v>
      </c>
      <c r="G363" s="257">
        <f>新平!C2</f>
        <v>6</v>
      </c>
      <c r="H363" s="257">
        <f>新平!D2</f>
        <v>0</v>
      </c>
      <c r="I363" s="202">
        <f>新平!E2</f>
        <v>73</v>
      </c>
      <c r="J363" s="202">
        <f>新平!F2</f>
        <v>13</v>
      </c>
      <c r="K363" s="202">
        <f>新平!G2</f>
        <v>12</v>
      </c>
      <c r="L363" s="202">
        <f>新平!H2</f>
        <v>15</v>
      </c>
      <c r="M363" s="202">
        <f>新平!I2</f>
        <v>8</v>
      </c>
      <c r="N363" s="202">
        <f>新平!J2</f>
        <v>14</v>
      </c>
      <c r="O363" s="202">
        <f>新平!K2</f>
        <v>11</v>
      </c>
      <c r="P363" s="202">
        <f>新平!L2</f>
        <v>0</v>
      </c>
      <c r="Q363" s="202">
        <f>新平!M2</f>
        <v>0</v>
      </c>
      <c r="R363" s="202">
        <f>新平!N2</f>
        <v>0</v>
      </c>
      <c r="S363" s="202">
        <f>新平!O2</f>
        <v>0</v>
      </c>
      <c r="T363" s="202">
        <f>新平!P2</f>
        <v>0</v>
      </c>
      <c r="U363" s="202">
        <f>新平!Q2</f>
        <v>0</v>
      </c>
      <c r="V363" s="202">
        <f>新平!R2</f>
        <v>0</v>
      </c>
      <c r="W363" s="202">
        <f>新平!S2</f>
        <v>0</v>
      </c>
      <c r="X363" s="202">
        <f>新平!T2</f>
        <v>0</v>
      </c>
      <c r="Y363" s="202">
        <f>新平!U2</f>
        <v>0</v>
      </c>
      <c r="Z363" s="202">
        <f>新平!V2</f>
        <v>0</v>
      </c>
      <c r="AA363" s="202">
        <f>新平!W2</f>
        <v>0</v>
      </c>
      <c r="AB363" s="202">
        <f>新平!X2</f>
        <v>0</v>
      </c>
      <c r="AC363" s="202">
        <f>新平!Y2</f>
        <v>0</v>
      </c>
      <c r="AD363" s="202">
        <f>新平!Z2</f>
        <v>0</v>
      </c>
      <c r="AE363" s="202">
        <f>新平!AA2</f>
        <v>0</v>
      </c>
      <c r="AF363" s="202">
        <f>新平!AB2</f>
        <v>0</v>
      </c>
      <c r="AG363" s="202">
        <f>新平!AC2</f>
        <v>0</v>
      </c>
      <c r="AH363" s="202">
        <f>新平!AD2</f>
        <v>0</v>
      </c>
      <c r="AI363" s="202">
        <f>新平!AE2</f>
        <v>0</v>
      </c>
      <c r="AJ363" s="202">
        <f>新平!AF2</f>
        <v>0</v>
      </c>
      <c r="AK363" s="165" t="str">
        <f>新平!AG2</f>
        <v>新平县者竜乡者竜村</v>
      </c>
      <c r="AL363" s="165" t="str">
        <f>新平!AH2</f>
        <v>20160814</v>
      </c>
      <c r="AM363" s="165">
        <f>新平!AI2</f>
        <v>0</v>
      </c>
      <c r="AN363" s="165">
        <f>新平!AJ2</f>
        <v>0</v>
      </c>
      <c r="AO363" s="165" t="str">
        <f>新平!AK2</f>
        <v>2690663-17736115</v>
      </c>
      <c r="AP363" s="263">
        <v>15</v>
      </c>
      <c r="AQ363" s="209">
        <f>新平!AM2</f>
        <v>0</v>
      </c>
      <c r="AR363" s="295">
        <f>新平!AN2</f>
        <v>3</v>
      </c>
      <c r="AS363" s="199" t="str">
        <f>新平!AO2</f>
        <v>532428197303171911</v>
      </c>
      <c r="AT363" s="199" t="str">
        <f>新平!AP2</f>
        <v>18088911760</v>
      </c>
    </row>
    <row r="364" spans="1:46">
      <c r="A364" s="165" t="s">
        <v>1922</v>
      </c>
      <c r="B364" s="202" t="str">
        <f>VLOOKUP(A364,databases!$A$2:$B$7, 2, FALSE)</f>
        <v>XinPing</v>
      </c>
      <c r="C364" s="165" t="str">
        <f>新平!B3</f>
        <v>李发新</v>
      </c>
      <c r="D364" s="283" t="str">
        <f>VLOOKUP(C364,databases!$D$2:$E$145, 2, FALSE)</f>
        <v>R40</v>
      </c>
      <c r="E364" s="284" t="str">
        <f>INDEX(sample_database!$B$2:$B$506,MATCH(F364,sample_database!$L$2:$L$506,0))</f>
        <v>NA</v>
      </c>
      <c r="F364" s="202" t="str">
        <f>新平!A3</f>
        <v>XP002</v>
      </c>
      <c r="G364" s="257">
        <f>新平!C3</f>
        <v>3</v>
      </c>
      <c r="H364" s="257">
        <f>新平!D3</f>
        <v>0</v>
      </c>
      <c r="I364" s="202">
        <f>新平!E3</f>
        <v>47</v>
      </c>
      <c r="J364" s="202">
        <f>新平!F3</f>
        <v>19</v>
      </c>
      <c r="K364" s="202">
        <f>新平!G3</f>
        <v>14</v>
      </c>
      <c r="L364" s="202">
        <f>新平!H3</f>
        <v>14</v>
      </c>
      <c r="M364" s="202">
        <f>新平!I3</f>
        <v>0</v>
      </c>
      <c r="N364" s="202">
        <f>新平!J3</f>
        <v>0</v>
      </c>
      <c r="O364" s="202">
        <f>新平!K3</f>
        <v>0</v>
      </c>
      <c r="P364" s="202">
        <f>新平!L3</f>
        <v>0</v>
      </c>
      <c r="Q364" s="202">
        <f>新平!M3</f>
        <v>0</v>
      </c>
      <c r="R364" s="202">
        <f>新平!N3</f>
        <v>0</v>
      </c>
      <c r="S364" s="202">
        <f>新平!O3</f>
        <v>0</v>
      </c>
      <c r="T364" s="202">
        <f>新平!P3</f>
        <v>0</v>
      </c>
      <c r="U364" s="202">
        <f>新平!Q3</f>
        <v>0</v>
      </c>
      <c r="V364" s="202">
        <f>新平!R3</f>
        <v>0</v>
      </c>
      <c r="W364" s="202">
        <f>新平!S3</f>
        <v>0</v>
      </c>
      <c r="X364" s="202">
        <f>新平!T3</f>
        <v>0</v>
      </c>
      <c r="Y364" s="202">
        <f>新平!U3</f>
        <v>0</v>
      </c>
      <c r="Z364" s="202">
        <f>新平!V3</f>
        <v>0</v>
      </c>
      <c r="AA364" s="202">
        <f>新平!W3</f>
        <v>0</v>
      </c>
      <c r="AB364" s="202">
        <f>新平!X3</f>
        <v>0</v>
      </c>
      <c r="AC364" s="202">
        <f>新平!Y3</f>
        <v>0</v>
      </c>
      <c r="AD364" s="202">
        <f>新平!Z3</f>
        <v>0</v>
      </c>
      <c r="AE364" s="202">
        <f>新平!AA3</f>
        <v>0</v>
      </c>
      <c r="AF364" s="202">
        <f>新平!AB3</f>
        <v>0</v>
      </c>
      <c r="AG364" s="202">
        <f>新平!AC3</f>
        <v>0</v>
      </c>
      <c r="AH364" s="202">
        <f>新平!AD3</f>
        <v>0</v>
      </c>
      <c r="AI364" s="202">
        <f>新平!AE3</f>
        <v>0</v>
      </c>
      <c r="AJ364" s="202">
        <f>新平!AF3</f>
        <v>0</v>
      </c>
      <c r="AK364" s="165" t="str">
        <f>新平!AG3</f>
        <v>新平县者竜乡者竜村</v>
      </c>
      <c r="AL364" s="165" t="str">
        <f>新平!AH3</f>
        <v>20160814</v>
      </c>
      <c r="AM364" s="165">
        <f>新平!AI3</f>
        <v>0</v>
      </c>
      <c r="AN364" s="165">
        <f>新平!AJ3</f>
        <v>0</v>
      </c>
      <c r="AO364" s="165" t="str">
        <f>新平!AK3</f>
        <v>2689661-17735663</v>
      </c>
      <c r="AP364" s="263">
        <v>6</v>
      </c>
      <c r="AQ364" s="209">
        <f>新平!AM3</f>
        <v>0</v>
      </c>
      <c r="AR364" s="295">
        <f>新平!AN3</f>
        <v>1.2</v>
      </c>
      <c r="AS364" s="199" t="str">
        <f>新平!AO3</f>
        <v>532428197303171911</v>
      </c>
      <c r="AT364" s="199" t="str">
        <f>新平!AP3</f>
        <v>18088911760</v>
      </c>
    </row>
    <row r="365" spans="1:46">
      <c r="A365" s="165" t="s">
        <v>1922</v>
      </c>
      <c r="B365" s="202" t="str">
        <f>VLOOKUP(A365,databases!$A$2:$B$7, 2, FALSE)</f>
        <v>XinPing</v>
      </c>
      <c r="C365" s="165" t="str">
        <f>新平!B4</f>
        <v>李发新</v>
      </c>
      <c r="D365" s="283" t="str">
        <f>VLOOKUP(C365,databases!$D$2:$E$145, 2, FALSE)</f>
        <v>R40</v>
      </c>
      <c r="E365" s="284" t="str">
        <f>INDEX(sample_database!$B$2:$B$506,MATCH(F365,sample_database!$L$2:$L$506,0))</f>
        <v>NA</v>
      </c>
      <c r="F365" s="202" t="str">
        <f>新平!A4</f>
        <v>XP003</v>
      </c>
      <c r="G365" s="257">
        <f>新平!C4</f>
        <v>4</v>
      </c>
      <c r="H365" s="257">
        <f>新平!D4</f>
        <v>0</v>
      </c>
      <c r="I365" s="202">
        <f>新平!E4</f>
        <v>51</v>
      </c>
      <c r="J365" s="202">
        <f>新平!F4</f>
        <v>10</v>
      </c>
      <c r="K365" s="202">
        <f>新平!G4</f>
        <v>13</v>
      </c>
      <c r="L365" s="202">
        <f>新平!H4</f>
        <v>12</v>
      </c>
      <c r="M365" s="202">
        <f>新平!I4</f>
        <v>16</v>
      </c>
      <c r="N365" s="202">
        <f>新平!J4</f>
        <v>0</v>
      </c>
      <c r="O365" s="202">
        <f>新平!K4</f>
        <v>0</v>
      </c>
      <c r="P365" s="202">
        <f>新平!L4</f>
        <v>0</v>
      </c>
      <c r="Q365" s="202">
        <f>新平!M4</f>
        <v>0</v>
      </c>
      <c r="R365" s="202">
        <f>新平!N4</f>
        <v>0</v>
      </c>
      <c r="S365" s="202">
        <f>新平!O4</f>
        <v>0</v>
      </c>
      <c r="T365" s="202">
        <f>新平!P4</f>
        <v>0</v>
      </c>
      <c r="U365" s="202">
        <f>新平!Q4</f>
        <v>0</v>
      </c>
      <c r="V365" s="202">
        <f>新平!R4</f>
        <v>0</v>
      </c>
      <c r="W365" s="202">
        <f>新平!S4</f>
        <v>0</v>
      </c>
      <c r="X365" s="202">
        <f>新平!T4</f>
        <v>0</v>
      </c>
      <c r="Y365" s="202">
        <f>新平!U4</f>
        <v>0</v>
      </c>
      <c r="Z365" s="202">
        <f>新平!V4</f>
        <v>0</v>
      </c>
      <c r="AA365" s="202">
        <f>新平!W4</f>
        <v>0</v>
      </c>
      <c r="AB365" s="202">
        <f>新平!X4</f>
        <v>0</v>
      </c>
      <c r="AC365" s="202">
        <f>新平!Y4</f>
        <v>0</v>
      </c>
      <c r="AD365" s="202">
        <f>新平!Z4</f>
        <v>0</v>
      </c>
      <c r="AE365" s="202">
        <f>新平!AA4</f>
        <v>0</v>
      </c>
      <c r="AF365" s="202">
        <f>新平!AB4</f>
        <v>0</v>
      </c>
      <c r="AG365" s="202">
        <f>新平!AC4</f>
        <v>0</v>
      </c>
      <c r="AH365" s="202">
        <f>新平!AD4</f>
        <v>0</v>
      </c>
      <c r="AI365" s="202">
        <f>新平!AE4</f>
        <v>0</v>
      </c>
      <c r="AJ365" s="202">
        <f>新平!AF4</f>
        <v>0</v>
      </c>
      <c r="AK365" s="165" t="str">
        <f>新平!AG4</f>
        <v>新平县者竜乡者竜村</v>
      </c>
      <c r="AL365" s="165" t="str">
        <f>新平!AH4</f>
        <v>20160815</v>
      </c>
      <c r="AM365" s="165">
        <f>新平!AI4</f>
        <v>0</v>
      </c>
      <c r="AN365" s="165">
        <f>新平!AJ4</f>
        <v>0</v>
      </c>
      <c r="AO365" s="165" t="str">
        <f>新平!AK4</f>
        <v>2689211-17735363</v>
      </c>
      <c r="AP365" s="263">
        <v>10</v>
      </c>
      <c r="AQ365" s="209">
        <f>新平!AM4</f>
        <v>0</v>
      </c>
      <c r="AR365" s="295">
        <f>新平!AN4</f>
        <v>2</v>
      </c>
      <c r="AS365" s="199" t="str">
        <f>新平!AO4</f>
        <v>532428197303171911</v>
      </c>
      <c r="AT365" s="199" t="str">
        <f>新平!AP4</f>
        <v>18088911760</v>
      </c>
    </row>
    <row r="366" spans="1:46">
      <c r="A366" s="165" t="s">
        <v>1922</v>
      </c>
      <c r="B366" s="202" t="str">
        <f>VLOOKUP(A366,databases!$A$2:$B$7, 2, FALSE)</f>
        <v>XinPing</v>
      </c>
      <c r="C366" s="165" t="str">
        <f>新平!B6</f>
        <v>李发新</v>
      </c>
      <c r="D366" s="285" t="str">
        <f>VLOOKUP(C366,databases!$D$2:$E$145, 2, FALSE)</f>
        <v>R40</v>
      </c>
      <c r="E366" s="286" t="str">
        <f>INDEX(sample_database!$B$2:$B$506,MATCH(F366,sample_database!$L$2:$L$506,0))</f>
        <v>NA</v>
      </c>
      <c r="F366" s="202" t="str">
        <f>新平!A6</f>
        <v>XP005</v>
      </c>
      <c r="G366" s="257">
        <f>新平!C6</f>
        <v>3</v>
      </c>
      <c r="H366" s="257">
        <f>新平!D6</f>
        <v>0</v>
      </c>
      <c r="I366" s="202">
        <f>新平!E6</f>
        <v>39</v>
      </c>
      <c r="J366" s="202">
        <f>新平!F6</f>
        <v>15</v>
      </c>
      <c r="K366" s="202">
        <f>新平!G6</f>
        <v>9</v>
      </c>
      <c r="L366" s="202">
        <f>新平!H6</f>
        <v>15</v>
      </c>
      <c r="M366" s="202">
        <f>新平!I6</f>
        <v>0</v>
      </c>
      <c r="N366" s="202">
        <f>新平!J6</f>
        <v>0</v>
      </c>
      <c r="O366" s="202">
        <f>新平!K6</f>
        <v>0</v>
      </c>
      <c r="P366" s="202">
        <f>新平!L6</f>
        <v>0</v>
      </c>
      <c r="Q366" s="202">
        <f>新平!M6</f>
        <v>0</v>
      </c>
      <c r="R366" s="202">
        <f>新平!N6</f>
        <v>0</v>
      </c>
      <c r="S366" s="202">
        <f>新平!O6</f>
        <v>0</v>
      </c>
      <c r="T366" s="202">
        <f>新平!P6</f>
        <v>0</v>
      </c>
      <c r="U366" s="202">
        <f>新平!Q6</f>
        <v>0</v>
      </c>
      <c r="V366" s="202">
        <f>新平!R6</f>
        <v>0</v>
      </c>
      <c r="W366" s="202">
        <f>新平!S6</f>
        <v>0</v>
      </c>
      <c r="X366" s="202">
        <f>新平!T6</f>
        <v>0</v>
      </c>
      <c r="Y366" s="202">
        <f>新平!U6</f>
        <v>0</v>
      </c>
      <c r="Z366" s="202">
        <f>新平!V6</f>
        <v>0</v>
      </c>
      <c r="AA366" s="202">
        <f>新平!W6</f>
        <v>0</v>
      </c>
      <c r="AB366" s="202">
        <f>新平!X6</f>
        <v>0</v>
      </c>
      <c r="AC366" s="202">
        <f>新平!Y6</f>
        <v>0</v>
      </c>
      <c r="AD366" s="202">
        <f>新平!Z6</f>
        <v>0</v>
      </c>
      <c r="AE366" s="202">
        <f>新平!AA6</f>
        <v>0</v>
      </c>
      <c r="AF366" s="202">
        <f>新平!AB6</f>
        <v>0</v>
      </c>
      <c r="AG366" s="202">
        <f>新平!AC6</f>
        <v>0</v>
      </c>
      <c r="AH366" s="202">
        <f>新平!AD6</f>
        <v>0</v>
      </c>
      <c r="AI366" s="202">
        <f>新平!AE6</f>
        <v>0</v>
      </c>
      <c r="AJ366" s="202">
        <f>新平!AF6</f>
        <v>0</v>
      </c>
      <c r="AK366" s="165" t="str">
        <f>新平!AG6</f>
        <v>新平县者竜乡者竜村</v>
      </c>
      <c r="AL366" s="165" t="str">
        <f>新平!AH6</f>
        <v>20160922</v>
      </c>
      <c r="AM366" s="165">
        <f>新平!AI6</f>
        <v>0</v>
      </c>
      <c r="AN366" s="165">
        <f>新平!AJ6</f>
        <v>0</v>
      </c>
      <c r="AO366" s="165" t="str">
        <f>新平!AK6</f>
        <v>2691102-17734351</v>
      </c>
      <c r="AP366" s="263">
        <v>7.5</v>
      </c>
      <c r="AQ366" s="209">
        <f>新平!AM6</f>
        <v>0</v>
      </c>
      <c r="AR366" s="295">
        <f>新平!AN6</f>
        <v>1.5</v>
      </c>
      <c r="AS366" s="199" t="str">
        <f>新平!AO6</f>
        <v>532428197303171911</v>
      </c>
      <c r="AT366" s="199" t="str">
        <f>新平!AP6</f>
        <v>18088911760</v>
      </c>
    </row>
    <row r="367" spans="1:46">
      <c r="A367" s="165" t="s">
        <v>1922</v>
      </c>
      <c r="B367" s="202" t="str">
        <f>VLOOKUP(A367,databases!$A$2:$B$7, 2, FALSE)</f>
        <v>XinPing</v>
      </c>
      <c r="C367" s="165" t="str">
        <f>新平!B57</f>
        <v>李天荣</v>
      </c>
      <c r="D367" s="202" t="str">
        <f>VLOOKUP(C367,databases!$D$2:$E$145, 2, FALSE)</f>
        <v>R42</v>
      </c>
      <c r="E367" s="259">
        <f>INDEX(sample_database!$B$2:$B$506,MATCH(F367,sample_database!$L$2:$L$506,0))</f>
        <v>0</v>
      </c>
      <c r="F367" s="202" t="str">
        <f>新平!A57</f>
        <v>XP056</v>
      </c>
      <c r="G367" s="257">
        <f>新平!C57</f>
        <v>6</v>
      </c>
      <c r="H367" s="257">
        <f>新平!D57</f>
        <v>0</v>
      </c>
      <c r="I367" s="202">
        <f>新平!E57</f>
        <v>42</v>
      </c>
      <c r="J367" s="202">
        <f>新平!F57</f>
        <v>7</v>
      </c>
      <c r="K367" s="202">
        <f>新平!G57</f>
        <v>10</v>
      </c>
      <c r="L367" s="202">
        <f>新平!H57</f>
        <v>4</v>
      </c>
      <c r="M367" s="202">
        <f>新平!I57</f>
        <v>6</v>
      </c>
      <c r="N367" s="202">
        <f>新平!J57</f>
        <v>8</v>
      </c>
      <c r="O367" s="202">
        <f>新平!K57</f>
        <v>7</v>
      </c>
      <c r="P367" s="202">
        <f>新平!L57</f>
        <v>0</v>
      </c>
      <c r="Q367" s="202">
        <f>新平!M57</f>
        <v>0</v>
      </c>
      <c r="R367" s="202">
        <f>新平!N57</f>
        <v>0</v>
      </c>
      <c r="S367" s="202">
        <f>新平!O57</f>
        <v>0</v>
      </c>
      <c r="T367" s="202">
        <f>新平!P57</f>
        <v>0</v>
      </c>
      <c r="U367" s="202">
        <f>新平!Q57</f>
        <v>0</v>
      </c>
      <c r="V367" s="202">
        <f>新平!R57</f>
        <v>0</v>
      </c>
      <c r="W367" s="202">
        <f>新平!S57</f>
        <v>0</v>
      </c>
      <c r="X367" s="202">
        <f>新平!T57</f>
        <v>0</v>
      </c>
      <c r="Y367" s="202">
        <f>新平!U57</f>
        <v>0</v>
      </c>
      <c r="Z367" s="202">
        <f>新平!V57</f>
        <v>0</v>
      </c>
      <c r="AA367" s="202">
        <f>新平!W57</f>
        <v>0</v>
      </c>
      <c r="AB367" s="202">
        <f>新平!X57</f>
        <v>0</v>
      </c>
      <c r="AC367" s="202">
        <f>新平!Y57</f>
        <v>0</v>
      </c>
      <c r="AD367" s="202">
        <f>新平!Z57</f>
        <v>0</v>
      </c>
      <c r="AE367" s="202">
        <f>新平!AA57</f>
        <v>0</v>
      </c>
      <c r="AF367" s="202">
        <f>新平!AB57</f>
        <v>0</v>
      </c>
      <c r="AG367" s="202">
        <f>新平!AC57</f>
        <v>0</v>
      </c>
      <c r="AH367" s="202">
        <f>新平!AD57</f>
        <v>0</v>
      </c>
      <c r="AI367" s="202">
        <f>新平!AE57</f>
        <v>0</v>
      </c>
      <c r="AJ367" s="202">
        <f>新平!AF57</f>
        <v>0</v>
      </c>
      <c r="AK367" s="165" t="str">
        <f>新平!AG57</f>
        <v>新平者竜庆丰社区</v>
      </c>
      <c r="AL367" s="165" t="str">
        <f>新平!AH57</f>
        <v>20160706</v>
      </c>
      <c r="AM367" s="165">
        <f>新平!AI57</f>
        <v>0</v>
      </c>
      <c r="AN367" s="165">
        <f>新平!AJ57</f>
        <v>0</v>
      </c>
      <c r="AO367" s="165" t="str">
        <f>新平!AK57</f>
        <v>2684028-17735311</v>
      </c>
      <c r="AP367" s="263">
        <v>7.5</v>
      </c>
      <c r="AQ367" s="209">
        <f>新平!AM57</f>
        <v>0</v>
      </c>
      <c r="AR367" s="295">
        <f>新平!AN57</f>
        <v>1.5</v>
      </c>
      <c r="AS367" s="199" t="str">
        <f>新平!AO57</f>
        <v>532428196402021910</v>
      </c>
      <c r="AT367" s="199" t="str">
        <f>新平!AP57</f>
        <v>15987718497</v>
      </c>
    </row>
    <row r="368" spans="1:46">
      <c r="A368" s="165" t="s">
        <v>1922</v>
      </c>
      <c r="B368" s="202" t="str">
        <f>VLOOKUP(A368,databases!$A$2:$B$7, 2, FALSE)</f>
        <v>XinPing</v>
      </c>
      <c r="C368" s="165" t="str">
        <f>新平!B58</f>
        <v>李天荣</v>
      </c>
      <c r="D368" s="202" t="str">
        <f>VLOOKUP(C368,databases!$D$2:$E$145, 2, FALSE)</f>
        <v>R42</v>
      </c>
      <c r="E368" s="259">
        <f>INDEX(sample_database!$B$2:$B$506,MATCH(F368,sample_database!$L$2:$L$506,0))</f>
        <v>0</v>
      </c>
      <c r="F368" s="202" t="str">
        <f>新平!A58</f>
        <v>XP057</v>
      </c>
      <c r="G368" s="257">
        <f>新平!C58</f>
        <v>5</v>
      </c>
      <c r="H368" s="257">
        <f>新平!D58</f>
        <v>0</v>
      </c>
      <c r="I368" s="202">
        <f>新平!E58</f>
        <v>34</v>
      </c>
      <c r="J368" s="202">
        <f>新平!F58</f>
        <v>5</v>
      </c>
      <c r="K368" s="202">
        <f>新平!G58</f>
        <v>17</v>
      </c>
      <c r="L368" s="202">
        <f>新平!H58</f>
        <v>5</v>
      </c>
      <c r="M368" s="202">
        <f>新平!I58</f>
        <v>3</v>
      </c>
      <c r="N368" s="202">
        <f>新平!J58</f>
        <v>4</v>
      </c>
      <c r="O368" s="202">
        <f>新平!K58</f>
        <v>0</v>
      </c>
      <c r="P368" s="202">
        <f>新平!L58</f>
        <v>0</v>
      </c>
      <c r="Q368" s="202">
        <f>新平!M58</f>
        <v>0</v>
      </c>
      <c r="R368" s="202">
        <f>新平!N58</f>
        <v>0</v>
      </c>
      <c r="S368" s="202">
        <f>新平!O58</f>
        <v>0</v>
      </c>
      <c r="T368" s="202">
        <f>新平!P58</f>
        <v>0</v>
      </c>
      <c r="U368" s="202">
        <f>新平!Q58</f>
        <v>0</v>
      </c>
      <c r="V368" s="202">
        <f>新平!R58</f>
        <v>0</v>
      </c>
      <c r="W368" s="202">
        <f>新平!S58</f>
        <v>0</v>
      </c>
      <c r="X368" s="202">
        <f>新平!T58</f>
        <v>0</v>
      </c>
      <c r="Y368" s="202">
        <f>新平!U58</f>
        <v>0</v>
      </c>
      <c r="Z368" s="202">
        <f>新平!V58</f>
        <v>0</v>
      </c>
      <c r="AA368" s="202">
        <f>新平!W58</f>
        <v>0</v>
      </c>
      <c r="AB368" s="202">
        <f>新平!X58</f>
        <v>0</v>
      </c>
      <c r="AC368" s="202">
        <f>新平!Y58</f>
        <v>0</v>
      </c>
      <c r="AD368" s="202">
        <f>新平!Z58</f>
        <v>0</v>
      </c>
      <c r="AE368" s="202">
        <f>新平!AA58</f>
        <v>0</v>
      </c>
      <c r="AF368" s="202">
        <f>新平!AB58</f>
        <v>0</v>
      </c>
      <c r="AG368" s="202">
        <f>新平!AC58</f>
        <v>0</v>
      </c>
      <c r="AH368" s="202">
        <f>新平!AD58</f>
        <v>0</v>
      </c>
      <c r="AI368" s="202">
        <f>新平!AE58</f>
        <v>0</v>
      </c>
      <c r="AJ368" s="202">
        <f>新平!AF58</f>
        <v>0</v>
      </c>
      <c r="AK368" s="165" t="str">
        <f>新平!AG58</f>
        <v>新平者竜庆丰社区</v>
      </c>
      <c r="AL368" s="165" t="str">
        <f>新平!AH58</f>
        <v>20160706</v>
      </c>
      <c r="AM368" s="165">
        <f>新平!AI58</f>
        <v>0</v>
      </c>
      <c r="AN368" s="165">
        <f>新平!AJ58</f>
        <v>0</v>
      </c>
      <c r="AO368" s="165" t="str">
        <f>新平!AK58</f>
        <v>2685126-17736371</v>
      </c>
      <c r="AP368" s="263">
        <v>10</v>
      </c>
      <c r="AQ368" s="209">
        <f>新平!AM58</f>
        <v>0</v>
      </c>
      <c r="AR368" s="295">
        <f>新平!AN58</f>
        <v>2</v>
      </c>
      <c r="AS368" s="199" t="str">
        <f>新平!AO58</f>
        <v>532428196402021910</v>
      </c>
      <c r="AT368" s="199" t="str">
        <f>新平!AP58</f>
        <v>15987718497</v>
      </c>
    </row>
    <row r="369" spans="1:46">
      <c r="A369" s="165" t="s">
        <v>1922</v>
      </c>
      <c r="B369" s="202" t="str">
        <f>VLOOKUP(A369,databases!$A$2:$B$7, 2, FALSE)</f>
        <v>XinPing</v>
      </c>
      <c r="C369" s="165" t="str">
        <f>新平!B59</f>
        <v>李天荣</v>
      </c>
      <c r="D369" s="202" t="str">
        <f>VLOOKUP(C369,databases!$D$2:$E$145, 2, FALSE)</f>
        <v>R42</v>
      </c>
      <c r="E369" s="259">
        <f>INDEX(sample_database!$B$2:$B$506,MATCH(F369,sample_database!$L$2:$L$506,0))</f>
        <v>0</v>
      </c>
      <c r="F369" s="202" t="str">
        <f>新平!A59</f>
        <v>XP058</v>
      </c>
      <c r="G369" s="257">
        <f>新平!C59</f>
        <v>5</v>
      </c>
      <c r="H369" s="257">
        <f>新平!D59</f>
        <v>0</v>
      </c>
      <c r="I369" s="202">
        <f>新平!E59</f>
        <v>43</v>
      </c>
      <c r="J369" s="202">
        <f>新平!F59</f>
        <v>21</v>
      </c>
      <c r="K369" s="202">
        <f>新平!G59</f>
        <v>12</v>
      </c>
      <c r="L369" s="202">
        <f>新平!H59</f>
        <v>7</v>
      </c>
      <c r="M369" s="202">
        <f>新平!I59</f>
        <v>2</v>
      </c>
      <c r="N369" s="202">
        <f>新平!J59</f>
        <v>1</v>
      </c>
      <c r="O369" s="202">
        <f>新平!K59</f>
        <v>0</v>
      </c>
      <c r="P369" s="202">
        <f>新平!L59</f>
        <v>0</v>
      </c>
      <c r="Q369" s="202">
        <f>新平!M59</f>
        <v>0</v>
      </c>
      <c r="R369" s="202">
        <f>新平!N59</f>
        <v>0</v>
      </c>
      <c r="S369" s="202">
        <f>新平!O59</f>
        <v>0</v>
      </c>
      <c r="T369" s="202">
        <f>新平!P59</f>
        <v>0</v>
      </c>
      <c r="U369" s="202">
        <f>新平!Q59</f>
        <v>0</v>
      </c>
      <c r="V369" s="202">
        <f>新平!R59</f>
        <v>0</v>
      </c>
      <c r="W369" s="202">
        <f>新平!S59</f>
        <v>0</v>
      </c>
      <c r="X369" s="202">
        <f>新平!T59</f>
        <v>0</v>
      </c>
      <c r="Y369" s="202">
        <f>新平!U59</f>
        <v>0</v>
      </c>
      <c r="Z369" s="202">
        <f>新平!V59</f>
        <v>0</v>
      </c>
      <c r="AA369" s="202">
        <f>新平!W59</f>
        <v>0</v>
      </c>
      <c r="AB369" s="202">
        <f>新平!X59</f>
        <v>0</v>
      </c>
      <c r="AC369" s="202">
        <f>新平!Y59</f>
        <v>0</v>
      </c>
      <c r="AD369" s="202">
        <f>新平!Z59</f>
        <v>0</v>
      </c>
      <c r="AE369" s="202">
        <f>新平!AA59</f>
        <v>0</v>
      </c>
      <c r="AF369" s="202">
        <f>新平!AB59</f>
        <v>0</v>
      </c>
      <c r="AG369" s="202">
        <f>新平!AC59</f>
        <v>0</v>
      </c>
      <c r="AH369" s="202">
        <f>新平!AD59</f>
        <v>0</v>
      </c>
      <c r="AI369" s="202">
        <f>新平!AE59</f>
        <v>0</v>
      </c>
      <c r="AJ369" s="202">
        <f>新平!AF59</f>
        <v>0</v>
      </c>
      <c r="AK369" s="165" t="str">
        <f>新平!AG59</f>
        <v>新平者竜庆丰社区</v>
      </c>
      <c r="AL369" s="165" t="str">
        <f>新平!AH59</f>
        <v>20160707</v>
      </c>
      <c r="AM369" s="165">
        <f>新平!AI59</f>
        <v>0</v>
      </c>
      <c r="AN369" s="165">
        <f>新平!AJ59</f>
        <v>0</v>
      </c>
      <c r="AO369" s="165" t="str">
        <f>新平!AK59</f>
        <v>2682330-17736317</v>
      </c>
      <c r="AP369" s="263">
        <v>12.5</v>
      </c>
      <c r="AQ369" s="209">
        <f>新平!AM59</f>
        <v>0</v>
      </c>
      <c r="AR369" s="295">
        <f>新平!AN59</f>
        <v>2.5</v>
      </c>
      <c r="AS369" s="199" t="str">
        <f>新平!AO59</f>
        <v>532428196402021910</v>
      </c>
      <c r="AT369" s="199" t="str">
        <f>新平!AP59</f>
        <v>15987718497</v>
      </c>
    </row>
    <row r="370" spans="1:46">
      <c r="A370" s="253" t="s">
        <v>1922</v>
      </c>
      <c r="B370" s="202" t="str">
        <f>VLOOKUP(A370,databases!$A$2:$B$7, 2, FALSE)</f>
        <v>XinPing</v>
      </c>
      <c r="C370" s="253" t="str">
        <f>新平!B60</f>
        <v>李天荣</v>
      </c>
      <c r="D370" s="202" t="str">
        <f>VLOOKUP(C370,databases!$D$2:$E$145, 2, FALSE)</f>
        <v>R42</v>
      </c>
      <c r="E370" s="259">
        <f>INDEX(sample_database!$B$2:$B$506,MATCH(F370,sample_database!$L$2:$L$506,0))</f>
        <v>0</v>
      </c>
      <c r="F370" s="236" t="str">
        <f>新平!A60</f>
        <v>XP059</v>
      </c>
      <c r="G370" s="258">
        <f>新平!C60</f>
        <v>6</v>
      </c>
      <c r="H370" s="258">
        <f>新平!D60</f>
        <v>0</v>
      </c>
      <c r="I370" s="236">
        <f>新平!E60</f>
        <v>70</v>
      </c>
      <c r="J370" s="236">
        <f>新平!F60</f>
        <v>14</v>
      </c>
      <c r="K370" s="236">
        <f>新平!G60</f>
        <v>19</v>
      </c>
      <c r="L370" s="236">
        <f>新平!H60</f>
        <v>17</v>
      </c>
      <c r="M370" s="236">
        <f>新平!I60</f>
        <v>13</v>
      </c>
      <c r="N370" s="236">
        <f>新平!J60</f>
        <v>4</v>
      </c>
      <c r="O370" s="236">
        <f>新平!K60</f>
        <v>3</v>
      </c>
      <c r="P370" s="236">
        <f>新平!L60</f>
        <v>0</v>
      </c>
      <c r="Q370" s="236">
        <f>新平!M60</f>
        <v>0</v>
      </c>
      <c r="R370" s="236">
        <f>新平!N60</f>
        <v>0</v>
      </c>
      <c r="S370" s="236">
        <f>新平!O60</f>
        <v>0</v>
      </c>
      <c r="T370" s="236">
        <f>新平!P60</f>
        <v>0</v>
      </c>
      <c r="U370" s="236">
        <f>新平!Q60</f>
        <v>0</v>
      </c>
      <c r="V370" s="236">
        <f>新平!R60</f>
        <v>0</v>
      </c>
      <c r="W370" s="236">
        <f>新平!S60</f>
        <v>0</v>
      </c>
      <c r="X370" s="236">
        <f>新平!T60</f>
        <v>0</v>
      </c>
      <c r="Y370" s="236">
        <f>新平!U60</f>
        <v>0</v>
      </c>
      <c r="Z370" s="236">
        <f>新平!V60</f>
        <v>0</v>
      </c>
      <c r="AA370" s="236">
        <f>新平!W60</f>
        <v>0</v>
      </c>
      <c r="AB370" s="236">
        <f>新平!X60</f>
        <v>0</v>
      </c>
      <c r="AC370" s="236">
        <f>新平!Y60</f>
        <v>0</v>
      </c>
      <c r="AD370" s="236">
        <f>新平!Z60</f>
        <v>0</v>
      </c>
      <c r="AE370" s="236">
        <f>新平!AA60</f>
        <v>0</v>
      </c>
      <c r="AF370" s="236">
        <f>新平!AB60</f>
        <v>0</v>
      </c>
      <c r="AG370" s="236">
        <f>新平!AC60</f>
        <v>0</v>
      </c>
      <c r="AH370" s="236">
        <f>新平!AD60</f>
        <v>0</v>
      </c>
      <c r="AI370" s="236">
        <f>新平!AE60</f>
        <v>0</v>
      </c>
      <c r="AJ370" s="236">
        <f>新平!AF60</f>
        <v>0</v>
      </c>
      <c r="AK370" s="253" t="str">
        <f>新平!AG60</f>
        <v>新平者竜庆丰社区</v>
      </c>
      <c r="AL370" s="253" t="str">
        <f>新平!AH60</f>
        <v>20160707</v>
      </c>
      <c r="AM370" s="253">
        <f>新平!AI60</f>
        <v>0</v>
      </c>
      <c r="AN370" s="253">
        <f>新平!AJ60</f>
        <v>0</v>
      </c>
      <c r="AO370" s="253" t="str">
        <f>新平!AK60</f>
        <v>2681725-17736683</v>
      </c>
      <c r="AP370" s="264">
        <v>15</v>
      </c>
      <c r="AQ370" s="260">
        <f>新平!AM60</f>
        <v>0</v>
      </c>
      <c r="AR370" s="296">
        <f>新平!AN60</f>
        <v>3</v>
      </c>
      <c r="AS370" s="255" t="str">
        <f>新平!AO60</f>
        <v>532428196402021910</v>
      </c>
      <c r="AT370" s="255" t="str">
        <f>新平!AP60</f>
        <v>15987718497</v>
      </c>
    </row>
    <row r="371" spans="1:46">
      <c r="A371" s="165" t="s">
        <v>1922</v>
      </c>
      <c r="B371" s="202" t="str">
        <f>VLOOKUP(A371,databases!$A$2:$B$7, 2, FALSE)</f>
        <v>XinPing</v>
      </c>
      <c r="C371" s="165" t="str">
        <f>新平!B20</f>
        <v>李家平</v>
      </c>
      <c r="D371" s="202" t="str">
        <f>VLOOKUP(C371,databases!$D$2:$E$145, 2, FALSE)</f>
        <v>R44</v>
      </c>
      <c r="E371" s="259">
        <f>INDEX(sample_database!$B$2:$B$506,MATCH(F371,sample_database!$L$2:$L$506,0))</f>
        <v>152</v>
      </c>
      <c r="F371" s="202" t="str">
        <f>新平!A20</f>
        <v>XP019</v>
      </c>
      <c r="G371" s="257">
        <f>新平!C20</f>
        <v>5</v>
      </c>
      <c r="H371" s="257">
        <f>新平!D20</f>
        <v>0</v>
      </c>
      <c r="I371" s="202">
        <f>新平!E20</f>
        <v>13</v>
      </c>
      <c r="J371" s="202">
        <f>新平!F20</f>
        <v>1</v>
      </c>
      <c r="K371" s="202">
        <f>新平!G20</f>
        <v>1</v>
      </c>
      <c r="L371" s="202">
        <f>新平!H20</f>
        <v>4</v>
      </c>
      <c r="M371" s="202">
        <f>新平!I20</f>
        <v>4</v>
      </c>
      <c r="N371" s="202">
        <f>新平!J20</f>
        <v>3</v>
      </c>
      <c r="O371" s="202">
        <f>新平!K20</f>
        <v>0</v>
      </c>
      <c r="P371" s="202">
        <f>新平!L20</f>
        <v>0</v>
      </c>
      <c r="Q371" s="202">
        <f>新平!M20</f>
        <v>0</v>
      </c>
      <c r="R371" s="202">
        <f>新平!N20</f>
        <v>0</v>
      </c>
      <c r="S371" s="202">
        <f>新平!O20</f>
        <v>0</v>
      </c>
      <c r="T371" s="202">
        <f>新平!P20</f>
        <v>0</v>
      </c>
      <c r="U371" s="202">
        <f>新平!Q20</f>
        <v>0</v>
      </c>
      <c r="V371" s="202">
        <f>新平!R20</f>
        <v>0</v>
      </c>
      <c r="W371" s="202">
        <f>新平!S20</f>
        <v>0</v>
      </c>
      <c r="X371" s="202">
        <f>新平!T20</f>
        <v>0</v>
      </c>
      <c r="Y371" s="202">
        <f>新平!U20</f>
        <v>0</v>
      </c>
      <c r="Z371" s="202">
        <f>新平!V20</f>
        <v>0</v>
      </c>
      <c r="AA371" s="202">
        <f>新平!W20</f>
        <v>0</v>
      </c>
      <c r="AB371" s="202">
        <f>新平!X20</f>
        <v>0</v>
      </c>
      <c r="AC371" s="202">
        <f>新平!Y20</f>
        <v>0</v>
      </c>
      <c r="AD371" s="202">
        <f>新平!Z20</f>
        <v>0</v>
      </c>
      <c r="AE371" s="202">
        <f>新平!AA20</f>
        <v>0</v>
      </c>
      <c r="AF371" s="202">
        <f>新平!AB20</f>
        <v>0</v>
      </c>
      <c r="AG371" s="202">
        <f>新平!AC20</f>
        <v>0</v>
      </c>
      <c r="AH371" s="202">
        <f>新平!AD20</f>
        <v>0</v>
      </c>
      <c r="AI371" s="202">
        <f>新平!AE20</f>
        <v>0</v>
      </c>
      <c r="AJ371" s="202">
        <f>新平!AF20</f>
        <v>0</v>
      </c>
      <c r="AK371" s="165" t="str">
        <f>新平!AG20</f>
        <v>新平者竜渔科村</v>
      </c>
      <c r="AL371" s="165" t="str">
        <f>新平!AH20</f>
        <v>20160704</v>
      </c>
      <c r="AM371" s="165">
        <f>新平!AI20</f>
        <v>0</v>
      </c>
      <c r="AN371" s="165">
        <f>新平!AJ20</f>
        <v>0</v>
      </c>
      <c r="AO371" s="165" t="str">
        <f>新平!AK20</f>
        <v>2682150-17739701</v>
      </c>
      <c r="AP371" s="263">
        <v>3</v>
      </c>
      <c r="AQ371" s="209">
        <f>新平!AM20</f>
        <v>0</v>
      </c>
      <c r="AR371" s="295">
        <f>新平!AN20</f>
        <v>0.6</v>
      </c>
      <c r="AS371" s="199" t="str">
        <f>新平!AO20</f>
        <v>532428196806131917</v>
      </c>
      <c r="AT371" s="199" t="str">
        <f>新平!AP20</f>
        <v>18088911752</v>
      </c>
    </row>
    <row r="372" spans="1:46">
      <c r="A372" s="165" t="s">
        <v>1922</v>
      </c>
      <c r="B372" s="202" t="str">
        <f>VLOOKUP(A372,databases!$A$2:$B$7, 2, FALSE)</f>
        <v>XinPing</v>
      </c>
      <c r="C372" s="165" t="str">
        <f>新平!B21</f>
        <v>李家平</v>
      </c>
      <c r="D372" s="202" t="str">
        <f>VLOOKUP(C372,databases!$D$2:$E$145, 2, FALSE)</f>
        <v>R44</v>
      </c>
      <c r="E372" s="259">
        <f>INDEX(sample_database!$B$2:$B$506,MATCH(F372,sample_database!$L$2:$L$506,0))</f>
        <v>152</v>
      </c>
      <c r="F372" s="202" t="str">
        <f>新平!A21</f>
        <v>XP020</v>
      </c>
      <c r="G372" s="257">
        <f>新平!C21</f>
        <v>5</v>
      </c>
      <c r="H372" s="257">
        <f>新平!D21</f>
        <v>0</v>
      </c>
      <c r="I372" s="202">
        <f>新平!E21</f>
        <v>10</v>
      </c>
      <c r="J372" s="202">
        <f>新平!F21</f>
        <v>2</v>
      </c>
      <c r="K372" s="202">
        <f>新平!G21</f>
        <v>1</v>
      </c>
      <c r="L372" s="202">
        <f>新平!H21</f>
        <v>1</v>
      </c>
      <c r="M372" s="202">
        <f>新平!I21</f>
        <v>2</v>
      </c>
      <c r="N372" s="202">
        <f>新平!J21</f>
        <v>4</v>
      </c>
      <c r="O372" s="202">
        <f>新平!K21</f>
        <v>0</v>
      </c>
      <c r="P372" s="202">
        <f>新平!L21</f>
        <v>0</v>
      </c>
      <c r="Q372" s="202">
        <f>新平!M21</f>
        <v>0</v>
      </c>
      <c r="R372" s="202">
        <f>新平!N21</f>
        <v>0</v>
      </c>
      <c r="S372" s="202">
        <f>新平!O21</f>
        <v>0</v>
      </c>
      <c r="T372" s="202">
        <f>新平!P21</f>
        <v>0</v>
      </c>
      <c r="U372" s="202">
        <f>新平!Q21</f>
        <v>0</v>
      </c>
      <c r="V372" s="202">
        <f>新平!R21</f>
        <v>0</v>
      </c>
      <c r="W372" s="202">
        <f>新平!S21</f>
        <v>0</v>
      </c>
      <c r="X372" s="202">
        <f>新平!T21</f>
        <v>0</v>
      </c>
      <c r="Y372" s="202">
        <f>新平!U21</f>
        <v>0</v>
      </c>
      <c r="Z372" s="202">
        <f>新平!V21</f>
        <v>0</v>
      </c>
      <c r="AA372" s="202">
        <f>新平!W21</f>
        <v>0</v>
      </c>
      <c r="AB372" s="202">
        <f>新平!X21</f>
        <v>0</v>
      </c>
      <c r="AC372" s="202">
        <f>新平!Y21</f>
        <v>0</v>
      </c>
      <c r="AD372" s="202">
        <f>新平!Z21</f>
        <v>0</v>
      </c>
      <c r="AE372" s="202">
        <f>新平!AA21</f>
        <v>0</v>
      </c>
      <c r="AF372" s="202">
        <f>新平!AB21</f>
        <v>0</v>
      </c>
      <c r="AG372" s="202">
        <f>新平!AC21</f>
        <v>0</v>
      </c>
      <c r="AH372" s="202">
        <f>新平!AD21</f>
        <v>0</v>
      </c>
      <c r="AI372" s="202">
        <f>新平!AE21</f>
        <v>0</v>
      </c>
      <c r="AJ372" s="202">
        <f>新平!AF21</f>
        <v>0</v>
      </c>
      <c r="AK372" s="165" t="str">
        <f>新平!AG21</f>
        <v>新平者竜渔科村</v>
      </c>
      <c r="AL372" s="165" t="str">
        <f>新平!AH21</f>
        <v>20160704</v>
      </c>
      <c r="AM372" s="165">
        <f>新平!AI21</f>
        <v>0</v>
      </c>
      <c r="AN372" s="165">
        <f>新平!AJ21</f>
        <v>0</v>
      </c>
      <c r="AO372" s="165" t="str">
        <f>新平!AK21</f>
        <v>2681938-17739901</v>
      </c>
      <c r="AP372" s="263">
        <v>3</v>
      </c>
      <c r="AQ372" s="209">
        <f>新平!AM21</f>
        <v>0</v>
      </c>
      <c r="AR372" s="295">
        <f>新平!AN21</f>
        <v>0.6</v>
      </c>
      <c r="AS372" s="199" t="str">
        <f>新平!AO21</f>
        <v>532428196806131917</v>
      </c>
      <c r="AT372" s="199" t="str">
        <f>新平!AP21</f>
        <v>18088911752</v>
      </c>
    </row>
    <row r="373" spans="1:46">
      <c r="A373" s="165" t="s">
        <v>1922</v>
      </c>
      <c r="B373" s="202" t="str">
        <f>VLOOKUP(A373,databases!$A$2:$B$7, 2, FALSE)</f>
        <v>XinPing</v>
      </c>
      <c r="C373" s="165" t="str">
        <f>新平!B22</f>
        <v>李家平</v>
      </c>
      <c r="D373" s="202" t="str">
        <f>VLOOKUP(C373,databases!$D$2:$E$145, 2, FALSE)</f>
        <v>R44</v>
      </c>
      <c r="E373" s="259">
        <f>INDEX(sample_database!$B$2:$B$506,MATCH(F373,sample_database!$L$2:$L$506,0))</f>
        <v>152</v>
      </c>
      <c r="F373" s="202" t="str">
        <f>新平!A22</f>
        <v>XP021</v>
      </c>
      <c r="G373" s="257">
        <f>新平!C22</f>
        <v>5</v>
      </c>
      <c r="H373" s="257">
        <f>新平!D22</f>
        <v>0</v>
      </c>
      <c r="I373" s="202">
        <f>新平!E22</f>
        <v>16</v>
      </c>
      <c r="J373" s="202">
        <f>新平!F22</f>
        <v>1</v>
      </c>
      <c r="K373" s="202">
        <f>新平!G22</f>
        <v>4</v>
      </c>
      <c r="L373" s="202">
        <f>新平!H22</f>
        <v>5</v>
      </c>
      <c r="M373" s="202">
        <f>新平!I22</f>
        <v>5</v>
      </c>
      <c r="N373" s="202">
        <f>新平!J22</f>
        <v>1</v>
      </c>
      <c r="O373" s="202">
        <f>新平!K22</f>
        <v>0</v>
      </c>
      <c r="P373" s="202">
        <f>新平!L22</f>
        <v>0</v>
      </c>
      <c r="Q373" s="202">
        <f>新平!M22</f>
        <v>0</v>
      </c>
      <c r="R373" s="202">
        <f>新平!N22</f>
        <v>0</v>
      </c>
      <c r="S373" s="202">
        <f>新平!O22</f>
        <v>0</v>
      </c>
      <c r="T373" s="202">
        <f>新平!P22</f>
        <v>0</v>
      </c>
      <c r="U373" s="202">
        <f>新平!Q22</f>
        <v>0</v>
      </c>
      <c r="V373" s="202">
        <f>新平!R22</f>
        <v>0</v>
      </c>
      <c r="W373" s="202">
        <f>新平!S22</f>
        <v>0</v>
      </c>
      <c r="X373" s="202">
        <f>新平!T22</f>
        <v>0</v>
      </c>
      <c r="Y373" s="202">
        <f>新平!U22</f>
        <v>0</v>
      </c>
      <c r="Z373" s="202">
        <f>新平!V22</f>
        <v>0</v>
      </c>
      <c r="AA373" s="202">
        <f>新平!W22</f>
        <v>0</v>
      </c>
      <c r="AB373" s="202">
        <f>新平!X22</f>
        <v>0</v>
      </c>
      <c r="AC373" s="202">
        <f>新平!Y22</f>
        <v>0</v>
      </c>
      <c r="AD373" s="202">
        <f>新平!Z22</f>
        <v>0</v>
      </c>
      <c r="AE373" s="202">
        <f>新平!AA22</f>
        <v>0</v>
      </c>
      <c r="AF373" s="202">
        <f>新平!AB22</f>
        <v>0</v>
      </c>
      <c r="AG373" s="202">
        <f>新平!AC22</f>
        <v>0</v>
      </c>
      <c r="AH373" s="202">
        <f>新平!AD22</f>
        <v>0</v>
      </c>
      <c r="AI373" s="202">
        <f>新平!AE22</f>
        <v>0</v>
      </c>
      <c r="AJ373" s="202">
        <f>新平!AF22</f>
        <v>0</v>
      </c>
      <c r="AK373" s="165" t="str">
        <f>新平!AG22</f>
        <v>新平者竜渔科村</v>
      </c>
      <c r="AL373" s="165" t="str">
        <f>新平!AH22</f>
        <v>20160705</v>
      </c>
      <c r="AM373" s="165">
        <f>新平!AI22</f>
        <v>0</v>
      </c>
      <c r="AN373" s="165">
        <f>新平!AJ22</f>
        <v>0</v>
      </c>
      <c r="AO373" s="165" t="str">
        <f>新平!AK22</f>
        <v>2685224-17736878</v>
      </c>
      <c r="AP373" s="263">
        <v>3</v>
      </c>
      <c r="AQ373" s="209">
        <f>新平!AM22</f>
        <v>0</v>
      </c>
      <c r="AR373" s="295">
        <f>新平!AN22</f>
        <v>0.6</v>
      </c>
      <c r="AS373" s="199" t="str">
        <f>新平!AO22</f>
        <v>532428196806131917</v>
      </c>
      <c r="AT373" s="199" t="str">
        <f>新平!AP22</f>
        <v>18088911752</v>
      </c>
    </row>
    <row r="374" spans="1:46">
      <c r="A374" s="165" t="s">
        <v>1922</v>
      </c>
      <c r="B374" s="202" t="str">
        <f>VLOOKUP(A374,databases!$A$2:$B$7, 2, FALSE)</f>
        <v>XinPing</v>
      </c>
      <c r="C374" s="165" t="str">
        <f>新平!B23</f>
        <v>李家平</v>
      </c>
      <c r="D374" s="202" t="str">
        <f>VLOOKUP(C374,databases!$D$2:$E$145, 2, FALSE)</f>
        <v>R44</v>
      </c>
      <c r="E374" s="259">
        <f>INDEX(sample_database!$B$2:$B$506,MATCH(F374,sample_database!$L$2:$L$506,0))</f>
        <v>152</v>
      </c>
      <c r="F374" s="202" t="str">
        <f>新平!A23</f>
        <v>XP022</v>
      </c>
      <c r="G374" s="257">
        <f>新平!C23</f>
        <v>5</v>
      </c>
      <c r="H374" s="257">
        <f>新平!D23</f>
        <v>0</v>
      </c>
      <c r="I374" s="202">
        <f>新平!E23</f>
        <v>25</v>
      </c>
      <c r="J374" s="202">
        <f>新平!F23</f>
        <v>3</v>
      </c>
      <c r="K374" s="202">
        <f>新平!G23</f>
        <v>4</v>
      </c>
      <c r="L374" s="202">
        <f>新平!H23</f>
        <v>8</v>
      </c>
      <c r="M374" s="202">
        <f>新平!I23</f>
        <v>5</v>
      </c>
      <c r="N374" s="202">
        <f>新平!J23</f>
        <v>5</v>
      </c>
      <c r="O374" s="202">
        <f>新平!K23</f>
        <v>0</v>
      </c>
      <c r="P374" s="202">
        <f>新平!L23</f>
        <v>0</v>
      </c>
      <c r="Q374" s="202">
        <f>新平!M23</f>
        <v>0</v>
      </c>
      <c r="R374" s="202">
        <f>新平!N23</f>
        <v>0</v>
      </c>
      <c r="S374" s="202">
        <f>新平!O23</f>
        <v>0</v>
      </c>
      <c r="T374" s="202">
        <f>新平!P23</f>
        <v>0</v>
      </c>
      <c r="U374" s="202">
        <f>新平!Q23</f>
        <v>0</v>
      </c>
      <c r="V374" s="202">
        <f>新平!R23</f>
        <v>0</v>
      </c>
      <c r="W374" s="202">
        <f>新平!S23</f>
        <v>0</v>
      </c>
      <c r="X374" s="202">
        <f>新平!T23</f>
        <v>0</v>
      </c>
      <c r="Y374" s="202">
        <f>新平!U23</f>
        <v>0</v>
      </c>
      <c r="Z374" s="202">
        <f>新平!V23</f>
        <v>0</v>
      </c>
      <c r="AA374" s="202">
        <f>新平!W23</f>
        <v>0</v>
      </c>
      <c r="AB374" s="202">
        <f>新平!X23</f>
        <v>0</v>
      </c>
      <c r="AC374" s="202">
        <f>新平!Y23</f>
        <v>0</v>
      </c>
      <c r="AD374" s="202">
        <f>新平!Z23</f>
        <v>0</v>
      </c>
      <c r="AE374" s="202">
        <f>新平!AA23</f>
        <v>0</v>
      </c>
      <c r="AF374" s="202">
        <f>新平!AB23</f>
        <v>0</v>
      </c>
      <c r="AG374" s="202">
        <f>新平!AC23</f>
        <v>0</v>
      </c>
      <c r="AH374" s="202">
        <f>新平!AD23</f>
        <v>0</v>
      </c>
      <c r="AI374" s="202">
        <f>新平!AE23</f>
        <v>0</v>
      </c>
      <c r="AJ374" s="202">
        <f>新平!AF23</f>
        <v>0</v>
      </c>
      <c r="AK374" s="165" t="str">
        <f>新平!AG23</f>
        <v>新平者竜渔科村</v>
      </c>
      <c r="AL374" s="165" t="str">
        <f>新平!AH23</f>
        <v>20160705</v>
      </c>
      <c r="AM374" s="165">
        <f>新平!AI23</f>
        <v>0</v>
      </c>
      <c r="AN374" s="165">
        <f>新平!AJ23</f>
        <v>0</v>
      </c>
      <c r="AO374" s="165" t="str">
        <f>新平!AK23</f>
        <v>2683676-17738572</v>
      </c>
      <c r="AP374" s="263">
        <v>6</v>
      </c>
      <c r="AQ374" s="209">
        <f>新平!AM23</f>
        <v>0</v>
      </c>
      <c r="AR374" s="295">
        <f>新平!AN23</f>
        <v>1.2</v>
      </c>
      <c r="AS374" s="199" t="str">
        <f>新平!AO23</f>
        <v>532428196806131917</v>
      </c>
      <c r="AT374" s="199" t="str">
        <f>新平!AP23</f>
        <v>18088911752</v>
      </c>
    </row>
    <row r="375" spans="1:46" s="252" customFormat="1">
      <c r="A375" s="253" t="s">
        <v>1922</v>
      </c>
      <c r="B375" s="236" t="str">
        <f>VLOOKUP(A375,databases!$A$2:$B$7, 2, FALSE)</f>
        <v>XinPing</v>
      </c>
      <c r="C375" s="253" t="str">
        <f>新平!B24</f>
        <v>李家平</v>
      </c>
      <c r="D375" s="236" t="str">
        <f>VLOOKUP(C375,databases!$D$2:$E$145, 2, FALSE)</f>
        <v>R44</v>
      </c>
      <c r="E375" s="271">
        <f>INDEX(sample_database!$B$2:$B$506,MATCH(F375,sample_database!$L$2:$L$506,0))</f>
        <v>152</v>
      </c>
      <c r="F375" s="236" t="str">
        <f>新平!A24</f>
        <v>XP023</v>
      </c>
      <c r="G375" s="258">
        <f>新平!C24</f>
        <v>0</v>
      </c>
      <c r="H375" s="258">
        <f>新平!D24</f>
        <v>7</v>
      </c>
      <c r="I375" s="236">
        <f>新平!E24</f>
        <v>17</v>
      </c>
      <c r="J375" s="236">
        <f>新平!F24</f>
        <v>1</v>
      </c>
      <c r="K375" s="236">
        <f>新平!G24</f>
        <v>1</v>
      </c>
      <c r="L375" s="236">
        <f>新平!H24</f>
        <v>2</v>
      </c>
      <c r="M375" s="236">
        <f>新平!I24</f>
        <v>2</v>
      </c>
      <c r="N375" s="236">
        <f>新平!J24</f>
        <v>3</v>
      </c>
      <c r="O375" s="236">
        <f>新平!K24</f>
        <v>4</v>
      </c>
      <c r="P375" s="236">
        <f>新平!L24</f>
        <v>4</v>
      </c>
      <c r="Q375" s="236">
        <f>新平!M24</f>
        <v>0</v>
      </c>
      <c r="R375" s="236">
        <f>新平!N24</f>
        <v>0</v>
      </c>
      <c r="S375" s="236">
        <f>新平!O24</f>
        <v>0</v>
      </c>
      <c r="T375" s="236">
        <f>新平!P24</f>
        <v>0</v>
      </c>
      <c r="U375" s="236">
        <f>新平!Q24</f>
        <v>0</v>
      </c>
      <c r="V375" s="236">
        <f>新平!R24</f>
        <v>0</v>
      </c>
      <c r="W375" s="236">
        <f>新平!S24</f>
        <v>0</v>
      </c>
      <c r="X375" s="236">
        <f>新平!T24</f>
        <v>0</v>
      </c>
      <c r="Y375" s="236">
        <f>新平!U24</f>
        <v>0</v>
      </c>
      <c r="Z375" s="236">
        <f>新平!V24</f>
        <v>0</v>
      </c>
      <c r="AA375" s="236">
        <f>新平!W24</f>
        <v>0</v>
      </c>
      <c r="AB375" s="236">
        <f>新平!X24</f>
        <v>0</v>
      </c>
      <c r="AC375" s="236">
        <f>新平!Y24</f>
        <v>0</v>
      </c>
      <c r="AD375" s="236">
        <f>新平!Z24</f>
        <v>0</v>
      </c>
      <c r="AE375" s="236">
        <f>新平!AA24</f>
        <v>0</v>
      </c>
      <c r="AF375" s="236">
        <f>新平!AB24</f>
        <v>0</v>
      </c>
      <c r="AG375" s="236">
        <f>新平!AC24</f>
        <v>0</v>
      </c>
      <c r="AH375" s="236">
        <f>新平!AD24</f>
        <v>0</v>
      </c>
      <c r="AI375" s="236">
        <f>新平!AE24</f>
        <v>0</v>
      </c>
      <c r="AJ375" s="236">
        <f>新平!AF24</f>
        <v>0</v>
      </c>
      <c r="AK375" s="253" t="str">
        <f>新平!AG24</f>
        <v>？？？</v>
      </c>
      <c r="AL375" s="253">
        <f>新平!AH24</f>
        <v>0</v>
      </c>
      <c r="AM375" s="253">
        <f>新平!AI24</f>
        <v>0</v>
      </c>
      <c r="AN375" s="253">
        <f>新平!AJ24</f>
        <v>0</v>
      </c>
      <c r="AO375" s="253">
        <f>新平!AK24</f>
        <v>0</v>
      </c>
      <c r="AP375" s="264">
        <v>3</v>
      </c>
      <c r="AQ375" s="260">
        <f>新平!AM24</f>
        <v>0</v>
      </c>
      <c r="AR375" s="296">
        <f>新平!AN24</f>
        <v>0.6</v>
      </c>
      <c r="AS375" s="255" t="str">
        <f>新平!AO24</f>
        <v>532428196806131917</v>
      </c>
      <c r="AT375" s="255" t="str">
        <f>新平!AP24</f>
        <v>18088911752</v>
      </c>
    </row>
    <row r="376" spans="1:46" s="171" customFormat="1">
      <c r="A376" s="165" t="s">
        <v>1922</v>
      </c>
      <c r="B376" s="202" t="str">
        <f>VLOOKUP(A376,databases!$A$2:$B$7, 2, FALSE)</f>
        <v>XinPing</v>
      </c>
      <c r="C376" s="165" t="str">
        <f>新平!B25</f>
        <v>李家平</v>
      </c>
      <c r="D376" s="202" t="str">
        <f>VLOOKUP(C376,databases!$D$2:$E$145, 2, FALSE)</f>
        <v>R44</v>
      </c>
      <c r="E376" s="259">
        <f>INDEX(sample_database!$B$2:$B$506,MATCH(F376,sample_database!$L$2:$L$506,0))</f>
        <v>152</v>
      </c>
      <c r="F376" s="202" t="str">
        <f>新平!A25</f>
        <v>XP024</v>
      </c>
      <c r="G376" s="257">
        <f>新平!C25</f>
        <v>4</v>
      </c>
      <c r="H376" s="257">
        <f>新平!D25</f>
        <v>0</v>
      </c>
      <c r="I376" s="202">
        <f>新平!E25</f>
        <v>16</v>
      </c>
      <c r="J376" s="202">
        <f>新平!F25</f>
        <v>3</v>
      </c>
      <c r="K376" s="202">
        <f>新平!G25</f>
        <v>5</v>
      </c>
      <c r="L376" s="202">
        <f>新平!H25</f>
        <v>4</v>
      </c>
      <c r="M376" s="202">
        <f>新平!I25</f>
        <v>4</v>
      </c>
      <c r="N376" s="202">
        <f>新平!J25</f>
        <v>0</v>
      </c>
      <c r="O376" s="202">
        <f>新平!K25</f>
        <v>0</v>
      </c>
      <c r="P376" s="202">
        <f>新平!L25</f>
        <v>0</v>
      </c>
      <c r="Q376" s="202">
        <f>新平!M25</f>
        <v>0</v>
      </c>
      <c r="R376" s="202">
        <f>新平!N25</f>
        <v>0</v>
      </c>
      <c r="S376" s="202">
        <f>新平!O25</f>
        <v>0</v>
      </c>
      <c r="T376" s="202">
        <f>新平!P25</f>
        <v>0</v>
      </c>
      <c r="U376" s="202">
        <f>新平!Q25</f>
        <v>0</v>
      </c>
      <c r="V376" s="202">
        <f>新平!R25</f>
        <v>0</v>
      </c>
      <c r="W376" s="202">
        <f>新平!S25</f>
        <v>0</v>
      </c>
      <c r="X376" s="202">
        <f>新平!T25</f>
        <v>0</v>
      </c>
      <c r="Y376" s="202">
        <f>新平!U25</f>
        <v>0</v>
      </c>
      <c r="Z376" s="202">
        <f>新平!V25</f>
        <v>0</v>
      </c>
      <c r="AA376" s="202">
        <f>新平!W25</f>
        <v>0</v>
      </c>
      <c r="AB376" s="202">
        <f>新平!X25</f>
        <v>0</v>
      </c>
      <c r="AC376" s="202">
        <f>新平!Y25</f>
        <v>0</v>
      </c>
      <c r="AD376" s="202">
        <f>新平!Z25</f>
        <v>0</v>
      </c>
      <c r="AE376" s="202">
        <f>新平!AA25</f>
        <v>0</v>
      </c>
      <c r="AF376" s="202">
        <f>新平!AB25</f>
        <v>0</v>
      </c>
      <c r="AG376" s="202">
        <f>新平!AC25</f>
        <v>0</v>
      </c>
      <c r="AH376" s="202">
        <f>新平!AD25</f>
        <v>0</v>
      </c>
      <c r="AI376" s="202">
        <f>新平!AE25</f>
        <v>0</v>
      </c>
      <c r="AJ376" s="202">
        <f>新平!AF25</f>
        <v>0</v>
      </c>
      <c r="AK376" s="165" t="str">
        <f>新平!AG25</f>
        <v>新平者竜渔科村</v>
      </c>
      <c r="AL376" s="165" t="str">
        <f>新平!AH25</f>
        <v>20160922</v>
      </c>
      <c r="AM376" s="165">
        <f>新平!AI25</f>
        <v>0</v>
      </c>
      <c r="AN376" s="165">
        <f>新平!AJ25</f>
        <v>0</v>
      </c>
      <c r="AO376" s="165" t="str">
        <f>新平!AK25</f>
        <v>2680500-17738453</v>
      </c>
      <c r="AP376" s="263">
        <v>3</v>
      </c>
      <c r="AQ376" s="209">
        <f>新平!AM25</f>
        <v>0</v>
      </c>
      <c r="AR376" s="295">
        <f>新平!AN25</f>
        <v>0.6</v>
      </c>
      <c r="AS376" s="199" t="str">
        <f>新平!AO25</f>
        <v>532428196806131917</v>
      </c>
      <c r="AT376" s="199" t="str">
        <f>新平!AP25</f>
        <v>18088911752</v>
      </c>
    </row>
    <row r="377" spans="1:46">
      <c r="A377" s="165" t="s">
        <v>1922</v>
      </c>
      <c r="B377" s="202" t="str">
        <f>VLOOKUP(A377,databases!$A$2:$B$7, 2, FALSE)</f>
        <v>XinPing</v>
      </c>
      <c r="C377" s="165" t="str">
        <f>新平!B26</f>
        <v>李家平</v>
      </c>
      <c r="D377" s="202" t="str">
        <f>VLOOKUP(C377,databases!$D$2:$E$145, 2, FALSE)</f>
        <v>R44</v>
      </c>
      <c r="E377" s="259">
        <f>INDEX(sample_database!$B$2:$B$506,MATCH(F377,sample_database!$L$2:$L$506,0))</f>
        <v>152</v>
      </c>
      <c r="F377" s="202" t="str">
        <f>新平!A26</f>
        <v>XP025</v>
      </c>
      <c r="G377" s="257">
        <f>新平!C26</f>
        <v>4</v>
      </c>
      <c r="H377" s="257">
        <f>新平!D26</f>
        <v>0</v>
      </c>
      <c r="I377" s="202">
        <f>新平!E26</f>
        <v>37</v>
      </c>
      <c r="J377" s="202">
        <f>新平!F26</f>
        <v>11</v>
      </c>
      <c r="K377" s="202">
        <f>新平!G26</f>
        <v>5</v>
      </c>
      <c r="L377" s="202">
        <f>新平!H26</f>
        <v>9</v>
      </c>
      <c r="M377" s="202">
        <f>新平!I26</f>
        <v>12</v>
      </c>
      <c r="N377" s="202">
        <f>新平!J26</f>
        <v>0</v>
      </c>
      <c r="O377" s="202">
        <f>新平!K26</f>
        <v>0</v>
      </c>
      <c r="P377" s="202">
        <f>新平!L26</f>
        <v>0</v>
      </c>
      <c r="Q377" s="202">
        <f>新平!M26</f>
        <v>0</v>
      </c>
      <c r="R377" s="202">
        <f>新平!N26</f>
        <v>0</v>
      </c>
      <c r="S377" s="202">
        <f>新平!O26</f>
        <v>0</v>
      </c>
      <c r="T377" s="202">
        <f>新平!P26</f>
        <v>0</v>
      </c>
      <c r="U377" s="202">
        <f>新平!Q26</f>
        <v>0</v>
      </c>
      <c r="V377" s="202">
        <f>新平!R26</f>
        <v>0</v>
      </c>
      <c r="W377" s="202">
        <f>新平!S26</f>
        <v>0</v>
      </c>
      <c r="X377" s="202">
        <f>新平!T26</f>
        <v>0</v>
      </c>
      <c r="Y377" s="202">
        <f>新平!U26</f>
        <v>0</v>
      </c>
      <c r="Z377" s="202">
        <f>新平!V26</f>
        <v>0</v>
      </c>
      <c r="AA377" s="202">
        <f>新平!W26</f>
        <v>0</v>
      </c>
      <c r="AB377" s="202">
        <f>新平!X26</f>
        <v>0</v>
      </c>
      <c r="AC377" s="202">
        <f>新平!Y26</f>
        <v>0</v>
      </c>
      <c r="AD377" s="202">
        <f>新平!Z26</f>
        <v>0</v>
      </c>
      <c r="AE377" s="202">
        <f>新平!AA26</f>
        <v>0</v>
      </c>
      <c r="AF377" s="202">
        <f>新平!AB26</f>
        <v>0</v>
      </c>
      <c r="AG377" s="202">
        <f>新平!AC26</f>
        <v>0</v>
      </c>
      <c r="AH377" s="202">
        <f>新平!AD26</f>
        <v>0</v>
      </c>
      <c r="AI377" s="202">
        <f>新平!AE26</f>
        <v>0</v>
      </c>
      <c r="AJ377" s="202">
        <f>新平!AF26</f>
        <v>0</v>
      </c>
      <c r="AK377" s="165" t="str">
        <f>新平!AG26</f>
        <v>新平者竜渔科村</v>
      </c>
      <c r="AL377" s="165" t="str">
        <f>新平!AH26</f>
        <v>20160922</v>
      </c>
      <c r="AM377" s="165">
        <f>新平!AI26</f>
        <v>0</v>
      </c>
      <c r="AN377" s="165">
        <f>新平!AJ26</f>
        <v>0</v>
      </c>
      <c r="AO377" s="165" t="str">
        <f>新平!AK26</f>
        <v>2680285-17739110</v>
      </c>
      <c r="AP377" s="263">
        <v>5</v>
      </c>
      <c r="AQ377" s="209">
        <f>新平!AM26</f>
        <v>0</v>
      </c>
      <c r="AR377" s="295">
        <f>新平!AN26</f>
        <v>1</v>
      </c>
      <c r="AS377" s="199" t="str">
        <f>新平!AO26</f>
        <v>532428196806131917</v>
      </c>
      <c r="AT377" s="199" t="str">
        <f>新平!AP26</f>
        <v>18088911752</v>
      </c>
    </row>
    <row r="378" spans="1:46">
      <c r="A378" s="165" t="s">
        <v>1922</v>
      </c>
      <c r="B378" s="202" t="str">
        <f>VLOOKUP(A378,databases!$A$2:$B$7, 2, FALSE)</f>
        <v>XinPing</v>
      </c>
      <c r="C378" s="165" t="str">
        <f>新平!B27</f>
        <v>李家平</v>
      </c>
      <c r="D378" s="202" t="str">
        <f>VLOOKUP(C378,databases!$D$2:$E$145, 2, FALSE)</f>
        <v>R44</v>
      </c>
      <c r="E378" s="259">
        <f>INDEX(sample_database!$B$2:$B$506,MATCH(F378,sample_database!$L$2:$L$506,0))</f>
        <v>152</v>
      </c>
      <c r="F378" s="202" t="str">
        <f>新平!A27</f>
        <v>XP026</v>
      </c>
      <c r="G378" s="257">
        <f>新平!C27</f>
        <v>6</v>
      </c>
      <c r="H378" s="257">
        <f>新平!D27</f>
        <v>0</v>
      </c>
      <c r="I378" s="202">
        <f>新平!E27</f>
        <v>49</v>
      </c>
      <c r="J378" s="202">
        <f>新平!F27</f>
        <v>7</v>
      </c>
      <c r="K378" s="202">
        <f>新平!G27</f>
        <v>12</v>
      </c>
      <c r="L378" s="202">
        <f>新平!H27</f>
        <v>7</v>
      </c>
      <c r="M378" s="202">
        <f>新平!I27</f>
        <v>10</v>
      </c>
      <c r="N378" s="202">
        <f>新平!J27</f>
        <v>7</v>
      </c>
      <c r="O378" s="202">
        <f>新平!K27</f>
        <v>6</v>
      </c>
      <c r="P378" s="202">
        <f>新平!L27</f>
        <v>0</v>
      </c>
      <c r="Q378" s="202">
        <f>新平!M27</f>
        <v>0</v>
      </c>
      <c r="R378" s="202">
        <f>新平!N27</f>
        <v>0</v>
      </c>
      <c r="S378" s="202">
        <f>新平!O27</f>
        <v>0</v>
      </c>
      <c r="T378" s="202">
        <f>新平!P27</f>
        <v>0</v>
      </c>
      <c r="U378" s="202">
        <f>新平!Q27</f>
        <v>0</v>
      </c>
      <c r="V378" s="202">
        <f>新平!R27</f>
        <v>0</v>
      </c>
      <c r="W378" s="202">
        <f>新平!S27</f>
        <v>0</v>
      </c>
      <c r="X378" s="202">
        <f>新平!T27</f>
        <v>0</v>
      </c>
      <c r="Y378" s="202">
        <f>新平!U27</f>
        <v>0</v>
      </c>
      <c r="Z378" s="202">
        <f>新平!V27</f>
        <v>0</v>
      </c>
      <c r="AA378" s="202">
        <f>新平!W27</f>
        <v>0</v>
      </c>
      <c r="AB378" s="202">
        <f>新平!X27</f>
        <v>0</v>
      </c>
      <c r="AC378" s="202">
        <f>新平!Y27</f>
        <v>0</v>
      </c>
      <c r="AD378" s="202">
        <f>新平!Z27</f>
        <v>0</v>
      </c>
      <c r="AE378" s="202">
        <f>新平!AA27</f>
        <v>0</v>
      </c>
      <c r="AF378" s="202">
        <f>新平!AB27</f>
        <v>0</v>
      </c>
      <c r="AG378" s="202">
        <f>新平!AC27</f>
        <v>0</v>
      </c>
      <c r="AH378" s="202">
        <f>新平!AD27</f>
        <v>0</v>
      </c>
      <c r="AI378" s="202">
        <f>新平!AE27</f>
        <v>0</v>
      </c>
      <c r="AJ378" s="202">
        <f>新平!AF27</f>
        <v>0</v>
      </c>
      <c r="AK378" s="165" t="str">
        <f>新平!AG27</f>
        <v>新平者竜渔科村</v>
      </c>
      <c r="AL378" s="165" t="str">
        <f>新平!AH27</f>
        <v>20160923</v>
      </c>
      <c r="AM378" s="165">
        <f>新平!AI27</f>
        <v>0</v>
      </c>
      <c r="AN378" s="165">
        <f>新平!AJ27</f>
        <v>0</v>
      </c>
      <c r="AO378" s="165" t="str">
        <f>新平!AK27</f>
        <v>2681917-17739917</v>
      </c>
      <c r="AP378" s="263">
        <v>7.5</v>
      </c>
      <c r="AQ378" s="209">
        <f>新平!AM27</f>
        <v>0</v>
      </c>
      <c r="AR378" s="295">
        <f>新平!AN27</f>
        <v>1.5</v>
      </c>
      <c r="AS378" s="199" t="str">
        <f>新平!AO27</f>
        <v>532428196806131917</v>
      </c>
      <c r="AT378" s="199" t="str">
        <f>新平!AP27</f>
        <v>18088911752</v>
      </c>
    </row>
    <row r="379" spans="1:46">
      <c r="A379" s="165" t="s">
        <v>1922</v>
      </c>
      <c r="B379" s="202" t="str">
        <f>VLOOKUP(A379,databases!$A$2:$B$7, 2, FALSE)</f>
        <v>XinPing</v>
      </c>
      <c r="C379" s="165" t="str">
        <f>新平!B28</f>
        <v>李家平</v>
      </c>
      <c r="D379" s="202" t="str">
        <f>VLOOKUP(C379,databases!$D$2:$E$145, 2, FALSE)</f>
        <v>R44</v>
      </c>
      <c r="E379" s="259">
        <f>INDEX(sample_database!$B$2:$B$506,MATCH(F379,sample_database!$L$2:$L$506,0))</f>
        <v>152</v>
      </c>
      <c r="F379" s="202" t="str">
        <f>新平!A28</f>
        <v>XP027</v>
      </c>
      <c r="G379" s="257">
        <f>新平!C28</f>
        <v>6</v>
      </c>
      <c r="H379" s="257">
        <f>新平!D28</f>
        <v>0</v>
      </c>
      <c r="I379" s="202">
        <f>新平!E28</f>
        <v>45</v>
      </c>
      <c r="J379" s="202">
        <f>新平!F28</f>
        <v>8</v>
      </c>
      <c r="K379" s="202">
        <f>新平!G28</f>
        <v>7</v>
      </c>
      <c r="L379" s="202">
        <f>新平!H28</f>
        <v>8</v>
      </c>
      <c r="M379" s="202">
        <f>新平!I28</f>
        <v>8</v>
      </c>
      <c r="N379" s="202">
        <f>新平!J28</f>
        <v>10</v>
      </c>
      <c r="O379" s="202">
        <f>新平!K28</f>
        <v>4</v>
      </c>
      <c r="P379" s="202">
        <f>新平!L28</f>
        <v>0</v>
      </c>
      <c r="Q379" s="202">
        <f>新平!M28</f>
        <v>0</v>
      </c>
      <c r="R379" s="202">
        <f>新平!N28</f>
        <v>0</v>
      </c>
      <c r="S379" s="202">
        <f>新平!O28</f>
        <v>0</v>
      </c>
      <c r="T379" s="202">
        <f>新平!P28</f>
        <v>0</v>
      </c>
      <c r="U379" s="202">
        <f>新平!Q28</f>
        <v>0</v>
      </c>
      <c r="V379" s="202">
        <f>新平!R28</f>
        <v>0</v>
      </c>
      <c r="W379" s="202">
        <f>新平!S28</f>
        <v>0</v>
      </c>
      <c r="X379" s="202">
        <f>新平!T28</f>
        <v>0</v>
      </c>
      <c r="Y379" s="202">
        <f>新平!U28</f>
        <v>0</v>
      </c>
      <c r="Z379" s="202">
        <f>新平!V28</f>
        <v>0</v>
      </c>
      <c r="AA379" s="202">
        <f>新平!W28</f>
        <v>0</v>
      </c>
      <c r="AB379" s="202">
        <f>新平!X28</f>
        <v>0</v>
      </c>
      <c r="AC379" s="202">
        <f>新平!Y28</f>
        <v>0</v>
      </c>
      <c r="AD379" s="202">
        <f>新平!Z28</f>
        <v>0</v>
      </c>
      <c r="AE379" s="202">
        <f>新平!AA28</f>
        <v>0</v>
      </c>
      <c r="AF379" s="202">
        <f>新平!AB28</f>
        <v>0</v>
      </c>
      <c r="AG379" s="202">
        <f>新平!AC28</f>
        <v>0</v>
      </c>
      <c r="AH379" s="202">
        <f>新平!AD28</f>
        <v>0</v>
      </c>
      <c r="AI379" s="202">
        <f>新平!AE28</f>
        <v>0</v>
      </c>
      <c r="AJ379" s="202">
        <f>新平!AF28</f>
        <v>0</v>
      </c>
      <c r="AK379" s="165" t="str">
        <f>新平!AG28</f>
        <v>新平者竜渔科村</v>
      </c>
      <c r="AL379" s="165" t="str">
        <f>新平!AH28</f>
        <v>20160923</v>
      </c>
      <c r="AM379" s="165">
        <f>新平!AI28</f>
        <v>0</v>
      </c>
      <c r="AN379" s="165">
        <f>新平!AJ28</f>
        <v>0</v>
      </c>
      <c r="AO379" s="165" t="str">
        <f>新平!AK28</f>
        <v>2681366-17739283</v>
      </c>
      <c r="AP379" s="263">
        <v>6</v>
      </c>
      <c r="AQ379" s="209">
        <f>新平!AM28</f>
        <v>0</v>
      </c>
      <c r="AR379" s="295">
        <f>新平!AN28</f>
        <v>1.2</v>
      </c>
      <c r="AS379" s="199" t="str">
        <f>新平!AO28</f>
        <v>532428196806131917</v>
      </c>
      <c r="AT379" s="199" t="str">
        <f>新平!AP28</f>
        <v>18088911752</v>
      </c>
    </row>
    <row r="380" spans="1:46">
      <c r="A380" s="165" t="s">
        <v>1922</v>
      </c>
      <c r="B380" s="202" t="str">
        <f>VLOOKUP(A380,databases!$A$2:$B$7, 2, FALSE)</f>
        <v>XinPing</v>
      </c>
      <c r="C380" s="165" t="str">
        <f>新平!B61</f>
        <v>李文顺</v>
      </c>
      <c r="D380" s="202" t="str">
        <f>VLOOKUP(C380,databases!$D$2:$E$145, 2, FALSE)</f>
        <v>R54</v>
      </c>
      <c r="E380" s="259">
        <f>INDEX(sample_database!$B$2:$B$506,MATCH(F380,sample_database!$L$2:$L$506,0))</f>
        <v>153</v>
      </c>
      <c r="F380" s="202" t="str">
        <f>新平!A61</f>
        <v>XP060</v>
      </c>
      <c r="G380" s="257">
        <f>新平!C61</f>
        <v>2</v>
      </c>
      <c r="H380" s="257">
        <f>新平!D61</f>
        <v>0</v>
      </c>
      <c r="I380" s="202">
        <f>新平!E61</f>
        <v>25</v>
      </c>
      <c r="J380" s="202">
        <f>新平!F61</f>
        <v>12</v>
      </c>
      <c r="K380" s="202">
        <f>新平!G61</f>
        <v>13</v>
      </c>
      <c r="L380" s="202">
        <f>新平!H61</f>
        <v>0</v>
      </c>
      <c r="M380" s="202">
        <f>新平!I61</f>
        <v>0</v>
      </c>
      <c r="N380" s="202">
        <f>新平!J61</f>
        <v>0</v>
      </c>
      <c r="O380" s="202">
        <f>新平!K61</f>
        <v>0</v>
      </c>
      <c r="P380" s="202">
        <f>新平!L61</f>
        <v>0</v>
      </c>
      <c r="Q380" s="202">
        <f>新平!M61</f>
        <v>0</v>
      </c>
      <c r="R380" s="202">
        <f>新平!N61</f>
        <v>0</v>
      </c>
      <c r="S380" s="202">
        <f>新平!O61</f>
        <v>0</v>
      </c>
      <c r="T380" s="202">
        <f>新平!P61</f>
        <v>0</v>
      </c>
      <c r="U380" s="202">
        <f>新平!Q61</f>
        <v>0</v>
      </c>
      <c r="V380" s="202">
        <f>新平!R61</f>
        <v>0</v>
      </c>
      <c r="W380" s="202">
        <f>新平!S61</f>
        <v>0</v>
      </c>
      <c r="X380" s="202">
        <f>新平!T61</f>
        <v>0</v>
      </c>
      <c r="Y380" s="202">
        <f>新平!U61</f>
        <v>0</v>
      </c>
      <c r="Z380" s="202">
        <f>新平!V61</f>
        <v>0</v>
      </c>
      <c r="AA380" s="202">
        <f>新平!W61</f>
        <v>0</v>
      </c>
      <c r="AB380" s="202">
        <f>新平!X61</f>
        <v>0</v>
      </c>
      <c r="AC380" s="202">
        <f>新平!Y61</f>
        <v>0</v>
      </c>
      <c r="AD380" s="202">
        <f>新平!Z61</f>
        <v>0</v>
      </c>
      <c r="AE380" s="202">
        <f>新平!AA61</f>
        <v>0</v>
      </c>
      <c r="AF380" s="202">
        <f>新平!AB61</f>
        <v>0</v>
      </c>
      <c r="AG380" s="202">
        <f>新平!AC61</f>
        <v>0</v>
      </c>
      <c r="AH380" s="202">
        <f>新平!AD61</f>
        <v>0</v>
      </c>
      <c r="AI380" s="202">
        <f>新平!AE61</f>
        <v>0</v>
      </c>
      <c r="AJ380" s="202">
        <f>新平!AF61</f>
        <v>0</v>
      </c>
      <c r="AK380" s="165" t="str">
        <f>新平!AG61</f>
        <v>新平县者竜乡者竜村</v>
      </c>
      <c r="AL380" s="165" t="str">
        <f>新平!AH61</f>
        <v>20160816</v>
      </c>
      <c r="AM380" s="165">
        <f>新平!AI61</f>
        <v>0</v>
      </c>
      <c r="AN380" s="165">
        <f>新平!AJ61</f>
        <v>0</v>
      </c>
      <c r="AO380" s="165" t="str">
        <f>新平!AK61</f>
        <v>2686896-17734868</v>
      </c>
      <c r="AP380" s="263">
        <v>6</v>
      </c>
      <c r="AQ380" s="209">
        <f>新平!AM61</f>
        <v>0</v>
      </c>
      <c r="AR380" s="295">
        <f>新平!AN61</f>
        <v>1.2</v>
      </c>
      <c r="AS380" s="199" t="str">
        <f>新平!AO61</f>
        <v>532428195703121930</v>
      </c>
      <c r="AT380" s="199" t="str">
        <f>新平!AP61</f>
        <v>18088911755</v>
      </c>
    </row>
    <row r="381" spans="1:46">
      <c r="A381" s="165" t="s">
        <v>1922</v>
      </c>
      <c r="B381" s="202" t="str">
        <f>VLOOKUP(A381,databases!$A$2:$B$7, 2, FALSE)</f>
        <v>XinPing</v>
      </c>
      <c r="C381" s="165" t="str">
        <f>新平!B62</f>
        <v>李文顺</v>
      </c>
      <c r="D381" s="202" t="str">
        <f>VLOOKUP(C381,databases!$D$2:$E$145, 2, FALSE)</f>
        <v>R54</v>
      </c>
      <c r="E381" s="259">
        <f>INDEX(sample_database!$B$2:$B$506,MATCH(F381,sample_database!$L$2:$L$506,0))</f>
        <v>153</v>
      </c>
      <c r="F381" s="202" t="str">
        <f>新平!A62</f>
        <v>XP061</v>
      </c>
      <c r="G381" s="257">
        <f>新平!C62</f>
        <v>3</v>
      </c>
      <c r="H381" s="257">
        <f>新平!D62</f>
        <v>0</v>
      </c>
      <c r="I381" s="202">
        <f>新平!E62</f>
        <v>29</v>
      </c>
      <c r="J381" s="202">
        <f>新平!F62</f>
        <v>8</v>
      </c>
      <c r="K381" s="202">
        <f>新平!G62</f>
        <v>9</v>
      </c>
      <c r="L381" s="202">
        <f>新平!H62</f>
        <v>12</v>
      </c>
      <c r="M381" s="202">
        <f>新平!I62</f>
        <v>0</v>
      </c>
      <c r="N381" s="202">
        <f>新平!J62</f>
        <v>0</v>
      </c>
      <c r="O381" s="202">
        <f>新平!K62</f>
        <v>0</v>
      </c>
      <c r="P381" s="202">
        <f>新平!L62</f>
        <v>0</v>
      </c>
      <c r="Q381" s="202">
        <f>新平!M62</f>
        <v>0</v>
      </c>
      <c r="R381" s="202">
        <f>新平!N62</f>
        <v>0</v>
      </c>
      <c r="S381" s="202">
        <f>新平!O62</f>
        <v>0</v>
      </c>
      <c r="T381" s="202">
        <f>新平!P62</f>
        <v>0</v>
      </c>
      <c r="U381" s="202">
        <f>新平!Q62</f>
        <v>0</v>
      </c>
      <c r="V381" s="202">
        <f>新平!R62</f>
        <v>0</v>
      </c>
      <c r="W381" s="202">
        <f>新平!S62</f>
        <v>0</v>
      </c>
      <c r="X381" s="202">
        <f>新平!T62</f>
        <v>0</v>
      </c>
      <c r="Y381" s="202">
        <f>新平!U62</f>
        <v>0</v>
      </c>
      <c r="Z381" s="202">
        <f>新平!V62</f>
        <v>0</v>
      </c>
      <c r="AA381" s="202">
        <f>新平!W62</f>
        <v>0</v>
      </c>
      <c r="AB381" s="202">
        <f>新平!X62</f>
        <v>0</v>
      </c>
      <c r="AC381" s="202">
        <f>新平!Y62</f>
        <v>0</v>
      </c>
      <c r="AD381" s="202">
        <f>新平!Z62</f>
        <v>0</v>
      </c>
      <c r="AE381" s="202">
        <f>新平!AA62</f>
        <v>0</v>
      </c>
      <c r="AF381" s="202">
        <f>新平!AB62</f>
        <v>0</v>
      </c>
      <c r="AG381" s="202">
        <f>新平!AC62</f>
        <v>0</v>
      </c>
      <c r="AH381" s="202">
        <f>新平!AD62</f>
        <v>0</v>
      </c>
      <c r="AI381" s="202">
        <f>新平!AE62</f>
        <v>0</v>
      </c>
      <c r="AJ381" s="202">
        <f>新平!AF62</f>
        <v>0</v>
      </c>
      <c r="AK381" s="165" t="str">
        <f>新平!AG62</f>
        <v>新平县者竜乡者竜村</v>
      </c>
      <c r="AL381" s="165" t="str">
        <f>新平!AH62</f>
        <v>20160816</v>
      </c>
      <c r="AM381" s="165">
        <f>新平!AI62</f>
        <v>0</v>
      </c>
      <c r="AN381" s="165">
        <f>新平!AJ62</f>
        <v>0</v>
      </c>
      <c r="AO381" s="165" t="str">
        <f>新平!AK62</f>
        <v>2686318-17734227</v>
      </c>
      <c r="AP381" s="263">
        <v>6</v>
      </c>
      <c r="AQ381" s="209">
        <f>新平!AM62</f>
        <v>0</v>
      </c>
      <c r="AR381" s="295">
        <f>新平!AN62</f>
        <v>1.2</v>
      </c>
      <c r="AS381" s="199" t="str">
        <f>新平!AO62</f>
        <v>532428195703121930</v>
      </c>
      <c r="AT381" s="199" t="str">
        <f>新平!AP62</f>
        <v>18088911755</v>
      </c>
    </row>
    <row r="382" spans="1:46">
      <c r="A382" s="165" t="s">
        <v>1922</v>
      </c>
      <c r="B382" s="202" t="str">
        <f>VLOOKUP(A382,databases!$A$2:$B$7, 2, FALSE)</f>
        <v>XinPing</v>
      </c>
      <c r="C382" s="165" t="str">
        <f>新平!B63</f>
        <v>李文顺</v>
      </c>
      <c r="D382" s="202" t="str">
        <f>VLOOKUP(C382,databases!$D$2:$E$145, 2, FALSE)</f>
        <v>R54</v>
      </c>
      <c r="E382" s="259">
        <f>INDEX(sample_database!$B$2:$B$506,MATCH(F382,sample_database!$L$2:$L$506,0))</f>
        <v>153</v>
      </c>
      <c r="F382" s="202" t="str">
        <f>新平!A63</f>
        <v>XP062</v>
      </c>
      <c r="G382" s="257">
        <f>新平!C63</f>
        <v>2</v>
      </c>
      <c r="H382" s="257">
        <f>新平!D63</f>
        <v>0</v>
      </c>
      <c r="I382" s="202">
        <f>新平!E63</f>
        <v>39</v>
      </c>
      <c r="J382" s="202">
        <f>新平!F63</f>
        <v>26</v>
      </c>
      <c r="K382" s="202">
        <f>新平!G63</f>
        <v>13</v>
      </c>
      <c r="L382" s="202">
        <f>新平!H63</f>
        <v>0</v>
      </c>
      <c r="M382" s="202">
        <f>新平!I63</f>
        <v>0</v>
      </c>
      <c r="N382" s="202">
        <f>新平!J63</f>
        <v>0</v>
      </c>
      <c r="O382" s="202">
        <f>新平!K63</f>
        <v>0</v>
      </c>
      <c r="P382" s="202">
        <f>新平!L63</f>
        <v>0</v>
      </c>
      <c r="Q382" s="202">
        <f>新平!M63</f>
        <v>0</v>
      </c>
      <c r="R382" s="202">
        <f>新平!N63</f>
        <v>0</v>
      </c>
      <c r="S382" s="202">
        <f>新平!O63</f>
        <v>0</v>
      </c>
      <c r="T382" s="202">
        <f>新平!P63</f>
        <v>0</v>
      </c>
      <c r="U382" s="202">
        <f>新平!Q63</f>
        <v>0</v>
      </c>
      <c r="V382" s="202">
        <f>新平!R63</f>
        <v>0</v>
      </c>
      <c r="W382" s="202">
        <f>新平!S63</f>
        <v>0</v>
      </c>
      <c r="X382" s="202">
        <f>新平!T63</f>
        <v>0</v>
      </c>
      <c r="Y382" s="202">
        <f>新平!U63</f>
        <v>0</v>
      </c>
      <c r="Z382" s="202">
        <f>新平!V63</f>
        <v>0</v>
      </c>
      <c r="AA382" s="202">
        <f>新平!W63</f>
        <v>0</v>
      </c>
      <c r="AB382" s="202">
        <f>新平!X63</f>
        <v>0</v>
      </c>
      <c r="AC382" s="202">
        <f>新平!Y63</f>
        <v>0</v>
      </c>
      <c r="AD382" s="202">
        <f>新平!Z63</f>
        <v>0</v>
      </c>
      <c r="AE382" s="202">
        <f>新平!AA63</f>
        <v>0</v>
      </c>
      <c r="AF382" s="202">
        <f>新平!AB63</f>
        <v>0</v>
      </c>
      <c r="AG382" s="202">
        <f>新平!AC63</f>
        <v>0</v>
      </c>
      <c r="AH382" s="202">
        <f>新平!AD63</f>
        <v>0</v>
      </c>
      <c r="AI382" s="202">
        <f>新平!AE63</f>
        <v>0</v>
      </c>
      <c r="AJ382" s="202">
        <f>新平!AF63</f>
        <v>0</v>
      </c>
      <c r="AK382" s="165" t="str">
        <f>新平!AG63</f>
        <v>新平县者竜乡者竜村</v>
      </c>
      <c r="AL382" s="165" t="str">
        <f>新平!AH63</f>
        <v>20160817</v>
      </c>
      <c r="AM382" s="165">
        <f>新平!AI63</f>
        <v>0</v>
      </c>
      <c r="AN382" s="165">
        <f>新平!AJ63</f>
        <v>0</v>
      </c>
      <c r="AO382" s="165" t="str">
        <f>新平!AK63</f>
        <v>2685126-17736371</v>
      </c>
      <c r="AP382" s="263">
        <v>7.5</v>
      </c>
      <c r="AQ382" s="209">
        <f>新平!AM63</f>
        <v>0</v>
      </c>
      <c r="AR382" s="295">
        <f>新平!AN63</f>
        <v>1.5</v>
      </c>
      <c r="AS382" s="199" t="str">
        <f>新平!AO63</f>
        <v>532428195703121930</v>
      </c>
      <c r="AT382" s="199" t="str">
        <f>新平!AP63</f>
        <v>18088911755</v>
      </c>
    </row>
    <row r="383" spans="1:46">
      <c r="A383" s="165" t="s">
        <v>1922</v>
      </c>
      <c r="B383" s="202" t="str">
        <f>VLOOKUP(A383,databases!$A$2:$B$7, 2, FALSE)</f>
        <v>XinPing</v>
      </c>
      <c r="C383" s="165" t="str">
        <f>新平!B64</f>
        <v>李文顺</v>
      </c>
      <c r="D383" s="202" t="str">
        <f>VLOOKUP(C383,databases!$D$2:$E$145, 2, FALSE)</f>
        <v>R54</v>
      </c>
      <c r="E383" s="259">
        <f>INDEX(sample_database!$B$2:$B$506,MATCH(F383,sample_database!$L$2:$L$506,0))</f>
        <v>153</v>
      </c>
      <c r="F383" s="202" t="str">
        <f>新平!A64</f>
        <v>XP063</v>
      </c>
      <c r="G383" s="257">
        <f>新平!C64</f>
        <v>3</v>
      </c>
      <c r="H383" s="257">
        <f>新平!D64</f>
        <v>0</v>
      </c>
      <c r="I383" s="202">
        <f>新平!E64</f>
        <v>43</v>
      </c>
      <c r="J383" s="202">
        <f>新平!F64</f>
        <v>12</v>
      </c>
      <c r="K383" s="202">
        <f>新平!G64</f>
        <v>12</v>
      </c>
      <c r="L383" s="202">
        <f>新平!H64</f>
        <v>19</v>
      </c>
      <c r="M383" s="202">
        <f>新平!I64</f>
        <v>0</v>
      </c>
      <c r="N383" s="202">
        <f>新平!J64</f>
        <v>0</v>
      </c>
      <c r="O383" s="202">
        <f>新平!K64</f>
        <v>0</v>
      </c>
      <c r="P383" s="202">
        <f>新平!L64</f>
        <v>0</v>
      </c>
      <c r="Q383" s="202">
        <f>新平!M64</f>
        <v>0</v>
      </c>
      <c r="R383" s="202">
        <f>新平!N64</f>
        <v>0</v>
      </c>
      <c r="S383" s="202">
        <f>新平!O64</f>
        <v>0</v>
      </c>
      <c r="T383" s="202">
        <f>新平!P64</f>
        <v>0</v>
      </c>
      <c r="U383" s="202">
        <f>新平!Q64</f>
        <v>0</v>
      </c>
      <c r="V383" s="202">
        <f>新平!R64</f>
        <v>0</v>
      </c>
      <c r="W383" s="202">
        <f>新平!S64</f>
        <v>0</v>
      </c>
      <c r="X383" s="202">
        <f>新平!T64</f>
        <v>0</v>
      </c>
      <c r="Y383" s="202">
        <f>新平!U64</f>
        <v>0</v>
      </c>
      <c r="Z383" s="202">
        <f>新平!V64</f>
        <v>0</v>
      </c>
      <c r="AA383" s="202">
        <f>新平!W64</f>
        <v>0</v>
      </c>
      <c r="AB383" s="202">
        <f>新平!X64</f>
        <v>0</v>
      </c>
      <c r="AC383" s="202">
        <f>新平!Y64</f>
        <v>0</v>
      </c>
      <c r="AD383" s="202">
        <f>新平!Z64</f>
        <v>0</v>
      </c>
      <c r="AE383" s="202">
        <f>新平!AA64</f>
        <v>0</v>
      </c>
      <c r="AF383" s="202">
        <f>新平!AB64</f>
        <v>0</v>
      </c>
      <c r="AG383" s="202">
        <f>新平!AC64</f>
        <v>0</v>
      </c>
      <c r="AH383" s="202">
        <f>新平!AD64</f>
        <v>0</v>
      </c>
      <c r="AI383" s="202">
        <f>新平!AE64</f>
        <v>0</v>
      </c>
      <c r="AJ383" s="202">
        <f>新平!AF64</f>
        <v>0</v>
      </c>
      <c r="AK383" s="165" t="str">
        <f>新平!AG64</f>
        <v>新平县者竜乡者竜村</v>
      </c>
      <c r="AL383" s="165" t="str">
        <f>新平!AH64</f>
        <v>20160817</v>
      </c>
      <c r="AM383" s="165">
        <f>新平!AI64</f>
        <v>0</v>
      </c>
      <c r="AN383" s="165">
        <f>新平!AJ64</f>
        <v>0</v>
      </c>
      <c r="AO383" s="165" t="str">
        <f>新平!AK64</f>
        <v>2686386-17735245</v>
      </c>
      <c r="AP383" s="263">
        <v>10</v>
      </c>
      <c r="AQ383" s="209">
        <f>新平!AM64</f>
        <v>0</v>
      </c>
      <c r="AR383" s="295">
        <f>新平!AN64</f>
        <v>2</v>
      </c>
      <c r="AS383" s="199" t="str">
        <f>新平!AO64</f>
        <v>532428195703121930</v>
      </c>
      <c r="AT383" s="199" t="str">
        <f>新平!AP64</f>
        <v>18088911755</v>
      </c>
    </row>
    <row r="384" spans="1:46">
      <c r="A384" s="165" t="s">
        <v>1922</v>
      </c>
      <c r="B384" s="202" t="str">
        <f>VLOOKUP(A384,databases!$A$2:$B$7, 2, FALSE)</f>
        <v>XinPing</v>
      </c>
      <c r="C384" s="165" t="str">
        <f>新平!B36</f>
        <v>李林东</v>
      </c>
      <c r="D384" s="202" t="str">
        <f>VLOOKUP(C384,databases!$D$2:$E$145, 2, FALSE)</f>
        <v>R60</v>
      </c>
      <c r="E384" s="259">
        <f>INDEX(sample_database!$B$2:$B$506,MATCH(F384,sample_database!$L$2:$L$506,0))</f>
        <v>148</v>
      </c>
      <c r="F384" s="202" t="str">
        <f>新平!A36</f>
        <v>XP035</v>
      </c>
      <c r="G384" s="257">
        <f>新平!C36</f>
        <v>13</v>
      </c>
      <c r="H384" s="257">
        <f>新平!D36</f>
        <v>1</v>
      </c>
      <c r="I384" s="202">
        <f>新平!E36</f>
        <v>122</v>
      </c>
      <c r="J384" s="202">
        <f>新平!F36</f>
        <v>12</v>
      </c>
      <c r="K384" s="202">
        <f>新平!G36</f>
        <v>16</v>
      </c>
      <c r="L384" s="202">
        <f>新平!H36</f>
        <v>6</v>
      </c>
      <c r="M384" s="202">
        <f>新平!I36</f>
        <v>8</v>
      </c>
      <c r="N384" s="202">
        <f>新平!J36</f>
        <v>12</v>
      </c>
      <c r="O384" s="202">
        <f>新平!K36</f>
        <v>10</v>
      </c>
      <c r="P384" s="202">
        <f>新平!L36</f>
        <v>9</v>
      </c>
      <c r="Q384" s="202">
        <f>新平!M36</f>
        <v>10</v>
      </c>
      <c r="R384" s="202">
        <f>新平!N36</f>
        <v>7</v>
      </c>
      <c r="S384" s="202">
        <f>新平!O36</f>
        <v>5</v>
      </c>
      <c r="T384" s="202">
        <f>新平!P36</f>
        <v>7</v>
      </c>
      <c r="U384" s="202">
        <f>新平!Q36</f>
        <v>11</v>
      </c>
      <c r="V384" s="202">
        <f>新平!R36</f>
        <v>6</v>
      </c>
      <c r="W384" s="202">
        <f>新平!S36</f>
        <v>3</v>
      </c>
      <c r="X384" s="202">
        <f>新平!T36</f>
        <v>0</v>
      </c>
      <c r="Y384" s="202">
        <f>新平!U36</f>
        <v>0</v>
      </c>
      <c r="Z384" s="202">
        <f>新平!V36</f>
        <v>0</v>
      </c>
      <c r="AA384" s="202">
        <f>新平!W36</f>
        <v>0</v>
      </c>
      <c r="AB384" s="202">
        <f>新平!X36</f>
        <v>0</v>
      </c>
      <c r="AC384" s="202">
        <f>新平!Y36</f>
        <v>0</v>
      </c>
      <c r="AD384" s="202">
        <f>新平!Z36</f>
        <v>0</v>
      </c>
      <c r="AE384" s="202">
        <f>新平!AA36</f>
        <v>0</v>
      </c>
      <c r="AF384" s="202">
        <f>新平!AB36</f>
        <v>0</v>
      </c>
      <c r="AG384" s="202">
        <f>新平!AC36</f>
        <v>0</v>
      </c>
      <c r="AH384" s="202">
        <f>新平!AD36</f>
        <v>0</v>
      </c>
      <c r="AI384" s="202">
        <f>新平!AE36</f>
        <v>0</v>
      </c>
      <c r="AJ384" s="202">
        <f>新平!AF36</f>
        <v>0</v>
      </c>
      <c r="AK384" s="165" t="str">
        <f>新平!AG36</f>
        <v>大口，保家堰</v>
      </c>
      <c r="AL384" s="165" t="str">
        <f>新平!AH36</f>
        <v>20160723</v>
      </c>
      <c r="AM384" s="165">
        <f>新平!AI36</f>
        <v>0</v>
      </c>
      <c r="AN384" s="165">
        <f>新平!AJ36</f>
        <v>0</v>
      </c>
      <c r="AO384" s="165" t="str">
        <f>新平!AK36</f>
        <v>海拔2300</v>
      </c>
      <c r="AP384" s="263">
        <v>40.5</v>
      </c>
      <c r="AQ384" s="209" t="str">
        <f>新平!AM36</f>
        <v>1.5+1.1+1.5+2+2</v>
      </c>
      <c r="AR384" s="295">
        <f>新平!AN36</f>
        <v>8.1</v>
      </c>
      <c r="AS384" s="199" t="str">
        <f>新平!AO36</f>
        <v>530427198307101511</v>
      </c>
      <c r="AT384" s="199" t="str">
        <f>新平!AP36</f>
        <v>15894289134</v>
      </c>
    </row>
    <row r="385" spans="1:46">
      <c r="A385" s="165" t="s">
        <v>1922</v>
      </c>
      <c r="B385" s="202" t="str">
        <f>VLOOKUP(A385,databases!$A$2:$B$7, 2, FALSE)</f>
        <v>XinPing</v>
      </c>
      <c r="C385" s="165" t="str">
        <f>新平!B37</f>
        <v>李林东</v>
      </c>
      <c r="D385" s="202" t="str">
        <f>VLOOKUP(C385,databases!$D$2:$E$145, 2, FALSE)</f>
        <v>R60</v>
      </c>
      <c r="E385" s="259">
        <f>INDEX(sample_database!$B$2:$B$506,MATCH(F385,sample_database!$L$2:$L$506,0))</f>
        <v>148</v>
      </c>
      <c r="F385" s="202" t="str">
        <f>新平!A37</f>
        <v>XP036</v>
      </c>
      <c r="G385" s="257">
        <f>新平!C37</f>
        <v>9</v>
      </c>
      <c r="H385" s="257">
        <f>新平!D37</f>
        <v>0</v>
      </c>
      <c r="I385" s="202">
        <f>新平!E37</f>
        <v>71</v>
      </c>
      <c r="J385" s="202">
        <f>新平!F37</f>
        <v>9</v>
      </c>
      <c r="K385" s="202">
        <f>新平!G37</f>
        <v>7</v>
      </c>
      <c r="L385" s="202">
        <f>新平!H37</f>
        <v>6</v>
      </c>
      <c r="M385" s="202">
        <f>新平!I37</f>
        <v>11</v>
      </c>
      <c r="N385" s="202">
        <f>新平!J37</f>
        <v>12</v>
      </c>
      <c r="O385" s="202">
        <f>新平!K37</f>
        <v>7</v>
      </c>
      <c r="P385" s="202">
        <f>新平!L37</f>
        <v>8</v>
      </c>
      <c r="Q385" s="202">
        <f>新平!M37</f>
        <v>5</v>
      </c>
      <c r="R385" s="202">
        <f>新平!N37</f>
        <v>6</v>
      </c>
      <c r="S385" s="202">
        <f>新平!O37</f>
        <v>0</v>
      </c>
      <c r="T385" s="202">
        <f>新平!P37</f>
        <v>0</v>
      </c>
      <c r="U385" s="202">
        <f>新平!Q37</f>
        <v>0</v>
      </c>
      <c r="V385" s="202">
        <f>新平!R37</f>
        <v>0</v>
      </c>
      <c r="W385" s="202">
        <f>新平!S37</f>
        <v>0</v>
      </c>
      <c r="X385" s="202">
        <f>新平!T37</f>
        <v>0</v>
      </c>
      <c r="Y385" s="202">
        <f>新平!U37</f>
        <v>0</v>
      </c>
      <c r="Z385" s="202">
        <f>新平!V37</f>
        <v>0</v>
      </c>
      <c r="AA385" s="202">
        <f>新平!W37</f>
        <v>0</v>
      </c>
      <c r="AB385" s="202">
        <f>新平!X37</f>
        <v>0</v>
      </c>
      <c r="AC385" s="202">
        <f>新平!Y37</f>
        <v>0</v>
      </c>
      <c r="AD385" s="202">
        <f>新平!Z37</f>
        <v>0</v>
      </c>
      <c r="AE385" s="202">
        <f>新平!AA37</f>
        <v>0</v>
      </c>
      <c r="AF385" s="202">
        <f>新平!AB37</f>
        <v>0</v>
      </c>
      <c r="AG385" s="202">
        <f>新平!AC37</f>
        <v>0</v>
      </c>
      <c r="AH385" s="202">
        <f>新平!AD37</f>
        <v>0</v>
      </c>
      <c r="AI385" s="202">
        <f>新平!AE37</f>
        <v>0</v>
      </c>
      <c r="AJ385" s="202">
        <f>新平!AF37</f>
        <v>0</v>
      </c>
      <c r="AK385" s="165" t="str">
        <f>新平!AG37</f>
        <v>大口，保家堰</v>
      </c>
      <c r="AL385" s="165" t="str">
        <f>新平!AH37</f>
        <v>20160807</v>
      </c>
      <c r="AM385" s="165">
        <f>新平!AI37</f>
        <v>0</v>
      </c>
      <c r="AN385" s="165">
        <f>新平!AJ37</f>
        <v>0</v>
      </c>
      <c r="AO385" s="165" t="str">
        <f>新平!AK37</f>
        <v>海拔2200</v>
      </c>
      <c r="AP385" s="263">
        <v>25</v>
      </c>
      <c r="AQ385" s="209">
        <f>新平!AM37</f>
        <v>0</v>
      </c>
      <c r="AR385" s="295">
        <f>新平!AN37</f>
        <v>5</v>
      </c>
      <c r="AS385" s="199" t="str">
        <f>新平!AO37</f>
        <v>530427198307101511</v>
      </c>
      <c r="AT385" s="199" t="str">
        <f>新平!AP37</f>
        <v>15894289134</v>
      </c>
    </row>
    <row r="386" spans="1:46">
      <c r="A386" s="165" t="s">
        <v>1922</v>
      </c>
      <c r="B386" s="202" t="str">
        <f>VLOOKUP(A386,databases!$A$2:$B$7, 2, FALSE)</f>
        <v>XinPing</v>
      </c>
      <c r="C386" s="165" t="str">
        <f>新平!B38</f>
        <v>李林东</v>
      </c>
      <c r="D386" s="202" t="str">
        <f>VLOOKUP(C386,databases!$D$2:$E$145, 2, FALSE)</f>
        <v>R60</v>
      </c>
      <c r="E386" s="259">
        <f>INDEX(sample_database!$B$2:$B$506,MATCH(F386,sample_database!$L$2:$L$506,0))</f>
        <v>148</v>
      </c>
      <c r="F386" s="202" t="str">
        <f>新平!A38</f>
        <v>XP037</v>
      </c>
      <c r="G386" s="257">
        <f>新平!C38</f>
        <v>9</v>
      </c>
      <c r="H386" s="257">
        <f>新平!D38</f>
        <v>0</v>
      </c>
      <c r="I386" s="202">
        <f>新平!E38</f>
        <v>93</v>
      </c>
      <c r="J386" s="202">
        <f>新平!F38</f>
        <v>7</v>
      </c>
      <c r="K386" s="202">
        <f>新平!G38</f>
        <v>13</v>
      </c>
      <c r="L386" s="202">
        <f>新平!H38</f>
        <v>9</v>
      </c>
      <c r="M386" s="202">
        <f>新平!I38</f>
        <v>12</v>
      </c>
      <c r="N386" s="202">
        <f>新平!J38</f>
        <v>14</v>
      </c>
      <c r="O386" s="202">
        <f>新平!K38</f>
        <v>13</v>
      </c>
      <c r="P386" s="202">
        <f>新平!L38</f>
        <v>7</v>
      </c>
      <c r="Q386" s="202">
        <f>新平!M38</f>
        <v>8</v>
      </c>
      <c r="R386" s="202">
        <f>新平!N38</f>
        <v>10</v>
      </c>
      <c r="S386" s="202">
        <f>新平!O38</f>
        <v>0</v>
      </c>
      <c r="T386" s="202">
        <f>新平!P38</f>
        <v>0</v>
      </c>
      <c r="U386" s="202">
        <f>新平!Q38</f>
        <v>0</v>
      </c>
      <c r="V386" s="202">
        <f>新平!R38</f>
        <v>0</v>
      </c>
      <c r="W386" s="202">
        <f>新平!S38</f>
        <v>0</v>
      </c>
      <c r="X386" s="202">
        <f>新平!T38</f>
        <v>0</v>
      </c>
      <c r="Y386" s="202">
        <f>新平!U38</f>
        <v>0</v>
      </c>
      <c r="Z386" s="202">
        <f>新平!V38</f>
        <v>0</v>
      </c>
      <c r="AA386" s="202">
        <f>新平!W38</f>
        <v>0</v>
      </c>
      <c r="AB386" s="202">
        <f>新平!X38</f>
        <v>0</v>
      </c>
      <c r="AC386" s="202">
        <f>新平!Y38</f>
        <v>0</v>
      </c>
      <c r="AD386" s="202">
        <f>新平!Z38</f>
        <v>0</v>
      </c>
      <c r="AE386" s="202">
        <f>新平!AA38</f>
        <v>0</v>
      </c>
      <c r="AF386" s="202">
        <f>新平!AB38</f>
        <v>0</v>
      </c>
      <c r="AG386" s="202">
        <f>新平!AC38</f>
        <v>0</v>
      </c>
      <c r="AH386" s="202">
        <f>新平!AD38</f>
        <v>0</v>
      </c>
      <c r="AI386" s="202">
        <f>新平!AE38</f>
        <v>0</v>
      </c>
      <c r="AJ386" s="202">
        <f>新平!AF38</f>
        <v>0</v>
      </c>
      <c r="AK386" s="165" t="str">
        <f>新平!AG38</f>
        <v>大口，山门口</v>
      </c>
      <c r="AL386" s="165" t="str">
        <f>新平!AH38</f>
        <v>20160820</v>
      </c>
      <c r="AM386" s="165">
        <f>新平!AI38</f>
        <v>0</v>
      </c>
      <c r="AN386" s="165">
        <f>新平!AJ38</f>
        <v>0</v>
      </c>
      <c r="AO386" s="165" t="str">
        <f>新平!AK38</f>
        <v>海拔2500</v>
      </c>
      <c r="AP386" s="263">
        <v>30</v>
      </c>
      <c r="AQ386" s="209">
        <f>新平!AM38</f>
        <v>0</v>
      </c>
      <c r="AR386" s="295">
        <f>新平!AN38</f>
        <v>6</v>
      </c>
      <c r="AS386" s="199" t="str">
        <f>新平!AO38</f>
        <v>530427198307101511</v>
      </c>
      <c r="AT386" s="199" t="str">
        <f>新平!AP38</f>
        <v>15894289134</v>
      </c>
    </row>
    <row r="387" spans="1:46">
      <c r="A387" s="165" t="s">
        <v>1922</v>
      </c>
      <c r="B387" s="202" t="str">
        <f>VLOOKUP(A387,databases!$A$2:$B$7, 2, FALSE)</f>
        <v>XinPing</v>
      </c>
      <c r="C387" s="165" t="str">
        <f>新平!B39</f>
        <v>李林东</v>
      </c>
      <c r="D387" s="202" t="str">
        <f>VLOOKUP(C387,databases!$D$2:$E$145, 2, FALSE)</f>
        <v>R60</v>
      </c>
      <c r="E387" s="259">
        <f>INDEX(sample_database!$B$2:$B$506,MATCH(F387,sample_database!$L$2:$L$506,0))</f>
        <v>148</v>
      </c>
      <c r="F387" s="202" t="str">
        <f>新平!A39</f>
        <v>XP038</v>
      </c>
      <c r="G387" s="257">
        <f>新平!C39</f>
        <v>8</v>
      </c>
      <c r="H387" s="257">
        <f>新平!D39</f>
        <v>0</v>
      </c>
      <c r="I387" s="202">
        <f>新平!E39</f>
        <v>92</v>
      </c>
      <c r="J387" s="202">
        <f>新平!F39</f>
        <v>9</v>
      </c>
      <c r="K387" s="202">
        <f>新平!G39</f>
        <v>12</v>
      </c>
      <c r="L387" s="202">
        <f>新平!H39</f>
        <v>9</v>
      </c>
      <c r="M387" s="202">
        <f>新平!I39</f>
        <v>7</v>
      </c>
      <c r="N387" s="202">
        <f>新平!J39</f>
        <v>6</v>
      </c>
      <c r="O387" s="202">
        <f>新平!K39</f>
        <v>26</v>
      </c>
      <c r="P387" s="202">
        <f>新平!L39</f>
        <v>12</v>
      </c>
      <c r="Q387" s="202">
        <f>新平!M39</f>
        <v>11</v>
      </c>
      <c r="R387" s="202">
        <f>新平!N39</f>
        <v>0</v>
      </c>
      <c r="S387" s="202">
        <f>新平!O39</f>
        <v>0</v>
      </c>
      <c r="T387" s="202">
        <f>新平!P39</f>
        <v>0</v>
      </c>
      <c r="U387" s="202">
        <f>新平!Q39</f>
        <v>0</v>
      </c>
      <c r="V387" s="202">
        <f>新平!R39</f>
        <v>0</v>
      </c>
      <c r="W387" s="202">
        <f>新平!S39</f>
        <v>0</v>
      </c>
      <c r="X387" s="202">
        <f>新平!T39</f>
        <v>0</v>
      </c>
      <c r="Y387" s="202">
        <f>新平!U39</f>
        <v>0</v>
      </c>
      <c r="Z387" s="202">
        <f>新平!V39</f>
        <v>0</v>
      </c>
      <c r="AA387" s="202">
        <f>新平!W39</f>
        <v>0</v>
      </c>
      <c r="AB387" s="202">
        <f>新平!X39</f>
        <v>0</v>
      </c>
      <c r="AC387" s="202">
        <f>新平!Y39</f>
        <v>0</v>
      </c>
      <c r="AD387" s="202">
        <f>新平!Z39</f>
        <v>0</v>
      </c>
      <c r="AE387" s="202">
        <f>新平!AA39</f>
        <v>0</v>
      </c>
      <c r="AF387" s="202">
        <f>新平!AB39</f>
        <v>0</v>
      </c>
      <c r="AG387" s="202">
        <f>新平!AC39</f>
        <v>0</v>
      </c>
      <c r="AH387" s="202">
        <f>新平!AD39</f>
        <v>0</v>
      </c>
      <c r="AI387" s="202">
        <f>新平!AE39</f>
        <v>0</v>
      </c>
      <c r="AJ387" s="202">
        <f>新平!AF39</f>
        <v>0</v>
      </c>
      <c r="AK387" s="165" t="str">
        <f>新平!AG39</f>
        <v>大口，山门口</v>
      </c>
      <c r="AL387" s="165" t="str">
        <f>新平!AH39</f>
        <v>20160820</v>
      </c>
      <c r="AM387" s="165">
        <f>新平!AI39</f>
        <v>0</v>
      </c>
      <c r="AN387" s="165">
        <f>新平!AJ39</f>
        <v>0</v>
      </c>
      <c r="AO387" s="165" t="str">
        <f>新平!AK39</f>
        <v>海拔2300</v>
      </c>
      <c r="AP387" s="263">
        <v>25</v>
      </c>
      <c r="AQ387" s="209">
        <f>新平!AM39</f>
        <v>0</v>
      </c>
      <c r="AR387" s="295">
        <f>新平!AN39</f>
        <v>5</v>
      </c>
      <c r="AS387" s="199" t="str">
        <f>新平!AO39</f>
        <v>530427198307101511</v>
      </c>
      <c r="AT387" s="199" t="str">
        <f>新平!AP39</f>
        <v>15894289134</v>
      </c>
    </row>
    <row r="388" spans="1:46">
      <c r="A388" s="165" t="s">
        <v>1922</v>
      </c>
      <c r="B388" s="202" t="str">
        <f>VLOOKUP(A388,databases!$A$2:$B$7, 2, FALSE)</f>
        <v>XinPing</v>
      </c>
      <c r="C388" s="165" t="str">
        <f>新平!B40</f>
        <v>李林东</v>
      </c>
      <c r="D388" s="202" t="str">
        <f>VLOOKUP(C388,databases!$D$2:$E$145, 2, FALSE)</f>
        <v>R60</v>
      </c>
      <c r="E388" s="259">
        <f>INDEX(sample_database!$B$2:$B$506,MATCH(F388,sample_database!$L$2:$L$506,0))</f>
        <v>148</v>
      </c>
      <c r="F388" s="202" t="str">
        <f>新平!A40</f>
        <v>XP039</v>
      </c>
      <c r="G388" s="257">
        <f>新平!C40</f>
        <v>0</v>
      </c>
      <c r="H388" s="257">
        <f>新平!D40</f>
        <v>19</v>
      </c>
      <c r="I388" s="202">
        <f>新平!E40</f>
        <v>72</v>
      </c>
      <c r="J388" s="202">
        <f>新平!F40</f>
        <v>2</v>
      </c>
      <c r="K388" s="202">
        <f>新平!G40</f>
        <v>3</v>
      </c>
      <c r="L388" s="202">
        <f>新平!H40</f>
        <v>3</v>
      </c>
      <c r="M388" s="202">
        <f>新平!I40</f>
        <v>3</v>
      </c>
      <c r="N388" s="202">
        <f>新平!J40</f>
        <v>3</v>
      </c>
      <c r="O388" s="202">
        <f>新平!K40</f>
        <v>3</v>
      </c>
      <c r="P388" s="202">
        <f>新平!L40</f>
        <v>3</v>
      </c>
      <c r="Q388" s="202">
        <f>新平!M40</f>
        <v>3</v>
      </c>
      <c r="R388" s="202">
        <f>新平!N40</f>
        <v>3</v>
      </c>
      <c r="S388" s="202">
        <f>新平!O40</f>
        <v>4</v>
      </c>
      <c r="T388" s="202">
        <f>新平!P40</f>
        <v>4</v>
      </c>
      <c r="U388" s="202">
        <f>新平!Q40</f>
        <v>4</v>
      </c>
      <c r="V388" s="202">
        <f>新平!R40</f>
        <v>4</v>
      </c>
      <c r="W388" s="202">
        <f>新平!S40</f>
        <v>4</v>
      </c>
      <c r="X388" s="202">
        <f>新平!T40</f>
        <v>4</v>
      </c>
      <c r="Y388" s="202">
        <f>新平!U40</f>
        <v>5</v>
      </c>
      <c r="Z388" s="202">
        <f>新平!V40</f>
        <v>5</v>
      </c>
      <c r="AA388" s="202">
        <f>新平!W40</f>
        <v>6</v>
      </c>
      <c r="AB388" s="202">
        <f>新平!X40</f>
        <v>6</v>
      </c>
      <c r="AC388" s="202">
        <f>新平!Y40</f>
        <v>0</v>
      </c>
      <c r="AD388" s="202">
        <f>新平!Z40</f>
        <v>0</v>
      </c>
      <c r="AE388" s="202">
        <f>新平!AA40</f>
        <v>0</v>
      </c>
      <c r="AF388" s="202">
        <f>新平!AB40</f>
        <v>0</v>
      </c>
      <c r="AG388" s="202">
        <f>新平!AC40</f>
        <v>0</v>
      </c>
      <c r="AH388" s="202">
        <f>新平!AD40</f>
        <v>0</v>
      </c>
      <c r="AI388" s="202">
        <f>新平!AE40</f>
        <v>0</v>
      </c>
      <c r="AJ388" s="202">
        <f>新平!AF40</f>
        <v>0</v>
      </c>
      <c r="AK388" s="165" t="str">
        <f>新平!AG40</f>
        <v>大口，山门口</v>
      </c>
      <c r="AL388" s="165" t="str">
        <f>新平!AH40</f>
        <v>20160829</v>
      </c>
      <c r="AM388" s="165">
        <f>新平!AI40</f>
        <v>0</v>
      </c>
      <c r="AN388" s="165">
        <f>新平!AJ40</f>
        <v>0</v>
      </c>
      <c r="AO388" s="165" t="str">
        <f>新平!AK40</f>
        <v>海拔2200</v>
      </c>
      <c r="AP388" s="263">
        <v>30</v>
      </c>
      <c r="AQ388" s="209">
        <f>新平!AM40</f>
        <v>0</v>
      </c>
      <c r="AR388" s="295">
        <f>新平!AN40</f>
        <v>6</v>
      </c>
      <c r="AS388" s="199" t="str">
        <f>新平!AO40</f>
        <v>530427198307101511</v>
      </c>
      <c r="AT388" s="199" t="str">
        <f>新平!AP40</f>
        <v>15894289134</v>
      </c>
    </row>
    <row r="389" spans="1:46">
      <c r="A389" s="165" t="s">
        <v>1922</v>
      </c>
      <c r="B389" s="202" t="str">
        <f>VLOOKUP(A389,databases!$A$2:$B$7, 2, FALSE)</f>
        <v>XinPing</v>
      </c>
      <c r="C389" s="165" t="s">
        <v>2669</v>
      </c>
      <c r="D389" s="273" t="str">
        <f>VLOOKUP(C389,databases!$D$2:$E$145, 2, FALSE)</f>
        <v>R66</v>
      </c>
      <c r="E389" s="274" t="str">
        <f>INDEX(sample_database!$B$2:$B$506,MATCH(F389,sample_database!$L$2:$L$506,0))</f>
        <v>NA</v>
      </c>
      <c r="F389" s="202" t="str">
        <f>新平!A78</f>
        <v>XP077</v>
      </c>
      <c r="G389" s="257">
        <f>新平!C78</f>
        <v>11</v>
      </c>
      <c r="H389" s="257">
        <f>新平!D78</f>
        <v>0</v>
      </c>
      <c r="I389" s="202">
        <f>新平!E78</f>
        <v>38</v>
      </c>
      <c r="J389" s="202">
        <f>新平!F78</f>
        <v>3</v>
      </c>
      <c r="K389" s="202">
        <f>新平!G78</f>
        <v>3</v>
      </c>
      <c r="L389" s="202">
        <f>新平!H78</f>
        <v>3</v>
      </c>
      <c r="M389" s="202">
        <f>新平!I78</f>
        <v>3</v>
      </c>
      <c r="N389" s="202">
        <f>新平!J78</f>
        <v>3</v>
      </c>
      <c r="O389" s="202">
        <f>新平!K78</f>
        <v>3</v>
      </c>
      <c r="P389" s="202">
        <f>新平!L78</f>
        <v>4</v>
      </c>
      <c r="Q389" s="202">
        <f>新平!M78</f>
        <v>4</v>
      </c>
      <c r="R389" s="202">
        <f>新平!N78</f>
        <v>4</v>
      </c>
      <c r="S389" s="202">
        <f>新平!O78</f>
        <v>4</v>
      </c>
      <c r="T389" s="202">
        <f>新平!P78</f>
        <v>4</v>
      </c>
      <c r="U389" s="202">
        <f>新平!Q78</f>
        <v>0</v>
      </c>
      <c r="V389" s="202">
        <f>新平!R78</f>
        <v>0</v>
      </c>
      <c r="W389" s="202">
        <f>新平!S78</f>
        <v>0</v>
      </c>
      <c r="X389" s="202">
        <f>新平!T78</f>
        <v>0</v>
      </c>
      <c r="Y389" s="202">
        <f>新平!U78</f>
        <v>0</v>
      </c>
      <c r="Z389" s="202">
        <f>新平!V78</f>
        <v>0</v>
      </c>
      <c r="AA389" s="202">
        <f>新平!W78</f>
        <v>0</v>
      </c>
      <c r="AB389" s="202">
        <f>新平!X78</f>
        <v>0</v>
      </c>
      <c r="AC389" s="202">
        <f>新平!Y78</f>
        <v>0</v>
      </c>
      <c r="AD389" s="202">
        <f>新平!Z78</f>
        <v>0</v>
      </c>
      <c r="AE389" s="202">
        <f>新平!AA78</f>
        <v>0</v>
      </c>
      <c r="AF389" s="202">
        <f>新平!AB78</f>
        <v>0</v>
      </c>
      <c r="AG389" s="202">
        <f>新平!AC78</f>
        <v>0</v>
      </c>
      <c r="AH389" s="202">
        <f>新平!AD78</f>
        <v>0</v>
      </c>
      <c r="AI389" s="202">
        <f>新平!AE78</f>
        <v>0</v>
      </c>
      <c r="AJ389" s="202">
        <f>新平!AF78</f>
        <v>0</v>
      </c>
      <c r="AK389" s="165" t="str">
        <f>新平!AG78</f>
        <v>新平水塘波村杨家箐</v>
      </c>
      <c r="AL389" s="165" t="str">
        <f>新平!AH78</f>
        <v>20160908</v>
      </c>
      <c r="AM389" s="165">
        <f>新平!AI78</f>
        <v>0</v>
      </c>
      <c r="AN389" s="165">
        <f>新平!AJ78</f>
        <v>0</v>
      </c>
      <c r="AO389" s="165">
        <f>新平!AK78</f>
        <v>0</v>
      </c>
      <c r="AP389" s="263">
        <v>7.5</v>
      </c>
      <c r="AQ389" s="209">
        <f>新平!AM78</f>
        <v>0</v>
      </c>
      <c r="AR389" s="295">
        <f>新平!AN78</f>
        <v>1.5</v>
      </c>
      <c r="AS389" s="199">
        <f>新平!AO78</f>
        <v>0</v>
      </c>
      <c r="AT389" s="199">
        <f>新平!AP78</f>
        <v>0</v>
      </c>
    </row>
    <row r="390" spans="1:46">
      <c r="A390" s="165" t="s">
        <v>1922</v>
      </c>
      <c r="B390" s="202" t="str">
        <f>VLOOKUP(A390,databases!$A$2:$B$7, 2, FALSE)</f>
        <v>XinPing</v>
      </c>
      <c r="C390" s="165" t="s">
        <v>2669</v>
      </c>
      <c r="D390" s="275" t="str">
        <f>VLOOKUP(C390,databases!$D$2:$E$145, 2, FALSE)</f>
        <v>R66</v>
      </c>
      <c r="E390" s="276" t="str">
        <f>INDEX(sample_database!$B$2:$B$506,MATCH(F390,sample_database!$L$2:$L$506,0))</f>
        <v>NA</v>
      </c>
      <c r="F390" s="202" t="str">
        <f>新平!A79</f>
        <v>XP078</v>
      </c>
      <c r="G390" s="257">
        <f>新平!C79</f>
        <v>12</v>
      </c>
      <c r="H390" s="257">
        <f>新平!D79</f>
        <v>0</v>
      </c>
      <c r="I390" s="202">
        <f>新平!E79</f>
        <v>43</v>
      </c>
      <c r="J390" s="202">
        <f>新平!F79</f>
        <v>1</v>
      </c>
      <c r="K390" s="202">
        <f>新平!G79</f>
        <v>1</v>
      </c>
      <c r="L390" s="202">
        <f>新平!H79</f>
        <v>3</v>
      </c>
      <c r="M390" s="202">
        <f>新平!I79</f>
        <v>3</v>
      </c>
      <c r="N390" s="202">
        <f>新平!J79</f>
        <v>3</v>
      </c>
      <c r="O390" s="202">
        <f>新平!K79</f>
        <v>3</v>
      </c>
      <c r="P390" s="202">
        <f>新平!L79</f>
        <v>3</v>
      </c>
      <c r="Q390" s="202">
        <f>新平!M79</f>
        <v>4</v>
      </c>
      <c r="R390" s="202">
        <f>新平!N79</f>
        <v>4</v>
      </c>
      <c r="S390" s="202">
        <f>新平!O79</f>
        <v>5</v>
      </c>
      <c r="T390" s="202">
        <f>新平!P79</f>
        <v>5</v>
      </c>
      <c r="U390" s="202">
        <f>新平!Q79</f>
        <v>8</v>
      </c>
      <c r="V390" s="202">
        <f>新平!R79</f>
        <v>0</v>
      </c>
      <c r="W390" s="202">
        <f>新平!S79</f>
        <v>0</v>
      </c>
      <c r="X390" s="202">
        <f>新平!T79</f>
        <v>0</v>
      </c>
      <c r="Y390" s="202">
        <f>新平!U79</f>
        <v>0</v>
      </c>
      <c r="Z390" s="202">
        <f>新平!V79</f>
        <v>0</v>
      </c>
      <c r="AA390" s="202">
        <f>新平!W79</f>
        <v>0</v>
      </c>
      <c r="AB390" s="202">
        <f>新平!X79</f>
        <v>0</v>
      </c>
      <c r="AC390" s="202">
        <f>新平!Y79</f>
        <v>0</v>
      </c>
      <c r="AD390" s="202">
        <f>新平!Z79</f>
        <v>0</v>
      </c>
      <c r="AE390" s="202">
        <f>新平!AA79</f>
        <v>0</v>
      </c>
      <c r="AF390" s="202">
        <f>新平!AB79</f>
        <v>0</v>
      </c>
      <c r="AG390" s="202">
        <f>新平!AC79</f>
        <v>0</v>
      </c>
      <c r="AH390" s="202">
        <f>新平!AD79</f>
        <v>0</v>
      </c>
      <c r="AI390" s="202">
        <f>新平!AE79</f>
        <v>0</v>
      </c>
      <c r="AJ390" s="202">
        <f>新平!AF79</f>
        <v>0</v>
      </c>
      <c r="AK390" s="165" t="str">
        <f>新平!AG79</f>
        <v>新平水塘波村老牛场</v>
      </c>
      <c r="AL390" s="165" t="str">
        <f>新平!AH79</f>
        <v>20160913</v>
      </c>
      <c r="AM390" s="165">
        <f>新平!AI79</f>
        <v>0</v>
      </c>
      <c r="AN390" s="165">
        <f>新平!AJ79</f>
        <v>0</v>
      </c>
      <c r="AO390" s="165" t="str">
        <f>新平!AK79</f>
        <v>N02677457，E00743664</v>
      </c>
      <c r="AP390" s="263">
        <v>6</v>
      </c>
      <c r="AQ390" s="209">
        <f>新平!AM79</f>
        <v>0</v>
      </c>
      <c r="AR390" s="295">
        <f>新平!AN79</f>
        <v>1.2</v>
      </c>
      <c r="AS390" s="199">
        <f>新平!AO79</f>
        <v>0</v>
      </c>
      <c r="AT390" s="199">
        <f>新平!AP79</f>
        <v>0</v>
      </c>
    </row>
    <row r="391" spans="1:46">
      <c r="A391" s="165" t="s">
        <v>1922</v>
      </c>
      <c r="B391" s="202" t="str">
        <f>VLOOKUP(A391,databases!$A$2:$B$7, 2, FALSE)</f>
        <v>XinPing</v>
      </c>
      <c r="C391" s="165" t="str">
        <f>新平!B115</f>
        <v>李荣兵</v>
      </c>
      <c r="D391" s="275" t="str">
        <f>VLOOKUP(C391,databases!$D$2:$E$145, 2, FALSE)</f>
        <v>R66</v>
      </c>
      <c r="E391" s="276" t="str">
        <f>INDEX(sample_database!$B$2:$B$506,MATCH(F391,sample_database!$L$2:$L$506,0))</f>
        <v>NA</v>
      </c>
      <c r="F391" s="202" t="str">
        <f>新平!A115</f>
        <v>XP114</v>
      </c>
      <c r="G391" s="257">
        <f>新平!C115</f>
        <v>10</v>
      </c>
      <c r="H391" s="257">
        <f>新平!D115</f>
        <v>0</v>
      </c>
      <c r="I391" s="202">
        <f>新平!E115</f>
        <v>58</v>
      </c>
      <c r="J391" s="202">
        <f>新平!F115</f>
        <v>4</v>
      </c>
      <c r="K391" s="202">
        <f>新平!G115</f>
        <v>5</v>
      </c>
      <c r="L391" s="202">
        <f>新平!H115</f>
        <v>5</v>
      </c>
      <c r="M391" s="202">
        <f>新平!I115</f>
        <v>5</v>
      </c>
      <c r="N391" s="202">
        <f>新平!J115</f>
        <v>6</v>
      </c>
      <c r="O391" s="202">
        <f>新平!K115</f>
        <v>6</v>
      </c>
      <c r="P391" s="202">
        <f>新平!L115</f>
        <v>6</v>
      </c>
      <c r="Q391" s="202">
        <f>新平!M115</f>
        <v>6</v>
      </c>
      <c r="R391" s="202">
        <f>新平!N115</f>
        <v>7</v>
      </c>
      <c r="S391" s="202">
        <f>新平!O115</f>
        <v>8</v>
      </c>
      <c r="T391" s="202">
        <f>新平!P115</f>
        <v>0</v>
      </c>
      <c r="U391" s="202">
        <f>新平!Q115</f>
        <v>0</v>
      </c>
      <c r="V391" s="202">
        <f>新平!R115</f>
        <v>0</v>
      </c>
      <c r="W391" s="202">
        <f>新平!S115</f>
        <v>0</v>
      </c>
      <c r="X391" s="202">
        <f>新平!T115</f>
        <v>0</v>
      </c>
      <c r="Y391" s="202">
        <f>新平!U115</f>
        <v>0</v>
      </c>
      <c r="Z391" s="202">
        <f>新平!V115</f>
        <v>0</v>
      </c>
      <c r="AA391" s="202">
        <f>新平!W115</f>
        <v>0</v>
      </c>
      <c r="AB391" s="202">
        <f>新平!X115</f>
        <v>0</v>
      </c>
      <c r="AC391" s="202">
        <f>新平!Y115</f>
        <v>0</v>
      </c>
      <c r="AD391" s="202">
        <f>新平!Z115</f>
        <v>0</v>
      </c>
      <c r="AE391" s="202">
        <f>新平!AA115</f>
        <v>0</v>
      </c>
      <c r="AF391" s="202">
        <f>新平!AB115</f>
        <v>0</v>
      </c>
      <c r="AG391" s="202">
        <f>新平!AC115</f>
        <v>0</v>
      </c>
      <c r="AH391" s="202">
        <f>新平!AD115</f>
        <v>0</v>
      </c>
      <c r="AI391" s="202">
        <f>新平!AE115</f>
        <v>0</v>
      </c>
      <c r="AJ391" s="202">
        <f>新平!AF115</f>
        <v>0</v>
      </c>
      <c r="AK391" s="165" t="str">
        <f>新平!AG115</f>
        <v>新平县戛洒镇耀南村</v>
      </c>
      <c r="AL391" s="165" t="str">
        <f>新平!AH115</f>
        <v>201607</v>
      </c>
      <c r="AM391" s="165">
        <f>新平!AI115</f>
        <v>0</v>
      </c>
      <c r="AN391" s="165">
        <f>新平!AJ115</f>
        <v>0</v>
      </c>
      <c r="AO391" s="165" t="str">
        <f>新平!AK115</f>
        <v>海拔2549,2650814.1-17755464.4</v>
      </c>
      <c r="AP391" s="263">
        <v>7.5</v>
      </c>
      <c r="AQ391" s="209">
        <f>新平!AM115</f>
        <v>0</v>
      </c>
      <c r="AR391" s="295">
        <f>新平!AN115</f>
        <v>1.5</v>
      </c>
      <c r="AS391" s="199" t="str">
        <f>新平!AO115</f>
        <v>532428197211161310</v>
      </c>
      <c r="AT391" s="199" t="str">
        <f>新平!AP115</f>
        <v>13577769875</v>
      </c>
    </row>
    <row r="392" spans="1:46">
      <c r="A392" s="165" t="s">
        <v>1922</v>
      </c>
      <c r="B392" s="202" t="str">
        <f>VLOOKUP(A392,databases!$A$2:$B$7, 2, FALSE)</f>
        <v>XinPing</v>
      </c>
      <c r="C392" s="165" t="str">
        <f>新平!B116</f>
        <v>李荣兵</v>
      </c>
      <c r="D392" s="275" t="str">
        <f>VLOOKUP(C392,databases!$D$2:$E$145, 2, FALSE)</f>
        <v>R66</v>
      </c>
      <c r="E392" s="276" t="str">
        <f>INDEX(sample_database!$B$2:$B$506,MATCH(F392,sample_database!$L$2:$L$506,0))</f>
        <v>NA</v>
      </c>
      <c r="F392" s="202" t="str">
        <f>新平!A116</f>
        <v>XP115</v>
      </c>
      <c r="G392" s="257">
        <f>新平!C116</f>
        <v>10</v>
      </c>
      <c r="H392" s="257">
        <f>新平!D116</f>
        <v>0</v>
      </c>
      <c r="I392" s="202">
        <f>新平!E116</f>
        <v>57</v>
      </c>
      <c r="J392" s="202">
        <f>新平!F116</f>
        <v>5</v>
      </c>
      <c r="K392" s="202">
        <f>新平!G116</f>
        <v>5</v>
      </c>
      <c r="L392" s="202">
        <f>新平!H116</f>
        <v>5</v>
      </c>
      <c r="M392" s="202">
        <f>新平!I116</f>
        <v>6</v>
      </c>
      <c r="N392" s="202">
        <f>新平!J116</f>
        <v>6</v>
      </c>
      <c r="O392" s="202">
        <f>新平!K116</f>
        <v>6</v>
      </c>
      <c r="P392" s="202">
        <f>新平!L116</f>
        <v>6</v>
      </c>
      <c r="Q392" s="202">
        <f>新平!M116</f>
        <v>6</v>
      </c>
      <c r="R392" s="202">
        <f>新平!N116</f>
        <v>6</v>
      </c>
      <c r="S392" s="202">
        <f>新平!O116</f>
        <v>6</v>
      </c>
      <c r="T392" s="202">
        <f>新平!P116</f>
        <v>0</v>
      </c>
      <c r="U392" s="202">
        <f>新平!Q116</f>
        <v>0</v>
      </c>
      <c r="V392" s="202">
        <f>新平!R116</f>
        <v>0</v>
      </c>
      <c r="W392" s="202">
        <f>新平!S116</f>
        <v>0</v>
      </c>
      <c r="X392" s="202">
        <f>新平!T116</f>
        <v>0</v>
      </c>
      <c r="Y392" s="202">
        <f>新平!U116</f>
        <v>0</v>
      </c>
      <c r="Z392" s="202">
        <f>新平!V116</f>
        <v>0</v>
      </c>
      <c r="AA392" s="202">
        <f>新平!W116</f>
        <v>0</v>
      </c>
      <c r="AB392" s="202">
        <f>新平!X116</f>
        <v>0</v>
      </c>
      <c r="AC392" s="202">
        <f>新平!Y116</f>
        <v>0</v>
      </c>
      <c r="AD392" s="202">
        <f>新平!Z116</f>
        <v>0</v>
      </c>
      <c r="AE392" s="202">
        <f>新平!AA116</f>
        <v>0</v>
      </c>
      <c r="AF392" s="202">
        <f>新平!AB116</f>
        <v>0</v>
      </c>
      <c r="AG392" s="202">
        <f>新平!AC116</f>
        <v>0</v>
      </c>
      <c r="AH392" s="202">
        <f>新平!AD116</f>
        <v>0</v>
      </c>
      <c r="AI392" s="202">
        <f>新平!AE116</f>
        <v>0</v>
      </c>
      <c r="AJ392" s="202">
        <f>新平!AF116</f>
        <v>0</v>
      </c>
      <c r="AK392" s="165" t="str">
        <f>新平!AG116</f>
        <v>新平县戛洒镇耀南村花山路</v>
      </c>
      <c r="AL392" s="165" t="str">
        <f>新平!AH116</f>
        <v>201607</v>
      </c>
      <c r="AM392" s="165">
        <f>新平!AI116</f>
        <v>0</v>
      </c>
      <c r="AN392" s="165">
        <f>新平!AJ116</f>
        <v>0</v>
      </c>
      <c r="AO392" s="165" t="str">
        <f>新平!AK116</f>
        <v>海拔2491,2650879.1-17755419.1</v>
      </c>
      <c r="AP392" s="263">
        <v>10</v>
      </c>
      <c r="AQ392" s="209">
        <f>新平!AM116</f>
        <v>0</v>
      </c>
      <c r="AR392" s="295">
        <f>新平!AN116</f>
        <v>2</v>
      </c>
      <c r="AS392" s="199" t="str">
        <f>新平!AO116</f>
        <v>532428197211161310</v>
      </c>
      <c r="AT392" s="199" t="str">
        <f>新平!AP116</f>
        <v>13577769875</v>
      </c>
    </row>
    <row r="393" spans="1:46">
      <c r="A393" s="165" t="s">
        <v>1922</v>
      </c>
      <c r="B393" s="202" t="str">
        <f>VLOOKUP(A393,databases!$A$2:$B$7, 2, FALSE)</f>
        <v>XinPing</v>
      </c>
      <c r="C393" s="165" t="str">
        <f>新平!B117</f>
        <v>李荣兵</v>
      </c>
      <c r="D393" s="275" t="str">
        <f>VLOOKUP(C393,databases!$D$2:$E$145, 2, FALSE)</f>
        <v>R66</v>
      </c>
      <c r="E393" s="276" t="str">
        <f>INDEX(sample_database!$B$2:$B$506,MATCH(F393,sample_database!$L$2:$L$506,0))</f>
        <v>NA</v>
      </c>
      <c r="F393" s="202" t="str">
        <f>新平!A117</f>
        <v>XP116</v>
      </c>
      <c r="G393" s="257">
        <f>新平!C117</f>
        <v>10</v>
      </c>
      <c r="H393" s="257">
        <f>新平!D117</f>
        <v>0</v>
      </c>
      <c r="I393" s="202">
        <f>新平!E117</f>
        <v>59</v>
      </c>
      <c r="J393" s="202">
        <f>新平!F117</f>
        <v>5</v>
      </c>
      <c r="K393" s="202">
        <f>新平!G117</f>
        <v>5</v>
      </c>
      <c r="L393" s="202">
        <f>新平!H117</f>
        <v>6</v>
      </c>
      <c r="M393" s="202">
        <f>新平!I117</f>
        <v>6</v>
      </c>
      <c r="N393" s="202">
        <f>新平!J117</f>
        <v>6</v>
      </c>
      <c r="O393" s="202">
        <f>新平!K117</f>
        <v>6</v>
      </c>
      <c r="P393" s="202">
        <f>新平!L117</f>
        <v>6</v>
      </c>
      <c r="Q393" s="202">
        <f>新平!M117</f>
        <v>6</v>
      </c>
      <c r="R393" s="202">
        <f>新平!N117</f>
        <v>6</v>
      </c>
      <c r="S393" s="202">
        <f>新平!O117</f>
        <v>7</v>
      </c>
      <c r="T393" s="202">
        <f>新平!P117</f>
        <v>0</v>
      </c>
      <c r="U393" s="202">
        <f>新平!Q117</f>
        <v>0</v>
      </c>
      <c r="V393" s="202">
        <f>新平!R117</f>
        <v>0</v>
      </c>
      <c r="W393" s="202">
        <f>新平!S117</f>
        <v>0</v>
      </c>
      <c r="X393" s="202">
        <f>新平!T117</f>
        <v>0</v>
      </c>
      <c r="Y393" s="202">
        <f>新平!U117</f>
        <v>0</v>
      </c>
      <c r="Z393" s="202">
        <f>新平!V117</f>
        <v>0</v>
      </c>
      <c r="AA393" s="202">
        <f>新平!W117</f>
        <v>0</v>
      </c>
      <c r="AB393" s="202">
        <f>新平!X117</f>
        <v>0</v>
      </c>
      <c r="AC393" s="202">
        <f>新平!Y117</f>
        <v>0</v>
      </c>
      <c r="AD393" s="202">
        <f>新平!Z117</f>
        <v>0</v>
      </c>
      <c r="AE393" s="202">
        <f>新平!AA117</f>
        <v>0</v>
      </c>
      <c r="AF393" s="202">
        <f>新平!AB117</f>
        <v>0</v>
      </c>
      <c r="AG393" s="202">
        <f>新平!AC117</f>
        <v>0</v>
      </c>
      <c r="AH393" s="202">
        <f>新平!AD117</f>
        <v>0</v>
      </c>
      <c r="AI393" s="202">
        <f>新平!AE117</f>
        <v>0</v>
      </c>
      <c r="AJ393" s="202">
        <f>新平!AF117</f>
        <v>0</v>
      </c>
      <c r="AK393" s="165" t="str">
        <f>新平!AG117</f>
        <v>新平县戛洒镇耀南村花山</v>
      </c>
      <c r="AL393" s="165" t="str">
        <f>新平!AH117</f>
        <v>201607</v>
      </c>
      <c r="AM393" s="165">
        <f>新平!AI117</f>
        <v>0</v>
      </c>
      <c r="AN393" s="165">
        <f>新平!AJ117</f>
        <v>0</v>
      </c>
      <c r="AO393" s="165" t="str">
        <f>新平!AK117</f>
        <v>海拔2571,2650790.1-17755466.5</v>
      </c>
      <c r="AP393" s="263">
        <v>5</v>
      </c>
      <c r="AQ393" s="209">
        <f>新平!AM117</f>
        <v>0</v>
      </c>
      <c r="AR393" s="295">
        <f>新平!AN117</f>
        <v>1</v>
      </c>
      <c r="AS393" s="199" t="str">
        <f>新平!AO117</f>
        <v>532428197211161310</v>
      </c>
      <c r="AT393" s="199" t="str">
        <f>新平!AP117</f>
        <v>13577769875</v>
      </c>
    </row>
    <row r="394" spans="1:46">
      <c r="A394" s="165" t="s">
        <v>1922</v>
      </c>
      <c r="B394" s="202" t="str">
        <f>VLOOKUP(A394,databases!$A$2:$B$7, 2, FALSE)</f>
        <v>XinPing</v>
      </c>
      <c r="C394" s="165" t="str">
        <f>新平!B118</f>
        <v>李荣兵</v>
      </c>
      <c r="D394" s="275" t="str">
        <f>VLOOKUP(C394,databases!$D$2:$E$145, 2, FALSE)</f>
        <v>R66</v>
      </c>
      <c r="E394" s="276" t="str">
        <f>INDEX(sample_database!$B$2:$B$506,MATCH(F394,sample_database!$L$2:$L$506,0))</f>
        <v>NA</v>
      </c>
      <c r="F394" s="202" t="str">
        <f>新平!A118</f>
        <v>XP117</v>
      </c>
      <c r="G394" s="257">
        <f>新平!C118</f>
        <v>10</v>
      </c>
      <c r="H394" s="257">
        <f>新平!D118</f>
        <v>0</v>
      </c>
      <c r="I394" s="202">
        <f>新平!E118</f>
        <v>63</v>
      </c>
      <c r="J394" s="202">
        <f>新平!F118</f>
        <v>4</v>
      </c>
      <c r="K394" s="202">
        <f>新平!G118</f>
        <v>5</v>
      </c>
      <c r="L394" s="202">
        <f>新平!H118</f>
        <v>5</v>
      </c>
      <c r="M394" s="202">
        <f>新平!I118</f>
        <v>5</v>
      </c>
      <c r="N394" s="202">
        <f>新平!J118</f>
        <v>5</v>
      </c>
      <c r="O394" s="202">
        <f>新平!K118</f>
        <v>6</v>
      </c>
      <c r="P394" s="202">
        <f>新平!L118</f>
        <v>8</v>
      </c>
      <c r="Q394" s="202">
        <f>新平!M118</f>
        <v>8</v>
      </c>
      <c r="R394" s="202">
        <f>新平!N118</f>
        <v>8</v>
      </c>
      <c r="S394" s="202">
        <f>新平!O118</f>
        <v>9</v>
      </c>
      <c r="T394" s="202">
        <f>新平!P118</f>
        <v>0</v>
      </c>
      <c r="U394" s="202">
        <f>新平!Q118</f>
        <v>0</v>
      </c>
      <c r="V394" s="202">
        <f>新平!R118</f>
        <v>0</v>
      </c>
      <c r="W394" s="202">
        <f>新平!S118</f>
        <v>0</v>
      </c>
      <c r="X394" s="202">
        <f>新平!T118</f>
        <v>0</v>
      </c>
      <c r="Y394" s="202">
        <f>新平!U118</f>
        <v>0</v>
      </c>
      <c r="Z394" s="202">
        <f>新平!V118</f>
        <v>0</v>
      </c>
      <c r="AA394" s="202">
        <f>新平!W118</f>
        <v>0</v>
      </c>
      <c r="AB394" s="202">
        <f>新平!X118</f>
        <v>0</v>
      </c>
      <c r="AC394" s="202">
        <f>新平!Y118</f>
        <v>0</v>
      </c>
      <c r="AD394" s="202">
        <f>新平!Z118</f>
        <v>0</v>
      </c>
      <c r="AE394" s="202">
        <f>新平!AA118</f>
        <v>0</v>
      </c>
      <c r="AF394" s="202">
        <f>新平!AB118</f>
        <v>0</v>
      </c>
      <c r="AG394" s="202">
        <f>新平!AC118</f>
        <v>0</v>
      </c>
      <c r="AH394" s="202">
        <f>新平!AD118</f>
        <v>0</v>
      </c>
      <c r="AI394" s="202">
        <f>新平!AE118</f>
        <v>0</v>
      </c>
      <c r="AJ394" s="202">
        <f>新平!AF118</f>
        <v>0</v>
      </c>
      <c r="AK394" s="165" t="str">
        <f>新平!AG118</f>
        <v>新平县戛洒镇耀南村金拱洞上边</v>
      </c>
      <c r="AL394" s="165" t="str">
        <f>新平!AH118</f>
        <v>201607</v>
      </c>
      <c r="AM394" s="165">
        <f>新平!AI118</f>
        <v>0</v>
      </c>
      <c r="AN394" s="165">
        <f>新平!AJ118</f>
        <v>0</v>
      </c>
      <c r="AO394" s="165" t="str">
        <f>新平!AK118</f>
        <v>海拔2508,265099.1-17755420.3</v>
      </c>
      <c r="AP394" s="263">
        <v>7.5</v>
      </c>
      <c r="AQ394" s="209">
        <f>新平!AM118</f>
        <v>0</v>
      </c>
      <c r="AR394" s="295">
        <f>新平!AN118</f>
        <v>1.5</v>
      </c>
      <c r="AS394" s="199" t="str">
        <f>新平!AO118</f>
        <v>532428197211161310</v>
      </c>
      <c r="AT394" s="199" t="str">
        <f>新平!AP118</f>
        <v>13577769875</v>
      </c>
    </row>
    <row r="395" spans="1:46">
      <c r="A395" s="165" t="s">
        <v>1922</v>
      </c>
      <c r="B395" s="202" t="str">
        <f>VLOOKUP(A395,databases!$A$2:$B$7, 2, FALSE)</f>
        <v>XinPing</v>
      </c>
      <c r="C395" s="165" t="str">
        <f>新平!B119</f>
        <v>李荣兵</v>
      </c>
      <c r="D395" s="277" t="str">
        <f>VLOOKUP(C395,databases!$D$2:$E$145, 2, FALSE)</f>
        <v>R66</v>
      </c>
      <c r="E395" s="278" t="str">
        <f>INDEX(sample_database!$B$2:$B$506,MATCH(F395,sample_database!$L$2:$L$506,0))</f>
        <v>NA</v>
      </c>
      <c r="F395" s="202" t="str">
        <f>新平!A119</f>
        <v>XP118</v>
      </c>
      <c r="G395" s="257">
        <f>新平!C119</f>
        <v>0</v>
      </c>
      <c r="H395" s="257">
        <f>新平!D119</f>
        <v>20</v>
      </c>
      <c r="I395" s="202">
        <f>新平!E119</f>
        <v>35</v>
      </c>
      <c r="J395" s="202">
        <f>新平!F119</f>
        <v>1</v>
      </c>
      <c r="K395" s="202">
        <f>新平!G119</f>
        <v>1</v>
      </c>
      <c r="L395" s="202">
        <f>新平!H119</f>
        <v>1</v>
      </c>
      <c r="M395" s="202">
        <f>新平!I119</f>
        <v>1</v>
      </c>
      <c r="N395" s="202">
        <f>新平!J119</f>
        <v>1</v>
      </c>
      <c r="O395" s="202">
        <f>新平!K119</f>
        <v>1</v>
      </c>
      <c r="P395" s="202">
        <f>新平!L119</f>
        <v>1</v>
      </c>
      <c r="Q395" s="202">
        <f>新平!M119</f>
        <v>1</v>
      </c>
      <c r="R395" s="202">
        <f>新平!N119</f>
        <v>1</v>
      </c>
      <c r="S395" s="202">
        <f>新平!O119</f>
        <v>1</v>
      </c>
      <c r="T395" s="202">
        <f>新平!P119</f>
        <v>2</v>
      </c>
      <c r="U395" s="202">
        <f>新平!Q119</f>
        <v>2</v>
      </c>
      <c r="V395" s="202">
        <f>新平!R119</f>
        <v>2</v>
      </c>
      <c r="W395" s="202">
        <f>新平!S119</f>
        <v>2</v>
      </c>
      <c r="X395" s="202">
        <f>新平!T119</f>
        <v>2</v>
      </c>
      <c r="Y395" s="202">
        <f>新平!U119</f>
        <v>2</v>
      </c>
      <c r="Z395" s="202">
        <f>新平!V119</f>
        <v>2</v>
      </c>
      <c r="AA395" s="202">
        <f>新平!W119</f>
        <v>3</v>
      </c>
      <c r="AB395" s="202">
        <f>新平!X119</f>
        <v>4</v>
      </c>
      <c r="AC395" s="202">
        <f>新平!Y119</f>
        <v>4</v>
      </c>
      <c r="AD395" s="202">
        <f>新平!Z119</f>
        <v>0</v>
      </c>
      <c r="AE395" s="202">
        <f>新平!AA119</f>
        <v>0</v>
      </c>
      <c r="AF395" s="202">
        <f>新平!AB119</f>
        <v>0</v>
      </c>
      <c r="AG395" s="202">
        <f>新平!AC119</f>
        <v>0</v>
      </c>
      <c r="AH395" s="202">
        <f>新平!AD119</f>
        <v>0</v>
      </c>
      <c r="AI395" s="202">
        <f>新平!AE119</f>
        <v>0</v>
      </c>
      <c r="AJ395" s="202">
        <f>新平!AF119</f>
        <v>0</v>
      </c>
      <c r="AK395" s="165" t="str">
        <f>新平!AG119</f>
        <v>新平县戛洒镇耀南村</v>
      </c>
      <c r="AL395" s="165" t="str">
        <f>新平!AH119</f>
        <v>201607</v>
      </c>
      <c r="AM395" s="165">
        <f>新平!AI119</f>
        <v>0</v>
      </c>
      <c r="AN395" s="165">
        <f>新平!AJ119</f>
        <v>0</v>
      </c>
      <c r="AO395" s="165" t="str">
        <f>新平!AK119</f>
        <v>海拔2571,2650790.1-17755466.5</v>
      </c>
      <c r="AP395" s="263">
        <v>10</v>
      </c>
      <c r="AQ395" s="209">
        <f>新平!AM119</f>
        <v>0</v>
      </c>
      <c r="AR395" s="295">
        <f>新平!AN119</f>
        <v>2</v>
      </c>
      <c r="AS395" s="199" t="str">
        <f>新平!AO119</f>
        <v>532428197211161310</v>
      </c>
      <c r="AT395" s="199" t="str">
        <f>新平!AP119</f>
        <v>13577769875</v>
      </c>
    </row>
    <row r="396" spans="1:46">
      <c r="A396" s="165" t="s">
        <v>1922</v>
      </c>
      <c r="B396" s="202" t="str">
        <f>VLOOKUP(A396,databases!$A$2:$B$7, 2, FALSE)</f>
        <v>XinPing</v>
      </c>
      <c r="C396" s="165" t="str">
        <f>新平!B85</f>
        <v>李荣昌</v>
      </c>
      <c r="D396" s="273" t="str">
        <f>VLOOKUP(C396,databases!$D$2:$E$145, 2, FALSE)</f>
        <v>R68</v>
      </c>
      <c r="E396" s="274" t="str">
        <f>INDEX(sample_database!$B$2:$B$506,MATCH(F396,sample_database!$L$2:$L$506,0))</f>
        <v>NA</v>
      </c>
      <c r="F396" s="202" t="str">
        <f>新平!A85</f>
        <v>XP084</v>
      </c>
      <c r="G396" s="257">
        <f>新平!C85</f>
        <v>10</v>
      </c>
      <c r="H396" s="257">
        <f>新平!D85</f>
        <v>0</v>
      </c>
      <c r="I396" s="202">
        <f>新平!E85</f>
        <v>216</v>
      </c>
      <c r="J396" s="202">
        <f>新平!F85</f>
        <v>9</v>
      </c>
      <c r="K396" s="202">
        <f>新平!G85</f>
        <v>16</v>
      </c>
      <c r="L396" s="202">
        <f>新平!H85</f>
        <v>27</v>
      </c>
      <c r="M396" s="202">
        <f>新平!I85</f>
        <v>21</v>
      </c>
      <c r="N396" s="202">
        <f>新平!J85</f>
        <v>20</v>
      </c>
      <c r="O396" s="202">
        <f>新平!K85</f>
        <v>29</v>
      </c>
      <c r="P396" s="202">
        <f>新平!L85</f>
        <v>26</v>
      </c>
      <c r="Q396" s="202">
        <f>新平!M85</f>
        <v>20</v>
      </c>
      <c r="R396" s="202">
        <f>新平!N85</f>
        <v>27</v>
      </c>
      <c r="S396" s="202">
        <f>新平!O85</f>
        <v>21</v>
      </c>
      <c r="T396" s="202">
        <f>新平!P85</f>
        <v>0</v>
      </c>
      <c r="U396" s="202">
        <f>新平!Q85</f>
        <v>0</v>
      </c>
      <c r="V396" s="202">
        <f>新平!R85</f>
        <v>0</v>
      </c>
      <c r="W396" s="202">
        <f>新平!S85</f>
        <v>0</v>
      </c>
      <c r="X396" s="202">
        <f>新平!T85</f>
        <v>0</v>
      </c>
      <c r="Y396" s="202">
        <f>新平!U85</f>
        <v>0</v>
      </c>
      <c r="Z396" s="202">
        <f>新平!V85</f>
        <v>0</v>
      </c>
      <c r="AA396" s="202">
        <f>新平!W85</f>
        <v>0</v>
      </c>
      <c r="AB396" s="202">
        <f>新平!X85</f>
        <v>0</v>
      </c>
      <c r="AC396" s="202">
        <f>新平!Y85</f>
        <v>0</v>
      </c>
      <c r="AD396" s="202">
        <f>新平!Z85</f>
        <v>0</v>
      </c>
      <c r="AE396" s="202">
        <f>新平!AA85</f>
        <v>0</v>
      </c>
      <c r="AF396" s="202">
        <f>新平!AB85</f>
        <v>0</v>
      </c>
      <c r="AG396" s="202">
        <f>新平!AC85</f>
        <v>0</v>
      </c>
      <c r="AH396" s="202">
        <f>新平!AD85</f>
        <v>0</v>
      </c>
      <c r="AI396" s="202">
        <f>新平!AE85</f>
        <v>0</v>
      </c>
      <c r="AJ396" s="202">
        <f>新平!AF85</f>
        <v>0</v>
      </c>
      <c r="AK396" s="165" t="str">
        <f>新平!AG85</f>
        <v>新平县戛洒镇发启盘龙</v>
      </c>
      <c r="AL396" s="165" t="str">
        <f>新平!AH85</f>
        <v>20160730</v>
      </c>
      <c r="AM396" s="165">
        <f>新平!AI85</f>
        <v>0</v>
      </c>
      <c r="AN396" s="165">
        <f>新平!AJ85</f>
        <v>0</v>
      </c>
      <c r="AO396" s="165" t="str">
        <f>新平!AK85</f>
        <v>2658717.7-17755092.2</v>
      </c>
      <c r="AP396" s="263">
        <v>40.5</v>
      </c>
      <c r="AQ396" s="209" t="str">
        <f>新平!AM85</f>
        <v>2+1.5+1.5+2+1.1</v>
      </c>
      <c r="AR396" s="295">
        <f>新平!AN85</f>
        <v>8.1</v>
      </c>
      <c r="AS396" s="199" t="str">
        <f>新平!AO85</f>
        <v>530427197009161351</v>
      </c>
      <c r="AT396" s="199" t="str">
        <f>新平!AP85</f>
        <v>18787771048</v>
      </c>
    </row>
    <row r="397" spans="1:46">
      <c r="A397" s="165" t="s">
        <v>1922</v>
      </c>
      <c r="B397" s="202" t="str">
        <f>VLOOKUP(A397,databases!$A$2:$B$7, 2, FALSE)</f>
        <v>XinPing</v>
      </c>
      <c r="C397" s="165" t="str">
        <f>新平!B86</f>
        <v>李荣昌</v>
      </c>
      <c r="D397" s="275" t="str">
        <f>VLOOKUP(C397,databases!$D$2:$E$145, 2, FALSE)</f>
        <v>R68</v>
      </c>
      <c r="E397" s="276" t="str">
        <f>INDEX(sample_database!$B$2:$B$506,MATCH(F397,sample_database!$L$2:$L$506,0))</f>
        <v>NA</v>
      </c>
      <c r="F397" s="202" t="str">
        <f>新平!A86</f>
        <v>XP085</v>
      </c>
      <c r="G397" s="257">
        <f>新平!C86</f>
        <v>10</v>
      </c>
      <c r="H397" s="257">
        <f>新平!D86</f>
        <v>0</v>
      </c>
      <c r="I397" s="202">
        <f>新平!E86</f>
        <v>167</v>
      </c>
      <c r="J397" s="202">
        <f>新平!F86</f>
        <v>12</v>
      </c>
      <c r="K397" s="202">
        <f>新平!G86</f>
        <v>20</v>
      </c>
      <c r="L397" s="202">
        <f>新平!H86</f>
        <v>24</v>
      </c>
      <c r="M397" s="202">
        <f>新平!I86</f>
        <v>19</v>
      </c>
      <c r="N397" s="202">
        <f>新平!J86</f>
        <v>15</v>
      </c>
      <c r="O397" s="202">
        <f>新平!K86</f>
        <v>22</v>
      </c>
      <c r="P397" s="202">
        <f>新平!L86</f>
        <v>14</v>
      </c>
      <c r="Q397" s="202">
        <f>新平!M86</f>
        <v>20</v>
      </c>
      <c r="R397" s="202">
        <f>新平!N86</f>
        <v>12</v>
      </c>
      <c r="S397" s="202">
        <f>新平!O86</f>
        <v>9</v>
      </c>
      <c r="T397" s="202">
        <f>新平!P86</f>
        <v>0</v>
      </c>
      <c r="U397" s="202">
        <f>新平!Q86</f>
        <v>0</v>
      </c>
      <c r="V397" s="202">
        <f>新平!R86</f>
        <v>0</v>
      </c>
      <c r="W397" s="202">
        <f>新平!S86</f>
        <v>0</v>
      </c>
      <c r="X397" s="202">
        <f>新平!T86</f>
        <v>0</v>
      </c>
      <c r="Y397" s="202">
        <f>新平!U86</f>
        <v>0</v>
      </c>
      <c r="Z397" s="202">
        <f>新平!V86</f>
        <v>0</v>
      </c>
      <c r="AA397" s="202">
        <f>新平!W86</f>
        <v>0</v>
      </c>
      <c r="AB397" s="202">
        <f>新平!X86</f>
        <v>0</v>
      </c>
      <c r="AC397" s="202">
        <f>新平!Y86</f>
        <v>0</v>
      </c>
      <c r="AD397" s="202">
        <f>新平!Z86</f>
        <v>0</v>
      </c>
      <c r="AE397" s="202">
        <f>新平!AA86</f>
        <v>0</v>
      </c>
      <c r="AF397" s="202">
        <f>新平!AB86</f>
        <v>0</v>
      </c>
      <c r="AG397" s="202">
        <f>新平!AC86</f>
        <v>0</v>
      </c>
      <c r="AH397" s="202">
        <f>新平!AD86</f>
        <v>0</v>
      </c>
      <c r="AI397" s="202">
        <f>新平!AE86</f>
        <v>0</v>
      </c>
      <c r="AJ397" s="202">
        <f>新平!AF86</f>
        <v>0</v>
      </c>
      <c r="AK397" s="165" t="str">
        <f>新平!AG86</f>
        <v>新平县戛洒镇发启盘龙</v>
      </c>
      <c r="AL397" s="165" t="str">
        <f>新平!AH86</f>
        <v>20160730</v>
      </c>
      <c r="AM397" s="165">
        <f>新平!AI86</f>
        <v>0</v>
      </c>
      <c r="AN397" s="165">
        <f>新平!AJ86</f>
        <v>0</v>
      </c>
      <c r="AO397" s="165" t="str">
        <f>新平!AK86</f>
        <v>2658729.4-17755107.0</v>
      </c>
      <c r="AP397" s="263">
        <v>38</v>
      </c>
      <c r="AQ397" s="209" t="str">
        <f>新平!AM86</f>
        <v>2+1.5+1.5+1.5+1.1</v>
      </c>
      <c r="AR397" s="295">
        <f>新平!AN86</f>
        <v>7.6</v>
      </c>
      <c r="AS397" s="199" t="str">
        <f>新平!AO86</f>
        <v>530427197009161351</v>
      </c>
      <c r="AT397" s="199" t="str">
        <f>新平!AP86</f>
        <v>18787771048</v>
      </c>
    </row>
    <row r="398" spans="1:46">
      <c r="A398" s="165" t="s">
        <v>1922</v>
      </c>
      <c r="B398" s="202" t="str">
        <f>VLOOKUP(A398,databases!$A$2:$B$7, 2, FALSE)</f>
        <v>XinPing</v>
      </c>
      <c r="C398" s="165" t="str">
        <f>新平!B87</f>
        <v>李荣昌</v>
      </c>
      <c r="D398" s="275" t="str">
        <f>VLOOKUP(C398,databases!$D$2:$E$145, 2, FALSE)</f>
        <v>R68</v>
      </c>
      <c r="E398" s="276" t="str">
        <f>INDEX(sample_database!$B$2:$B$506,MATCH(F398,sample_database!$L$2:$L$506,0))</f>
        <v>NA</v>
      </c>
      <c r="F398" s="202" t="str">
        <f>新平!A87</f>
        <v>XP086</v>
      </c>
      <c r="G398" s="257">
        <f>新平!C87</f>
        <v>10</v>
      </c>
      <c r="H398" s="257">
        <f>新平!D87</f>
        <v>0</v>
      </c>
      <c r="I398" s="202">
        <f>新平!E87</f>
        <v>172</v>
      </c>
      <c r="J398" s="202">
        <f>新平!F87</f>
        <v>9</v>
      </c>
      <c r="K398" s="202">
        <f>新平!G87</f>
        <v>15</v>
      </c>
      <c r="L398" s="202">
        <f>新平!H87</f>
        <v>25</v>
      </c>
      <c r="M398" s="202">
        <f>新平!I87</f>
        <v>17</v>
      </c>
      <c r="N398" s="202">
        <f>新平!J87</f>
        <v>20</v>
      </c>
      <c r="O398" s="202">
        <f>新平!K87</f>
        <v>16</v>
      </c>
      <c r="P398" s="202">
        <f>新平!L87</f>
        <v>14</v>
      </c>
      <c r="Q398" s="202">
        <f>新平!M87</f>
        <v>13</v>
      </c>
      <c r="R398" s="202">
        <f>新平!N87</f>
        <v>20</v>
      </c>
      <c r="S398" s="202">
        <f>新平!O87</f>
        <v>23</v>
      </c>
      <c r="T398" s="202">
        <f>新平!P87</f>
        <v>0</v>
      </c>
      <c r="U398" s="202">
        <f>新平!Q87</f>
        <v>0</v>
      </c>
      <c r="V398" s="202">
        <f>新平!R87</f>
        <v>0</v>
      </c>
      <c r="W398" s="202">
        <f>新平!S87</f>
        <v>0</v>
      </c>
      <c r="X398" s="202">
        <f>新平!T87</f>
        <v>0</v>
      </c>
      <c r="Y398" s="202">
        <f>新平!U87</f>
        <v>0</v>
      </c>
      <c r="Z398" s="202">
        <f>新平!V87</f>
        <v>0</v>
      </c>
      <c r="AA398" s="202">
        <f>新平!W87</f>
        <v>0</v>
      </c>
      <c r="AB398" s="202">
        <f>新平!X87</f>
        <v>0</v>
      </c>
      <c r="AC398" s="202">
        <f>新平!Y87</f>
        <v>0</v>
      </c>
      <c r="AD398" s="202">
        <f>新平!Z87</f>
        <v>0</v>
      </c>
      <c r="AE398" s="202">
        <f>新平!AA87</f>
        <v>0</v>
      </c>
      <c r="AF398" s="202">
        <f>新平!AB87</f>
        <v>0</v>
      </c>
      <c r="AG398" s="202">
        <f>新平!AC87</f>
        <v>0</v>
      </c>
      <c r="AH398" s="202">
        <f>新平!AD87</f>
        <v>0</v>
      </c>
      <c r="AI398" s="202">
        <f>新平!AE87</f>
        <v>0</v>
      </c>
      <c r="AJ398" s="202">
        <f>新平!AF87</f>
        <v>0</v>
      </c>
      <c r="AK398" s="165" t="str">
        <f>新平!AG87</f>
        <v>新平县戛洒镇发启盘龙</v>
      </c>
      <c r="AL398" s="165" t="str">
        <f>新平!AH87</f>
        <v>20160730</v>
      </c>
      <c r="AM398" s="165">
        <f>新平!AI87</f>
        <v>0</v>
      </c>
      <c r="AN398" s="165">
        <f>新平!AJ87</f>
        <v>0</v>
      </c>
      <c r="AO398" s="165" t="str">
        <f>新平!AK87</f>
        <v>2658746.3-17755197.7</v>
      </c>
      <c r="AP398" s="263">
        <v>37.5</v>
      </c>
      <c r="AQ398" s="209" t="str">
        <f>新平!AM87</f>
        <v>1.5*5</v>
      </c>
      <c r="AR398" s="295">
        <f>新平!AN87</f>
        <v>7.5</v>
      </c>
      <c r="AS398" s="199" t="str">
        <f>新平!AO87</f>
        <v>530427197009161351</v>
      </c>
      <c r="AT398" s="199" t="str">
        <f>新平!AP87</f>
        <v>18787771048</v>
      </c>
    </row>
    <row r="399" spans="1:46">
      <c r="A399" s="165" t="s">
        <v>1922</v>
      </c>
      <c r="B399" s="202" t="str">
        <f>VLOOKUP(A399,databases!$A$2:$B$7, 2, FALSE)</f>
        <v>XinPing</v>
      </c>
      <c r="C399" s="165" t="str">
        <f>新平!B88</f>
        <v>李荣昌</v>
      </c>
      <c r="D399" s="275" t="str">
        <f>VLOOKUP(C399,databases!$D$2:$E$145, 2, FALSE)</f>
        <v>R68</v>
      </c>
      <c r="E399" s="276" t="str">
        <f>INDEX(sample_database!$B$2:$B$506,MATCH(F399,sample_database!$L$2:$L$506,0))</f>
        <v>NA</v>
      </c>
      <c r="F399" s="202" t="str">
        <f>新平!A88</f>
        <v>XP087</v>
      </c>
      <c r="G399" s="257">
        <f>新平!C88</f>
        <v>10</v>
      </c>
      <c r="H399" s="257">
        <f>新平!D88</f>
        <v>0</v>
      </c>
      <c r="I399" s="202">
        <f>新平!E88</f>
        <v>189</v>
      </c>
      <c r="J399" s="202">
        <f>新平!F88</f>
        <v>22</v>
      </c>
      <c r="K399" s="202">
        <f>新平!G88</f>
        <v>23</v>
      </c>
      <c r="L399" s="202">
        <f>新平!H88</f>
        <v>12</v>
      </c>
      <c r="M399" s="202">
        <f>新平!I88</f>
        <v>20</v>
      </c>
      <c r="N399" s="202">
        <f>新平!J88</f>
        <v>20</v>
      </c>
      <c r="O399" s="202">
        <f>新平!K88</f>
        <v>17</v>
      </c>
      <c r="P399" s="202">
        <f>新平!L88</f>
        <v>18</v>
      </c>
      <c r="Q399" s="202">
        <f>新平!M88</f>
        <v>23</v>
      </c>
      <c r="R399" s="202">
        <f>新平!N88</f>
        <v>14</v>
      </c>
      <c r="S399" s="202">
        <f>新平!O88</f>
        <v>20</v>
      </c>
      <c r="T399" s="202">
        <f>新平!P88</f>
        <v>0</v>
      </c>
      <c r="U399" s="202">
        <f>新平!Q88</f>
        <v>0</v>
      </c>
      <c r="V399" s="202">
        <f>新平!R88</f>
        <v>0</v>
      </c>
      <c r="W399" s="202">
        <f>新平!S88</f>
        <v>0</v>
      </c>
      <c r="X399" s="202">
        <f>新平!T88</f>
        <v>0</v>
      </c>
      <c r="Y399" s="202">
        <f>新平!U88</f>
        <v>0</v>
      </c>
      <c r="Z399" s="202">
        <f>新平!V88</f>
        <v>0</v>
      </c>
      <c r="AA399" s="202">
        <f>新平!W88</f>
        <v>0</v>
      </c>
      <c r="AB399" s="202">
        <f>新平!X88</f>
        <v>0</v>
      </c>
      <c r="AC399" s="202">
        <f>新平!Y88</f>
        <v>0</v>
      </c>
      <c r="AD399" s="202">
        <f>新平!Z88</f>
        <v>0</v>
      </c>
      <c r="AE399" s="202">
        <f>新平!AA88</f>
        <v>0</v>
      </c>
      <c r="AF399" s="202">
        <f>新平!AB88</f>
        <v>0</v>
      </c>
      <c r="AG399" s="202">
        <f>新平!AC88</f>
        <v>0</v>
      </c>
      <c r="AH399" s="202">
        <f>新平!AD88</f>
        <v>0</v>
      </c>
      <c r="AI399" s="202">
        <f>新平!AE88</f>
        <v>0</v>
      </c>
      <c r="AJ399" s="202">
        <f>新平!AF88</f>
        <v>0</v>
      </c>
      <c r="AK399" s="165" t="str">
        <f>新平!AG88</f>
        <v>新平县戛洒镇发启盘龙</v>
      </c>
      <c r="AL399" s="165" t="str">
        <f>新平!AH88</f>
        <v>20160730</v>
      </c>
      <c r="AM399" s="165">
        <f>新平!AI88</f>
        <v>0</v>
      </c>
      <c r="AN399" s="165">
        <f>新平!AJ88</f>
        <v>0</v>
      </c>
      <c r="AO399" s="165" t="str">
        <f>新平!AK88</f>
        <v>2658706.8-17755086.9</v>
      </c>
      <c r="AP399" s="263">
        <v>38</v>
      </c>
      <c r="AQ399" s="209" t="str">
        <f>新平!AM88</f>
        <v>1.5+1.1+1.5+1.5+2</v>
      </c>
      <c r="AR399" s="295">
        <f>新平!AN88</f>
        <v>7.6</v>
      </c>
      <c r="AS399" s="199" t="str">
        <f>新平!AO88</f>
        <v>530427197009161351</v>
      </c>
      <c r="AT399" s="199" t="str">
        <f>新平!AP88</f>
        <v>18787771048</v>
      </c>
    </row>
    <row r="400" spans="1:46">
      <c r="A400" s="165" t="s">
        <v>1922</v>
      </c>
      <c r="B400" s="202" t="str">
        <f>VLOOKUP(A400,databases!$A$2:$B$7, 2, FALSE)</f>
        <v>XinPing</v>
      </c>
      <c r="C400" s="165" t="str">
        <f>新平!B89</f>
        <v>李荣昌</v>
      </c>
      <c r="D400" s="277" t="str">
        <f>VLOOKUP(C400,databases!$D$2:$E$145, 2, FALSE)</f>
        <v>R68</v>
      </c>
      <c r="E400" s="278" t="str">
        <f>INDEX(sample_database!$B$2:$B$506,MATCH(F400,sample_database!$L$2:$L$506,0))</f>
        <v>NA</v>
      </c>
      <c r="F400" s="202" t="str">
        <f>新平!A89</f>
        <v>XP088</v>
      </c>
      <c r="G400" s="257">
        <f>新平!C89</f>
        <v>0</v>
      </c>
      <c r="H400" s="257">
        <f>新平!D89</f>
        <v>19</v>
      </c>
      <c r="I400" s="202">
        <f>新平!E89</f>
        <v>206</v>
      </c>
      <c r="J400" s="202">
        <f>新平!F89</f>
        <v>6</v>
      </c>
      <c r="K400" s="202">
        <f>新平!G89</f>
        <v>9</v>
      </c>
      <c r="L400" s="202">
        <f>新平!H89</f>
        <v>11</v>
      </c>
      <c r="M400" s="202">
        <f>新平!I89</f>
        <v>9</v>
      </c>
      <c r="N400" s="202">
        <f>新平!J89</f>
        <v>15</v>
      </c>
      <c r="O400" s="202">
        <f>新平!K89</f>
        <v>19</v>
      </c>
      <c r="P400" s="202">
        <f>新平!L89</f>
        <v>12</v>
      </c>
      <c r="Q400" s="202">
        <f>新平!M89</f>
        <v>6</v>
      </c>
      <c r="R400" s="202">
        <f>新平!N89</f>
        <v>11</v>
      </c>
      <c r="S400" s="202">
        <f>新平!O89</f>
        <v>8</v>
      </c>
      <c r="T400" s="202">
        <f>新平!P89</f>
        <v>9</v>
      </c>
      <c r="U400" s="202">
        <f>新平!Q89</f>
        <v>13</v>
      </c>
      <c r="V400" s="202">
        <f>新平!R89</f>
        <v>7</v>
      </c>
      <c r="W400" s="202">
        <f>新平!S89</f>
        <v>11</v>
      </c>
      <c r="X400" s="202">
        <f>新平!T89</f>
        <v>12</v>
      </c>
      <c r="Y400" s="202">
        <f>新平!U89</f>
        <v>9</v>
      </c>
      <c r="Z400" s="202">
        <f>新平!V89</f>
        <v>11</v>
      </c>
      <c r="AA400" s="202">
        <f>新平!W89</f>
        <v>12</v>
      </c>
      <c r="AB400" s="202">
        <f>新平!X89</f>
        <v>16</v>
      </c>
      <c r="AC400" s="202">
        <f>新平!Y89</f>
        <v>0</v>
      </c>
      <c r="AD400" s="202">
        <f>新平!Z89</f>
        <v>0</v>
      </c>
      <c r="AE400" s="202">
        <f>新平!AA89</f>
        <v>0</v>
      </c>
      <c r="AF400" s="202">
        <f>新平!AB89</f>
        <v>0</v>
      </c>
      <c r="AG400" s="202">
        <f>新平!AC89</f>
        <v>0</v>
      </c>
      <c r="AH400" s="202">
        <f>新平!AD89</f>
        <v>0</v>
      </c>
      <c r="AI400" s="202">
        <f>新平!AE89</f>
        <v>0</v>
      </c>
      <c r="AJ400" s="202">
        <f>新平!AF89</f>
        <v>0</v>
      </c>
      <c r="AK400" s="165" t="str">
        <f>新平!AG89</f>
        <v>新平县戛洒镇盘龙</v>
      </c>
      <c r="AL400" s="165" t="str">
        <f>新平!AH89</f>
        <v>20160730</v>
      </c>
      <c r="AM400" s="165">
        <f>新平!AI89</f>
        <v>0</v>
      </c>
      <c r="AN400" s="165">
        <f>新平!AJ89</f>
        <v>0</v>
      </c>
      <c r="AO400" s="165" t="str">
        <f>新平!AK89</f>
        <v>2659290.6-17754694.1</v>
      </c>
      <c r="AP400" s="263">
        <v>47.5</v>
      </c>
      <c r="AQ400" s="209" t="str">
        <f>新平!AM89</f>
        <v>2+1.5+2+2+2</v>
      </c>
      <c r="AR400" s="295">
        <f>新平!AN89</f>
        <v>9.5</v>
      </c>
      <c r="AS400" s="199" t="str">
        <f>新平!AO89</f>
        <v>530427197009161351</v>
      </c>
      <c r="AT400" s="199" t="str">
        <f>新平!AP89</f>
        <v>18787771048</v>
      </c>
    </row>
    <row r="401" spans="1:46">
      <c r="A401" s="165" t="s">
        <v>1922</v>
      </c>
      <c r="B401" s="202" t="str">
        <f>VLOOKUP(A401,databases!$A$2:$B$7, 2, FALSE)</f>
        <v>XinPing</v>
      </c>
      <c r="C401" s="165" t="str">
        <f>新平!B29</f>
        <v>毕勇</v>
      </c>
      <c r="D401" s="202" t="str">
        <f>VLOOKUP(C401,databases!$D$2:$E$145, 2, FALSE)</f>
        <v>R77</v>
      </c>
      <c r="E401" s="259">
        <f>INDEX(sample_database!$B$2:$B$506,MATCH(F401,sample_database!$L$2:$L$506,0))</f>
        <v>141</v>
      </c>
      <c r="F401" s="202" t="str">
        <f>新平!A29</f>
        <v>XP028</v>
      </c>
      <c r="G401" s="257">
        <f>新平!C29</f>
        <v>7</v>
      </c>
      <c r="H401" s="257">
        <f>新平!D29</f>
        <v>0</v>
      </c>
      <c r="I401" s="202">
        <f>新平!E29</f>
        <v>120</v>
      </c>
      <c r="J401" s="202">
        <f>新平!F29</f>
        <v>22</v>
      </c>
      <c r="K401" s="202">
        <f>新平!G29</f>
        <v>14</v>
      </c>
      <c r="L401" s="202">
        <f>新平!H29</f>
        <v>9</v>
      </c>
      <c r="M401" s="202">
        <f>新平!I29</f>
        <v>18</v>
      </c>
      <c r="N401" s="202">
        <f>新平!J29</f>
        <v>22</v>
      </c>
      <c r="O401" s="202">
        <f>新平!K29</f>
        <v>25</v>
      </c>
      <c r="P401" s="202">
        <f>新平!L29</f>
        <v>10</v>
      </c>
      <c r="Q401" s="202">
        <f>新平!M29</f>
        <v>0</v>
      </c>
      <c r="R401" s="202">
        <f>新平!N29</f>
        <v>0</v>
      </c>
      <c r="S401" s="202">
        <f>新平!O29</f>
        <v>0</v>
      </c>
      <c r="T401" s="202">
        <f>新平!P29</f>
        <v>0</v>
      </c>
      <c r="U401" s="202">
        <f>新平!Q29</f>
        <v>0</v>
      </c>
      <c r="V401" s="202">
        <f>新平!R29</f>
        <v>0</v>
      </c>
      <c r="W401" s="202">
        <f>新平!S29</f>
        <v>0</v>
      </c>
      <c r="X401" s="202">
        <f>新平!T29</f>
        <v>0</v>
      </c>
      <c r="Y401" s="202">
        <f>新平!U29</f>
        <v>0</v>
      </c>
      <c r="Z401" s="202">
        <f>新平!V29</f>
        <v>0</v>
      </c>
      <c r="AA401" s="202">
        <f>新平!W29</f>
        <v>0</v>
      </c>
      <c r="AB401" s="202">
        <f>新平!X29</f>
        <v>0</v>
      </c>
      <c r="AC401" s="202">
        <f>新平!Y29</f>
        <v>0</v>
      </c>
      <c r="AD401" s="202">
        <f>新平!Z29</f>
        <v>0</v>
      </c>
      <c r="AE401" s="202">
        <f>新平!AA29</f>
        <v>0</v>
      </c>
      <c r="AF401" s="202">
        <f>新平!AB29</f>
        <v>0</v>
      </c>
      <c r="AG401" s="202">
        <f>新平!AC29</f>
        <v>0</v>
      </c>
      <c r="AH401" s="202">
        <f>新平!AD29</f>
        <v>0</v>
      </c>
      <c r="AI401" s="202">
        <f>新平!AE29</f>
        <v>0</v>
      </c>
      <c r="AJ401" s="202">
        <f>新平!AF29</f>
        <v>0</v>
      </c>
      <c r="AK401" s="165" t="str">
        <f>新平!AG29</f>
        <v>新平者竜庆丰社区</v>
      </c>
      <c r="AL401" s="165" t="str">
        <f>新平!AH29</f>
        <v>20160812</v>
      </c>
      <c r="AM401" s="165">
        <f>新平!AI29</f>
        <v>0</v>
      </c>
      <c r="AN401" s="165">
        <f>新平!AJ29</f>
        <v>0</v>
      </c>
      <c r="AO401" s="165" t="str">
        <f>新平!AK29</f>
        <v>2691102-17734351</v>
      </c>
      <c r="AP401" s="263">
        <v>21.500000000000004</v>
      </c>
      <c r="AQ401" s="209" t="str">
        <f>新平!AM29</f>
        <v>0.9+0.9+1.1+0.5+0.9</v>
      </c>
      <c r="AR401" s="295">
        <f>新平!AN29</f>
        <v>4.3000000000000007</v>
      </c>
      <c r="AS401" s="199" t="str">
        <f>新平!AO29</f>
        <v>532428197506021913</v>
      </c>
      <c r="AT401" s="199" t="str">
        <f>新平!AP29</f>
        <v>18088911758</v>
      </c>
    </row>
    <row r="402" spans="1:46">
      <c r="A402" s="165" t="s">
        <v>1922</v>
      </c>
      <c r="B402" s="202" t="str">
        <f>VLOOKUP(A402,databases!$A$2:$B$7, 2, FALSE)</f>
        <v>XinPing</v>
      </c>
      <c r="C402" s="165" t="str">
        <f>新平!B30</f>
        <v>毕勇</v>
      </c>
      <c r="D402" s="202" t="str">
        <f>VLOOKUP(C402,databases!$D$2:$E$145, 2, FALSE)</f>
        <v>R77</v>
      </c>
      <c r="E402" s="259">
        <f>INDEX(sample_database!$B$2:$B$506,MATCH(F402,sample_database!$L$2:$L$506,0))</f>
        <v>141</v>
      </c>
      <c r="F402" s="202" t="str">
        <f>新平!A30</f>
        <v>XP029</v>
      </c>
      <c r="G402" s="257">
        <f>新平!C30</f>
        <v>5</v>
      </c>
      <c r="H402" s="257">
        <f>新平!D30</f>
        <v>0</v>
      </c>
      <c r="I402" s="202">
        <f>新平!E30</f>
        <v>73</v>
      </c>
      <c r="J402" s="202">
        <f>新平!F30</f>
        <v>14</v>
      </c>
      <c r="K402" s="202">
        <f>新平!G30</f>
        <v>11</v>
      </c>
      <c r="L402" s="202">
        <f>新平!H30</f>
        <v>11</v>
      </c>
      <c r="M402" s="202">
        <f>新平!I30</f>
        <v>21</v>
      </c>
      <c r="N402" s="202">
        <f>新平!J30</f>
        <v>16</v>
      </c>
      <c r="O402" s="202">
        <f>新平!K30</f>
        <v>0</v>
      </c>
      <c r="P402" s="202">
        <f>新平!L30</f>
        <v>0</v>
      </c>
      <c r="Q402" s="202">
        <f>新平!M30</f>
        <v>0</v>
      </c>
      <c r="R402" s="202">
        <f>新平!N30</f>
        <v>0</v>
      </c>
      <c r="S402" s="202">
        <f>新平!O30</f>
        <v>0</v>
      </c>
      <c r="T402" s="202">
        <f>新平!P30</f>
        <v>0</v>
      </c>
      <c r="U402" s="202">
        <f>新平!Q30</f>
        <v>0</v>
      </c>
      <c r="V402" s="202">
        <f>新平!R30</f>
        <v>0</v>
      </c>
      <c r="W402" s="202">
        <f>新平!S30</f>
        <v>0</v>
      </c>
      <c r="X402" s="202">
        <f>新平!T30</f>
        <v>0</v>
      </c>
      <c r="Y402" s="202">
        <f>新平!U30</f>
        <v>0</v>
      </c>
      <c r="Z402" s="202">
        <f>新平!V30</f>
        <v>0</v>
      </c>
      <c r="AA402" s="202">
        <f>新平!W30</f>
        <v>0</v>
      </c>
      <c r="AB402" s="202">
        <f>新平!X30</f>
        <v>0</v>
      </c>
      <c r="AC402" s="202">
        <f>新平!Y30</f>
        <v>0</v>
      </c>
      <c r="AD402" s="202">
        <f>新平!Z30</f>
        <v>0</v>
      </c>
      <c r="AE402" s="202">
        <f>新平!AA30</f>
        <v>0</v>
      </c>
      <c r="AF402" s="202">
        <f>新平!AB30</f>
        <v>0</v>
      </c>
      <c r="AG402" s="202">
        <f>新平!AC30</f>
        <v>0</v>
      </c>
      <c r="AH402" s="202">
        <f>新平!AD30</f>
        <v>0</v>
      </c>
      <c r="AI402" s="202">
        <f>新平!AE30</f>
        <v>0</v>
      </c>
      <c r="AJ402" s="202">
        <f>新平!AF30</f>
        <v>0</v>
      </c>
      <c r="AK402" s="165" t="str">
        <f>新平!AG30</f>
        <v>新平者竜庆丰社区</v>
      </c>
      <c r="AL402" s="165" t="str">
        <f>新平!AH30</f>
        <v>20160812</v>
      </c>
      <c r="AM402" s="165">
        <f>新平!AI30</f>
        <v>0</v>
      </c>
      <c r="AN402" s="165">
        <f>新平!AJ30</f>
        <v>0</v>
      </c>
      <c r="AO402" s="165" t="str">
        <f>新平!AK30</f>
        <v>2691341-17733590</v>
      </c>
      <c r="AP402" s="263">
        <v>12.5</v>
      </c>
      <c r="AQ402" s="209">
        <f>新平!AM30</f>
        <v>0</v>
      </c>
      <c r="AR402" s="295">
        <f>新平!AN30</f>
        <v>2.5</v>
      </c>
      <c r="AS402" s="199" t="str">
        <f>新平!AO30</f>
        <v>532428197506021913</v>
      </c>
      <c r="AT402" s="199" t="str">
        <f>新平!AP30</f>
        <v>18088911758</v>
      </c>
    </row>
    <row r="403" spans="1:46">
      <c r="A403" s="165" t="s">
        <v>1922</v>
      </c>
      <c r="B403" s="202" t="str">
        <f>VLOOKUP(A403,databases!$A$2:$B$7, 2, FALSE)</f>
        <v>XinPing</v>
      </c>
      <c r="C403" s="165" t="str">
        <f>新平!B31</f>
        <v>毕勇</v>
      </c>
      <c r="D403" s="202" t="str">
        <f>VLOOKUP(C403,databases!$D$2:$E$145, 2, FALSE)</f>
        <v>R77</v>
      </c>
      <c r="E403" s="259">
        <f>INDEX(sample_database!$B$2:$B$506,MATCH(F403,sample_database!$L$2:$L$506,0))</f>
        <v>141</v>
      </c>
      <c r="F403" s="202" t="str">
        <f>新平!A31</f>
        <v>XP030</v>
      </c>
      <c r="G403" s="257">
        <f>新平!C31</f>
        <v>5</v>
      </c>
      <c r="H403" s="257">
        <f>新平!D31</f>
        <v>0</v>
      </c>
      <c r="I403" s="202">
        <f>新平!E31</f>
        <v>67</v>
      </c>
      <c r="J403" s="202">
        <f>新平!F31</f>
        <v>14</v>
      </c>
      <c r="K403" s="202">
        <f>新平!G31</f>
        <v>18</v>
      </c>
      <c r="L403" s="202">
        <f>新平!H31</f>
        <v>8</v>
      </c>
      <c r="M403" s="202">
        <f>新平!I31</f>
        <v>11</v>
      </c>
      <c r="N403" s="202">
        <f>新平!J31</f>
        <v>16</v>
      </c>
      <c r="O403" s="202">
        <f>新平!K31</f>
        <v>0</v>
      </c>
      <c r="P403" s="202">
        <f>新平!L31</f>
        <v>0</v>
      </c>
      <c r="Q403" s="202">
        <f>新平!M31</f>
        <v>0</v>
      </c>
      <c r="R403" s="202">
        <f>新平!N31</f>
        <v>0</v>
      </c>
      <c r="S403" s="202">
        <f>新平!O31</f>
        <v>0</v>
      </c>
      <c r="T403" s="202">
        <f>新平!P31</f>
        <v>0</v>
      </c>
      <c r="U403" s="202">
        <f>新平!Q31</f>
        <v>0</v>
      </c>
      <c r="V403" s="202">
        <f>新平!R31</f>
        <v>0</v>
      </c>
      <c r="W403" s="202">
        <f>新平!S31</f>
        <v>0</v>
      </c>
      <c r="X403" s="202">
        <f>新平!T31</f>
        <v>0</v>
      </c>
      <c r="Y403" s="202">
        <f>新平!U31</f>
        <v>0</v>
      </c>
      <c r="Z403" s="202">
        <f>新平!V31</f>
        <v>0</v>
      </c>
      <c r="AA403" s="202">
        <f>新平!W31</f>
        <v>0</v>
      </c>
      <c r="AB403" s="202">
        <f>新平!X31</f>
        <v>0</v>
      </c>
      <c r="AC403" s="202">
        <f>新平!Y31</f>
        <v>0</v>
      </c>
      <c r="AD403" s="202">
        <f>新平!Z31</f>
        <v>0</v>
      </c>
      <c r="AE403" s="202">
        <f>新平!AA31</f>
        <v>0</v>
      </c>
      <c r="AF403" s="202">
        <f>新平!AB31</f>
        <v>0</v>
      </c>
      <c r="AG403" s="202">
        <f>新平!AC31</f>
        <v>0</v>
      </c>
      <c r="AH403" s="202">
        <f>新平!AD31</f>
        <v>0</v>
      </c>
      <c r="AI403" s="202">
        <f>新平!AE31</f>
        <v>0</v>
      </c>
      <c r="AJ403" s="202">
        <f>新平!AF31</f>
        <v>0</v>
      </c>
      <c r="AK403" s="165" t="str">
        <f>新平!AG31</f>
        <v>新平者竜庆丰社区</v>
      </c>
      <c r="AL403" s="165" t="str">
        <f>新平!AH31</f>
        <v>20160813</v>
      </c>
      <c r="AM403" s="165">
        <f>新平!AI31</f>
        <v>0</v>
      </c>
      <c r="AN403" s="165">
        <f>新平!AJ31</f>
        <v>0</v>
      </c>
      <c r="AO403" s="165" t="str">
        <f>新平!AK31</f>
        <v>1690774-17733590</v>
      </c>
      <c r="AP403" s="263">
        <v>10</v>
      </c>
      <c r="AQ403" s="209">
        <f>新平!AM31</f>
        <v>0</v>
      </c>
      <c r="AR403" s="295">
        <f>新平!AN31</f>
        <v>2</v>
      </c>
      <c r="AS403" s="199" t="str">
        <f>新平!AO31</f>
        <v>532428197506021913</v>
      </c>
      <c r="AT403" s="199" t="str">
        <f>新平!AP31</f>
        <v>18088911758</v>
      </c>
    </row>
    <row r="404" spans="1:46">
      <c r="A404" s="165" t="s">
        <v>1922</v>
      </c>
      <c r="B404" s="202" t="str">
        <f>VLOOKUP(A404,databases!$A$2:$B$7, 2, FALSE)</f>
        <v>XinPing</v>
      </c>
      <c r="C404" s="165" t="str">
        <f>新平!B32</f>
        <v>毕勇</v>
      </c>
      <c r="D404" s="202" t="str">
        <f>VLOOKUP(C404,databases!$D$2:$E$145, 2, FALSE)</f>
        <v>R77</v>
      </c>
      <c r="E404" s="259">
        <f>INDEX(sample_database!$B$2:$B$506,MATCH(F404,sample_database!$L$2:$L$506,0))</f>
        <v>141</v>
      </c>
      <c r="F404" s="202" t="str">
        <f>新平!A32</f>
        <v>XP031</v>
      </c>
      <c r="G404" s="257">
        <f>新平!C32</f>
        <v>4</v>
      </c>
      <c r="H404" s="257">
        <f>新平!D32</f>
        <v>0</v>
      </c>
      <c r="I404" s="202">
        <f>新平!E32</f>
        <v>57</v>
      </c>
      <c r="J404" s="202">
        <f>新平!F32</f>
        <v>12</v>
      </c>
      <c r="K404" s="202">
        <f>新平!G32</f>
        <v>17</v>
      </c>
      <c r="L404" s="202">
        <f>新平!H32</f>
        <v>13</v>
      </c>
      <c r="M404" s="202">
        <f>新平!I32</f>
        <v>15</v>
      </c>
      <c r="N404" s="202">
        <f>新平!J32</f>
        <v>0</v>
      </c>
      <c r="O404" s="202">
        <f>新平!K32</f>
        <v>0</v>
      </c>
      <c r="P404" s="202">
        <f>新平!L32</f>
        <v>0</v>
      </c>
      <c r="Q404" s="202">
        <f>新平!M32</f>
        <v>0</v>
      </c>
      <c r="R404" s="202">
        <f>新平!N32</f>
        <v>0</v>
      </c>
      <c r="S404" s="202">
        <f>新平!O32</f>
        <v>0</v>
      </c>
      <c r="T404" s="202">
        <f>新平!P32</f>
        <v>0</v>
      </c>
      <c r="U404" s="202">
        <f>新平!Q32</f>
        <v>0</v>
      </c>
      <c r="V404" s="202">
        <f>新平!R32</f>
        <v>0</v>
      </c>
      <c r="W404" s="202">
        <f>新平!S32</f>
        <v>0</v>
      </c>
      <c r="X404" s="202">
        <f>新平!T32</f>
        <v>0</v>
      </c>
      <c r="Y404" s="202">
        <f>新平!U32</f>
        <v>0</v>
      </c>
      <c r="Z404" s="202">
        <f>新平!V32</f>
        <v>0</v>
      </c>
      <c r="AA404" s="202">
        <f>新平!W32</f>
        <v>0</v>
      </c>
      <c r="AB404" s="202">
        <f>新平!X32</f>
        <v>0</v>
      </c>
      <c r="AC404" s="202">
        <f>新平!Y32</f>
        <v>0</v>
      </c>
      <c r="AD404" s="202">
        <f>新平!Z32</f>
        <v>0</v>
      </c>
      <c r="AE404" s="202">
        <f>新平!AA32</f>
        <v>0</v>
      </c>
      <c r="AF404" s="202">
        <f>新平!AB32</f>
        <v>0</v>
      </c>
      <c r="AG404" s="202">
        <f>新平!AC32</f>
        <v>0</v>
      </c>
      <c r="AH404" s="202">
        <f>新平!AD32</f>
        <v>0</v>
      </c>
      <c r="AI404" s="202">
        <f>新平!AE32</f>
        <v>0</v>
      </c>
      <c r="AJ404" s="202">
        <f>新平!AF32</f>
        <v>0</v>
      </c>
      <c r="AK404" s="165" t="str">
        <f>新平!AG32</f>
        <v>新平者竜庆丰社区</v>
      </c>
      <c r="AL404" s="165" t="str">
        <f>新平!AH32</f>
        <v>20160813</v>
      </c>
      <c r="AM404" s="165">
        <f>新平!AI32</f>
        <v>0</v>
      </c>
      <c r="AN404" s="165">
        <f>新平!AJ32</f>
        <v>0</v>
      </c>
      <c r="AO404" s="165" t="str">
        <f>新平!AK32</f>
        <v>2690447-17733400</v>
      </c>
      <c r="AP404" s="263">
        <v>12.5</v>
      </c>
      <c r="AQ404" s="209">
        <f>新平!AM32</f>
        <v>0</v>
      </c>
      <c r="AR404" s="295">
        <f>新平!AN32</f>
        <v>2.5</v>
      </c>
      <c r="AS404" s="199" t="str">
        <f>新平!AO32</f>
        <v>532428197506021913</v>
      </c>
      <c r="AT404" s="199" t="str">
        <f>新平!AP32</f>
        <v>18088911758</v>
      </c>
    </row>
    <row r="405" spans="1:46">
      <c r="A405" s="165" t="s">
        <v>1922</v>
      </c>
      <c r="B405" s="202" t="str">
        <f>VLOOKUP(A405,databases!$A$2:$B$7, 2, FALSE)</f>
        <v>XinPing</v>
      </c>
      <c r="C405" s="165" t="str">
        <f>新平!B33</f>
        <v>毕勇</v>
      </c>
      <c r="D405" s="202" t="str">
        <f>VLOOKUP(C405,databases!$D$2:$E$145, 2, FALSE)</f>
        <v>R77</v>
      </c>
      <c r="E405" s="259">
        <f>INDEX(sample_database!$B$2:$B$506,MATCH(F405,sample_database!$L$2:$L$506,0))</f>
        <v>141</v>
      </c>
      <c r="F405" s="202" t="str">
        <f>新平!A33</f>
        <v>XP032</v>
      </c>
      <c r="G405" s="257">
        <f>新平!C33</f>
        <v>2</v>
      </c>
      <c r="H405" s="257">
        <f>新平!D33</f>
        <v>0</v>
      </c>
      <c r="I405" s="202">
        <f>新平!E33</f>
        <v>43</v>
      </c>
      <c r="J405" s="202">
        <f>新平!F33</f>
        <v>25</v>
      </c>
      <c r="K405" s="202">
        <f>新平!G33</f>
        <v>18</v>
      </c>
      <c r="L405" s="202">
        <f>新平!H33</f>
        <v>0</v>
      </c>
      <c r="M405" s="202">
        <f>新平!I33</f>
        <v>0</v>
      </c>
      <c r="N405" s="202">
        <f>新平!J33</f>
        <v>0</v>
      </c>
      <c r="O405" s="202">
        <f>新平!K33</f>
        <v>0</v>
      </c>
      <c r="P405" s="202">
        <f>新平!L33</f>
        <v>0</v>
      </c>
      <c r="Q405" s="202">
        <f>新平!M33</f>
        <v>0</v>
      </c>
      <c r="R405" s="202">
        <f>新平!N33</f>
        <v>0</v>
      </c>
      <c r="S405" s="202">
        <f>新平!O33</f>
        <v>0</v>
      </c>
      <c r="T405" s="202">
        <f>新平!P33</f>
        <v>0</v>
      </c>
      <c r="U405" s="202">
        <f>新平!Q33</f>
        <v>0</v>
      </c>
      <c r="V405" s="202">
        <f>新平!R33</f>
        <v>0</v>
      </c>
      <c r="W405" s="202">
        <f>新平!S33</f>
        <v>0</v>
      </c>
      <c r="X405" s="202">
        <f>新平!T33</f>
        <v>0</v>
      </c>
      <c r="Y405" s="202">
        <f>新平!U33</f>
        <v>0</v>
      </c>
      <c r="Z405" s="202">
        <f>新平!V33</f>
        <v>0</v>
      </c>
      <c r="AA405" s="202">
        <f>新平!W33</f>
        <v>0</v>
      </c>
      <c r="AB405" s="202">
        <f>新平!X33</f>
        <v>0</v>
      </c>
      <c r="AC405" s="202">
        <f>新平!Y33</f>
        <v>0</v>
      </c>
      <c r="AD405" s="202">
        <f>新平!Z33</f>
        <v>0</v>
      </c>
      <c r="AE405" s="202">
        <f>新平!AA33</f>
        <v>0</v>
      </c>
      <c r="AF405" s="202">
        <f>新平!AB33</f>
        <v>0</v>
      </c>
      <c r="AG405" s="202">
        <f>新平!AC33</f>
        <v>0</v>
      </c>
      <c r="AH405" s="202">
        <f>新平!AD33</f>
        <v>0</v>
      </c>
      <c r="AI405" s="202">
        <f>新平!AE33</f>
        <v>0</v>
      </c>
      <c r="AJ405" s="202">
        <f>新平!AF33</f>
        <v>0</v>
      </c>
      <c r="AK405" s="165" t="str">
        <f>新平!AG33</f>
        <v>新平者竜庆丰社区</v>
      </c>
      <c r="AL405" s="165" t="str">
        <f>新平!AH33</f>
        <v>20160924</v>
      </c>
      <c r="AM405" s="165">
        <f>新平!AI33</f>
        <v>0</v>
      </c>
      <c r="AN405" s="165">
        <f>新平!AJ33</f>
        <v>0</v>
      </c>
      <c r="AO405" s="165" t="str">
        <f>新平!AK33</f>
        <v>2690663-17736115</v>
      </c>
      <c r="AP405" s="263">
        <v>7.5</v>
      </c>
      <c r="AQ405" s="209">
        <f>新平!AM33</f>
        <v>0</v>
      </c>
      <c r="AR405" s="295">
        <f>新平!AN33</f>
        <v>1.5</v>
      </c>
      <c r="AS405" s="199" t="str">
        <f>新平!AO33</f>
        <v>532428197506021913</v>
      </c>
      <c r="AT405" s="199" t="str">
        <f>新平!AP33</f>
        <v>18088911758</v>
      </c>
    </row>
    <row r="406" spans="1:46">
      <c r="A406" s="165" t="s">
        <v>1922</v>
      </c>
      <c r="B406" s="202" t="str">
        <f>VLOOKUP(A406,databases!$A$2:$B$7, 2, FALSE)</f>
        <v>XinPing</v>
      </c>
      <c r="C406" s="165" t="str">
        <f>新平!B34</f>
        <v>毕勇</v>
      </c>
      <c r="D406" s="202" t="str">
        <f>VLOOKUP(C406,databases!$D$2:$E$145, 2, FALSE)</f>
        <v>R77</v>
      </c>
      <c r="E406" s="259">
        <f>INDEX(sample_database!$B$2:$B$506,MATCH(F406,sample_database!$L$2:$L$506,0))</f>
        <v>141</v>
      </c>
      <c r="F406" s="202" t="str">
        <f>新平!A34</f>
        <v>XP033</v>
      </c>
      <c r="G406" s="257">
        <f>新平!C34</f>
        <v>2</v>
      </c>
      <c r="H406" s="257">
        <f>新平!D34</f>
        <v>0</v>
      </c>
      <c r="I406" s="202">
        <f>新平!E34</f>
        <v>34</v>
      </c>
      <c r="J406" s="202">
        <f>新平!F34</f>
        <v>18</v>
      </c>
      <c r="K406" s="202">
        <f>新平!G34</f>
        <v>16</v>
      </c>
      <c r="L406" s="202">
        <f>新平!H34</f>
        <v>0</v>
      </c>
      <c r="M406" s="202">
        <f>新平!I34</f>
        <v>0</v>
      </c>
      <c r="N406" s="202">
        <f>新平!J34</f>
        <v>0</v>
      </c>
      <c r="O406" s="202">
        <f>新平!K34</f>
        <v>0</v>
      </c>
      <c r="P406" s="202">
        <f>新平!L34</f>
        <v>0</v>
      </c>
      <c r="Q406" s="202">
        <f>新平!M34</f>
        <v>0</v>
      </c>
      <c r="R406" s="202">
        <f>新平!N34</f>
        <v>0</v>
      </c>
      <c r="S406" s="202">
        <f>新平!O34</f>
        <v>0</v>
      </c>
      <c r="T406" s="202">
        <f>新平!P34</f>
        <v>0</v>
      </c>
      <c r="U406" s="202">
        <f>新平!Q34</f>
        <v>0</v>
      </c>
      <c r="V406" s="202">
        <f>新平!R34</f>
        <v>0</v>
      </c>
      <c r="W406" s="202">
        <f>新平!S34</f>
        <v>0</v>
      </c>
      <c r="X406" s="202">
        <f>新平!T34</f>
        <v>0</v>
      </c>
      <c r="Y406" s="202">
        <f>新平!U34</f>
        <v>0</v>
      </c>
      <c r="Z406" s="202">
        <f>新平!V34</f>
        <v>0</v>
      </c>
      <c r="AA406" s="202">
        <f>新平!W34</f>
        <v>0</v>
      </c>
      <c r="AB406" s="202">
        <f>新平!X34</f>
        <v>0</v>
      </c>
      <c r="AC406" s="202">
        <f>新平!Y34</f>
        <v>0</v>
      </c>
      <c r="AD406" s="202">
        <f>新平!Z34</f>
        <v>0</v>
      </c>
      <c r="AE406" s="202">
        <f>新平!AA34</f>
        <v>0</v>
      </c>
      <c r="AF406" s="202">
        <f>新平!AB34</f>
        <v>0</v>
      </c>
      <c r="AG406" s="202">
        <f>新平!AC34</f>
        <v>0</v>
      </c>
      <c r="AH406" s="202">
        <f>新平!AD34</f>
        <v>0</v>
      </c>
      <c r="AI406" s="202">
        <f>新平!AE34</f>
        <v>0</v>
      </c>
      <c r="AJ406" s="202">
        <f>新平!AF34</f>
        <v>0</v>
      </c>
      <c r="AK406" s="165" t="str">
        <f>新平!AG34</f>
        <v>新平者竜庆丰社区</v>
      </c>
      <c r="AL406" s="165" t="str">
        <f>新平!AH34</f>
        <v>20160924</v>
      </c>
      <c r="AM406" s="165">
        <f>新平!AI34</f>
        <v>0</v>
      </c>
      <c r="AN406" s="165">
        <f>新平!AJ34</f>
        <v>0</v>
      </c>
      <c r="AO406" s="165" t="str">
        <f>新平!AK34</f>
        <v>2689661-17735663</v>
      </c>
      <c r="AP406" s="263">
        <v>5</v>
      </c>
      <c r="AQ406" s="209">
        <f>新平!AM34</f>
        <v>0</v>
      </c>
      <c r="AR406" s="295">
        <f>新平!AN34</f>
        <v>1</v>
      </c>
      <c r="AS406" s="199" t="str">
        <f>新平!AO34</f>
        <v>532428197506021913</v>
      </c>
      <c r="AT406" s="199" t="str">
        <f>新平!AP34</f>
        <v>18088911758</v>
      </c>
    </row>
    <row r="407" spans="1:46">
      <c r="A407" s="165" t="s">
        <v>1922</v>
      </c>
      <c r="B407" s="202" t="str">
        <f>VLOOKUP(A407,databases!$A$2:$B$7, 2, FALSE)</f>
        <v>XinPing</v>
      </c>
      <c r="C407" s="165" t="str">
        <f>新平!B35</f>
        <v>毕勇</v>
      </c>
      <c r="D407" s="202" t="str">
        <f>VLOOKUP(C407,databases!$D$2:$E$145, 2, FALSE)</f>
        <v>R77</v>
      </c>
      <c r="E407" s="259">
        <f>INDEX(sample_database!$B$2:$B$506,MATCH(F407,sample_database!$L$2:$L$506,0))</f>
        <v>141</v>
      </c>
      <c r="F407" s="202" t="str">
        <f>新平!A35</f>
        <v>XP034</v>
      </c>
      <c r="G407" s="257">
        <f>新平!C35</f>
        <v>5</v>
      </c>
      <c r="H407" s="257">
        <f>新平!D35</f>
        <v>0</v>
      </c>
      <c r="I407" s="202">
        <f>新平!E35</f>
        <v>102</v>
      </c>
      <c r="J407" s="202">
        <f>新平!F35</f>
        <v>10</v>
      </c>
      <c r="K407" s="202">
        <f>新平!G35</f>
        <v>20</v>
      </c>
      <c r="L407" s="202">
        <f>新平!H35</f>
        <v>28</v>
      </c>
      <c r="M407" s="202">
        <f>新平!I35</f>
        <v>24</v>
      </c>
      <c r="N407" s="202">
        <f>新平!J35</f>
        <v>20</v>
      </c>
      <c r="O407" s="202">
        <f>新平!K35</f>
        <v>0</v>
      </c>
      <c r="P407" s="202">
        <f>新平!L35</f>
        <v>0</v>
      </c>
      <c r="Q407" s="202">
        <f>新平!M35</f>
        <v>0</v>
      </c>
      <c r="R407" s="202">
        <f>新平!N35</f>
        <v>0</v>
      </c>
      <c r="S407" s="202">
        <f>新平!O35</f>
        <v>0</v>
      </c>
      <c r="T407" s="202">
        <f>新平!P35</f>
        <v>0</v>
      </c>
      <c r="U407" s="202">
        <f>新平!Q35</f>
        <v>0</v>
      </c>
      <c r="V407" s="202">
        <f>新平!R35</f>
        <v>0</v>
      </c>
      <c r="W407" s="202">
        <f>新平!S35</f>
        <v>0</v>
      </c>
      <c r="X407" s="202">
        <f>新平!T35</f>
        <v>0</v>
      </c>
      <c r="Y407" s="202">
        <f>新平!U35</f>
        <v>0</v>
      </c>
      <c r="Z407" s="202">
        <f>新平!V35</f>
        <v>0</v>
      </c>
      <c r="AA407" s="202">
        <f>新平!W35</f>
        <v>0</v>
      </c>
      <c r="AB407" s="202">
        <f>新平!X35</f>
        <v>0</v>
      </c>
      <c r="AC407" s="202">
        <f>新平!Y35</f>
        <v>0</v>
      </c>
      <c r="AD407" s="202">
        <f>新平!Z35</f>
        <v>0</v>
      </c>
      <c r="AE407" s="202">
        <f>新平!AA35</f>
        <v>0</v>
      </c>
      <c r="AF407" s="202">
        <f>新平!AB35</f>
        <v>0</v>
      </c>
      <c r="AG407" s="202">
        <f>新平!AC35</f>
        <v>0</v>
      </c>
      <c r="AH407" s="202">
        <f>新平!AD35</f>
        <v>0</v>
      </c>
      <c r="AI407" s="202">
        <f>新平!AE35</f>
        <v>0</v>
      </c>
      <c r="AJ407" s="202">
        <f>新平!AF35</f>
        <v>0</v>
      </c>
      <c r="AK407" s="165" t="str">
        <f>新平!AG35</f>
        <v>新平者竜庆丰社区</v>
      </c>
      <c r="AL407" s="165" t="str">
        <f>新平!AH35</f>
        <v>20160925</v>
      </c>
      <c r="AM407" s="165">
        <f>新平!AI35</f>
        <v>0</v>
      </c>
      <c r="AN407" s="165">
        <f>新平!AJ35</f>
        <v>0</v>
      </c>
      <c r="AO407" s="165" t="str">
        <f>新平!AK35</f>
        <v>2688340-17734928</v>
      </c>
      <c r="AP407" s="263">
        <v>20.5</v>
      </c>
      <c r="AQ407" s="209" t="str">
        <f>新平!AM35</f>
        <v>0.5+0.9+1.1+0.9+0.7</v>
      </c>
      <c r="AR407" s="295">
        <f>新平!AN35</f>
        <v>4.0999999999999996</v>
      </c>
      <c r="AS407" s="199" t="str">
        <f>新平!AO35</f>
        <v>532428197506021913</v>
      </c>
      <c r="AT407" s="199" t="str">
        <f>新平!AP35</f>
        <v>18088911758</v>
      </c>
    </row>
    <row r="408" spans="1:46">
      <c r="A408" s="165" t="s">
        <v>1922</v>
      </c>
      <c r="B408" s="202" t="str">
        <f>VLOOKUP(A408,databases!$A$2:$B$7, 2, FALSE)</f>
        <v>XinPing</v>
      </c>
      <c r="C408" s="165" t="str">
        <f>新平!B110</f>
        <v>王平</v>
      </c>
      <c r="D408" s="273" t="str">
        <f>VLOOKUP(C408,databases!$D$2:$E$145, 2, FALSE)</f>
        <v>R84</v>
      </c>
      <c r="E408" s="274" t="str">
        <f>INDEX(sample_database!$B$2:$B$506,MATCH(F408,sample_database!$L$2:$L$506,0))</f>
        <v>NA</v>
      </c>
      <c r="F408" s="202" t="str">
        <f>新平!A110</f>
        <v>XP109</v>
      </c>
      <c r="G408" s="257">
        <f>新平!C110</f>
        <v>9</v>
      </c>
      <c r="H408" s="257">
        <f>新平!D110</f>
        <v>0</v>
      </c>
      <c r="I408" s="202">
        <f>新平!E110</f>
        <v>109</v>
      </c>
      <c r="J408" s="202">
        <f>新平!F110</f>
        <v>9</v>
      </c>
      <c r="K408" s="202">
        <f>新平!G110</f>
        <v>16</v>
      </c>
      <c r="L408" s="202">
        <f>新平!H110</f>
        <v>11</v>
      </c>
      <c r="M408" s="202">
        <f>新平!I110</f>
        <v>13</v>
      </c>
      <c r="N408" s="202">
        <f>新平!J110</f>
        <v>6</v>
      </c>
      <c r="O408" s="202">
        <f>新平!K110</f>
        <v>11</v>
      </c>
      <c r="P408" s="202">
        <f>新平!L110</f>
        <v>7</v>
      </c>
      <c r="Q408" s="202">
        <f>新平!M110</f>
        <v>9</v>
      </c>
      <c r="R408" s="202">
        <f>新平!N110</f>
        <v>27</v>
      </c>
      <c r="S408" s="202">
        <f>新平!O110</f>
        <v>0</v>
      </c>
      <c r="T408" s="202">
        <f>新平!P110</f>
        <v>0</v>
      </c>
      <c r="U408" s="202">
        <f>新平!Q110</f>
        <v>0</v>
      </c>
      <c r="V408" s="202">
        <f>新平!R110</f>
        <v>0</v>
      </c>
      <c r="W408" s="202">
        <f>新平!S110</f>
        <v>0</v>
      </c>
      <c r="X408" s="202">
        <f>新平!T110</f>
        <v>0</v>
      </c>
      <c r="Y408" s="202">
        <f>新平!U110</f>
        <v>0</v>
      </c>
      <c r="Z408" s="202">
        <f>新平!V110</f>
        <v>0</v>
      </c>
      <c r="AA408" s="202">
        <f>新平!W110</f>
        <v>0</v>
      </c>
      <c r="AB408" s="202">
        <f>新平!X110</f>
        <v>0</v>
      </c>
      <c r="AC408" s="202">
        <f>新平!Y110</f>
        <v>0</v>
      </c>
      <c r="AD408" s="202">
        <f>新平!Z110</f>
        <v>0</v>
      </c>
      <c r="AE408" s="202">
        <f>新平!AA110</f>
        <v>0</v>
      </c>
      <c r="AF408" s="202">
        <f>新平!AB110</f>
        <v>0</v>
      </c>
      <c r="AG408" s="202">
        <f>新平!AC110</f>
        <v>0</v>
      </c>
      <c r="AH408" s="202">
        <f>新平!AD110</f>
        <v>0</v>
      </c>
      <c r="AI408" s="202">
        <f>新平!AE110</f>
        <v>0</v>
      </c>
      <c r="AJ408" s="202">
        <f>新平!AF110</f>
        <v>0</v>
      </c>
      <c r="AK408" s="165" t="str">
        <f>新平!AG110</f>
        <v>？？？</v>
      </c>
      <c r="AL408" s="165" t="str">
        <f>新平!AH110</f>
        <v>编号9-1</v>
      </c>
      <c r="AM408" s="165">
        <f>新平!AI110</f>
        <v>0</v>
      </c>
      <c r="AN408" s="165">
        <f>新平!AJ110</f>
        <v>0</v>
      </c>
      <c r="AO408" s="165">
        <f>新平!AK110</f>
        <v>0</v>
      </c>
      <c r="AP408" s="263">
        <v>15.499999999999998</v>
      </c>
      <c r="AQ408" s="209" t="str">
        <f>新平!AM110</f>
        <v>0.5+0.7+0.7+0.7+0.5</v>
      </c>
      <c r="AR408" s="295">
        <f>新平!AN110</f>
        <v>3.0999999999999996</v>
      </c>
      <c r="AS408" s="199" t="str">
        <f>新平!AO110</f>
        <v>532428197510250911</v>
      </c>
      <c r="AT408" s="199" t="str">
        <f>新平!AP110</f>
        <v>18088911719</v>
      </c>
    </row>
    <row r="409" spans="1:46">
      <c r="A409" s="165" t="s">
        <v>1922</v>
      </c>
      <c r="B409" s="202" t="str">
        <f>VLOOKUP(A409,databases!$A$2:$B$7, 2, FALSE)</f>
        <v>XinPing</v>
      </c>
      <c r="C409" s="165" t="str">
        <f>新平!B111</f>
        <v>王平</v>
      </c>
      <c r="D409" s="275" t="str">
        <f>VLOOKUP(C409,databases!$D$2:$E$145, 2, FALSE)</f>
        <v>R84</v>
      </c>
      <c r="E409" s="276" t="str">
        <f>INDEX(sample_database!$B$2:$B$506,MATCH(F409,sample_database!$L$2:$L$506,0))</f>
        <v>NA</v>
      </c>
      <c r="F409" s="202" t="str">
        <f>新平!A111</f>
        <v>XP110</v>
      </c>
      <c r="G409" s="257">
        <f>新平!C111</f>
        <v>9</v>
      </c>
      <c r="H409" s="257">
        <f>新平!D111</f>
        <v>0</v>
      </c>
      <c r="I409" s="202">
        <f>新平!E111</f>
        <v>25</v>
      </c>
      <c r="J409" s="202">
        <f>新平!F111</f>
        <v>1</v>
      </c>
      <c r="K409" s="202">
        <f>新平!G111</f>
        <v>2</v>
      </c>
      <c r="L409" s="202">
        <f>新平!H111</f>
        <v>2</v>
      </c>
      <c r="M409" s="202">
        <f>新平!I111</f>
        <v>3</v>
      </c>
      <c r="N409" s="202">
        <f>新平!J111</f>
        <v>3</v>
      </c>
      <c r="O409" s="202">
        <f>新平!K111</f>
        <v>3</v>
      </c>
      <c r="P409" s="202">
        <f>新平!L111</f>
        <v>3</v>
      </c>
      <c r="Q409" s="202">
        <f>新平!M111</f>
        <v>4</v>
      </c>
      <c r="R409" s="202">
        <f>新平!N111</f>
        <v>4</v>
      </c>
      <c r="S409" s="202">
        <f>新平!O111</f>
        <v>0</v>
      </c>
      <c r="T409" s="202">
        <f>新平!P111</f>
        <v>0</v>
      </c>
      <c r="U409" s="202">
        <f>新平!Q111</f>
        <v>0</v>
      </c>
      <c r="V409" s="202">
        <f>新平!R111</f>
        <v>0</v>
      </c>
      <c r="W409" s="202">
        <f>新平!S111</f>
        <v>0</v>
      </c>
      <c r="X409" s="202">
        <f>新平!T111</f>
        <v>0</v>
      </c>
      <c r="Y409" s="202">
        <f>新平!U111</f>
        <v>0</v>
      </c>
      <c r="Z409" s="202">
        <f>新平!V111</f>
        <v>0</v>
      </c>
      <c r="AA409" s="202">
        <f>新平!W111</f>
        <v>0</v>
      </c>
      <c r="AB409" s="202">
        <f>新平!X111</f>
        <v>0</v>
      </c>
      <c r="AC409" s="202">
        <f>新平!Y111</f>
        <v>0</v>
      </c>
      <c r="AD409" s="202">
        <f>新平!Z111</f>
        <v>0</v>
      </c>
      <c r="AE409" s="202">
        <f>新平!AA111</f>
        <v>0</v>
      </c>
      <c r="AF409" s="202">
        <f>新平!AB111</f>
        <v>0</v>
      </c>
      <c r="AG409" s="202">
        <f>新平!AC111</f>
        <v>0</v>
      </c>
      <c r="AH409" s="202">
        <f>新平!AD111</f>
        <v>0</v>
      </c>
      <c r="AI409" s="202">
        <f>新平!AE111</f>
        <v>0</v>
      </c>
      <c r="AJ409" s="202">
        <f>新平!AF111</f>
        <v>0</v>
      </c>
      <c r="AK409" s="165" t="str">
        <f>新平!AG111</f>
        <v>？？？</v>
      </c>
      <c r="AL409" s="165" t="str">
        <f>新平!AH111</f>
        <v>编号9-2</v>
      </c>
      <c r="AM409" s="165">
        <f>新平!AI111</f>
        <v>0</v>
      </c>
      <c r="AN409" s="165">
        <f>新平!AJ111</f>
        <v>0</v>
      </c>
      <c r="AO409" s="165">
        <f>新平!AK111</f>
        <v>0</v>
      </c>
      <c r="AP409" s="263">
        <v>10</v>
      </c>
      <c r="AQ409" s="209">
        <f>新平!AM111</f>
        <v>0</v>
      </c>
      <c r="AR409" s="295">
        <f>新平!AN111</f>
        <v>2</v>
      </c>
      <c r="AS409" s="199" t="str">
        <f>新平!AO111</f>
        <v>532428197510250911</v>
      </c>
      <c r="AT409" s="199" t="str">
        <f>新平!AP111</f>
        <v>18088911719</v>
      </c>
    </row>
    <row r="410" spans="1:46">
      <c r="A410" s="165" t="s">
        <v>1922</v>
      </c>
      <c r="B410" s="202" t="str">
        <f>VLOOKUP(A410,databases!$A$2:$B$7, 2, FALSE)</f>
        <v>XinPing</v>
      </c>
      <c r="C410" s="165" t="str">
        <f>新平!B112</f>
        <v>王平</v>
      </c>
      <c r="D410" s="275" t="str">
        <f>VLOOKUP(C410,databases!$D$2:$E$145, 2, FALSE)</f>
        <v>R84</v>
      </c>
      <c r="E410" s="276" t="str">
        <f>INDEX(sample_database!$B$2:$B$506,MATCH(F410,sample_database!$L$2:$L$506,0))</f>
        <v>NA</v>
      </c>
      <c r="F410" s="202" t="str">
        <f>新平!A112</f>
        <v>XP111</v>
      </c>
      <c r="G410" s="257">
        <f>新平!C112</f>
        <v>11</v>
      </c>
      <c r="H410" s="257">
        <f>新平!D112</f>
        <v>0</v>
      </c>
      <c r="I410" s="202">
        <f>新平!E112</f>
        <v>171</v>
      </c>
      <c r="J410" s="202">
        <f>新平!F112</f>
        <v>11</v>
      </c>
      <c r="K410" s="202">
        <f>新平!G112</f>
        <v>21</v>
      </c>
      <c r="L410" s="202">
        <f>新平!H112</f>
        <v>10</v>
      </c>
      <c r="M410" s="202">
        <f>新平!I112</f>
        <v>4</v>
      </c>
      <c r="N410" s="202">
        <f>新平!J112</f>
        <v>10</v>
      </c>
      <c r="O410" s="202">
        <f>新平!K112</f>
        <v>6</v>
      </c>
      <c r="P410" s="202">
        <f>新平!L112</f>
        <v>45</v>
      </c>
      <c r="Q410" s="202">
        <f>新平!M112</f>
        <v>3</v>
      </c>
      <c r="R410" s="202">
        <f>新平!N112</f>
        <v>36</v>
      </c>
      <c r="S410" s="202">
        <f>新平!O112</f>
        <v>15</v>
      </c>
      <c r="T410" s="202">
        <f>新平!P112</f>
        <v>10</v>
      </c>
      <c r="U410" s="202">
        <f>新平!Q112</f>
        <v>0</v>
      </c>
      <c r="V410" s="202">
        <f>新平!R112</f>
        <v>0</v>
      </c>
      <c r="W410" s="202">
        <f>新平!S112</f>
        <v>0</v>
      </c>
      <c r="X410" s="202">
        <f>新平!T112</f>
        <v>0</v>
      </c>
      <c r="Y410" s="202">
        <f>新平!U112</f>
        <v>0</v>
      </c>
      <c r="Z410" s="202">
        <f>新平!V112</f>
        <v>0</v>
      </c>
      <c r="AA410" s="202">
        <f>新平!W112</f>
        <v>0</v>
      </c>
      <c r="AB410" s="202">
        <f>新平!X112</f>
        <v>0</v>
      </c>
      <c r="AC410" s="202">
        <f>新平!Y112</f>
        <v>0</v>
      </c>
      <c r="AD410" s="202">
        <f>新平!Z112</f>
        <v>0</v>
      </c>
      <c r="AE410" s="202">
        <f>新平!AA112</f>
        <v>0</v>
      </c>
      <c r="AF410" s="202">
        <f>新平!AB112</f>
        <v>0</v>
      </c>
      <c r="AG410" s="202">
        <f>新平!AC112</f>
        <v>0</v>
      </c>
      <c r="AH410" s="202">
        <f>新平!AD112</f>
        <v>0</v>
      </c>
      <c r="AI410" s="202">
        <f>新平!AE112</f>
        <v>0</v>
      </c>
      <c r="AJ410" s="202">
        <f>新平!AF112</f>
        <v>0</v>
      </c>
      <c r="AK410" s="165" t="str">
        <f>新平!AG112</f>
        <v>？？？</v>
      </c>
      <c r="AL410" s="165" t="str">
        <f>新平!AH112</f>
        <v>编号11-3</v>
      </c>
      <c r="AM410" s="165">
        <f>新平!AI112</f>
        <v>0</v>
      </c>
      <c r="AN410" s="165">
        <f>新平!AJ112</f>
        <v>0</v>
      </c>
      <c r="AO410" s="165">
        <f>新平!AK112</f>
        <v>0</v>
      </c>
      <c r="AP410" s="263">
        <v>30</v>
      </c>
      <c r="AQ410" s="209" t="str">
        <f>新平!AM112</f>
        <v>1.5+1.1+0.7+2+0.7</v>
      </c>
      <c r="AR410" s="295">
        <f>新平!AN112</f>
        <v>6</v>
      </c>
      <c r="AS410" s="199" t="str">
        <f>新平!AO112</f>
        <v>532428197510250911</v>
      </c>
      <c r="AT410" s="199" t="str">
        <f>新平!AP112</f>
        <v>18088911719</v>
      </c>
    </row>
    <row r="411" spans="1:46">
      <c r="A411" s="165" t="s">
        <v>1922</v>
      </c>
      <c r="B411" s="202" t="str">
        <f>VLOOKUP(A411,databases!$A$2:$B$7, 2, FALSE)</f>
        <v>XinPing</v>
      </c>
      <c r="C411" s="165" t="str">
        <f>新平!B113</f>
        <v>王平</v>
      </c>
      <c r="D411" s="275" t="str">
        <f>VLOOKUP(C411,databases!$D$2:$E$145, 2, FALSE)</f>
        <v>R84</v>
      </c>
      <c r="E411" s="276" t="str">
        <f>INDEX(sample_database!$B$2:$B$506,MATCH(F411,sample_database!$L$2:$L$506,0))</f>
        <v>NA</v>
      </c>
      <c r="F411" s="202" t="str">
        <f>新平!A113</f>
        <v>XP112</v>
      </c>
      <c r="G411" s="257">
        <f>新平!C113</f>
        <v>10</v>
      </c>
      <c r="H411" s="257">
        <f>新平!D113</f>
        <v>0</v>
      </c>
      <c r="I411" s="202">
        <f>新平!E113</f>
        <v>37</v>
      </c>
      <c r="J411" s="202">
        <f>新平!F113</f>
        <v>2</v>
      </c>
      <c r="K411" s="202">
        <f>新平!G113</f>
        <v>3</v>
      </c>
      <c r="L411" s="202">
        <f>新平!H113</f>
        <v>3</v>
      </c>
      <c r="M411" s="202">
        <f>新平!I113</f>
        <v>3</v>
      </c>
      <c r="N411" s="202">
        <f>新平!J113</f>
        <v>3</v>
      </c>
      <c r="O411" s="202">
        <f>新平!K113</f>
        <v>4</v>
      </c>
      <c r="P411" s="202">
        <f>新平!L113</f>
        <v>4</v>
      </c>
      <c r="Q411" s="202">
        <f>新平!M113</f>
        <v>4</v>
      </c>
      <c r="R411" s="202">
        <f>新平!N113</f>
        <v>5</v>
      </c>
      <c r="S411" s="202">
        <f>新平!O113</f>
        <v>6</v>
      </c>
      <c r="T411" s="202">
        <f>新平!P113</f>
        <v>0</v>
      </c>
      <c r="U411" s="202">
        <f>新平!Q113</f>
        <v>0</v>
      </c>
      <c r="V411" s="202">
        <f>新平!R113</f>
        <v>0</v>
      </c>
      <c r="W411" s="202">
        <f>新平!S113</f>
        <v>0</v>
      </c>
      <c r="X411" s="202">
        <f>新平!T113</f>
        <v>0</v>
      </c>
      <c r="Y411" s="202">
        <f>新平!U113</f>
        <v>0</v>
      </c>
      <c r="Z411" s="202">
        <f>新平!V113</f>
        <v>0</v>
      </c>
      <c r="AA411" s="202">
        <f>新平!W113</f>
        <v>0</v>
      </c>
      <c r="AB411" s="202">
        <f>新平!X113</f>
        <v>0</v>
      </c>
      <c r="AC411" s="202">
        <f>新平!Y113</f>
        <v>0</v>
      </c>
      <c r="AD411" s="202">
        <f>新平!Z113</f>
        <v>0</v>
      </c>
      <c r="AE411" s="202">
        <f>新平!AA113</f>
        <v>0</v>
      </c>
      <c r="AF411" s="202">
        <f>新平!AB113</f>
        <v>0</v>
      </c>
      <c r="AG411" s="202">
        <f>新平!AC113</f>
        <v>0</v>
      </c>
      <c r="AH411" s="202">
        <f>新平!AD113</f>
        <v>0</v>
      </c>
      <c r="AI411" s="202">
        <f>新平!AE113</f>
        <v>0</v>
      </c>
      <c r="AJ411" s="202">
        <f>新平!AF113</f>
        <v>0</v>
      </c>
      <c r="AK411" s="165" t="str">
        <f>新平!AG113</f>
        <v>？？？</v>
      </c>
      <c r="AL411" s="165" t="str">
        <f>新平!AH113</f>
        <v>编号10-4</v>
      </c>
      <c r="AM411" s="165">
        <f>新平!AI113</f>
        <v>0</v>
      </c>
      <c r="AN411" s="165">
        <f>新平!AJ113</f>
        <v>0</v>
      </c>
      <c r="AO411" s="165">
        <f>新平!AK113</f>
        <v>0</v>
      </c>
      <c r="AP411" s="263">
        <v>6</v>
      </c>
      <c r="AQ411" s="209">
        <f>新平!AM113</f>
        <v>0</v>
      </c>
      <c r="AR411" s="295">
        <f>新平!AN113</f>
        <v>1.2</v>
      </c>
      <c r="AS411" s="199" t="str">
        <f>新平!AO113</f>
        <v>532428197510250911</v>
      </c>
      <c r="AT411" s="199" t="str">
        <f>新平!AP113</f>
        <v>18088911719</v>
      </c>
    </row>
    <row r="412" spans="1:46">
      <c r="A412" s="165" t="s">
        <v>1922</v>
      </c>
      <c r="B412" s="202" t="str">
        <f>VLOOKUP(A412,databases!$A$2:$B$7, 2, FALSE)</f>
        <v>XinPing</v>
      </c>
      <c r="C412" s="165" t="str">
        <f>新平!B114</f>
        <v>王平</v>
      </c>
      <c r="D412" s="277" t="str">
        <f>VLOOKUP(C412,databases!$D$2:$E$145, 2, FALSE)</f>
        <v>R84</v>
      </c>
      <c r="E412" s="278" t="str">
        <f>INDEX(sample_database!$B$2:$B$506,MATCH(F412,sample_database!$L$2:$L$506,0))</f>
        <v>NA</v>
      </c>
      <c r="F412" s="202" t="str">
        <f>新平!A114</f>
        <v>XP113</v>
      </c>
      <c r="G412" s="257">
        <f>新平!C114</f>
        <v>0</v>
      </c>
      <c r="H412" s="257">
        <f>新平!D114</f>
        <v>16</v>
      </c>
      <c r="I412" s="202">
        <f>新平!E114</f>
        <v>50</v>
      </c>
      <c r="J412" s="202">
        <f>新平!F114</f>
        <v>11</v>
      </c>
      <c r="K412" s="202">
        <f>新平!G114</f>
        <v>10</v>
      </c>
      <c r="L412" s="202">
        <f>新平!H114</f>
        <v>1</v>
      </c>
      <c r="M412" s="202">
        <f>新平!I114</f>
        <v>1</v>
      </c>
      <c r="N412" s="202">
        <f>新平!J114</f>
        <v>1</v>
      </c>
      <c r="O412" s="202">
        <f>新平!K114</f>
        <v>1</v>
      </c>
      <c r="P412" s="202">
        <f>新平!L114</f>
        <v>1</v>
      </c>
      <c r="Q412" s="202">
        <f>新平!M114</f>
        <v>1</v>
      </c>
      <c r="R412" s="202">
        <f>新平!N114</f>
        <v>1</v>
      </c>
      <c r="S412" s="202">
        <f>新平!O114</f>
        <v>2</v>
      </c>
      <c r="T412" s="202">
        <f>新平!P114</f>
        <v>2</v>
      </c>
      <c r="U412" s="202">
        <f>新平!Q114</f>
        <v>3</v>
      </c>
      <c r="V412" s="202">
        <f>新平!R114</f>
        <v>3</v>
      </c>
      <c r="W412" s="202">
        <f>新平!S114</f>
        <v>3</v>
      </c>
      <c r="X412" s="202">
        <f>新平!T114</f>
        <v>4</v>
      </c>
      <c r="Y412" s="202">
        <f>新平!U114</f>
        <v>5</v>
      </c>
      <c r="Z412" s="202">
        <f>新平!V114</f>
        <v>0</v>
      </c>
      <c r="AA412" s="202">
        <f>新平!W114</f>
        <v>0</v>
      </c>
      <c r="AB412" s="202">
        <f>新平!X114</f>
        <v>0</v>
      </c>
      <c r="AC412" s="202">
        <f>新平!Y114</f>
        <v>0</v>
      </c>
      <c r="AD412" s="202">
        <f>新平!Z114</f>
        <v>0</v>
      </c>
      <c r="AE412" s="202">
        <f>新平!AA114</f>
        <v>0</v>
      </c>
      <c r="AF412" s="202">
        <f>新平!AB114</f>
        <v>0</v>
      </c>
      <c r="AG412" s="202">
        <f>新平!AC114</f>
        <v>0</v>
      </c>
      <c r="AH412" s="202">
        <f>新平!AD114</f>
        <v>0</v>
      </c>
      <c r="AI412" s="202">
        <f>新平!AE114</f>
        <v>0</v>
      </c>
      <c r="AJ412" s="202">
        <f>新平!AF114</f>
        <v>0</v>
      </c>
      <c r="AK412" s="165" t="str">
        <f>新平!AG114</f>
        <v>新平县戛沙镇仁和村坝多组</v>
      </c>
      <c r="AL412" s="165" t="str">
        <f>新平!AH114</f>
        <v>20160715</v>
      </c>
      <c r="AM412" s="165">
        <f>新平!AI114</f>
        <v>0</v>
      </c>
      <c r="AN412" s="165">
        <f>新平!AJ114</f>
        <v>0</v>
      </c>
      <c r="AO412" s="165" t="str">
        <f>新平!AK114</f>
        <v>海拔1993，湾河，N23°50′31.62″ E101°57′27.32″</v>
      </c>
      <c r="AP412" s="263">
        <v>15</v>
      </c>
      <c r="AQ412" s="209">
        <f>新平!AM114</f>
        <v>0</v>
      </c>
      <c r="AR412" s="295">
        <f>新平!AN114</f>
        <v>3</v>
      </c>
      <c r="AS412" s="199" t="str">
        <f>新平!AO114</f>
        <v>532428197510250911</v>
      </c>
      <c r="AT412" s="199" t="str">
        <f>新平!AP114</f>
        <v>18088911719</v>
      </c>
    </row>
    <row r="413" spans="1:46">
      <c r="A413" s="165" t="s">
        <v>1922</v>
      </c>
      <c r="B413" s="202" t="str">
        <f>VLOOKUP(A413,databases!$A$2:$B$7, 2, FALSE)</f>
        <v>XinPing</v>
      </c>
      <c r="C413" s="165" t="str">
        <f>新平!B100</f>
        <v>白正荣</v>
      </c>
      <c r="D413" s="273" t="str">
        <f>VLOOKUP(C413,databases!$D$2:$E$145, 2, FALSE)</f>
        <v>R103</v>
      </c>
      <c r="E413" s="274" t="str">
        <f>INDEX(sample_database!$B$2:$B$506,MATCH(F413,sample_database!$L$2:$L$506,0))</f>
        <v>NA</v>
      </c>
      <c r="F413" s="202" t="str">
        <f>新平!A100</f>
        <v>XP099</v>
      </c>
      <c r="G413" s="257">
        <f>新平!C100</f>
        <v>10</v>
      </c>
      <c r="H413" s="257">
        <f>新平!D100</f>
        <v>0</v>
      </c>
      <c r="I413" s="202">
        <f>新平!E100</f>
        <v>43</v>
      </c>
      <c r="J413" s="202">
        <f>新平!F100</f>
        <v>4</v>
      </c>
      <c r="K413" s="202">
        <f>新平!G100</f>
        <v>4</v>
      </c>
      <c r="L413" s="202">
        <f>新平!H100</f>
        <v>4</v>
      </c>
      <c r="M413" s="202">
        <f>新平!I100</f>
        <v>4</v>
      </c>
      <c r="N413" s="202">
        <f>新平!J100</f>
        <v>4</v>
      </c>
      <c r="O413" s="202">
        <f>新平!K100</f>
        <v>4</v>
      </c>
      <c r="P413" s="202">
        <f>新平!L100</f>
        <v>4</v>
      </c>
      <c r="Q413" s="202">
        <f>新平!M100</f>
        <v>5</v>
      </c>
      <c r="R413" s="202">
        <f>新平!N100</f>
        <v>5</v>
      </c>
      <c r="S413" s="202">
        <f>新平!O100</f>
        <v>5</v>
      </c>
      <c r="T413" s="202">
        <f>新平!P100</f>
        <v>0</v>
      </c>
      <c r="U413" s="202">
        <f>新平!Q100</f>
        <v>0</v>
      </c>
      <c r="V413" s="202">
        <f>新平!R100</f>
        <v>0</v>
      </c>
      <c r="W413" s="202">
        <f>新平!S100</f>
        <v>0</v>
      </c>
      <c r="X413" s="202">
        <f>新平!T100</f>
        <v>0</v>
      </c>
      <c r="Y413" s="202">
        <f>新平!U100</f>
        <v>0</v>
      </c>
      <c r="Z413" s="202">
        <f>新平!V100</f>
        <v>0</v>
      </c>
      <c r="AA413" s="202">
        <f>新平!W100</f>
        <v>0</v>
      </c>
      <c r="AB413" s="202">
        <f>新平!X100</f>
        <v>0</v>
      </c>
      <c r="AC413" s="202">
        <f>新平!Y100</f>
        <v>0</v>
      </c>
      <c r="AD413" s="202">
        <f>新平!Z100</f>
        <v>0</v>
      </c>
      <c r="AE413" s="202">
        <f>新平!AA100</f>
        <v>0</v>
      </c>
      <c r="AF413" s="202">
        <f>新平!AB100</f>
        <v>0</v>
      </c>
      <c r="AG413" s="202">
        <f>新平!AC100</f>
        <v>0</v>
      </c>
      <c r="AH413" s="202">
        <f>新平!AD100</f>
        <v>0</v>
      </c>
      <c r="AI413" s="202">
        <f>新平!AE100</f>
        <v>0</v>
      </c>
      <c r="AJ413" s="202">
        <f>新平!AF100</f>
        <v>0</v>
      </c>
      <c r="AK413" s="165" t="str">
        <f>新平!AG100</f>
        <v>新平县建兴乡磨味村狗头坡组</v>
      </c>
      <c r="AL413" s="165" t="str">
        <f>新平!AH100</f>
        <v>20160715</v>
      </c>
      <c r="AM413" s="165">
        <f>新平!AI100</f>
        <v>0</v>
      </c>
      <c r="AN413" s="165">
        <f>新平!AJ100</f>
        <v>0</v>
      </c>
      <c r="AO413" s="165" t="str">
        <f>新平!AK100</f>
        <v>海拔2386。N23°48′58.60″ E101°36′49.36″</v>
      </c>
      <c r="AP413" s="263">
        <v>10</v>
      </c>
      <c r="AQ413" s="209">
        <f>新平!AM100</f>
        <v>0</v>
      </c>
      <c r="AR413" s="295">
        <f>新平!AN100</f>
        <v>2</v>
      </c>
      <c r="AS413" s="199" t="str">
        <f>新平!AO100</f>
        <v>532428196808241116</v>
      </c>
      <c r="AT413" s="199" t="str">
        <f>新平!AP100</f>
        <v>18088911723</v>
      </c>
    </row>
    <row r="414" spans="1:46">
      <c r="A414" s="165" t="s">
        <v>1922</v>
      </c>
      <c r="B414" s="202" t="str">
        <f>VLOOKUP(A414,databases!$A$2:$B$7, 2, FALSE)</f>
        <v>XinPing</v>
      </c>
      <c r="C414" s="165" t="str">
        <f>新平!B101</f>
        <v>白正荣</v>
      </c>
      <c r="D414" s="275" t="str">
        <f>VLOOKUP(C414,databases!$D$2:$E$145, 2, FALSE)</f>
        <v>R103</v>
      </c>
      <c r="E414" s="276" t="str">
        <f>INDEX(sample_database!$B$2:$B$506,MATCH(F414,sample_database!$L$2:$L$506,0))</f>
        <v>NA</v>
      </c>
      <c r="F414" s="202" t="str">
        <f>新平!A101</f>
        <v>XP100</v>
      </c>
      <c r="G414" s="257">
        <f>新平!C101</f>
        <v>10</v>
      </c>
      <c r="H414" s="257">
        <f>新平!D101</f>
        <v>0</v>
      </c>
      <c r="I414" s="202">
        <f>新平!E101</f>
        <v>37</v>
      </c>
      <c r="J414" s="202">
        <f>新平!F101</f>
        <v>3</v>
      </c>
      <c r="K414" s="202">
        <f>新平!G101</f>
        <v>3</v>
      </c>
      <c r="L414" s="202">
        <f>新平!H101</f>
        <v>3</v>
      </c>
      <c r="M414" s="202">
        <f>新平!I101</f>
        <v>4</v>
      </c>
      <c r="N414" s="202">
        <f>新平!J101</f>
        <v>4</v>
      </c>
      <c r="O414" s="202">
        <f>新平!K101</f>
        <v>4</v>
      </c>
      <c r="P414" s="202">
        <f>新平!L101</f>
        <v>4</v>
      </c>
      <c r="Q414" s="202">
        <f>新平!M101</f>
        <v>4</v>
      </c>
      <c r="R414" s="202">
        <f>新平!N101</f>
        <v>4</v>
      </c>
      <c r="S414" s="202">
        <f>新平!O101</f>
        <v>4</v>
      </c>
      <c r="T414" s="202">
        <f>新平!P101</f>
        <v>0</v>
      </c>
      <c r="U414" s="202">
        <f>新平!Q101</f>
        <v>0</v>
      </c>
      <c r="V414" s="202">
        <f>新平!R101</f>
        <v>0</v>
      </c>
      <c r="W414" s="202">
        <f>新平!S101</f>
        <v>0</v>
      </c>
      <c r="X414" s="202">
        <f>新平!T101</f>
        <v>0</v>
      </c>
      <c r="Y414" s="202">
        <f>新平!U101</f>
        <v>0</v>
      </c>
      <c r="Z414" s="202">
        <f>新平!V101</f>
        <v>0</v>
      </c>
      <c r="AA414" s="202">
        <f>新平!W101</f>
        <v>0</v>
      </c>
      <c r="AB414" s="202">
        <f>新平!X101</f>
        <v>0</v>
      </c>
      <c r="AC414" s="202">
        <f>新平!Y101</f>
        <v>0</v>
      </c>
      <c r="AD414" s="202">
        <f>新平!Z101</f>
        <v>0</v>
      </c>
      <c r="AE414" s="202">
        <f>新平!AA101</f>
        <v>0</v>
      </c>
      <c r="AF414" s="202">
        <f>新平!AB101</f>
        <v>0</v>
      </c>
      <c r="AG414" s="202">
        <f>新平!AC101</f>
        <v>0</v>
      </c>
      <c r="AH414" s="202">
        <f>新平!AD101</f>
        <v>0</v>
      </c>
      <c r="AI414" s="202">
        <f>新平!AE101</f>
        <v>0</v>
      </c>
      <c r="AJ414" s="202">
        <f>新平!AF101</f>
        <v>0</v>
      </c>
      <c r="AK414" s="165" t="str">
        <f>新平!AG101</f>
        <v>？？？</v>
      </c>
      <c r="AL414" s="165" t="str">
        <f>新平!AH101</f>
        <v>编号10-1</v>
      </c>
      <c r="AM414" s="165">
        <f>新平!AI101</f>
        <v>0</v>
      </c>
      <c r="AN414" s="165">
        <f>新平!AJ101</f>
        <v>0</v>
      </c>
      <c r="AO414" s="165">
        <f>新平!AK101</f>
        <v>0</v>
      </c>
      <c r="AP414" s="263">
        <v>10</v>
      </c>
      <c r="AQ414" s="209">
        <f>新平!AM101</f>
        <v>0</v>
      </c>
      <c r="AR414" s="295">
        <f>新平!AN101</f>
        <v>2</v>
      </c>
      <c r="AS414" s="199" t="str">
        <f>新平!AO101</f>
        <v>532428196808241116</v>
      </c>
      <c r="AT414" s="199" t="str">
        <f>新平!AP101</f>
        <v>18088911723</v>
      </c>
    </row>
    <row r="415" spans="1:46" s="252" customFormat="1">
      <c r="A415" s="253" t="s">
        <v>1922</v>
      </c>
      <c r="B415" s="236" t="str">
        <f>VLOOKUP(A415,databases!$A$2:$B$7, 2, FALSE)</f>
        <v>XinPing</v>
      </c>
      <c r="C415" s="253" t="str">
        <f>新平!B102</f>
        <v>白正荣</v>
      </c>
      <c r="D415" s="275" t="str">
        <f>VLOOKUP(C415,databases!$D$2:$E$145, 2, FALSE)</f>
        <v>R103</v>
      </c>
      <c r="E415" s="276" t="str">
        <f>INDEX(sample_database!$B$2:$B$506,MATCH(F415,sample_database!$L$2:$L$506,0))</f>
        <v>NA</v>
      </c>
      <c r="F415" s="236" t="str">
        <f>新平!A102</f>
        <v>XP101</v>
      </c>
      <c r="G415" s="258">
        <f>新平!C102</f>
        <v>10</v>
      </c>
      <c r="H415" s="258">
        <f>新平!D102</f>
        <v>0</v>
      </c>
      <c r="I415" s="236">
        <f>新平!E102</f>
        <v>59</v>
      </c>
      <c r="J415" s="236">
        <f>新平!F102</f>
        <v>4</v>
      </c>
      <c r="K415" s="236">
        <f>新平!G102</f>
        <v>4</v>
      </c>
      <c r="L415" s="236">
        <f>新平!H102</f>
        <v>4</v>
      </c>
      <c r="M415" s="236">
        <f>新平!I102</f>
        <v>4</v>
      </c>
      <c r="N415" s="236">
        <f>新平!J102</f>
        <v>4</v>
      </c>
      <c r="O415" s="236">
        <f>新平!K102</f>
        <v>4</v>
      </c>
      <c r="P415" s="236">
        <f>新平!L102</f>
        <v>4</v>
      </c>
      <c r="Q415" s="236">
        <f>新平!M102</f>
        <v>6</v>
      </c>
      <c r="R415" s="236">
        <f>新平!N102</f>
        <v>8</v>
      </c>
      <c r="S415" s="236">
        <f>新平!O102</f>
        <v>17</v>
      </c>
      <c r="T415" s="236">
        <f>新平!P102</f>
        <v>0</v>
      </c>
      <c r="U415" s="236">
        <f>新平!Q102</f>
        <v>0</v>
      </c>
      <c r="V415" s="236">
        <f>新平!R102</f>
        <v>0</v>
      </c>
      <c r="W415" s="236">
        <f>新平!S102</f>
        <v>0</v>
      </c>
      <c r="X415" s="236">
        <f>新平!T102</f>
        <v>0</v>
      </c>
      <c r="Y415" s="236">
        <f>新平!U102</f>
        <v>0</v>
      </c>
      <c r="Z415" s="236">
        <f>新平!V102</f>
        <v>0</v>
      </c>
      <c r="AA415" s="236">
        <f>新平!W102</f>
        <v>0</v>
      </c>
      <c r="AB415" s="236">
        <f>新平!X102</f>
        <v>0</v>
      </c>
      <c r="AC415" s="236">
        <f>新平!Y102</f>
        <v>0</v>
      </c>
      <c r="AD415" s="236">
        <f>新平!Z102</f>
        <v>0</v>
      </c>
      <c r="AE415" s="236">
        <f>新平!AA102</f>
        <v>0</v>
      </c>
      <c r="AF415" s="236">
        <f>新平!AB102</f>
        <v>0</v>
      </c>
      <c r="AG415" s="236">
        <f>新平!AC102</f>
        <v>0</v>
      </c>
      <c r="AH415" s="236">
        <f>新平!AD102</f>
        <v>0</v>
      </c>
      <c r="AI415" s="236">
        <f>新平!AE102</f>
        <v>0</v>
      </c>
      <c r="AJ415" s="236">
        <f>新平!AF102</f>
        <v>0</v>
      </c>
      <c r="AK415" s="253" t="str">
        <f>新平!AG102</f>
        <v>？？？</v>
      </c>
      <c r="AL415" s="253" t="str">
        <f>新平!AH102</f>
        <v>编号10-2</v>
      </c>
      <c r="AM415" s="253">
        <f>新平!AI102</f>
        <v>0</v>
      </c>
      <c r="AN415" s="253">
        <f>新平!AJ102</f>
        <v>0</v>
      </c>
      <c r="AO415" s="253">
        <f>新平!AK102</f>
        <v>0</v>
      </c>
      <c r="AP415" s="264">
        <v>10</v>
      </c>
      <c r="AQ415" s="260">
        <f>新平!AM102</f>
        <v>0</v>
      </c>
      <c r="AR415" s="296">
        <f>新平!AN102</f>
        <v>2</v>
      </c>
      <c r="AS415" s="255" t="str">
        <f>新平!AO102</f>
        <v>532428196808241116</v>
      </c>
      <c r="AT415" s="255" t="str">
        <f>新平!AP102</f>
        <v>18088911723</v>
      </c>
    </row>
    <row r="416" spans="1:46" s="171" customFormat="1">
      <c r="A416" s="165" t="s">
        <v>1922</v>
      </c>
      <c r="B416" s="202" t="str">
        <f>VLOOKUP(A416,databases!$A$2:$B$7, 2, FALSE)</f>
        <v>XinPing</v>
      </c>
      <c r="C416" s="165" t="str">
        <f>新平!B103</f>
        <v>白正荣</v>
      </c>
      <c r="D416" s="275" t="str">
        <f>VLOOKUP(C416,databases!$D$2:$E$145, 2, FALSE)</f>
        <v>R103</v>
      </c>
      <c r="E416" s="276" t="str">
        <f>INDEX(sample_database!$B$2:$B$506,MATCH(F416,sample_database!$L$2:$L$506,0))</f>
        <v>NA</v>
      </c>
      <c r="F416" s="202" t="str">
        <f>新平!A103</f>
        <v>XP102</v>
      </c>
      <c r="G416" s="257">
        <f>新平!C103</f>
        <v>10</v>
      </c>
      <c r="H416" s="257">
        <f>新平!D103</f>
        <v>0</v>
      </c>
      <c r="I416" s="202">
        <f>新平!E103</f>
        <v>33</v>
      </c>
      <c r="J416" s="202">
        <f>新平!F103</f>
        <v>3</v>
      </c>
      <c r="K416" s="202">
        <f>新平!G103</f>
        <v>3</v>
      </c>
      <c r="L416" s="202">
        <f>新平!H103</f>
        <v>3</v>
      </c>
      <c r="M416" s="202">
        <f>新平!I103</f>
        <v>3</v>
      </c>
      <c r="N416" s="202">
        <f>新平!J103</f>
        <v>3</v>
      </c>
      <c r="O416" s="202">
        <f>新平!K103</f>
        <v>3</v>
      </c>
      <c r="P416" s="202">
        <f>新平!L103</f>
        <v>3</v>
      </c>
      <c r="Q416" s="202">
        <f>新平!M103</f>
        <v>4</v>
      </c>
      <c r="R416" s="202">
        <f>新平!N103</f>
        <v>4</v>
      </c>
      <c r="S416" s="202">
        <f>新平!O103</f>
        <v>4</v>
      </c>
      <c r="T416" s="202">
        <f>新平!P103</f>
        <v>0</v>
      </c>
      <c r="U416" s="202">
        <f>新平!Q103</f>
        <v>0</v>
      </c>
      <c r="V416" s="202">
        <f>新平!R103</f>
        <v>0</v>
      </c>
      <c r="W416" s="202">
        <f>新平!S103</f>
        <v>0</v>
      </c>
      <c r="X416" s="202">
        <f>新平!T103</f>
        <v>0</v>
      </c>
      <c r="Y416" s="202">
        <f>新平!U103</f>
        <v>0</v>
      </c>
      <c r="Z416" s="202">
        <f>新平!V103</f>
        <v>0</v>
      </c>
      <c r="AA416" s="202">
        <f>新平!W103</f>
        <v>0</v>
      </c>
      <c r="AB416" s="202">
        <f>新平!X103</f>
        <v>0</v>
      </c>
      <c r="AC416" s="202">
        <f>新平!Y103</f>
        <v>0</v>
      </c>
      <c r="AD416" s="202">
        <f>新平!Z103</f>
        <v>0</v>
      </c>
      <c r="AE416" s="202">
        <f>新平!AA103</f>
        <v>0</v>
      </c>
      <c r="AF416" s="202">
        <f>新平!AB103</f>
        <v>0</v>
      </c>
      <c r="AG416" s="202">
        <f>新平!AC103</f>
        <v>0</v>
      </c>
      <c r="AH416" s="202">
        <f>新平!AD103</f>
        <v>0</v>
      </c>
      <c r="AI416" s="202">
        <f>新平!AE103</f>
        <v>0</v>
      </c>
      <c r="AJ416" s="202">
        <f>新平!AF103</f>
        <v>0</v>
      </c>
      <c r="AK416" s="165" t="str">
        <f>新平!AG103</f>
        <v>？？？</v>
      </c>
      <c r="AL416" s="165" t="str">
        <f>新平!AH103</f>
        <v>编号10-3</v>
      </c>
      <c r="AM416" s="165">
        <f>新平!AI103</f>
        <v>0</v>
      </c>
      <c r="AN416" s="165">
        <f>新平!AJ103</f>
        <v>0</v>
      </c>
      <c r="AO416" s="165">
        <f>新平!AK103</f>
        <v>0</v>
      </c>
      <c r="AP416" s="263">
        <v>5</v>
      </c>
      <c r="AQ416" s="209">
        <f>新平!AM103</f>
        <v>0</v>
      </c>
      <c r="AR416" s="295">
        <f>新平!AN103</f>
        <v>1</v>
      </c>
      <c r="AS416" s="199" t="str">
        <f>新平!AO103</f>
        <v>532428196808241116</v>
      </c>
      <c r="AT416" s="199" t="str">
        <f>新平!AP103</f>
        <v>18088911723</v>
      </c>
    </row>
    <row r="417" spans="1:46">
      <c r="A417" s="165" t="s">
        <v>1922</v>
      </c>
      <c r="B417" s="202" t="str">
        <f>VLOOKUP(A417,databases!$A$2:$B$7, 2, FALSE)</f>
        <v>XinPing</v>
      </c>
      <c r="C417" s="165" t="str">
        <f>新平!B104</f>
        <v>白正荣</v>
      </c>
      <c r="D417" s="277" t="str">
        <f>VLOOKUP(C417,databases!$D$2:$E$145, 2, FALSE)</f>
        <v>R103</v>
      </c>
      <c r="E417" s="278" t="str">
        <f>INDEX(sample_database!$B$2:$B$506,MATCH(F417,sample_database!$L$2:$L$506,0))</f>
        <v>NA</v>
      </c>
      <c r="F417" s="202" t="str">
        <f>新平!A104</f>
        <v>XP103</v>
      </c>
      <c r="G417" s="257">
        <f>新平!C104</f>
        <v>0</v>
      </c>
      <c r="H417" s="257">
        <f>新平!D104</f>
        <v>20</v>
      </c>
      <c r="I417" s="202">
        <f>新平!E104</f>
        <v>52</v>
      </c>
      <c r="J417" s="202">
        <f>新平!F104</f>
        <v>2</v>
      </c>
      <c r="K417" s="202">
        <f>新平!G104</f>
        <v>2</v>
      </c>
      <c r="L417" s="202">
        <f>新平!H104</f>
        <v>2</v>
      </c>
      <c r="M417" s="202">
        <f>新平!I104</f>
        <v>2</v>
      </c>
      <c r="N417" s="202">
        <f>新平!J104</f>
        <v>2</v>
      </c>
      <c r="O417" s="202">
        <f>新平!K104</f>
        <v>2</v>
      </c>
      <c r="P417" s="202">
        <f>新平!L104</f>
        <v>2</v>
      </c>
      <c r="Q417" s="202">
        <f>新平!M104</f>
        <v>2</v>
      </c>
      <c r="R417" s="202">
        <f>新平!N104</f>
        <v>2</v>
      </c>
      <c r="S417" s="202">
        <f>新平!O104</f>
        <v>2</v>
      </c>
      <c r="T417" s="202">
        <f>新平!P104</f>
        <v>2</v>
      </c>
      <c r="U417" s="202">
        <f>新平!Q104</f>
        <v>2</v>
      </c>
      <c r="V417" s="202">
        <f>新平!R104</f>
        <v>3</v>
      </c>
      <c r="W417" s="202">
        <f>新平!S104</f>
        <v>3</v>
      </c>
      <c r="X417" s="202">
        <f>新平!T104</f>
        <v>3</v>
      </c>
      <c r="Y417" s="202">
        <f>新平!U104</f>
        <v>3</v>
      </c>
      <c r="Z417" s="202">
        <f>新平!V104</f>
        <v>3</v>
      </c>
      <c r="AA417" s="202">
        <f>新平!W104</f>
        <v>4</v>
      </c>
      <c r="AB417" s="202">
        <f>新平!X104</f>
        <v>4</v>
      </c>
      <c r="AC417" s="202">
        <f>新平!Y104</f>
        <v>5</v>
      </c>
      <c r="AD417" s="202">
        <f>新平!Z104</f>
        <v>0</v>
      </c>
      <c r="AE417" s="202">
        <f>新平!AA104</f>
        <v>0</v>
      </c>
      <c r="AF417" s="202">
        <f>新平!AB104</f>
        <v>0</v>
      </c>
      <c r="AG417" s="202">
        <f>新平!AC104</f>
        <v>0</v>
      </c>
      <c r="AH417" s="202">
        <f>新平!AD104</f>
        <v>0</v>
      </c>
      <c r="AI417" s="202">
        <f>新平!AE104</f>
        <v>0</v>
      </c>
      <c r="AJ417" s="202">
        <f>新平!AF104</f>
        <v>0</v>
      </c>
      <c r="AK417" s="165" t="str">
        <f>新平!AG104</f>
        <v>？？？</v>
      </c>
      <c r="AL417" s="165" t="str">
        <f>新平!AH104</f>
        <v>？</v>
      </c>
      <c r="AM417" s="165">
        <f>新平!AI104</f>
        <v>0</v>
      </c>
      <c r="AN417" s="165">
        <f>新平!AJ104</f>
        <v>0</v>
      </c>
      <c r="AO417" s="165">
        <f>新平!AK104</f>
        <v>0</v>
      </c>
      <c r="AP417" s="263">
        <v>10</v>
      </c>
      <c r="AQ417" s="209">
        <f>新平!AM104</f>
        <v>0</v>
      </c>
      <c r="AR417" s="295">
        <f>新平!AN104</f>
        <v>2</v>
      </c>
      <c r="AS417" s="199" t="str">
        <f>新平!AO104</f>
        <v>532428196808241116</v>
      </c>
      <c r="AT417" s="199" t="str">
        <f>新平!AP104</f>
        <v>18088911723</v>
      </c>
    </row>
    <row r="418" spans="1:46">
      <c r="A418" s="165" t="s">
        <v>1922</v>
      </c>
      <c r="B418" s="202" t="str">
        <f>VLOOKUP(A418,databases!$A$2:$B$7, 2, FALSE)</f>
        <v>XinPing</v>
      </c>
      <c r="C418" s="165" t="str">
        <f>新平!B10</f>
        <v>罗有明</v>
      </c>
      <c r="D418" s="202" t="str">
        <f>VLOOKUP(C418,databases!$D$2:$E$145, 2, FALSE)</f>
        <v>R109</v>
      </c>
      <c r="E418" s="259">
        <f>INDEX(sample_database!$B$2:$B$506,MATCH(F418,sample_database!$L$2:$L$506,0))</f>
        <v>146</v>
      </c>
      <c r="F418" s="202" t="str">
        <f>新平!A10</f>
        <v>XP009</v>
      </c>
      <c r="G418" s="257">
        <f>新平!C10</f>
        <v>10</v>
      </c>
      <c r="H418" s="257">
        <f>新平!D10</f>
        <v>0</v>
      </c>
      <c r="I418" s="202">
        <f>新平!E10</f>
        <v>86</v>
      </c>
      <c r="J418" s="202">
        <f>新平!F10</f>
        <v>2</v>
      </c>
      <c r="K418" s="202">
        <f>新平!G10</f>
        <v>6</v>
      </c>
      <c r="L418" s="202">
        <f>新平!H10</f>
        <v>7</v>
      </c>
      <c r="M418" s="202">
        <f>新平!I10</f>
        <v>8</v>
      </c>
      <c r="N418" s="202">
        <f>新平!J10</f>
        <v>8</v>
      </c>
      <c r="O418" s="202">
        <f>新平!K10</f>
        <v>9</v>
      </c>
      <c r="P418" s="202">
        <f>新平!L10</f>
        <v>10</v>
      </c>
      <c r="Q418" s="202">
        <f>新平!M10</f>
        <v>11</v>
      </c>
      <c r="R418" s="202">
        <f>新平!N10</f>
        <v>12</v>
      </c>
      <c r="S418" s="202">
        <f>新平!O10</f>
        <v>13</v>
      </c>
      <c r="T418" s="202">
        <f>新平!P10</f>
        <v>0</v>
      </c>
      <c r="U418" s="202">
        <f>新平!Q10</f>
        <v>0</v>
      </c>
      <c r="V418" s="202">
        <f>新平!R10</f>
        <v>0</v>
      </c>
      <c r="W418" s="202">
        <f>新平!S10</f>
        <v>0</v>
      </c>
      <c r="X418" s="202">
        <f>新平!T10</f>
        <v>0</v>
      </c>
      <c r="Y418" s="202">
        <f>新平!U10</f>
        <v>0</v>
      </c>
      <c r="Z418" s="202">
        <f>新平!V10</f>
        <v>0</v>
      </c>
      <c r="AA418" s="202">
        <f>新平!W10</f>
        <v>0</v>
      </c>
      <c r="AB418" s="202">
        <f>新平!X10</f>
        <v>0</v>
      </c>
      <c r="AC418" s="202">
        <f>新平!Y10</f>
        <v>0</v>
      </c>
      <c r="AD418" s="202">
        <f>新平!Z10</f>
        <v>0</v>
      </c>
      <c r="AE418" s="202">
        <f>新平!AA10</f>
        <v>0</v>
      </c>
      <c r="AF418" s="202">
        <f>新平!AB10</f>
        <v>0</v>
      </c>
      <c r="AG418" s="202">
        <f>新平!AC10</f>
        <v>0</v>
      </c>
      <c r="AH418" s="202">
        <f>新平!AD10</f>
        <v>0</v>
      </c>
      <c r="AI418" s="202">
        <f>新平!AE10</f>
        <v>0</v>
      </c>
      <c r="AJ418" s="202">
        <f>新平!AF10</f>
        <v>0</v>
      </c>
      <c r="AK418" s="165" t="str">
        <f>新平!AG10</f>
        <v>新平水塘管理所波村干龙坝</v>
      </c>
      <c r="AL418" s="165" t="str">
        <f>新平!AH10</f>
        <v>20160803</v>
      </c>
      <c r="AM418" s="165">
        <f>新平!AI10</f>
        <v>0</v>
      </c>
      <c r="AN418" s="165">
        <f>新平!AJ10</f>
        <v>0</v>
      </c>
      <c r="AO418" s="165" t="str">
        <f>新平!AK10</f>
        <v>海拔2400</v>
      </c>
      <c r="AP418" s="263">
        <v>10</v>
      </c>
      <c r="AQ418" s="209">
        <f>新平!AM10</f>
        <v>0</v>
      </c>
      <c r="AR418" s="295">
        <f>新平!AN10</f>
        <v>2</v>
      </c>
      <c r="AS418" s="199" t="str">
        <f>新平!AO10</f>
        <v>53042719610909231X</v>
      </c>
      <c r="AT418" s="199" t="str">
        <f>新平!AP10</f>
        <v>13529698316</v>
      </c>
    </row>
    <row r="419" spans="1:46">
      <c r="A419" s="165" t="s">
        <v>1922</v>
      </c>
      <c r="B419" s="202" t="str">
        <f>VLOOKUP(A419,databases!$A$2:$B$7, 2, FALSE)</f>
        <v>XinPing</v>
      </c>
      <c r="C419" s="165" t="str">
        <f>新平!B11</f>
        <v>罗有明</v>
      </c>
      <c r="D419" s="202" t="str">
        <f>VLOOKUP(C419,databases!$D$2:$E$145, 2, FALSE)</f>
        <v>R109</v>
      </c>
      <c r="E419" s="259">
        <f>INDEX(sample_database!$B$2:$B$506,MATCH(F419,sample_database!$L$2:$L$506,0))</f>
        <v>146</v>
      </c>
      <c r="F419" s="202" t="str">
        <f>新平!A11</f>
        <v>XP010</v>
      </c>
      <c r="G419" s="257">
        <f>新平!C11</f>
        <v>10</v>
      </c>
      <c r="H419" s="257">
        <f>新平!D11</f>
        <v>0</v>
      </c>
      <c r="I419" s="202">
        <f>新平!E11</f>
        <v>94</v>
      </c>
      <c r="J419" s="202">
        <f>新平!F11</f>
        <v>3</v>
      </c>
      <c r="K419" s="202">
        <f>新平!G11</f>
        <v>4</v>
      </c>
      <c r="L419" s="202">
        <f>新平!H11</f>
        <v>7</v>
      </c>
      <c r="M419" s="202">
        <f>新平!I11</f>
        <v>7</v>
      </c>
      <c r="N419" s="202">
        <f>新平!J11</f>
        <v>8</v>
      </c>
      <c r="O419" s="202">
        <f>新平!K11</f>
        <v>11</v>
      </c>
      <c r="P419" s="202">
        <f>新平!L11</f>
        <v>11</v>
      </c>
      <c r="Q419" s="202">
        <f>新平!M11</f>
        <v>12</v>
      </c>
      <c r="R419" s="202">
        <f>新平!N11</f>
        <v>14</v>
      </c>
      <c r="S419" s="202">
        <f>新平!O11</f>
        <v>17</v>
      </c>
      <c r="T419" s="202">
        <f>新平!P11</f>
        <v>0</v>
      </c>
      <c r="U419" s="202">
        <f>新平!Q11</f>
        <v>0</v>
      </c>
      <c r="V419" s="202">
        <f>新平!R11</f>
        <v>0</v>
      </c>
      <c r="W419" s="202">
        <f>新平!S11</f>
        <v>0</v>
      </c>
      <c r="X419" s="202">
        <f>新平!T11</f>
        <v>0</v>
      </c>
      <c r="Y419" s="202">
        <f>新平!U11</f>
        <v>0</v>
      </c>
      <c r="Z419" s="202">
        <f>新平!V11</f>
        <v>0</v>
      </c>
      <c r="AA419" s="202">
        <f>新平!W11</f>
        <v>0</v>
      </c>
      <c r="AB419" s="202">
        <f>新平!X11</f>
        <v>0</v>
      </c>
      <c r="AC419" s="202">
        <f>新平!Y11</f>
        <v>0</v>
      </c>
      <c r="AD419" s="202">
        <f>新平!Z11</f>
        <v>0</v>
      </c>
      <c r="AE419" s="202">
        <f>新平!AA11</f>
        <v>0</v>
      </c>
      <c r="AF419" s="202">
        <f>新平!AB11</f>
        <v>0</v>
      </c>
      <c r="AG419" s="202">
        <f>新平!AC11</f>
        <v>0</v>
      </c>
      <c r="AH419" s="202">
        <f>新平!AD11</f>
        <v>0</v>
      </c>
      <c r="AI419" s="202">
        <f>新平!AE11</f>
        <v>0</v>
      </c>
      <c r="AJ419" s="202">
        <f>新平!AF11</f>
        <v>0</v>
      </c>
      <c r="AK419" s="165" t="str">
        <f>新平!AG11</f>
        <v>新平水塘管理所波村干龙坝</v>
      </c>
      <c r="AL419" s="165" t="str">
        <f>新平!AH11</f>
        <v>20160805</v>
      </c>
      <c r="AM419" s="165">
        <f>新平!AI11</f>
        <v>0</v>
      </c>
      <c r="AN419" s="165">
        <f>新平!AJ11</f>
        <v>0</v>
      </c>
      <c r="AO419" s="165" t="str">
        <f>新平!AK11</f>
        <v>海拔2400</v>
      </c>
      <c r="AP419" s="263">
        <v>12.5</v>
      </c>
      <c r="AQ419" s="209">
        <f>新平!AM11</f>
        <v>0</v>
      </c>
      <c r="AR419" s="295">
        <f>新平!AN11</f>
        <v>2.5</v>
      </c>
      <c r="AS419" s="199" t="str">
        <f>新平!AO11</f>
        <v>53042719610909231X</v>
      </c>
      <c r="AT419" s="199" t="str">
        <f>新平!AP11</f>
        <v>13529698316</v>
      </c>
    </row>
    <row r="420" spans="1:46">
      <c r="A420" s="165" t="s">
        <v>1922</v>
      </c>
      <c r="B420" s="202" t="str">
        <f>VLOOKUP(A420,databases!$A$2:$B$7, 2, FALSE)</f>
        <v>XinPing</v>
      </c>
      <c r="C420" s="165" t="str">
        <f>新平!B12</f>
        <v>罗有明</v>
      </c>
      <c r="D420" s="202" t="str">
        <f>VLOOKUP(C420,databases!$D$2:$E$145, 2, FALSE)</f>
        <v>R109</v>
      </c>
      <c r="E420" s="259">
        <f>INDEX(sample_database!$B$2:$B$506,MATCH(F420,sample_database!$L$2:$L$506,0))</f>
        <v>146</v>
      </c>
      <c r="F420" s="202" t="str">
        <f>新平!A12</f>
        <v>XP011</v>
      </c>
      <c r="G420" s="257">
        <f>新平!C12</f>
        <v>10</v>
      </c>
      <c r="H420" s="257">
        <f>新平!D12</f>
        <v>0</v>
      </c>
      <c r="I420" s="202">
        <f>新平!E12</f>
        <v>89</v>
      </c>
      <c r="J420" s="202">
        <f>新平!F12</f>
        <v>7</v>
      </c>
      <c r="K420" s="202">
        <f>新平!G12</f>
        <v>7</v>
      </c>
      <c r="L420" s="202">
        <f>新平!H12</f>
        <v>7</v>
      </c>
      <c r="M420" s="202">
        <f>新平!I12</f>
        <v>7</v>
      </c>
      <c r="N420" s="202">
        <f>新平!J12</f>
        <v>8</v>
      </c>
      <c r="O420" s="202">
        <f>新平!K12</f>
        <v>8</v>
      </c>
      <c r="P420" s="202">
        <f>新平!L12</f>
        <v>9</v>
      </c>
      <c r="Q420" s="202">
        <f>新平!M12</f>
        <v>9</v>
      </c>
      <c r="R420" s="202">
        <f>新平!N12</f>
        <v>12</v>
      </c>
      <c r="S420" s="202">
        <f>新平!O12</f>
        <v>15</v>
      </c>
      <c r="T420" s="202">
        <f>新平!P12</f>
        <v>0</v>
      </c>
      <c r="U420" s="202">
        <f>新平!Q12</f>
        <v>0</v>
      </c>
      <c r="V420" s="202">
        <f>新平!R12</f>
        <v>0</v>
      </c>
      <c r="W420" s="202">
        <f>新平!S12</f>
        <v>0</v>
      </c>
      <c r="X420" s="202">
        <f>新平!T12</f>
        <v>0</v>
      </c>
      <c r="Y420" s="202">
        <f>新平!U12</f>
        <v>0</v>
      </c>
      <c r="Z420" s="202">
        <f>新平!V12</f>
        <v>0</v>
      </c>
      <c r="AA420" s="202">
        <f>新平!W12</f>
        <v>0</v>
      </c>
      <c r="AB420" s="202">
        <f>新平!X12</f>
        <v>0</v>
      </c>
      <c r="AC420" s="202">
        <f>新平!Y12</f>
        <v>0</v>
      </c>
      <c r="AD420" s="202">
        <f>新平!Z12</f>
        <v>0</v>
      </c>
      <c r="AE420" s="202">
        <f>新平!AA12</f>
        <v>0</v>
      </c>
      <c r="AF420" s="202">
        <f>新平!AB12</f>
        <v>0</v>
      </c>
      <c r="AG420" s="202">
        <f>新平!AC12</f>
        <v>0</v>
      </c>
      <c r="AH420" s="202">
        <f>新平!AD12</f>
        <v>0</v>
      </c>
      <c r="AI420" s="202">
        <f>新平!AE12</f>
        <v>0</v>
      </c>
      <c r="AJ420" s="202">
        <f>新平!AF12</f>
        <v>0</v>
      </c>
      <c r="AK420" s="165" t="str">
        <f>新平!AG12</f>
        <v>新平水塘管理所波村棚房箐</v>
      </c>
      <c r="AL420" s="165" t="str">
        <f>新平!AH12</f>
        <v>20160808</v>
      </c>
      <c r="AM420" s="165">
        <f>新平!AI12</f>
        <v>0</v>
      </c>
      <c r="AN420" s="165">
        <f>新平!AJ12</f>
        <v>0</v>
      </c>
      <c r="AO420" s="165" t="str">
        <f>新平!AK12</f>
        <v>海拔2700</v>
      </c>
      <c r="AP420" s="263">
        <v>6</v>
      </c>
      <c r="AQ420" s="209">
        <f>新平!AM12</f>
        <v>0</v>
      </c>
      <c r="AR420" s="295">
        <f>新平!AN12</f>
        <v>1.2</v>
      </c>
      <c r="AS420" s="199" t="str">
        <f>新平!AO12</f>
        <v>53042719610909231X</v>
      </c>
      <c r="AT420" s="199" t="str">
        <f>新平!AP12</f>
        <v>13529698316</v>
      </c>
    </row>
    <row r="421" spans="1:46">
      <c r="A421" s="165" t="s">
        <v>1922</v>
      </c>
      <c r="B421" s="202" t="str">
        <f>VLOOKUP(A421,databases!$A$2:$B$7, 2, FALSE)</f>
        <v>XinPing</v>
      </c>
      <c r="C421" s="165" t="str">
        <f>新平!B13</f>
        <v>罗有明</v>
      </c>
      <c r="D421" s="202" t="str">
        <f>VLOOKUP(C421,databases!$D$2:$E$145, 2, FALSE)</f>
        <v>R109</v>
      </c>
      <c r="E421" s="259">
        <f>INDEX(sample_database!$B$2:$B$506,MATCH(F421,sample_database!$L$2:$L$506,0))</f>
        <v>146</v>
      </c>
      <c r="F421" s="202" t="str">
        <f>新平!A13</f>
        <v>XP012</v>
      </c>
      <c r="G421" s="257">
        <f>新平!C13</f>
        <v>10</v>
      </c>
      <c r="H421" s="257">
        <f>新平!D13</f>
        <v>0</v>
      </c>
      <c r="I421" s="202">
        <f>新平!E13</f>
        <v>75</v>
      </c>
      <c r="J421" s="202">
        <f>新平!F13</f>
        <v>5</v>
      </c>
      <c r="K421" s="202">
        <f>新平!G13</f>
        <v>6</v>
      </c>
      <c r="L421" s="202">
        <f>新平!H13</f>
        <v>6</v>
      </c>
      <c r="M421" s="202">
        <f>新平!I13</f>
        <v>7</v>
      </c>
      <c r="N421" s="202">
        <f>新平!J13</f>
        <v>8</v>
      </c>
      <c r="O421" s="202">
        <f>新平!K13</f>
        <v>8</v>
      </c>
      <c r="P421" s="202">
        <f>新平!L13</f>
        <v>8</v>
      </c>
      <c r="Q421" s="202">
        <f>新平!M13</f>
        <v>8</v>
      </c>
      <c r="R421" s="202">
        <f>新平!N13</f>
        <v>9</v>
      </c>
      <c r="S421" s="202">
        <f>新平!O13</f>
        <v>10</v>
      </c>
      <c r="T421" s="202">
        <f>新平!P13</f>
        <v>0</v>
      </c>
      <c r="U421" s="202">
        <f>新平!Q13</f>
        <v>0</v>
      </c>
      <c r="V421" s="202">
        <f>新平!R13</f>
        <v>0</v>
      </c>
      <c r="W421" s="202">
        <f>新平!S13</f>
        <v>0</v>
      </c>
      <c r="X421" s="202">
        <f>新平!T13</f>
        <v>0</v>
      </c>
      <c r="Y421" s="202">
        <f>新平!U13</f>
        <v>0</v>
      </c>
      <c r="Z421" s="202">
        <f>新平!V13</f>
        <v>0</v>
      </c>
      <c r="AA421" s="202">
        <f>新平!W13</f>
        <v>0</v>
      </c>
      <c r="AB421" s="202">
        <f>新平!X13</f>
        <v>0</v>
      </c>
      <c r="AC421" s="202">
        <f>新平!Y13</f>
        <v>0</v>
      </c>
      <c r="AD421" s="202">
        <f>新平!Z13</f>
        <v>0</v>
      </c>
      <c r="AE421" s="202">
        <f>新平!AA13</f>
        <v>0</v>
      </c>
      <c r="AF421" s="202">
        <f>新平!AB13</f>
        <v>0</v>
      </c>
      <c r="AG421" s="202">
        <f>新平!AC13</f>
        <v>0</v>
      </c>
      <c r="AH421" s="202">
        <f>新平!AD13</f>
        <v>0</v>
      </c>
      <c r="AI421" s="202">
        <f>新平!AE13</f>
        <v>0</v>
      </c>
      <c r="AJ421" s="202">
        <f>新平!AF13</f>
        <v>0</v>
      </c>
      <c r="AK421" s="165" t="str">
        <f>新平!AG13</f>
        <v>新平水塘管理所波村明子山梁子</v>
      </c>
      <c r="AL421" s="165" t="str">
        <f>新平!AH13</f>
        <v>20160812</v>
      </c>
      <c r="AM421" s="165">
        <f>新平!AI13</f>
        <v>0</v>
      </c>
      <c r="AN421" s="165">
        <f>新平!AJ13</f>
        <v>0</v>
      </c>
      <c r="AO421" s="165" t="str">
        <f>新平!AK13</f>
        <v>海拔2400</v>
      </c>
      <c r="AP421" s="263">
        <v>7.5</v>
      </c>
      <c r="AQ421" s="209">
        <f>新平!AM13</f>
        <v>0</v>
      </c>
      <c r="AR421" s="295">
        <f>新平!AN13</f>
        <v>1.5</v>
      </c>
      <c r="AS421" s="199" t="str">
        <f>新平!AO13</f>
        <v>53042719610909231X</v>
      </c>
      <c r="AT421" s="199" t="str">
        <f>新平!AP13</f>
        <v>13529698316</v>
      </c>
    </row>
    <row r="422" spans="1:46">
      <c r="A422" s="165" t="s">
        <v>1922</v>
      </c>
      <c r="B422" s="202" t="str">
        <f>VLOOKUP(A422,databases!$A$2:$B$7, 2, FALSE)</f>
        <v>XinPing</v>
      </c>
      <c r="C422" s="165" t="str">
        <f>新平!B14</f>
        <v>罗有明</v>
      </c>
      <c r="D422" s="202" t="str">
        <f>VLOOKUP(C422,databases!$D$2:$E$145, 2, FALSE)</f>
        <v>R109</v>
      </c>
      <c r="E422" s="259">
        <f>INDEX(sample_database!$B$2:$B$506,MATCH(F422,sample_database!$L$2:$L$506,0))</f>
        <v>146</v>
      </c>
      <c r="F422" s="202" t="str">
        <f>新平!A14</f>
        <v>XP013</v>
      </c>
      <c r="G422" s="257">
        <f>新平!C14</f>
        <v>0</v>
      </c>
      <c r="H422" s="257">
        <f>新平!D14</f>
        <v>20</v>
      </c>
      <c r="I422" s="202">
        <f>新平!E14</f>
        <v>160</v>
      </c>
      <c r="J422" s="202">
        <f>新平!F14</f>
        <v>4</v>
      </c>
      <c r="K422" s="202">
        <f>新平!G14</f>
        <v>6</v>
      </c>
      <c r="L422" s="202">
        <f>新平!H14</f>
        <v>6</v>
      </c>
      <c r="M422" s="202">
        <f>新平!I14</f>
        <v>6</v>
      </c>
      <c r="N422" s="202">
        <f>新平!J14</f>
        <v>6</v>
      </c>
      <c r="O422" s="202">
        <f>新平!K14</f>
        <v>7</v>
      </c>
      <c r="P422" s="202">
        <f>新平!L14</f>
        <v>7</v>
      </c>
      <c r="Q422" s="202">
        <f>新平!M14</f>
        <v>8</v>
      </c>
      <c r="R422" s="202">
        <f>新平!N14</f>
        <v>8</v>
      </c>
      <c r="S422" s="202">
        <f>新平!O14</f>
        <v>8</v>
      </c>
      <c r="T422" s="202">
        <f>新平!P14</f>
        <v>8</v>
      </c>
      <c r="U422" s="202">
        <f>新平!Q14</f>
        <v>8</v>
      </c>
      <c r="V422" s="202">
        <f>新平!R14</f>
        <v>9</v>
      </c>
      <c r="W422" s="202">
        <f>新平!S14</f>
        <v>9</v>
      </c>
      <c r="X422" s="202">
        <f>新平!T14</f>
        <v>9</v>
      </c>
      <c r="Y422" s="202">
        <f>新平!U14</f>
        <v>9</v>
      </c>
      <c r="Z422" s="202">
        <f>新平!V14</f>
        <v>10</v>
      </c>
      <c r="AA422" s="202">
        <f>新平!W14</f>
        <v>10</v>
      </c>
      <c r="AB422" s="202">
        <f>新平!X14</f>
        <v>11</v>
      </c>
      <c r="AC422" s="202">
        <f>新平!Y14</f>
        <v>11</v>
      </c>
      <c r="AD422" s="202">
        <f>新平!Z14</f>
        <v>0</v>
      </c>
      <c r="AE422" s="202">
        <f>新平!AA14</f>
        <v>0</v>
      </c>
      <c r="AF422" s="202">
        <f>新平!AB14</f>
        <v>0</v>
      </c>
      <c r="AG422" s="202">
        <f>新平!AC14</f>
        <v>0</v>
      </c>
      <c r="AH422" s="202">
        <f>新平!AD14</f>
        <v>0</v>
      </c>
      <c r="AI422" s="202">
        <f>新平!AE14</f>
        <v>0</v>
      </c>
      <c r="AJ422" s="202">
        <f>新平!AF14</f>
        <v>0</v>
      </c>
      <c r="AK422" s="165" t="str">
        <f>新平!AG14</f>
        <v>？？？</v>
      </c>
      <c r="AL422" s="165" t="str">
        <f>新平!AH14</f>
        <v>？</v>
      </c>
      <c r="AM422" s="165">
        <f>新平!AI14</f>
        <v>0</v>
      </c>
      <c r="AN422" s="165">
        <f>新平!AJ14</f>
        <v>0</v>
      </c>
      <c r="AO422" s="165" t="str">
        <f>新平!AK14</f>
        <v>？</v>
      </c>
      <c r="AP422" s="263">
        <v>14.499999999999996</v>
      </c>
      <c r="AQ422" s="209" t="str">
        <f>新平!AM14</f>
        <v>0.7+0.5+0.7+0.7+0.3</v>
      </c>
      <c r="AR422" s="295">
        <f>新平!AN14</f>
        <v>2.8999999999999995</v>
      </c>
      <c r="AS422" s="199" t="str">
        <f>新平!AO14</f>
        <v>53042719610909231X</v>
      </c>
      <c r="AT422" s="199" t="str">
        <f>新平!AP14</f>
        <v>13529698316</v>
      </c>
    </row>
    <row r="423" spans="1:46">
      <c r="A423" s="165" t="s">
        <v>1922</v>
      </c>
      <c r="B423" s="202" t="str">
        <f>VLOOKUP(A423,databases!$A$2:$B$7, 2, FALSE)</f>
        <v>XinPing</v>
      </c>
      <c r="C423" s="165" t="str">
        <f>新平!B15</f>
        <v>罗有明</v>
      </c>
      <c r="D423" s="202" t="str">
        <f>VLOOKUP(C423,databases!$D$2:$E$145, 2, FALSE)</f>
        <v>R109</v>
      </c>
      <c r="E423" s="259">
        <f>INDEX(sample_database!$B$2:$B$506,MATCH(F423,sample_database!$L$2:$L$506,0))</f>
        <v>146</v>
      </c>
      <c r="F423" s="202" t="str">
        <f>新平!A15</f>
        <v>XP014</v>
      </c>
      <c r="G423" s="257">
        <f>新平!C15</f>
        <v>10</v>
      </c>
      <c r="H423" s="257">
        <f>新平!D15</f>
        <v>0</v>
      </c>
      <c r="I423" s="202">
        <f>新平!E15</f>
        <v>96</v>
      </c>
      <c r="J423" s="202">
        <f>新平!F15</f>
        <v>7</v>
      </c>
      <c r="K423" s="202">
        <f>新平!G15</f>
        <v>8</v>
      </c>
      <c r="L423" s="202">
        <f>新平!H15</f>
        <v>8</v>
      </c>
      <c r="M423" s="202">
        <f>新平!I15</f>
        <v>9</v>
      </c>
      <c r="N423" s="202">
        <f>新平!J15</f>
        <v>10</v>
      </c>
      <c r="O423" s="202">
        <f>新平!K15</f>
        <v>10</v>
      </c>
      <c r="P423" s="202">
        <f>新平!L15</f>
        <v>11</v>
      </c>
      <c r="Q423" s="202">
        <f>新平!M15</f>
        <v>11</v>
      </c>
      <c r="R423" s="202">
        <f>新平!N15</f>
        <v>11</v>
      </c>
      <c r="S423" s="202">
        <f>新平!O15</f>
        <v>11</v>
      </c>
      <c r="T423" s="202">
        <f>新平!P15</f>
        <v>0</v>
      </c>
      <c r="U423" s="202">
        <f>新平!Q15</f>
        <v>0</v>
      </c>
      <c r="V423" s="202">
        <f>新平!R15</f>
        <v>0</v>
      </c>
      <c r="W423" s="202">
        <f>新平!S15</f>
        <v>0</v>
      </c>
      <c r="X423" s="202">
        <f>新平!T15</f>
        <v>0</v>
      </c>
      <c r="Y423" s="202">
        <f>新平!U15</f>
        <v>0</v>
      </c>
      <c r="Z423" s="202">
        <f>新平!V15</f>
        <v>0</v>
      </c>
      <c r="AA423" s="202">
        <f>新平!W15</f>
        <v>0</v>
      </c>
      <c r="AB423" s="202">
        <f>新平!X15</f>
        <v>0</v>
      </c>
      <c r="AC423" s="202">
        <f>新平!Y15</f>
        <v>0</v>
      </c>
      <c r="AD423" s="202">
        <f>新平!Z15</f>
        <v>0</v>
      </c>
      <c r="AE423" s="202">
        <f>新平!AA15</f>
        <v>0</v>
      </c>
      <c r="AF423" s="202">
        <f>新平!AB15</f>
        <v>0</v>
      </c>
      <c r="AG423" s="202">
        <f>新平!AC15</f>
        <v>0</v>
      </c>
      <c r="AH423" s="202">
        <f>新平!AD15</f>
        <v>0</v>
      </c>
      <c r="AI423" s="202">
        <f>新平!AE15</f>
        <v>0</v>
      </c>
      <c r="AJ423" s="202">
        <f>新平!AF15</f>
        <v>0</v>
      </c>
      <c r="AK423" s="165" t="str">
        <f>新平!AG15</f>
        <v>新平水塘波村干龙坝</v>
      </c>
      <c r="AL423" s="165" t="str">
        <f>新平!AH15</f>
        <v>20160806</v>
      </c>
      <c r="AM423" s="165">
        <f>新平!AI15</f>
        <v>0</v>
      </c>
      <c r="AN423" s="165">
        <f>新平!AJ15</f>
        <v>0</v>
      </c>
      <c r="AO423" s="165" t="str">
        <f>新平!AK15</f>
        <v>海拔2400</v>
      </c>
      <c r="AP423" s="263">
        <v>10</v>
      </c>
      <c r="AQ423" s="209">
        <f>新平!AM15</f>
        <v>0</v>
      </c>
      <c r="AR423" s="295">
        <f>新平!AN15</f>
        <v>2</v>
      </c>
      <c r="AS423" s="199" t="str">
        <f>新平!AO15</f>
        <v>53042719610909231X</v>
      </c>
      <c r="AT423" s="199" t="str">
        <f>新平!AP15</f>
        <v>13529698316</v>
      </c>
    </row>
    <row r="424" spans="1:46">
      <c r="A424" s="165" t="s">
        <v>1922</v>
      </c>
      <c r="B424" s="202" t="str">
        <f>VLOOKUP(A424,databases!$A$2:$B$7, 2, FALSE)</f>
        <v>XinPing</v>
      </c>
      <c r="C424" s="165" t="str">
        <f>新平!B16</f>
        <v>罗有明</v>
      </c>
      <c r="D424" s="202" t="str">
        <f>VLOOKUP(C424,databases!$D$2:$E$145, 2, FALSE)</f>
        <v>R109</v>
      </c>
      <c r="E424" s="259">
        <f>INDEX(sample_database!$B$2:$B$506,MATCH(F424,sample_database!$L$2:$L$506,0))</f>
        <v>146</v>
      </c>
      <c r="F424" s="202" t="str">
        <f>新平!A16</f>
        <v>XP015</v>
      </c>
      <c r="G424" s="257">
        <f>新平!C16</f>
        <v>0</v>
      </c>
      <c r="H424" s="257">
        <f>新平!D16</f>
        <v>19</v>
      </c>
      <c r="I424" s="202">
        <f>新平!E16</f>
        <v>146</v>
      </c>
      <c r="J424" s="202">
        <f>新平!F16</f>
        <v>2</v>
      </c>
      <c r="K424" s="202">
        <f>新平!G16</f>
        <v>3</v>
      </c>
      <c r="L424" s="202">
        <f>新平!H16</f>
        <v>4</v>
      </c>
      <c r="M424" s="202">
        <f>新平!I16</f>
        <v>5</v>
      </c>
      <c r="N424" s="202">
        <f>新平!J16</f>
        <v>5</v>
      </c>
      <c r="O424" s="202">
        <f>新平!K16</f>
        <v>6</v>
      </c>
      <c r="P424" s="202">
        <f>新平!L16</f>
        <v>6</v>
      </c>
      <c r="Q424" s="202">
        <f>新平!M16</f>
        <v>7</v>
      </c>
      <c r="R424" s="202">
        <f>新平!N16</f>
        <v>7</v>
      </c>
      <c r="S424" s="202">
        <f>新平!O16</f>
        <v>7</v>
      </c>
      <c r="T424" s="202">
        <f>新平!P16</f>
        <v>7</v>
      </c>
      <c r="U424" s="202">
        <f>新平!Q16</f>
        <v>8</v>
      </c>
      <c r="V424" s="202">
        <f>新平!R16</f>
        <v>10</v>
      </c>
      <c r="W424" s="202">
        <f>新平!S16</f>
        <v>10</v>
      </c>
      <c r="X424" s="202">
        <f>新平!T16</f>
        <v>11</v>
      </c>
      <c r="Y424" s="202">
        <f>新平!U16</f>
        <v>11</v>
      </c>
      <c r="Z424" s="202">
        <f>新平!V16</f>
        <v>12</v>
      </c>
      <c r="AA424" s="202">
        <f>新平!W16</f>
        <v>12</v>
      </c>
      <c r="AB424" s="202">
        <f>新平!X16</f>
        <v>13</v>
      </c>
      <c r="AC424" s="202">
        <f>新平!Y16</f>
        <v>0</v>
      </c>
      <c r="AD424" s="202">
        <f>新平!Z16</f>
        <v>0</v>
      </c>
      <c r="AE424" s="202">
        <f>新平!AA16</f>
        <v>0</v>
      </c>
      <c r="AF424" s="202">
        <f>新平!AB16</f>
        <v>0</v>
      </c>
      <c r="AG424" s="202">
        <f>新平!AC16</f>
        <v>0</v>
      </c>
      <c r="AH424" s="202">
        <f>新平!AD16</f>
        <v>0</v>
      </c>
      <c r="AI424" s="202">
        <f>新平!AE16</f>
        <v>0</v>
      </c>
      <c r="AJ424" s="202">
        <f>新平!AF16</f>
        <v>0</v>
      </c>
      <c r="AK424" s="165" t="str">
        <f>新平!AG16</f>
        <v>新平水塘波村棚房梁子</v>
      </c>
      <c r="AL424" s="165" t="str">
        <f>新平!AH16</f>
        <v>20160809</v>
      </c>
      <c r="AM424" s="165">
        <f>新平!AI16</f>
        <v>0</v>
      </c>
      <c r="AN424" s="165">
        <f>新平!AJ16</f>
        <v>0</v>
      </c>
      <c r="AO424" s="165" t="str">
        <f>新平!AK16</f>
        <v>海拔2650</v>
      </c>
      <c r="AP424" s="263">
        <v>16.5</v>
      </c>
      <c r="AQ424" s="209" t="str">
        <f>新平!AM16</f>
        <v>0.9+0.3+0.7+0.7+0.7</v>
      </c>
      <c r="AR424" s="295">
        <f>新平!AN16</f>
        <v>3.3</v>
      </c>
      <c r="AS424" s="199" t="str">
        <f>新平!AO16</f>
        <v>53042719610909231X</v>
      </c>
      <c r="AT424" s="199" t="str">
        <f>新平!AP16</f>
        <v>13529698316</v>
      </c>
    </row>
    <row r="425" spans="1:46">
      <c r="A425" s="165" t="s">
        <v>1922</v>
      </c>
      <c r="B425" s="202" t="str">
        <f>VLOOKUP(A425,databases!$A$2:$B$7, 2, FALSE)</f>
        <v>XinPing</v>
      </c>
      <c r="C425" s="165" t="str">
        <f>新平!B17</f>
        <v>罗有明</v>
      </c>
      <c r="D425" s="202" t="str">
        <f>VLOOKUP(C425,databases!$D$2:$E$145, 2, FALSE)</f>
        <v>R109</v>
      </c>
      <c r="E425" s="259">
        <f>INDEX(sample_database!$B$2:$B$506,MATCH(F425,sample_database!$L$2:$L$506,0))</f>
        <v>146</v>
      </c>
      <c r="F425" s="202" t="str">
        <f>新平!A17</f>
        <v>XP016</v>
      </c>
      <c r="G425" s="257">
        <f>新平!C17</f>
        <v>10</v>
      </c>
      <c r="H425" s="257">
        <f>新平!D17</f>
        <v>0</v>
      </c>
      <c r="I425" s="202">
        <f>新平!E17</f>
        <v>87</v>
      </c>
      <c r="J425" s="202">
        <f>新平!F17</f>
        <v>7</v>
      </c>
      <c r="K425" s="202">
        <f>新平!G17</f>
        <v>8</v>
      </c>
      <c r="L425" s="202">
        <f>新平!H17</f>
        <v>8</v>
      </c>
      <c r="M425" s="202">
        <f>新平!I17</f>
        <v>8</v>
      </c>
      <c r="N425" s="202">
        <f>新平!J17</f>
        <v>8</v>
      </c>
      <c r="O425" s="202">
        <f>新平!K17</f>
        <v>9</v>
      </c>
      <c r="P425" s="202">
        <f>新平!L17</f>
        <v>9</v>
      </c>
      <c r="Q425" s="202">
        <f>新平!M17</f>
        <v>9</v>
      </c>
      <c r="R425" s="202">
        <f>新平!N17</f>
        <v>10</v>
      </c>
      <c r="S425" s="202">
        <f>新平!O17</f>
        <v>11</v>
      </c>
      <c r="T425" s="202">
        <f>新平!P17</f>
        <v>0</v>
      </c>
      <c r="U425" s="202">
        <f>新平!Q17</f>
        <v>0</v>
      </c>
      <c r="V425" s="202">
        <f>新平!R17</f>
        <v>0</v>
      </c>
      <c r="W425" s="202">
        <f>新平!S17</f>
        <v>0</v>
      </c>
      <c r="X425" s="202">
        <f>新平!T17</f>
        <v>0</v>
      </c>
      <c r="Y425" s="202">
        <f>新平!U17</f>
        <v>0</v>
      </c>
      <c r="Z425" s="202">
        <f>新平!V17</f>
        <v>0</v>
      </c>
      <c r="AA425" s="202">
        <f>新平!W17</f>
        <v>0</v>
      </c>
      <c r="AB425" s="202">
        <f>新平!X17</f>
        <v>0</v>
      </c>
      <c r="AC425" s="202">
        <f>新平!Y17</f>
        <v>0</v>
      </c>
      <c r="AD425" s="202">
        <f>新平!Z17</f>
        <v>0</v>
      </c>
      <c r="AE425" s="202">
        <f>新平!AA17</f>
        <v>0</v>
      </c>
      <c r="AF425" s="202">
        <f>新平!AB17</f>
        <v>0</v>
      </c>
      <c r="AG425" s="202">
        <f>新平!AC17</f>
        <v>0</v>
      </c>
      <c r="AH425" s="202">
        <f>新平!AD17</f>
        <v>0</v>
      </c>
      <c r="AI425" s="202">
        <f>新平!AE17</f>
        <v>0</v>
      </c>
      <c r="AJ425" s="202">
        <f>新平!AF17</f>
        <v>0</v>
      </c>
      <c r="AK425" s="165" t="str">
        <f>新平!AG17</f>
        <v>新平水塘波村明子山梁子</v>
      </c>
      <c r="AL425" s="165" t="str">
        <f>新平!AH17</f>
        <v>20160810</v>
      </c>
      <c r="AM425" s="165">
        <f>新平!AI17</f>
        <v>0</v>
      </c>
      <c r="AN425" s="165">
        <f>新平!AJ17</f>
        <v>0</v>
      </c>
      <c r="AO425" s="165" t="str">
        <f>新平!AK17</f>
        <v>海拔2400</v>
      </c>
      <c r="AP425" s="263">
        <v>10</v>
      </c>
      <c r="AQ425" s="209">
        <f>新平!AM17</f>
        <v>0</v>
      </c>
      <c r="AR425" s="295">
        <f>新平!AN17</f>
        <v>2</v>
      </c>
      <c r="AS425" s="199" t="str">
        <f>新平!AO17</f>
        <v>53042719610909231X</v>
      </c>
      <c r="AT425" s="199" t="str">
        <f>新平!AP17</f>
        <v>13529698316</v>
      </c>
    </row>
    <row r="426" spans="1:46">
      <c r="A426" s="165" t="s">
        <v>1922</v>
      </c>
      <c r="B426" s="202" t="str">
        <f>VLOOKUP(A426,databases!$A$2:$B$7, 2, FALSE)</f>
        <v>XinPing</v>
      </c>
      <c r="C426" s="165" t="str">
        <f>新平!B18</f>
        <v>罗有明</v>
      </c>
      <c r="D426" s="202" t="str">
        <f>VLOOKUP(C426,databases!$D$2:$E$145, 2, FALSE)</f>
        <v>R109</v>
      </c>
      <c r="E426" s="259">
        <f>INDEX(sample_database!$B$2:$B$506,MATCH(F426,sample_database!$L$2:$L$506,0))</f>
        <v>146</v>
      </c>
      <c r="F426" s="202" t="str">
        <f>新平!A18</f>
        <v>XP017</v>
      </c>
      <c r="G426" s="257">
        <f>新平!C18</f>
        <v>10</v>
      </c>
      <c r="H426" s="257">
        <f>新平!D18</f>
        <v>0</v>
      </c>
      <c r="I426" s="202">
        <f>新平!E18</f>
        <v>67</v>
      </c>
      <c r="J426" s="202">
        <f>新平!F18</f>
        <v>5</v>
      </c>
      <c r="K426" s="202">
        <f>新平!G18</f>
        <v>6</v>
      </c>
      <c r="L426" s="202">
        <f>新平!H18</f>
        <v>6</v>
      </c>
      <c r="M426" s="202">
        <f>新平!I18</f>
        <v>6</v>
      </c>
      <c r="N426" s="202">
        <f>新平!J18</f>
        <v>6</v>
      </c>
      <c r="O426" s="202">
        <f>新平!K18</f>
        <v>7</v>
      </c>
      <c r="P426" s="202">
        <f>新平!L18</f>
        <v>7</v>
      </c>
      <c r="Q426" s="202">
        <f>新平!M18</f>
        <v>7</v>
      </c>
      <c r="R426" s="202">
        <f>新平!N18</f>
        <v>8</v>
      </c>
      <c r="S426" s="202">
        <f>新平!O18</f>
        <v>9</v>
      </c>
      <c r="T426" s="202">
        <f>新平!P18</f>
        <v>0</v>
      </c>
      <c r="U426" s="202">
        <f>新平!Q18</f>
        <v>0</v>
      </c>
      <c r="V426" s="202">
        <f>新平!R18</f>
        <v>0</v>
      </c>
      <c r="W426" s="202">
        <f>新平!S18</f>
        <v>0</v>
      </c>
      <c r="X426" s="202">
        <f>新平!T18</f>
        <v>0</v>
      </c>
      <c r="Y426" s="202">
        <f>新平!U18</f>
        <v>0</v>
      </c>
      <c r="Z426" s="202">
        <f>新平!V18</f>
        <v>0</v>
      </c>
      <c r="AA426" s="202">
        <f>新平!W18</f>
        <v>0</v>
      </c>
      <c r="AB426" s="202">
        <f>新平!X18</f>
        <v>0</v>
      </c>
      <c r="AC426" s="202">
        <f>新平!Y18</f>
        <v>0</v>
      </c>
      <c r="AD426" s="202">
        <f>新平!Z18</f>
        <v>0</v>
      </c>
      <c r="AE426" s="202">
        <f>新平!AA18</f>
        <v>0</v>
      </c>
      <c r="AF426" s="202">
        <f>新平!AB18</f>
        <v>0</v>
      </c>
      <c r="AG426" s="202">
        <f>新平!AC18</f>
        <v>0</v>
      </c>
      <c r="AH426" s="202">
        <f>新平!AD18</f>
        <v>0</v>
      </c>
      <c r="AI426" s="202">
        <f>新平!AE18</f>
        <v>0</v>
      </c>
      <c r="AJ426" s="202">
        <f>新平!AF18</f>
        <v>0</v>
      </c>
      <c r="AK426" s="165" t="str">
        <f>新平!AG18</f>
        <v>新平水塘波村明子山</v>
      </c>
      <c r="AL426" s="165" t="str">
        <f>新平!AH18</f>
        <v>20160814</v>
      </c>
      <c r="AM426" s="165">
        <f>新平!AI18</f>
        <v>0</v>
      </c>
      <c r="AN426" s="165">
        <f>新平!AJ18</f>
        <v>0</v>
      </c>
      <c r="AO426" s="165" t="str">
        <f>新平!AK18</f>
        <v>海拔2450</v>
      </c>
      <c r="AP426" s="263">
        <v>10</v>
      </c>
      <c r="AQ426" s="209">
        <f>新平!AM18</f>
        <v>0</v>
      </c>
      <c r="AR426" s="295">
        <f>新平!AN18</f>
        <v>2</v>
      </c>
      <c r="AS426" s="199" t="str">
        <f>新平!AO18</f>
        <v>53042719610909231X</v>
      </c>
      <c r="AT426" s="199" t="str">
        <f>新平!AP18</f>
        <v>13529698316</v>
      </c>
    </row>
    <row r="427" spans="1:46">
      <c r="A427" s="165" t="s">
        <v>1922</v>
      </c>
      <c r="B427" s="202" t="str">
        <f>VLOOKUP(A427,databases!$A$2:$B$7, 2, FALSE)</f>
        <v>XinPing</v>
      </c>
      <c r="C427" s="165" t="str">
        <f>新平!B19</f>
        <v>罗有明</v>
      </c>
      <c r="D427" s="202" t="str">
        <f>VLOOKUP(C427,databases!$D$2:$E$145, 2, FALSE)</f>
        <v>R109</v>
      </c>
      <c r="E427" s="259">
        <f>INDEX(sample_database!$B$2:$B$506,MATCH(F427,sample_database!$L$2:$L$506,0))</f>
        <v>146</v>
      </c>
      <c r="F427" s="202" t="str">
        <f>新平!A19</f>
        <v>XP018</v>
      </c>
      <c r="G427" s="257">
        <f>新平!C19</f>
        <v>10</v>
      </c>
      <c r="H427" s="257">
        <f>新平!D19</f>
        <v>0</v>
      </c>
      <c r="I427" s="202">
        <f>新平!E19</f>
        <v>88</v>
      </c>
      <c r="J427" s="202">
        <f>新平!F19</f>
        <v>3</v>
      </c>
      <c r="K427" s="202">
        <f>新平!G19</f>
        <v>7</v>
      </c>
      <c r="L427" s="202">
        <f>新平!H19</f>
        <v>7</v>
      </c>
      <c r="M427" s="202">
        <f>新平!I19</f>
        <v>8</v>
      </c>
      <c r="N427" s="202">
        <f>新平!J19</f>
        <v>9</v>
      </c>
      <c r="O427" s="202">
        <f>新平!K19</f>
        <v>10</v>
      </c>
      <c r="P427" s="202">
        <f>新平!L19</f>
        <v>10</v>
      </c>
      <c r="Q427" s="202">
        <f>新平!M19</f>
        <v>10</v>
      </c>
      <c r="R427" s="202">
        <f>新平!N19</f>
        <v>11</v>
      </c>
      <c r="S427" s="202">
        <f>新平!O19</f>
        <v>13</v>
      </c>
      <c r="T427" s="202">
        <f>新平!P19</f>
        <v>0</v>
      </c>
      <c r="U427" s="202">
        <f>新平!Q19</f>
        <v>0</v>
      </c>
      <c r="V427" s="202">
        <f>新平!R19</f>
        <v>0</v>
      </c>
      <c r="W427" s="202">
        <f>新平!S19</f>
        <v>0</v>
      </c>
      <c r="X427" s="202">
        <f>新平!T19</f>
        <v>0</v>
      </c>
      <c r="Y427" s="202">
        <f>新平!U19</f>
        <v>0</v>
      </c>
      <c r="Z427" s="202">
        <f>新平!V19</f>
        <v>0</v>
      </c>
      <c r="AA427" s="202">
        <f>新平!W19</f>
        <v>0</v>
      </c>
      <c r="AB427" s="202">
        <f>新平!X19</f>
        <v>0</v>
      </c>
      <c r="AC427" s="202">
        <f>新平!Y19</f>
        <v>0</v>
      </c>
      <c r="AD427" s="202">
        <f>新平!Z19</f>
        <v>0</v>
      </c>
      <c r="AE427" s="202">
        <f>新平!AA19</f>
        <v>0</v>
      </c>
      <c r="AF427" s="202">
        <f>新平!AB19</f>
        <v>0</v>
      </c>
      <c r="AG427" s="202">
        <f>新平!AC19</f>
        <v>0</v>
      </c>
      <c r="AH427" s="202">
        <f>新平!AD19</f>
        <v>0</v>
      </c>
      <c r="AI427" s="202">
        <f>新平!AE19</f>
        <v>0</v>
      </c>
      <c r="AJ427" s="202">
        <f>新平!AF19</f>
        <v>0</v>
      </c>
      <c r="AK427" s="165" t="str">
        <f>新平!AG19</f>
        <v>新平水塘波村明子山箐</v>
      </c>
      <c r="AL427" s="165" t="str">
        <f>新平!AH19</f>
        <v>20160821</v>
      </c>
      <c r="AM427" s="165">
        <f>新平!AI19</f>
        <v>0</v>
      </c>
      <c r="AN427" s="165">
        <f>新平!AJ19</f>
        <v>0</v>
      </c>
      <c r="AO427" s="165" t="str">
        <f>新平!AK19</f>
        <v>海拔2460</v>
      </c>
      <c r="AP427" s="263">
        <v>10</v>
      </c>
      <c r="AQ427" s="209">
        <f>新平!AM19</f>
        <v>0</v>
      </c>
      <c r="AR427" s="295">
        <f>新平!AN19</f>
        <v>2</v>
      </c>
      <c r="AS427" s="199" t="str">
        <f>新平!AO19</f>
        <v>53042719610909231X</v>
      </c>
      <c r="AT427" s="199" t="str">
        <f>新平!AP19</f>
        <v>13529698316</v>
      </c>
    </row>
    <row r="428" spans="1:46">
      <c r="A428" s="165" t="s">
        <v>1922</v>
      </c>
      <c r="B428" s="202" t="str">
        <f>VLOOKUP(A428,databases!$A$2:$B$7, 2, FALSE)</f>
        <v>XinPing</v>
      </c>
      <c r="C428" s="165" t="str">
        <f>新平!B44</f>
        <v>罗正贵</v>
      </c>
      <c r="D428" s="202" t="str">
        <f>VLOOKUP(C428,databases!$D$2:$E$145, 2, FALSE)</f>
        <v>R111</v>
      </c>
      <c r="E428" s="259">
        <f>INDEX(sample_database!$B$2:$B$506,MATCH(F428,sample_database!$L$2:$L$506,0))</f>
        <v>130</v>
      </c>
      <c r="F428" s="202" t="str">
        <f>新平!A44</f>
        <v>XP043</v>
      </c>
      <c r="G428" s="257">
        <f>新平!C44</f>
        <v>10</v>
      </c>
      <c r="H428" s="257">
        <f>新平!D44</f>
        <v>0</v>
      </c>
      <c r="I428" s="202">
        <f>新平!E44</f>
        <v>150</v>
      </c>
      <c r="J428" s="202">
        <f>新平!F44</f>
        <v>9</v>
      </c>
      <c r="K428" s="202">
        <f>新平!G44</f>
        <v>19</v>
      </c>
      <c r="L428" s="202">
        <f>新平!H44</f>
        <v>17</v>
      </c>
      <c r="M428" s="202">
        <f>新平!I44</f>
        <v>16</v>
      </c>
      <c r="N428" s="202">
        <f>新平!J44</f>
        <v>17</v>
      </c>
      <c r="O428" s="202">
        <f>新平!K44</f>
        <v>17</v>
      </c>
      <c r="P428" s="202">
        <f>新平!L44</f>
        <v>12</v>
      </c>
      <c r="Q428" s="202">
        <f>新平!M44</f>
        <v>12</v>
      </c>
      <c r="R428" s="202">
        <f>新平!N44</f>
        <v>15</v>
      </c>
      <c r="S428" s="202">
        <f>新平!O44</f>
        <v>16</v>
      </c>
      <c r="T428" s="202">
        <f>新平!P44</f>
        <v>0</v>
      </c>
      <c r="U428" s="202">
        <f>新平!Q44</f>
        <v>0</v>
      </c>
      <c r="V428" s="202">
        <f>新平!R44</f>
        <v>0</v>
      </c>
      <c r="W428" s="202">
        <f>新平!S44</f>
        <v>0</v>
      </c>
      <c r="X428" s="202">
        <f>新平!T44</f>
        <v>0</v>
      </c>
      <c r="Y428" s="202">
        <f>新平!U44</f>
        <v>0</v>
      </c>
      <c r="Z428" s="202">
        <f>新平!V44</f>
        <v>0</v>
      </c>
      <c r="AA428" s="202">
        <f>新平!W44</f>
        <v>0</v>
      </c>
      <c r="AB428" s="202">
        <f>新平!X44</f>
        <v>0</v>
      </c>
      <c r="AC428" s="202">
        <f>新平!Y44</f>
        <v>0</v>
      </c>
      <c r="AD428" s="202">
        <f>新平!Z44</f>
        <v>0</v>
      </c>
      <c r="AE428" s="202">
        <f>新平!AA44</f>
        <v>0</v>
      </c>
      <c r="AF428" s="202">
        <f>新平!AB44</f>
        <v>0</v>
      </c>
      <c r="AG428" s="202">
        <f>新平!AC44</f>
        <v>0</v>
      </c>
      <c r="AH428" s="202">
        <f>新平!AD44</f>
        <v>0</v>
      </c>
      <c r="AI428" s="202">
        <f>新平!AE44</f>
        <v>0</v>
      </c>
      <c r="AJ428" s="202">
        <f>新平!AF44</f>
        <v>0</v>
      </c>
      <c r="AK428" s="165" t="str">
        <f>新平!AG44</f>
        <v>新平水塘旧哈村</v>
      </c>
      <c r="AL428" s="165" t="str">
        <f>新平!AH44</f>
        <v>20160722-0723</v>
      </c>
      <c r="AM428" s="165">
        <f>新平!AI44</f>
        <v>0</v>
      </c>
      <c r="AN428" s="165">
        <f>新平!AJ44</f>
        <v>0</v>
      </c>
      <c r="AO428" s="165">
        <f>新平!AK44</f>
        <v>0</v>
      </c>
      <c r="AP428" s="263">
        <v>29.5</v>
      </c>
      <c r="AQ428" s="209" t="str">
        <f>新平!AM44</f>
        <v>1.1+1.1+1.5+1.1+1.1</v>
      </c>
      <c r="AR428" s="295">
        <f>新平!AN44</f>
        <v>5.9</v>
      </c>
      <c r="AS428" s="199" t="str">
        <f>新平!AO44</f>
        <v>532428195712101552</v>
      </c>
      <c r="AT428" s="199" t="str">
        <f>新平!AP44</f>
        <v>15894298336</v>
      </c>
    </row>
    <row r="429" spans="1:46">
      <c r="A429" s="165" t="s">
        <v>1922</v>
      </c>
      <c r="B429" s="202" t="str">
        <f>VLOOKUP(A429,databases!$A$2:$B$7, 2, FALSE)</f>
        <v>XinPing</v>
      </c>
      <c r="C429" s="165" t="str">
        <f>新平!B45</f>
        <v>罗正贵</v>
      </c>
      <c r="D429" s="202" t="str">
        <f>VLOOKUP(C429,databases!$D$2:$E$145, 2, FALSE)</f>
        <v>R111</v>
      </c>
      <c r="E429" s="259">
        <f>INDEX(sample_database!$B$2:$B$506,MATCH(F429,sample_database!$L$2:$L$506,0))</f>
        <v>130</v>
      </c>
      <c r="F429" s="202" t="str">
        <f>新平!A45</f>
        <v>XP044</v>
      </c>
      <c r="G429" s="257">
        <f>新平!C45</f>
        <v>10</v>
      </c>
      <c r="H429" s="257">
        <f>新平!D45</f>
        <v>0</v>
      </c>
      <c r="I429" s="202">
        <f>新平!E45</f>
        <v>135</v>
      </c>
      <c r="J429" s="202">
        <f>新平!F45</f>
        <v>16</v>
      </c>
      <c r="K429" s="202">
        <f>新平!G45</f>
        <v>17</v>
      </c>
      <c r="L429" s="202">
        <f>新平!H45</f>
        <v>11</v>
      </c>
      <c r="M429" s="202">
        <f>新平!I45</f>
        <v>8</v>
      </c>
      <c r="N429" s="202">
        <f>新平!J45</f>
        <v>13</v>
      </c>
      <c r="O429" s="202">
        <f>新平!K45</f>
        <v>10</v>
      </c>
      <c r="P429" s="202">
        <f>新平!L45</f>
        <v>18</v>
      </c>
      <c r="Q429" s="202">
        <f>新平!M45</f>
        <v>10</v>
      </c>
      <c r="R429" s="202">
        <f>新平!N45</f>
        <v>19</v>
      </c>
      <c r="S429" s="202">
        <f>新平!O45</f>
        <v>13</v>
      </c>
      <c r="T429" s="202">
        <f>新平!P45</f>
        <v>0</v>
      </c>
      <c r="U429" s="202">
        <f>新平!Q45</f>
        <v>0</v>
      </c>
      <c r="V429" s="202">
        <f>新平!R45</f>
        <v>0</v>
      </c>
      <c r="W429" s="202">
        <f>新平!S45</f>
        <v>0</v>
      </c>
      <c r="X429" s="202">
        <f>新平!T45</f>
        <v>0</v>
      </c>
      <c r="Y429" s="202">
        <f>新平!U45</f>
        <v>0</v>
      </c>
      <c r="Z429" s="202">
        <f>新平!V45</f>
        <v>0</v>
      </c>
      <c r="AA429" s="202">
        <f>新平!W45</f>
        <v>0</v>
      </c>
      <c r="AB429" s="202">
        <f>新平!X45</f>
        <v>0</v>
      </c>
      <c r="AC429" s="202">
        <f>新平!Y45</f>
        <v>0</v>
      </c>
      <c r="AD429" s="202">
        <f>新平!Z45</f>
        <v>0</v>
      </c>
      <c r="AE429" s="202">
        <f>新平!AA45</f>
        <v>0</v>
      </c>
      <c r="AF429" s="202">
        <f>新平!AB45</f>
        <v>0</v>
      </c>
      <c r="AG429" s="202">
        <f>新平!AC45</f>
        <v>0</v>
      </c>
      <c r="AH429" s="202">
        <f>新平!AD45</f>
        <v>0</v>
      </c>
      <c r="AI429" s="202">
        <f>新平!AE45</f>
        <v>0</v>
      </c>
      <c r="AJ429" s="202">
        <f>新平!AF45</f>
        <v>0</v>
      </c>
      <c r="AK429" s="165" t="str">
        <f>新平!AG45</f>
        <v>新平水塘旧哈村</v>
      </c>
      <c r="AL429" s="165" t="str">
        <f>新平!AH45</f>
        <v>20160724-0725</v>
      </c>
      <c r="AM429" s="165">
        <f>新平!AI45</f>
        <v>0</v>
      </c>
      <c r="AN429" s="165">
        <f>新平!AJ45</f>
        <v>0</v>
      </c>
      <c r="AO429" s="165">
        <f>新平!AK45</f>
        <v>0</v>
      </c>
      <c r="AP429" s="263">
        <v>23.5</v>
      </c>
      <c r="AQ429" s="209" t="str">
        <f>新平!AM45</f>
        <v>0.9*4+1.1</v>
      </c>
      <c r="AR429" s="295">
        <f>新平!AN45</f>
        <v>4.7</v>
      </c>
      <c r="AS429" s="199" t="str">
        <f>新平!AO45</f>
        <v>532428195712101552</v>
      </c>
      <c r="AT429" s="199" t="str">
        <f>新平!AP45</f>
        <v>15894298336</v>
      </c>
    </row>
    <row r="430" spans="1:46">
      <c r="A430" s="165" t="s">
        <v>1922</v>
      </c>
      <c r="B430" s="202" t="str">
        <f>VLOOKUP(A430,databases!$A$2:$B$7, 2, FALSE)</f>
        <v>XinPing</v>
      </c>
      <c r="C430" s="165" t="str">
        <f>新平!B46</f>
        <v>罗正贵</v>
      </c>
      <c r="D430" s="202" t="str">
        <f>VLOOKUP(C430,databases!$D$2:$E$145, 2, FALSE)</f>
        <v>R111</v>
      </c>
      <c r="E430" s="259">
        <f>INDEX(sample_database!$B$2:$B$506,MATCH(F430,sample_database!$L$2:$L$506,0))</f>
        <v>130</v>
      </c>
      <c r="F430" s="202" t="str">
        <f>新平!A46</f>
        <v>XP045</v>
      </c>
      <c r="G430" s="257">
        <f>新平!C46</f>
        <v>10</v>
      </c>
      <c r="H430" s="257">
        <f>新平!D46</f>
        <v>0</v>
      </c>
      <c r="I430" s="202">
        <f>新平!E46</f>
        <v>95</v>
      </c>
      <c r="J430" s="202">
        <f>新平!F46</f>
        <v>9</v>
      </c>
      <c r="K430" s="202">
        <f>新平!G46</f>
        <v>7</v>
      </c>
      <c r="L430" s="202">
        <f>新平!H46</f>
        <v>17</v>
      </c>
      <c r="M430" s="202">
        <f>新平!I46</f>
        <v>7</v>
      </c>
      <c r="N430" s="202">
        <f>新平!J46</f>
        <v>6</v>
      </c>
      <c r="O430" s="202">
        <f>新平!K46</f>
        <v>10</v>
      </c>
      <c r="P430" s="202">
        <f>新平!L46</f>
        <v>8</v>
      </c>
      <c r="Q430" s="202">
        <f>新平!M46</f>
        <v>10</v>
      </c>
      <c r="R430" s="202">
        <f>新平!N46</f>
        <v>12</v>
      </c>
      <c r="S430" s="202">
        <f>新平!O46</f>
        <v>9</v>
      </c>
      <c r="T430" s="202">
        <f>新平!P46</f>
        <v>0</v>
      </c>
      <c r="U430" s="202">
        <f>新平!Q46</f>
        <v>0</v>
      </c>
      <c r="V430" s="202">
        <f>新平!R46</f>
        <v>0</v>
      </c>
      <c r="W430" s="202">
        <f>新平!S46</f>
        <v>0</v>
      </c>
      <c r="X430" s="202">
        <f>新平!T46</f>
        <v>0</v>
      </c>
      <c r="Y430" s="202">
        <f>新平!U46</f>
        <v>0</v>
      </c>
      <c r="Z430" s="202">
        <f>新平!V46</f>
        <v>0</v>
      </c>
      <c r="AA430" s="202">
        <f>新平!W46</f>
        <v>0</v>
      </c>
      <c r="AB430" s="202">
        <f>新平!X46</f>
        <v>0</v>
      </c>
      <c r="AC430" s="202">
        <f>新平!Y46</f>
        <v>0</v>
      </c>
      <c r="AD430" s="202">
        <f>新平!Z46</f>
        <v>0</v>
      </c>
      <c r="AE430" s="202">
        <f>新平!AA46</f>
        <v>0</v>
      </c>
      <c r="AF430" s="202">
        <f>新平!AB46</f>
        <v>0</v>
      </c>
      <c r="AG430" s="202">
        <f>新平!AC46</f>
        <v>0</v>
      </c>
      <c r="AH430" s="202">
        <f>新平!AD46</f>
        <v>0</v>
      </c>
      <c r="AI430" s="202">
        <f>新平!AE46</f>
        <v>0</v>
      </c>
      <c r="AJ430" s="202">
        <f>新平!AF46</f>
        <v>0</v>
      </c>
      <c r="AK430" s="165" t="str">
        <f>新平!AG46</f>
        <v>新平水塘旧哈村</v>
      </c>
      <c r="AL430" s="165" t="str">
        <f>新平!AH46</f>
        <v>20160726-0728</v>
      </c>
      <c r="AM430" s="165">
        <f>新平!AI46</f>
        <v>0</v>
      </c>
      <c r="AN430" s="165">
        <f>新平!AJ46</f>
        <v>0</v>
      </c>
      <c r="AO430" s="165">
        <f>新平!AK46</f>
        <v>0</v>
      </c>
      <c r="AP430" s="263">
        <v>25</v>
      </c>
      <c r="AQ430" s="209">
        <f>新平!AM46</f>
        <v>0</v>
      </c>
      <c r="AR430" s="295">
        <f>新平!AN46</f>
        <v>5</v>
      </c>
      <c r="AS430" s="199" t="str">
        <f>新平!AO46</f>
        <v>532428195712101552</v>
      </c>
      <c r="AT430" s="199" t="str">
        <f>新平!AP46</f>
        <v>15894298336</v>
      </c>
    </row>
    <row r="431" spans="1:46">
      <c r="A431" s="165" t="s">
        <v>1922</v>
      </c>
      <c r="B431" s="202" t="str">
        <f>VLOOKUP(A431,databases!$A$2:$B$7, 2, FALSE)</f>
        <v>XinPing</v>
      </c>
      <c r="C431" s="165" t="str">
        <f>新平!B47</f>
        <v>罗正贵</v>
      </c>
      <c r="D431" s="202" t="str">
        <f>VLOOKUP(C431,databases!$D$2:$E$145, 2, FALSE)</f>
        <v>R111</v>
      </c>
      <c r="E431" s="259">
        <f>INDEX(sample_database!$B$2:$B$506,MATCH(F431,sample_database!$L$2:$L$506,0))</f>
        <v>130</v>
      </c>
      <c r="F431" s="202" t="str">
        <f>新平!A47</f>
        <v>XP046</v>
      </c>
      <c r="G431" s="257">
        <f>新平!C47</f>
        <v>10</v>
      </c>
      <c r="H431" s="257">
        <f>新平!D47</f>
        <v>0</v>
      </c>
      <c r="I431" s="202">
        <f>新平!E47</f>
        <v>159</v>
      </c>
      <c r="J431" s="202">
        <f>新平!F47</f>
        <v>30</v>
      </c>
      <c r="K431" s="202">
        <f>新平!G47</f>
        <v>15</v>
      </c>
      <c r="L431" s="202">
        <f>新平!H47</f>
        <v>20</v>
      </c>
      <c r="M431" s="202">
        <f>新平!I47</f>
        <v>15</v>
      </c>
      <c r="N431" s="202">
        <f>新平!J47</f>
        <v>13</v>
      </c>
      <c r="O431" s="202">
        <f>新平!K47</f>
        <v>19</v>
      </c>
      <c r="P431" s="202">
        <f>新平!L47</f>
        <v>15</v>
      </c>
      <c r="Q431" s="202">
        <f>新平!M47</f>
        <v>11</v>
      </c>
      <c r="R431" s="202">
        <f>新平!N47</f>
        <v>10</v>
      </c>
      <c r="S431" s="202">
        <f>新平!O47</f>
        <v>11</v>
      </c>
      <c r="T431" s="202">
        <f>新平!P47</f>
        <v>0</v>
      </c>
      <c r="U431" s="202">
        <f>新平!Q47</f>
        <v>0</v>
      </c>
      <c r="V431" s="202">
        <f>新平!R47</f>
        <v>0</v>
      </c>
      <c r="W431" s="202">
        <f>新平!S47</f>
        <v>0</v>
      </c>
      <c r="X431" s="202">
        <f>新平!T47</f>
        <v>0</v>
      </c>
      <c r="Y431" s="202">
        <f>新平!U47</f>
        <v>0</v>
      </c>
      <c r="Z431" s="202">
        <f>新平!V47</f>
        <v>0</v>
      </c>
      <c r="AA431" s="202">
        <f>新平!W47</f>
        <v>0</v>
      </c>
      <c r="AB431" s="202">
        <f>新平!X47</f>
        <v>0</v>
      </c>
      <c r="AC431" s="202">
        <f>新平!Y47</f>
        <v>0</v>
      </c>
      <c r="AD431" s="202">
        <f>新平!Z47</f>
        <v>0</v>
      </c>
      <c r="AE431" s="202">
        <f>新平!AA47</f>
        <v>0</v>
      </c>
      <c r="AF431" s="202">
        <f>新平!AB47</f>
        <v>0</v>
      </c>
      <c r="AG431" s="202">
        <f>新平!AC47</f>
        <v>0</v>
      </c>
      <c r="AH431" s="202">
        <f>新平!AD47</f>
        <v>0</v>
      </c>
      <c r="AI431" s="202">
        <f>新平!AE47</f>
        <v>0</v>
      </c>
      <c r="AJ431" s="202">
        <f>新平!AF47</f>
        <v>0</v>
      </c>
      <c r="AK431" s="165" t="str">
        <f>新平!AG47</f>
        <v>新平水塘旧哈村</v>
      </c>
      <c r="AL431" s="165" t="str">
        <f>新平!AH47</f>
        <v>20160729-0730</v>
      </c>
      <c r="AM431" s="165">
        <f>新平!AI47</f>
        <v>0</v>
      </c>
      <c r="AN431" s="165">
        <f>新平!AJ47</f>
        <v>0</v>
      </c>
      <c r="AO431" s="165">
        <f>新平!AK47</f>
        <v>0</v>
      </c>
      <c r="AP431" s="263">
        <v>26.500000000000004</v>
      </c>
      <c r="AQ431" s="209" t="str">
        <f>新平!AM47</f>
        <v>0.7+1.1+1.1+0.9+1.5</v>
      </c>
      <c r="AR431" s="295">
        <f>新平!AN47</f>
        <v>5.3000000000000007</v>
      </c>
      <c r="AS431" s="199" t="str">
        <f>新平!AO47</f>
        <v>532428195712101552</v>
      </c>
      <c r="AT431" s="199" t="str">
        <f>新平!AP47</f>
        <v>15894298336</v>
      </c>
    </row>
    <row r="432" spans="1:46">
      <c r="A432" s="165" t="s">
        <v>1922</v>
      </c>
      <c r="B432" s="202" t="str">
        <f>VLOOKUP(A432,databases!$A$2:$B$7, 2, FALSE)</f>
        <v>XinPing</v>
      </c>
      <c r="C432" s="165" t="str">
        <f>新平!B48</f>
        <v>罗正贵</v>
      </c>
      <c r="D432" s="202" t="str">
        <f>VLOOKUP(C432,databases!$D$2:$E$145, 2, FALSE)</f>
        <v>R111</v>
      </c>
      <c r="E432" s="259">
        <f>INDEX(sample_database!$B$2:$B$506,MATCH(F432,sample_database!$L$2:$L$506,0))</f>
        <v>130</v>
      </c>
      <c r="F432" s="202" t="str">
        <f>新平!A48</f>
        <v>XP047</v>
      </c>
      <c r="G432" s="257">
        <f>新平!C48</f>
        <v>0</v>
      </c>
      <c r="H432" s="257">
        <f>新平!D48</f>
        <v>20</v>
      </c>
      <c r="I432" s="202">
        <f>新平!E48</f>
        <v>201</v>
      </c>
      <c r="J432" s="202">
        <f>新平!F48</f>
        <v>11</v>
      </c>
      <c r="K432" s="202">
        <f>新平!G48</f>
        <v>11</v>
      </c>
      <c r="L432" s="202">
        <f>新平!H48</f>
        <v>5</v>
      </c>
      <c r="M432" s="202">
        <f>新平!I48</f>
        <v>15</v>
      </c>
      <c r="N432" s="202">
        <f>新平!J48</f>
        <v>10</v>
      </c>
      <c r="O432" s="202">
        <f>新平!K48</f>
        <v>10</v>
      </c>
      <c r="P432" s="202">
        <f>新平!L48</f>
        <v>9</v>
      </c>
      <c r="Q432" s="202">
        <f>新平!M48</f>
        <v>12</v>
      </c>
      <c r="R432" s="202">
        <f>新平!N48</f>
        <v>8</v>
      </c>
      <c r="S432" s="202">
        <f>新平!O48</f>
        <v>13</v>
      </c>
      <c r="T432" s="202">
        <f>新平!P48</f>
        <v>10</v>
      </c>
      <c r="U432" s="202">
        <f>新平!Q48</f>
        <v>8</v>
      </c>
      <c r="V432" s="202">
        <f>新平!R48</f>
        <v>7</v>
      </c>
      <c r="W432" s="202">
        <f>新平!S48</f>
        <v>7</v>
      </c>
      <c r="X432" s="202">
        <f>新平!T48</f>
        <v>9</v>
      </c>
      <c r="Y432" s="202">
        <f>新平!U48</f>
        <v>10</v>
      </c>
      <c r="Z432" s="202">
        <f>新平!V48</f>
        <v>12</v>
      </c>
      <c r="AA432" s="202">
        <f>新平!W48</f>
        <v>13</v>
      </c>
      <c r="AB432" s="202">
        <f>新平!X48</f>
        <v>10</v>
      </c>
      <c r="AC432" s="202">
        <f>新平!Y48</f>
        <v>11</v>
      </c>
      <c r="AD432" s="202">
        <f>新平!Z48</f>
        <v>0</v>
      </c>
      <c r="AE432" s="202">
        <f>新平!AA48</f>
        <v>0</v>
      </c>
      <c r="AF432" s="202">
        <f>新平!AB48</f>
        <v>0</v>
      </c>
      <c r="AG432" s="202">
        <f>新平!AC48</f>
        <v>0</v>
      </c>
      <c r="AH432" s="202">
        <f>新平!AD48</f>
        <v>0</v>
      </c>
      <c r="AI432" s="202">
        <f>新平!AE48</f>
        <v>0</v>
      </c>
      <c r="AJ432" s="202">
        <f>新平!AF48</f>
        <v>0</v>
      </c>
      <c r="AK432" s="165" t="str">
        <f>新平!AG48</f>
        <v>新平水塘旧哈村</v>
      </c>
      <c r="AL432" s="165" t="str">
        <f>新平!AH48</f>
        <v>20160731-0803</v>
      </c>
      <c r="AM432" s="165">
        <f>新平!AI48</f>
        <v>0</v>
      </c>
      <c r="AN432" s="165">
        <f>新平!AJ48</f>
        <v>0</v>
      </c>
      <c r="AO432" s="165">
        <f>新平!AK48</f>
        <v>0</v>
      </c>
      <c r="AP432" s="263">
        <v>40.5</v>
      </c>
      <c r="AQ432" s="209" t="str">
        <f>新平!AM48</f>
        <v>1.5+2+1.1+1.5+2</v>
      </c>
      <c r="AR432" s="295">
        <f>新平!AN48</f>
        <v>8.1</v>
      </c>
      <c r="AS432" s="199" t="str">
        <f>新平!AO48</f>
        <v>532428195712101552</v>
      </c>
      <c r="AT432" s="199" t="str">
        <f>新平!AP48</f>
        <v>15894298336</v>
      </c>
    </row>
    <row r="433" spans="1:46">
      <c r="A433" s="165" t="s">
        <v>1922</v>
      </c>
      <c r="B433" s="202" t="str">
        <f>VLOOKUP(A433,databases!$A$2:$B$7, 2, FALSE)</f>
        <v>XinPing</v>
      </c>
      <c r="C433" s="165" t="str">
        <f>新平!B65</f>
        <v>谢天华</v>
      </c>
      <c r="D433" s="202" t="str">
        <f>VLOOKUP(C433,databases!$D$2:$E$145, 2, FALSE)</f>
        <v>R122</v>
      </c>
      <c r="E433" s="259">
        <f>INDEX(sample_database!$B$2:$B$506,MATCH(F433,sample_database!$L$2:$L$506,0))</f>
        <v>140</v>
      </c>
      <c r="F433" s="202" t="str">
        <f>新平!A65</f>
        <v>XP064</v>
      </c>
      <c r="G433" s="257">
        <f>新平!C65</f>
        <v>7</v>
      </c>
      <c r="H433" s="257">
        <f>新平!D65</f>
        <v>0</v>
      </c>
      <c r="I433" s="202">
        <f>新平!E65</f>
        <v>144</v>
      </c>
      <c r="J433" s="202">
        <f>新平!F65</f>
        <v>19</v>
      </c>
      <c r="K433" s="202">
        <f>新平!G65</f>
        <v>27</v>
      </c>
      <c r="L433" s="202">
        <f>新平!H65</f>
        <v>22</v>
      </c>
      <c r="M433" s="202">
        <f>新平!I65</f>
        <v>21</v>
      </c>
      <c r="N433" s="202">
        <f>新平!J65</f>
        <v>12</v>
      </c>
      <c r="O433" s="202">
        <f>新平!K65</f>
        <v>21</v>
      </c>
      <c r="P433" s="202">
        <f>新平!L65</f>
        <v>22</v>
      </c>
      <c r="Q433" s="202">
        <f>新平!M65</f>
        <v>0</v>
      </c>
      <c r="R433" s="202">
        <f>新平!N65</f>
        <v>0</v>
      </c>
      <c r="S433" s="202">
        <f>新平!O65</f>
        <v>0</v>
      </c>
      <c r="T433" s="202">
        <f>新平!P65</f>
        <v>0</v>
      </c>
      <c r="U433" s="202">
        <f>新平!Q65</f>
        <v>0</v>
      </c>
      <c r="V433" s="202">
        <f>新平!R65</f>
        <v>0</v>
      </c>
      <c r="W433" s="202">
        <f>新平!S65</f>
        <v>0</v>
      </c>
      <c r="X433" s="202">
        <f>新平!T65</f>
        <v>0</v>
      </c>
      <c r="Y433" s="202">
        <f>新平!U65</f>
        <v>0</v>
      </c>
      <c r="Z433" s="202">
        <f>新平!V65</f>
        <v>0</v>
      </c>
      <c r="AA433" s="202">
        <f>新平!W65</f>
        <v>0</v>
      </c>
      <c r="AB433" s="202">
        <f>新平!X65</f>
        <v>0</v>
      </c>
      <c r="AC433" s="202">
        <f>新平!Y65</f>
        <v>0</v>
      </c>
      <c r="AD433" s="202">
        <f>新平!Z65</f>
        <v>0</v>
      </c>
      <c r="AE433" s="202">
        <f>新平!AA65</f>
        <v>0</v>
      </c>
      <c r="AF433" s="202">
        <f>新平!AB65</f>
        <v>0</v>
      </c>
      <c r="AG433" s="202">
        <f>新平!AC65</f>
        <v>0</v>
      </c>
      <c r="AH433" s="202">
        <f>新平!AD65</f>
        <v>0</v>
      </c>
      <c r="AI433" s="202">
        <f>新平!AE65</f>
        <v>0</v>
      </c>
      <c r="AJ433" s="202">
        <f>新平!AF65</f>
        <v>0</v>
      </c>
      <c r="AK433" s="165" t="str">
        <f>新平!AG65</f>
        <v>新平者竜竹箐村</v>
      </c>
      <c r="AL433" s="165" t="str">
        <f>新平!AH65</f>
        <v>20160704</v>
      </c>
      <c r="AM433" s="165">
        <f>新平!AI65</f>
        <v>0</v>
      </c>
      <c r="AN433" s="165">
        <f>新平!AJ65</f>
        <v>0</v>
      </c>
      <c r="AO433" s="165" t="str">
        <f>新平!AK65</f>
        <v>2693580-17732565</v>
      </c>
      <c r="AP433" s="263">
        <v>25.500000000000004</v>
      </c>
      <c r="AQ433" s="209" t="str">
        <f>新平!AM65</f>
        <v>1.5+0.7+0.7+1.5+0.7</v>
      </c>
      <c r="AR433" s="295">
        <f>新平!AN65</f>
        <v>5.1000000000000005</v>
      </c>
      <c r="AS433" s="199" t="str">
        <f>新平!AO65</f>
        <v>532428196202221911</v>
      </c>
      <c r="AT433" s="199" t="str">
        <f>新平!AP65</f>
        <v>18088911750</v>
      </c>
    </row>
    <row r="434" spans="1:46">
      <c r="A434" s="165" t="s">
        <v>1922</v>
      </c>
      <c r="B434" s="202" t="str">
        <f>VLOOKUP(A434,databases!$A$2:$B$7, 2, FALSE)</f>
        <v>XinPing</v>
      </c>
      <c r="C434" s="165" t="str">
        <f>新平!B66</f>
        <v>谢天华</v>
      </c>
      <c r="D434" s="202" t="str">
        <f>VLOOKUP(C434,databases!$D$2:$E$145, 2, FALSE)</f>
        <v>R122</v>
      </c>
      <c r="E434" s="259">
        <f>INDEX(sample_database!$B$2:$B$506,MATCH(F434,sample_database!$L$2:$L$506,0))</f>
        <v>140</v>
      </c>
      <c r="F434" s="202" t="str">
        <f>新平!A66</f>
        <v>XP065</v>
      </c>
      <c r="G434" s="257">
        <f>新平!C66</f>
        <v>6</v>
      </c>
      <c r="H434" s="257">
        <f>新平!D66</f>
        <v>0</v>
      </c>
      <c r="I434" s="202">
        <f>新平!E66</f>
        <v>116</v>
      </c>
      <c r="J434" s="202">
        <f>新平!F66</f>
        <v>20</v>
      </c>
      <c r="K434" s="202">
        <f>新平!G66</f>
        <v>24</v>
      </c>
      <c r="L434" s="202">
        <f>新平!H66</f>
        <v>24</v>
      </c>
      <c r="M434" s="202">
        <f>新平!I66</f>
        <v>18</v>
      </c>
      <c r="N434" s="202">
        <f>新平!J66</f>
        <v>14</v>
      </c>
      <c r="O434" s="202">
        <f>新平!K66</f>
        <v>16</v>
      </c>
      <c r="P434" s="202">
        <f>新平!L66</f>
        <v>0</v>
      </c>
      <c r="Q434" s="202">
        <f>新平!M66</f>
        <v>0</v>
      </c>
      <c r="R434" s="202">
        <f>新平!N66</f>
        <v>0</v>
      </c>
      <c r="S434" s="202">
        <f>新平!O66</f>
        <v>0</v>
      </c>
      <c r="T434" s="202">
        <f>新平!P66</f>
        <v>0</v>
      </c>
      <c r="U434" s="202">
        <f>新平!Q66</f>
        <v>0</v>
      </c>
      <c r="V434" s="202">
        <f>新平!R66</f>
        <v>0</v>
      </c>
      <c r="W434" s="202">
        <f>新平!S66</f>
        <v>0</v>
      </c>
      <c r="X434" s="202">
        <f>新平!T66</f>
        <v>0</v>
      </c>
      <c r="Y434" s="202">
        <f>新平!U66</f>
        <v>0</v>
      </c>
      <c r="Z434" s="202">
        <f>新平!V66</f>
        <v>0</v>
      </c>
      <c r="AA434" s="202">
        <f>新平!W66</f>
        <v>0</v>
      </c>
      <c r="AB434" s="202">
        <f>新平!X66</f>
        <v>0</v>
      </c>
      <c r="AC434" s="202">
        <f>新平!Y66</f>
        <v>0</v>
      </c>
      <c r="AD434" s="202">
        <f>新平!Z66</f>
        <v>0</v>
      </c>
      <c r="AE434" s="202">
        <f>新平!AA66</f>
        <v>0</v>
      </c>
      <c r="AF434" s="202">
        <f>新平!AB66</f>
        <v>0</v>
      </c>
      <c r="AG434" s="202">
        <f>新平!AC66</f>
        <v>0</v>
      </c>
      <c r="AH434" s="202">
        <f>新平!AD66</f>
        <v>0</v>
      </c>
      <c r="AI434" s="202">
        <f>新平!AE66</f>
        <v>0</v>
      </c>
      <c r="AJ434" s="202">
        <f>新平!AF66</f>
        <v>0</v>
      </c>
      <c r="AK434" s="165" t="str">
        <f>新平!AG66</f>
        <v>新平者竜竹箐村</v>
      </c>
      <c r="AL434" s="165" t="str">
        <f>新平!AH66</f>
        <v>20160704</v>
      </c>
      <c r="AM434" s="165">
        <f>新平!AI66</f>
        <v>0</v>
      </c>
      <c r="AN434" s="165">
        <f>新平!AJ66</f>
        <v>0</v>
      </c>
      <c r="AO434" s="165" t="str">
        <f>新平!AK66</f>
        <v>2692356-17733597</v>
      </c>
      <c r="AP434" s="263">
        <v>21.5</v>
      </c>
      <c r="AQ434" s="209" t="str">
        <f>新平!AM66</f>
        <v>0.7+0.7+0.9+0.9+1.1</v>
      </c>
      <c r="AR434" s="295">
        <f>新平!AN66</f>
        <v>4.3</v>
      </c>
      <c r="AS434" s="199" t="str">
        <f>新平!AO66</f>
        <v>532428196202221911</v>
      </c>
      <c r="AT434" s="199" t="str">
        <f>新平!AP66</f>
        <v>18088911750</v>
      </c>
    </row>
    <row r="435" spans="1:46">
      <c r="A435" s="253" t="s">
        <v>1922</v>
      </c>
      <c r="B435" s="202" t="str">
        <f>VLOOKUP(A435,databases!$A$2:$B$7, 2, FALSE)</f>
        <v>XinPing</v>
      </c>
      <c r="C435" s="253" t="str">
        <f>新平!B67</f>
        <v>谢天华</v>
      </c>
      <c r="D435" s="202" t="str">
        <f>VLOOKUP(C435,databases!$D$2:$E$145, 2, FALSE)</f>
        <v>R122</v>
      </c>
      <c r="E435" s="259">
        <f>INDEX(sample_database!$B$2:$B$506,MATCH(F435,sample_database!$L$2:$L$506,0))</f>
        <v>140</v>
      </c>
      <c r="F435" s="236" t="str">
        <f>新平!A67</f>
        <v>XP066</v>
      </c>
      <c r="G435" s="258">
        <f>新平!C67</f>
        <v>2</v>
      </c>
      <c r="H435" s="258">
        <f>新平!D67</f>
        <v>0</v>
      </c>
      <c r="I435" s="236">
        <f>新平!E67</f>
        <v>56</v>
      </c>
      <c r="J435" s="236">
        <f>新平!F67</f>
        <v>31</v>
      </c>
      <c r="K435" s="236">
        <f>新平!G67</f>
        <v>25</v>
      </c>
      <c r="L435" s="236">
        <f>新平!H67</f>
        <v>0</v>
      </c>
      <c r="M435" s="236">
        <f>新平!I67</f>
        <v>0</v>
      </c>
      <c r="N435" s="236">
        <f>新平!J67</f>
        <v>0</v>
      </c>
      <c r="O435" s="236">
        <f>新平!K67</f>
        <v>0</v>
      </c>
      <c r="P435" s="236">
        <f>新平!L67</f>
        <v>0</v>
      </c>
      <c r="Q435" s="236">
        <f>新平!M67</f>
        <v>0</v>
      </c>
      <c r="R435" s="236">
        <f>新平!N67</f>
        <v>0</v>
      </c>
      <c r="S435" s="236">
        <f>新平!O67</f>
        <v>0</v>
      </c>
      <c r="T435" s="236">
        <f>新平!P67</f>
        <v>0</v>
      </c>
      <c r="U435" s="236">
        <f>新平!Q67</f>
        <v>0</v>
      </c>
      <c r="V435" s="236">
        <f>新平!R67</f>
        <v>0</v>
      </c>
      <c r="W435" s="236">
        <f>新平!S67</f>
        <v>0</v>
      </c>
      <c r="X435" s="236">
        <f>新平!T67</f>
        <v>0</v>
      </c>
      <c r="Y435" s="236">
        <f>新平!U67</f>
        <v>0</v>
      </c>
      <c r="Z435" s="236">
        <f>新平!V67</f>
        <v>0</v>
      </c>
      <c r="AA435" s="236">
        <f>新平!W67</f>
        <v>0</v>
      </c>
      <c r="AB435" s="236">
        <f>新平!X67</f>
        <v>0</v>
      </c>
      <c r="AC435" s="236">
        <f>新平!Y67</f>
        <v>0</v>
      </c>
      <c r="AD435" s="236">
        <f>新平!Z67</f>
        <v>0</v>
      </c>
      <c r="AE435" s="236">
        <f>新平!AA67</f>
        <v>0</v>
      </c>
      <c r="AF435" s="236">
        <f>新平!AB67</f>
        <v>0</v>
      </c>
      <c r="AG435" s="236">
        <f>新平!AC67</f>
        <v>0</v>
      </c>
      <c r="AH435" s="236">
        <f>新平!AD67</f>
        <v>0</v>
      </c>
      <c r="AI435" s="236">
        <f>新平!AE67</f>
        <v>0</v>
      </c>
      <c r="AJ435" s="236">
        <f>新平!AF67</f>
        <v>0</v>
      </c>
      <c r="AK435" s="253" t="str">
        <f>新平!AG67</f>
        <v>新平者竜竹箐村</v>
      </c>
      <c r="AL435" s="253" t="str">
        <f>新平!AH67</f>
        <v>20160705</v>
      </c>
      <c r="AM435" s="253">
        <f>新平!AI67</f>
        <v>0</v>
      </c>
      <c r="AN435" s="253">
        <f>新平!AJ67</f>
        <v>0</v>
      </c>
      <c r="AO435" s="253" t="str">
        <f>新平!AK67</f>
        <v>2691702-17733158</v>
      </c>
      <c r="AP435" s="264">
        <v>7.5</v>
      </c>
      <c r="AQ435" s="260">
        <f>新平!AM67</f>
        <v>0</v>
      </c>
      <c r="AR435" s="296">
        <f>新平!AN67</f>
        <v>1.5</v>
      </c>
      <c r="AS435" s="255" t="str">
        <f>新平!AO67</f>
        <v>532428196202221911</v>
      </c>
      <c r="AT435" s="255" t="str">
        <f>新平!AP67</f>
        <v>18088911750</v>
      </c>
    </row>
    <row r="436" spans="1:46">
      <c r="A436" s="165" t="s">
        <v>1922</v>
      </c>
      <c r="B436" s="202" t="str">
        <f>VLOOKUP(A436,databases!$A$2:$B$7, 2, FALSE)</f>
        <v>XinPing</v>
      </c>
      <c r="C436" s="165" t="str">
        <f>新平!B68</f>
        <v>谢天华</v>
      </c>
      <c r="D436" s="202" t="str">
        <f>VLOOKUP(C436,databases!$D$2:$E$145, 2, FALSE)</f>
        <v>R122</v>
      </c>
      <c r="E436" s="259">
        <f>INDEX(sample_database!$B$2:$B$506,MATCH(F436,sample_database!$L$2:$L$506,0))</f>
        <v>140</v>
      </c>
      <c r="F436" s="202" t="str">
        <f>新平!A68</f>
        <v>XP067</v>
      </c>
      <c r="G436" s="257">
        <f>新平!C68</f>
        <v>3</v>
      </c>
      <c r="H436" s="257">
        <f>新平!D68</f>
        <v>0</v>
      </c>
      <c r="I436" s="202">
        <f>新平!E68</f>
        <v>45</v>
      </c>
      <c r="J436" s="202">
        <f>新平!F68</f>
        <v>22</v>
      </c>
      <c r="K436" s="202">
        <f>新平!G68</f>
        <v>9</v>
      </c>
      <c r="L436" s="202">
        <f>新平!H68</f>
        <v>14</v>
      </c>
      <c r="M436" s="202">
        <f>新平!I68</f>
        <v>0</v>
      </c>
      <c r="N436" s="202">
        <f>新平!J68</f>
        <v>0</v>
      </c>
      <c r="O436" s="202">
        <f>新平!K68</f>
        <v>0</v>
      </c>
      <c r="P436" s="202">
        <f>新平!L68</f>
        <v>0</v>
      </c>
      <c r="Q436" s="202">
        <f>新平!M68</f>
        <v>0</v>
      </c>
      <c r="R436" s="202">
        <f>新平!N68</f>
        <v>0</v>
      </c>
      <c r="S436" s="202">
        <f>新平!O68</f>
        <v>0</v>
      </c>
      <c r="T436" s="202">
        <f>新平!P68</f>
        <v>0</v>
      </c>
      <c r="U436" s="202">
        <f>新平!Q68</f>
        <v>0</v>
      </c>
      <c r="V436" s="202">
        <f>新平!R68</f>
        <v>0</v>
      </c>
      <c r="W436" s="202">
        <f>新平!S68</f>
        <v>0</v>
      </c>
      <c r="X436" s="202">
        <f>新平!T68</f>
        <v>0</v>
      </c>
      <c r="Y436" s="202">
        <f>新平!U68</f>
        <v>0</v>
      </c>
      <c r="Z436" s="202">
        <f>新平!V68</f>
        <v>0</v>
      </c>
      <c r="AA436" s="202">
        <f>新平!W68</f>
        <v>0</v>
      </c>
      <c r="AB436" s="202">
        <f>新平!X68</f>
        <v>0</v>
      </c>
      <c r="AC436" s="202">
        <f>新平!Y68</f>
        <v>0</v>
      </c>
      <c r="AD436" s="202">
        <f>新平!Z68</f>
        <v>0</v>
      </c>
      <c r="AE436" s="202">
        <f>新平!AA68</f>
        <v>0</v>
      </c>
      <c r="AF436" s="202">
        <f>新平!AB68</f>
        <v>0</v>
      </c>
      <c r="AG436" s="202">
        <f>新平!AC68</f>
        <v>0</v>
      </c>
      <c r="AH436" s="202">
        <f>新平!AD68</f>
        <v>0</v>
      </c>
      <c r="AI436" s="202">
        <f>新平!AE68</f>
        <v>0</v>
      </c>
      <c r="AJ436" s="202">
        <f>新平!AF68</f>
        <v>0</v>
      </c>
      <c r="AK436" s="165" t="str">
        <f>新平!AG68</f>
        <v>新平者竜竹箐村</v>
      </c>
      <c r="AL436" s="165" t="str">
        <f>新平!AH68</f>
        <v>20160705</v>
      </c>
      <c r="AM436" s="165">
        <f>新平!AI68</f>
        <v>0</v>
      </c>
      <c r="AN436" s="165">
        <f>新平!AJ68</f>
        <v>0</v>
      </c>
      <c r="AO436" s="165" t="str">
        <f>新平!AK68</f>
        <v>2691821-17733309</v>
      </c>
      <c r="AP436" s="263">
        <v>6</v>
      </c>
      <c r="AQ436" s="209">
        <f>新平!AM68</f>
        <v>0</v>
      </c>
      <c r="AR436" s="295">
        <f>新平!AN68</f>
        <v>1.2</v>
      </c>
      <c r="AS436" s="199" t="str">
        <f>新平!AO68</f>
        <v>532428196202221911</v>
      </c>
      <c r="AT436" s="199" t="str">
        <f>新平!AP68</f>
        <v>18088911750</v>
      </c>
    </row>
    <row r="437" spans="1:46">
      <c r="A437" s="165" t="s">
        <v>1922</v>
      </c>
      <c r="B437" s="202" t="str">
        <f>VLOOKUP(A437,databases!$A$2:$B$7, 2, FALSE)</f>
        <v>XinPing</v>
      </c>
      <c r="C437" s="165" t="str">
        <f>新平!B53</f>
        <v>钟应兴</v>
      </c>
      <c r="D437" s="202" t="str">
        <f>VLOOKUP(C437,databases!$D$2:$E$145, 2, FALSE)</f>
        <v>R129</v>
      </c>
      <c r="E437" s="259">
        <f>INDEX(sample_database!$B$2:$B$506,MATCH(F437,sample_database!$L$2:$L$506,0))</f>
        <v>151</v>
      </c>
      <c r="F437" s="202" t="str">
        <f>新平!A53</f>
        <v>XP052</v>
      </c>
      <c r="G437" s="257">
        <f>新平!C53</f>
        <v>5</v>
      </c>
      <c r="H437" s="257">
        <f>新平!D53</f>
        <v>0</v>
      </c>
      <c r="I437" s="202">
        <f>新平!E53</f>
        <v>30</v>
      </c>
      <c r="J437" s="202">
        <f>新平!F53</f>
        <v>10</v>
      </c>
      <c r="K437" s="202">
        <f>新平!G53</f>
        <v>7</v>
      </c>
      <c r="L437" s="202">
        <f>新平!H53</f>
        <v>3</v>
      </c>
      <c r="M437" s="202">
        <f>新平!I53</f>
        <v>5</v>
      </c>
      <c r="N437" s="202">
        <f>新平!J53</f>
        <v>5</v>
      </c>
      <c r="O437" s="202">
        <f>新平!K53</f>
        <v>0</v>
      </c>
      <c r="P437" s="202">
        <f>新平!L53</f>
        <v>0</v>
      </c>
      <c r="Q437" s="202">
        <f>新平!M53</f>
        <v>0</v>
      </c>
      <c r="R437" s="202">
        <f>新平!N53</f>
        <v>0</v>
      </c>
      <c r="S437" s="202">
        <f>新平!O53</f>
        <v>0</v>
      </c>
      <c r="T437" s="202">
        <f>新平!P53</f>
        <v>0</v>
      </c>
      <c r="U437" s="202">
        <f>新平!Q53</f>
        <v>0</v>
      </c>
      <c r="V437" s="202">
        <f>新平!R53</f>
        <v>0</v>
      </c>
      <c r="W437" s="202">
        <f>新平!S53</f>
        <v>0</v>
      </c>
      <c r="X437" s="202">
        <f>新平!T53</f>
        <v>0</v>
      </c>
      <c r="Y437" s="202">
        <f>新平!U53</f>
        <v>0</v>
      </c>
      <c r="Z437" s="202">
        <f>新平!V53</f>
        <v>0</v>
      </c>
      <c r="AA437" s="202">
        <f>新平!W53</f>
        <v>0</v>
      </c>
      <c r="AB437" s="202">
        <f>新平!X53</f>
        <v>0</v>
      </c>
      <c r="AC437" s="202">
        <f>新平!Y53</f>
        <v>0</v>
      </c>
      <c r="AD437" s="202">
        <f>新平!Z53</f>
        <v>0</v>
      </c>
      <c r="AE437" s="202">
        <f>新平!AA53</f>
        <v>0</v>
      </c>
      <c r="AF437" s="202">
        <f>新平!AB53</f>
        <v>0</v>
      </c>
      <c r="AG437" s="202">
        <f>新平!AC53</f>
        <v>0</v>
      </c>
      <c r="AH437" s="202">
        <f>新平!AD53</f>
        <v>0</v>
      </c>
      <c r="AI437" s="202">
        <f>新平!AE53</f>
        <v>0</v>
      </c>
      <c r="AJ437" s="202">
        <f>新平!AF53</f>
        <v>0</v>
      </c>
      <c r="AK437" s="165" t="str">
        <f>新平!AG53</f>
        <v>新平者竜春元村</v>
      </c>
      <c r="AL437" s="165" t="str">
        <f>新平!AH53</f>
        <v>20160813</v>
      </c>
      <c r="AM437" s="165">
        <f>新平!AI53</f>
        <v>0</v>
      </c>
      <c r="AN437" s="165">
        <f>新平!AJ53</f>
        <v>0</v>
      </c>
      <c r="AO437" s="165" t="str">
        <f>新平!AK53</f>
        <v>2680285-17739110</v>
      </c>
      <c r="AP437" s="263">
        <v>10</v>
      </c>
      <c r="AQ437" s="209">
        <f>新平!AM53</f>
        <v>0</v>
      </c>
      <c r="AR437" s="295">
        <f>新平!AN53</f>
        <v>2</v>
      </c>
      <c r="AS437" s="199" t="str">
        <f>新平!AO53</f>
        <v>532428197103181912</v>
      </c>
      <c r="AT437" s="199" t="str">
        <f>新平!AP53</f>
        <v>18088911757</v>
      </c>
    </row>
    <row r="438" spans="1:46">
      <c r="A438" s="165" t="s">
        <v>1922</v>
      </c>
      <c r="B438" s="202" t="str">
        <f>VLOOKUP(A438,databases!$A$2:$B$7, 2, FALSE)</f>
        <v>XinPing</v>
      </c>
      <c r="C438" s="165" t="str">
        <f>新平!B54</f>
        <v>钟应兴</v>
      </c>
      <c r="D438" s="202" t="str">
        <f>VLOOKUP(C438,databases!$D$2:$E$145, 2, FALSE)</f>
        <v>R129</v>
      </c>
      <c r="E438" s="259">
        <f>INDEX(sample_database!$B$2:$B$506,MATCH(F438,sample_database!$L$2:$L$506,0))</f>
        <v>151</v>
      </c>
      <c r="F438" s="202" t="str">
        <f>新平!A54</f>
        <v>XP053</v>
      </c>
      <c r="G438" s="257">
        <f>新平!C54</f>
        <v>5</v>
      </c>
      <c r="H438" s="257">
        <f>新平!D54</f>
        <v>0</v>
      </c>
      <c r="I438" s="202">
        <f>新平!E54</f>
        <v>24</v>
      </c>
      <c r="J438" s="202">
        <f>新平!F54</f>
        <v>5</v>
      </c>
      <c r="K438" s="202">
        <f>新平!G54</f>
        <v>4</v>
      </c>
      <c r="L438" s="202">
        <f>新平!H54</f>
        <v>6</v>
      </c>
      <c r="M438" s="202">
        <f>新平!I54</f>
        <v>4</v>
      </c>
      <c r="N438" s="202">
        <f>新平!J54</f>
        <v>5</v>
      </c>
      <c r="O438" s="202">
        <f>新平!K54</f>
        <v>0</v>
      </c>
      <c r="P438" s="202">
        <f>新平!L54</f>
        <v>0</v>
      </c>
      <c r="Q438" s="202">
        <f>新平!M54</f>
        <v>0</v>
      </c>
      <c r="R438" s="202">
        <f>新平!N54</f>
        <v>0</v>
      </c>
      <c r="S438" s="202">
        <f>新平!O54</f>
        <v>0</v>
      </c>
      <c r="T438" s="202">
        <f>新平!P54</f>
        <v>0</v>
      </c>
      <c r="U438" s="202">
        <f>新平!Q54</f>
        <v>0</v>
      </c>
      <c r="V438" s="202">
        <f>新平!R54</f>
        <v>0</v>
      </c>
      <c r="W438" s="202">
        <f>新平!S54</f>
        <v>0</v>
      </c>
      <c r="X438" s="202">
        <f>新平!T54</f>
        <v>0</v>
      </c>
      <c r="Y438" s="202">
        <f>新平!U54</f>
        <v>0</v>
      </c>
      <c r="Z438" s="202">
        <f>新平!V54</f>
        <v>0</v>
      </c>
      <c r="AA438" s="202">
        <f>新平!W54</f>
        <v>0</v>
      </c>
      <c r="AB438" s="202">
        <f>新平!X54</f>
        <v>0</v>
      </c>
      <c r="AC438" s="202">
        <f>新平!Y54</f>
        <v>0</v>
      </c>
      <c r="AD438" s="202">
        <f>新平!Z54</f>
        <v>0</v>
      </c>
      <c r="AE438" s="202">
        <f>新平!AA54</f>
        <v>0</v>
      </c>
      <c r="AF438" s="202">
        <f>新平!AB54</f>
        <v>0</v>
      </c>
      <c r="AG438" s="202">
        <f>新平!AC54</f>
        <v>0</v>
      </c>
      <c r="AH438" s="202">
        <f>新平!AD54</f>
        <v>0</v>
      </c>
      <c r="AI438" s="202">
        <f>新平!AE54</f>
        <v>0</v>
      </c>
      <c r="AJ438" s="202">
        <f>新平!AF54</f>
        <v>0</v>
      </c>
      <c r="AK438" s="165" t="str">
        <f>新平!AG54</f>
        <v>新平者竜春元村</v>
      </c>
      <c r="AL438" s="165" t="str">
        <f>新平!AH54</f>
        <v>20160813</v>
      </c>
      <c r="AM438" s="165">
        <f>新平!AI54</f>
        <v>0</v>
      </c>
      <c r="AN438" s="165">
        <f>新平!AJ54</f>
        <v>0</v>
      </c>
      <c r="AO438" s="165" t="str">
        <f>新平!AK54</f>
        <v>2680500-17738453</v>
      </c>
      <c r="AP438" s="263">
        <v>5</v>
      </c>
      <c r="AQ438" s="209">
        <f>新平!AM54</f>
        <v>0</v>
      </c>
      <c r="AR438" s="295">
        <f>新平!AN54</f>
        <v>1</v>
      </c>
      <c r="AS438" s="199" t="str">
        <f>新平!AO54</f>
        <v>532428197103181912</v>
      </c>
      <c r="AT438" s="199" t="str">
        <f>新平!AP54</f>
        <v>18088911757</v>
      </c>
    </row>
    <row r="439" spans="1:46">
      <c r="A439" s="165" t="s">
        <v>1922</v>
      </c>
      <c r="B439" s="202" t="str">
        <f>VLOOKUP(A439,databases!$A$2:$B$7, 2, FALSE)</f>
        <v>XinPing</v>
      </c>
      <c r="C439" s="165" t="str">
        <f>新平!B55</f>
        <v>钟应兴</v>
      </c>
      <c r="D439" s="202" t="str">
        <f>VLOOKUP(C439,databases!$D$2:$E$145, 2, FALSE)</f>
        <v>R129</v>
      </c>
      <c r="E439" s="259">
        <f>INDEX(sample_database!$B$2:$B$506,MATCH(F439,sample_database!$L$2:$L$506,0))</f>
        <v>151</v>
      </c>
      <c r="F439" s="202" t="str">
        <f>新平!A55</f>
        <v>XP054</v>
      </c>
      <c r="G439" s="257">
        <f>新平!C55</f>
        <v>5</v>
      </c>
      <c r="H439" s="257">
        <f>新平!D55</f>
        <v>0</v>
      </c>
      <c r="I439" s="202">
        <f>新平!E55</f>
        <v>34</v>
      </c>
      <c r="J439" s="202">
        <f>新平!F55</f>
        <v>10</v>
      </c>
      <c r="K439" s="202">
        <f>新平!G55</f>
        <v>7</v>
      </c>
      <c r="L439" s="202">
        <f>新平!H55</f>
        <v>2</v>
      </c>
      <c r="M439" s="202">
        <f>新平!I55</f>
        <v>12</v>
      </c>
      <c r="N439" s="202">
        <f>新平!J55</f>
        <v>3</v>
      </c>
      <c r="O439" s="202">
        <f>新平!K55</f>
        <v>0</v>
      </c>
      <c r="P439" s="202">
        <f>新平!L55</f>
        <v>0</v>
      </c>
      <c r="Q439" s="202">
        <f>新平!M55</f>
        <v>0</v>
      </c>
      <c r="R439" s="202">
        <f>新平!N55</f>
        <v>0</v>
      </c>
      <c r="S439" s="202">
        <f>新平!O55</f>
        <v>0</v>
      </c>
      <c r="T439" s="202">
        <f>新平!P55</f>
        <v>0</v>
      </c>
      <c r="U439" s="202">
        <f>新平!Q55</f>
        <v>0</v>
      </c>
      <c r="V439" s="202">
        <f>新平!R55</f>
        <v>0</v>
      </c>
      <c r="W439" s="202">
        <f>新平!S55</f>
        <v>0</v>
      </c>
      <c r="X439" s="202">
        <f>新平!T55</f>
        <v>0</v>
      </c>
      <c r="Y439" s="202">
        <f>新平!U55</f>
        <v>0</v>
      </c>
      <c r="Z439" s="202">
        <f>新平!V55</f>
        <v>0</v>
      </c>
      <c r="AA439" s="202">
        <f>新平!W55</f>
        <v>0</v>
      </c>
      <c r="AB439" s="202">
        <f>新平!X55</f>
        <v>0</v>
      </c>
      <c r="AC439" s="202">
        <f>新平!Y55</f>
        <v>0</v>
      </c>
      <c r="AD439" s="202">
        <f>新平!Z55</f>
        <v>0</v>
      </c>
      <c r="AE439" s="202">
        <f>新平!AA55</f>
        <v>0</v>
      </c>
      <c r="AF439" s="202">
        <f>新平!AB55</f>
        <v>0</v>
      </c>
      <c r="AG439" s="202">
        <f>新平!AC55</f>
        <v>0</v>
      </c>
      <c r="AH439" s="202">
        <f>新平!AD55</f>
        <v>0</v>
      </c>
      <c r="AI439" s="202">
        <f>新平!AE55</f>
        <v>0</v>
      </c>
      <c r="AJ439" s="202">
        <f>新平!AF55</f>
        <v>0</v>
      </c>
      <c r="AK439" s="165" t="str">
        <f>新平!AG55</f>
        <v>新平者竜春元村</v>
      </c>
      <c r="AL439" s="165" t="str">
        <f>新平!AH55</f>
        <v>20160814</v>
      </c>
      <c r="AM439" s="165">
        <f>新平!AI55</f>
        <v>0</v>
      </c>
      <c r="AN439" s="165">
        <f>新平!AJ55</f>
        <v>0</v>
      </c>
      <c r="AO439" s="165" t="str">
        <f>新平!AK55</f>
        <v>2681917-17739919</v>
      </c>
      <c r="AP439" s="263">
        <v>6</v>
      </c>
      <c r="AQ439" s="209">
        <f>新平!AM55</f>
        <v>0</v>
      </c>
      <c r="AR439" s="295">
        <f>新平!AN55</f>
        <v>1.2</v>
      </c>
      <c r="AS439" s="199" t="str">
        <f>新平!AO55</f>
        <v>532428197103181912</v>
      </c>
      <c r="AT439" s="199" t="str">
        <f>新平!AP55</f>
        <v>18088911757</v>
      </c>
    </row>
    <row r="440" spans="1:46">
      <c r="A440" s="165" t="s">
        <v>1922</v>
      </c>
      <c r="B440" s="202" t="str">
        <f>VLOOKUP(A440,databases!$A$2:$B$7, 2, FALSE)</f>
        <v>XinPing</v>
      </c>
      <c r="C440" s="165" t="str">
        <f>新平!B56</f>
        <v>钟应兴</v>
      </c>
      <c r="D440" s="202" t="str">
        <f>VLOOKUP(C440,databases!$D$2:$E$145, 2, FALSE)</f>
        <v>R129</v>
      </c>
      <c r="E440" s="259">
        <f>INDEX(sample_database!$B$2:$B$506,MATCH(F440,sample_database!$L$2:$L$506,0))</f>
        <v>151</v>
      </c>
      <c r="F440" s="202" t="str">
        <f>新平!A56</f>
        <v>XP055</v>
      </c>
      <c r="G440" s="257">
        <f>新平!C56</f>
        <v>5</v>
      </c>
      <c r="H440" s="257">
        <f>新平!D56</f>
        <v>0</v>
      </c>
      <c r="I440" s="202">
        <f>新平!E56</f>
        <v>31</v>
      </c>
      <c r="J440" s="202">
        <f>新平!F56</f>
        <v>12</v>
      </c>
      <c r="K440" s="202">
        <f>新平!G56</f>
        <v>7</v>
      </c>
      <c r="L440" s="202">
        <f>新平!H56</f>
        <v>2</v>
      </c>
      <c r="M440" s="202">
        <f>新平!I56</f>
        <v>3</v>
      </c>
      <c r="N440" s="202">
        <f>新平!J56</f>
        <v>7</v>
      </c>
      <c r="O440" s="202">
        <f>新平!K56</f>
        <v>0</v>
      </c>
      <c r="P440" s="202">
        <f>新平!L56</f>
        <v>0</v>
      </c>
      <c r="Q440" s="202">
        <f>新平!M56</f>
        <v>0</v>
      </c>
      <c r="R440" s="202">
        <f>新平!N56</f>
        <v>0</v>
      </c>
      <c r="S440" s="202">
        <f>新平!O56</f>
        <v>0</v>
      </c>
      <c r="T440" s="202">
        <f>新平!P56</f>
        <v>0</v>
      </c>
      <c r="U440" s="202">
        <f>新平!Q56</f>
        <v>0</v>
      </c>
      <c r="V440" s="202">
        <f>新平!R56</f>
        <v>0</v>
      </c>
      <c r="W440" s="202">
        <f>新平!S56</f>
        <v>0</v>
      </c>
      <c r="X440" s="202">
        <f>新平!T56</f>
        <v>0</v>
      </c>
      <c r="Y440" s="202">
        <f>新平!U56</f>
        <v>0</v>
      </c>
      <c r="Z440" s="202">
        <f>新平!V56</f>
        <v>0</v>
      </c>
      <c r="AA440" s="202">
        <f>新平!W56</f>
        <v>0</v>
      </c>
      <c r="AB440" s="202">
        <f>新平!X56</f>
        <v>0</v>
      </c>
      <c r="AC440" s="202">
        <f>新平!Y56</f>
        <v>0</v>
      </c>
      <c r="AD440" s="202">
        <f>新平!Z56</f>
        <v>0</v>
      </c>
      <c r="AE440" s="202">
        <f>新平!AA56</f>
        <v>0</v>
      </c>
      <c r="AF440" s="202">
        <f>新平!AB56</f>
        <v>0</v>
      </c>
      <c r="AG440" s="202">
        <f>新平!AC56</f>
        <v>0</v>
      </c>
      <c r="AH440" s="202">
        <f>新平!AD56</f>
        <v>0</v>
      </c>
      <c r="AI440" s="202">
        <f>新平!AE56</f>
        <v>0</v>
      </c>
      <c r="AJ440" s="202">
        <f>新平!AF56</f>
        <v>0</v>
      </c>
      <c r="AK440" s="165" t="str">
        <f>新平!AG56</f>
        <v>新平者竜春元村</v>
      </c>
      <c r="AL440" s="165" t="str">
        <f>新平!AH56</f>
        <v>20160814</v>
      </c>
      <c r="AM440" s="165">
        <f>新平!AI56</f>
        <v>0</v>
      </c>
      <c r="AN440" s="165">
        <f>新平!AJ56</f>
        <v>0</v>
      </c>
      <c r="AO440" s="165" t="str">
        <f>新平!AK56</f>
        <v>2681366-17739283</v>
      </c>
      <c r="AP440" s="263">
        <v>7.5</v>
      </c>
      <c r="AQ440" s="209">
        <f>新平!AM56</f>
        <v>0</v>
      </c>
      <c r="AR440" s="295">
        <f>新平!AN56</f>
        <v>1.5</v>
      </c>
      <c r="AS440" s="199" t="str">
        <f>新平!AO56</f>
        <v>532428197103181912</v>
      </c>
      <c r="AT440" s="199" t="str">
        <f>新平!AP56</f>
        <v>18088911757</v>
      </c>
    </row>
    <row r="441" spans="1:46">
      <c r="A441" s="165" t="s">
        <v>1922</v>
      </c>
      <c r="B441" s="202" t="str">
        <f>VLOOKUP(A441,databases!$A$2:$B$7, 2, FALSE)</f>
        <v>XinPing</v>
      </c>
      <c r="C441" s="165" t="str">
        <f>新平!B69</f>
        <v>陈德忠</v>
      </c>
      <c r="D441" s="202" t="str">
        <f>VLOOKUP(C441,databases!$D$2:$E$145, 2, FALSE)</f>
        <v>R133</v>
      </c>
      <c r="E441" s="259">
        <f>INDEX(sample_database!$B$2:$B$506,MATCH(F441,sample_database!$L$2:$L$506,0))</f>
        <v>138</v>
      </c>
      <c r="F441" s="202" t="str">
        <f>新平!A69</f>
        <v>XP068</v>
      </c>
      <c r="G441" s="257">
        <f>新平!C69</f>
        <v>4</v>
      </c>
      <c r="H441" s="257">
        <f>新平!D69</f>
        <v>0</v>
      </c>
      <c r="I441" s="202">
        <f>新平!E69</f>
        <v>55</v>
      </c>
      <c r="J441" s="202">
        <f>新平!F69</f>
        <v>8</v>
      </c>
      <c r="K441" s="202">
        <f>新平!G69</f>
        <v>17</v>
      </c>
      <c r="L441" s="202">
        <f>新平!H69</f>
        <v>16</v>
      </c>
      <c r="M441" s="202">
        <f>新平!I69</f>
        <v>14</v>
      </c>
      <c r="N441" s="202">
        <f>新平!J69</f>
        <v>0</v>
      </c>
      <c r="O441" s="202">
        <f>新平!K69</f>
        <v>0</v>
      </c>
      <c r="P441" s="202">
        <f>新平!L69</f>
        <v>0</v>
      </c>
      <c r="Q441" s="202">
        <f>新平!M69</f>
        <v>0</v>
      </c>
      <c r="R441" s="202">
        <f>新平!N69</f>
        <v>0</v>
      </c>
      <c r="S441" s="202">
        <f>新平!O69</f>
        <v>0</v>
      </c>
      <c r="T441" s="202">
        <f>新平!P69</f>
        <v>0</v>
      </c>
      <c r="U441" s="202">
        <f>新平!Q69</f>
        <v>0</v>
      </c>
      <c r="V441" s="202">
        <f>新平!R69</f>
        <v>0</v>
      </c>
      <c r="W441" s="202">
        <f>新平!S69</f>
        <v>0</v>
      </c>
      <c r="X441" s="202">
        <f>新平!T69</f>
        <v>0</v>
      </c>
      <c r="Y441" s="202">
        <f>新平!U69</f>
        <v>0</v>
      </c>
      <c r="Z441" s="202">
        <f>新平!V69</f>
        <v>0</v>
      </c>
      <c r="AA441" s="202">
        <f>新平!W69</f>
        <v>0</v>
      </c>
      <c r="AB441" s="202">
        <f>新平!X69</f>
        <v>0</v>
      </c>
      <c r="AC441" s="202">
        <f>新平!Y69</f>
        <v>0</v>
      </c>
      <c r="AD441" s="202">
        <f>新平!Z69</f>
        <v>0</v>
      </c>
      <c r="AE441" s="202">
        <f>新平!AA69</f>
        <v>0</v>
      </c>
      <c r="AF441" s="202">
        <f>新平!AB69</f>
        <v>0</v>
      </c>
      <c r="AG441" s="202">
        <f>新平!AC69</f>
        <v>0</v>
      </c>
      <c r="AH441" s="202">
        <f>新平!AD69</f>
        <v>0</v>
      </c>
      <c r="AI441" s="202">
        <f>新平!AE69</f>
        <v>0</v>
      </c>
      <c r="AJ441" s="202">
        <f>新平!AF69</f>
        <v>0</v>
      </c>
      <c r="AK441" s="165" t="str">
        <f>新平!AG69</f>
        <v>新平县者竜乡竹箐村</v>
      </c>
      <c r="AL441" s="165" t="str">
        <f>新平!AH69</f>
        <v>20160705</v>
      </c>
      <c r="AM441" s="165">
        <f>新平!AI69</f>
        <v>0</v>
      </c>
      <c r="AN441" s="165">
        <f>新平!AJ69</f>
        <v>0</v>
      </c>
      <c r="AO441" s="165" t="str">
        <f>新平!AK69</f>
        <v>2690435-17730991</v>
      </c>
      <c r="AP441" s="263">
        <v>10</v>
      </c>
      <c r="AQ441" s="209">
        <f>新平!AM69</f>
        <v>0</v>
      </c>
      <c r="AR441" s="295">
        <f>新平!AN69</f>
        <v>2</v>
      </c>
      <c r="AS441" s="199" t="str">
        <f>新平!AO69</f>
        <v>532428196903291939</v>
      </c>
      <c r="AT441" s="199" t="str">
        <f>新平!AP69</f>
        <v>18088911760</v>
      </c>
    </row>
    <row r="442" spans="1:46">
      <c r="A442" s="165" t="s">
        <v>1922</v>
      </c>
      <c r="B442" s="202" t="str">
        <f>VLOOKUP(A442,databases!$A$2:$B$7, 2, FALSE)</f>
        <v>XinPing</v>
      </c>
      <c r="C442" s="165" t="str">
        <f>新平!B70</f>
        <v>陈德忠</v>
      </c>
      <c r="D442" s="202" t="str">
        <f>VLOOKUP(C442,databases!$D$2:$E$145, 2, FALSE)</f>
        <v>R133</v>
      </c>
      <c r="E442" s="259">
        <f>INDEX(sample_database!$B$2:$B$506,MATCH(F442,sample_database!$L$2:$L$506,0))</f>
        <v>138</v>
      </c>
      <c r="F442" s="202" t="str">
        <f>新平!A70</f>
        <v>XP069</v>
      </c>
      <c r="G442" s="257">
        <f>新平!C70</f>
        <v>6</v>
      </c>
      <c r="H442" s="257">
        <f>新平!D70</f>
        <v>0</v>
      </c>
      <c r="I442" s="202">
        <f>新平!E70</f>
        <v>66</v>
      </c>
      <c r="J442" s="202">
        <f>新平!F70</f>
        <v>18</v>
      </c>
      <c r="K442" s="202">
        <f>新平!G70</f>
        <v>7</v>
      </c>
      <c r="L442" s="202">
        <f>新平!H70</f>
        <v>11</v>
      </c>
      <c r="M442" s="202">
        <f>新平!I70</f>
        <v>11</v>
      </c>
      <c r="N442" s="202">
        <f>新平!J70</f>
        <v>9</v>
      </c>
      <c r="O442" s="202">
        <f>新平!K70</f>
        <v>10</v>
      </c>
      <c r="P442" s="202">
        <f>新平!L70</f>
        <v>0</v>
      </c>
      <c r="Q442" s="202">
        <f>新平!M70</f>
        <v>0</v>
      </c>
      <c r="R442" s="202">
        <f>新平!N70</f>
        <v>0</v>
      </c>
      <c r="S442" s="202">
        <f>新平!O70</f>
        <v>0</v>
      </c>
      <c r="T442" s="202">
        <f>新平!P70</f>
        <v>0</v>
      </c>
      <c r="U442" s="202">
        <f>新平!Q70</f>
        <v>0</v>
      </c>
      <c r="V442" s="202">
        <f>新平!R70</f>
        <v>0</v>
      </c>
      <c r="W442" s="202">
        <f>新平!S70</f>
        <v>0</v>
      </c>
      <c r="X442" s="202">
        <f>新平!T70</f>
        <v>0</v>
      </c>
      <c r="Y442" s="202">
        <f>新平!U70</f>
        <v>0</v>
      </c>
      <c r="Z442" s="202">
        <f>新平!V70</f>
        <v>0</v>
      </c>
      <c r="AA442" s="202">
        <f>新平!W70</f>
        <v>0</v>
      </c>
      <c r="AB442" s="202">
        <f>新平!X70</f>
        <v>0</v>
      </c>
      <c r="AC442" s="202">
        <f>新平!Y70</f>
        <v>0</v>
      </c>
      <c r="AD442" s="202">
        <f>新平!Z70</f>
        <v>0</v>
      </c>
      <c r="AE442" s="202">
        <f>新平!AA70</f>
        <v>0</v>
      </c>
      <c r="AF442" s="202">
        <f>新平!AB70</f>
        <v>0</v>
      </c>
      <c r="AG442" s="202">
        <f>新平!AC70</f>
        <v>0</v>
      </c>
      <c r="AH442" s="202">
        <f>新平!AD70</f>
        <v>0</v>
      </c>
      <c r="AI442" s="202">
        <f>新平!AE70</f>
        <v>0</v>
      </c>
      <c r="AJ442" s="202">
        <f>新平!AF70</f>
        <v>0</v>
      </c>
      <c r="AK442" s="165" t="str">
        <f>新平!AG70</f>
        <v>新平县者竜乡竹箐村</v>
      </c>
      <c r="AL442" s="165" t="str">
        <f>新平!AH70</f>
        <v>20160705</v>
      </c>
      <c r="AM442" s="165">
        <f>新平!AI70</f>
        <v>0</v>
      </c>
      <c r="AN442" s="165">
        <f>新平!AJ70</f>
        <v>0</v>
      </c>
      <c r="AO442" s="165" t="str">
        <f>新平!AK70</f>
        <v>2691397-17733089</v>
      </c>
      <c r="AP442" s="263">
        <v>10</v>
      </c>
      <c r="AQ442" s="209">
        <f>新平!AM70</f>
        <v>0</v>
      </c>
      <c r="AR442" s="295">
        <f>新平!AN70</f>
        <v>2</v>
      </c>
      <c r="AS442" s="199" t="str">
        <f>新平!AO70</f>
        <v>532428196903291939</v>
      </c>
      <c r="AT442" s="199" t="str">
        <f>新平!AP70</f>
        <v>18088911760</v>
      </c>
    </row>
    <row r="443" spans="1:46">
      <c r="A443" s="165" t="s">
        <v>1922</v>
      </c>
      <c r="B443" s="202" t="str">
        <f>VLOOKUP(A443,databases!$A$2:$B$7, 2, FALSE)</f>
        <v>XinPing</v>
      </c>
      <c r="C443" s="165" t="str">
        <f>新平!B71</f>
        <v>陈德忠</v>
      </c>
      <c r="D443" s="202" t="str">
        <f>VLOOKUP(C443,databases!$D$2:$E$145, 2, FALSE)</f>
        <v>R133</v>
      </c>
      <c r="E443" s="259">
        <f>INDEX(sample_database!$B$2:$B$506,MATCH(F443,sample_database!$L$2:$L$506,0))</f>
        <v>138</v>
      </c>
      <c r="F443" s="202" t="str">
        <f>新平!A71</f>
        <v>XP070</v>
      </c>
      <c r="G443" s="257">
        <f>新平!C71</f>
        <v>6</v>
      </c>
      <c r="H443" s="257">
        <f>新平!D71</f>
        <v>0</v>
      </c>
      <c r="I443" s="202">
        <f>新平!E71</f>
        <v>81</v>
      </c>
      <c r="J443" s="202">
        <f>新平!F71</f>
        <v>12</v>
      </c>
      <c r="K443" s="202">
        <f>新平!G71</f>
        <v>13</v>
      </c>
      <c r="L443" s="202">
        <f>新平!H71</f>
        <v>14</v>
      </c>
      <c r="M443" s="202">
        <f>新平!I71</f>
        <v>14</v>
      </c>
      <c r="N443" s="202">
        <f>新平!J71</f>
        <v>14</v>
      </c>
      <c r="O443" s="202">
        <f>新平!K71</f>
        <v>14</v>
      </c>
      <c r="P443" s="202">
        <f>新平!L71</f>
        <v>0</v>
      </c>
      <c r="Q443" s="202">
        <f>新平!M71</f>
        <v>0</v>
      </c>
      <c r="R443" s="202">
        <f>新平!N71</f>
        <v>0</v>
      </c>
      <c r="S443" s="202">
        <f>新平!O71</f>
        <v>0</v>
      </c>
      <c r="T443" s="202">
        <f>新平!P71</f>
        <v>0</v>
      </c>
      <c r="U443" s="202">
        <f>新平!Q71</f>
        <v>0</v>
      </c>
      <c r="V443" s="202">
        <f>新平!R71</f>
        <v>0</v>
      </c>
      <c r="W443" s="202">
        <f>新平!S71</f>
        <v>0</v>
      </c>
      <c r="X443" s="202">
        <f>新平!T71</f>
        <v>0</v>
      </c>
      <c r="Y443" s="202">
        <f>新平!U71</f>
        <v>0</v>
      </c>
      <c r="Z443" s="202">
        <f>新平!V71</f>
        <v>0</v>
      </c>
      <c r="AA443" s="202">
        <f>新平!W71</f>
        <v>0</v>
      </c>
      <c r="AB443" s="202">
        <f>新平!X71</f>
        <v>0</v>
      </c>
      <c r="AC443" s="202">
        <f>新平!Y71</f>
        <v>0</v>
      </c>
      <c r="AD443" s="202">
        <f>新平!Z71</f>
        <v>0</v>
      </c>
      <c r="AE443" s="202">
        <f>新平!AA71</f>
        <v>0</v>
      </c>
      <c r="AF443" s="202">
        <f>新平!AB71</f>
        <v>0</v>
      </c>
      <c r="AG443" s="202">
        <f>新平!AC71</f>
        <v>0</v>
      </c>
      <c r="AH443" s="202">
        <f>新平!AD71</f>
        <v>0</v>
      </c>
      <c r="AI443" s="202">
        <f>新平!AE71</f>
        <v>0</v>
      </c>
      <c r="AJ443" s="202">
        <f>新平!AF71</f>
        <v>0</v>
      </c>
      <c r="AK443" s="165" t="str">
        <f>新平!AG71</f>
        <v>新平县者竜乡竹箐村</v>
      </c>
      <c r="AL443" s="165" t="str">
        <f>新平!AH71</f>
        <v>20160706</v>
      </c>
      <c r="AM443" s="165">
        <f>新平!AI71</f>
        <v>0</v>
      </c>
      <c r="AN443" s="165">
        <f>新平!AJ71</f>
        <v>0</v>
      </c>
      <c r="AO443" s="165" t="str">
        <f>新平!AK71</f>
        <v>2690041-17730878</v>
      </c>
      <c r="AP443" s="263">
        <v>12.5</v>
      </c>
      <c r="AQ443" s="209">
        <f>新平!AM71</f>
        <v>0</v>
      </c>
      <c r="AR443" s="295">
        <f>新平!AN71</f>
        <v>2.5</v>
      </c>
      <c r="AS443" s="199" t="str">
        <f>新平!AO71</f>
        <v>532428196903291939</v>
      </c>
      <c r="AT443" s="199" t="str">
        <f>新平!AP71</f>
        <v>18088911760</v>
      </c>
    </row>
    <row r="444" spans="1:46">
      <c r="A444" s="165" t="s">
        <v>1922</v>
      </c>
      <c r="B444" s="202" t="str">
        <f>VLOOKUP(A444,databases!$A$2:$B$7, 2, FALSE)</f>
        <v>XinPing</v>
      </c>
      <c r="C444" s="165" t="str">
        <f>新平!B72</f>
        <v>陈德忠</v>
      </c>
      <c r="D444" s="202" t="str">
        <f>VLOOKUP(C444,databases!$D$2:$E$145, 2, FALSE)</f>
        <v>R133</v>
      </c>
      <c r="E444" s="259">
        <f>INDEX(sample_database!$B$2:$B$506,MATCH(F444,sample_database!$L$2:$L$506,0))</f>
        <v>138</v>
      </c>
      <c r="F444" s="202" t="str">
        <f>新平!A72</f>
        <v>XP071</v>
      </c>
      <c r="G444" s="257">
        <f>新平!C72</f>
        <v>3</v>
      </c>
      <c r="H444" s="257">
        <f>新平!D72</f>
        <v>0</v>
      </c>
      <c r="I444" s="202">
        <f>新平!E72</f>
        <v>43</v>
      </c>
      <c r="J444" s="202">
        <f>新平!F72</f>
        <v>16</v>
      </c>
      <c r="K444" s="202">
        <f>新平!G72</f>
        <v>14</v>
      </c>
      <c r="L444" s="202">
        <f>新平!H72</f>
        <v>13</v>
      </c>
      <c r="M444" s="202">
        <f>新平!I72</f>
        <v>0</v>
      </c>
      <c r="N444" s="202">
        <f>新平!J72</f>
        <v>0</v>
      </c>
      <c r="O444" s="202">
        <f>新平!K72</f>
        <v>0</v>
      </c>
      <c r="P444" s="202">
        <f>新平!L72</f>
        <v>0</v>
      </c>
      <c r="Q444" s="202">
        <f>新平!M72</f>
        <v>0</v>
      </c>
      <c r="R444" s="202">
        <f>新平!N72</f>
        <v>0</v>
      </c>
      <c r="S444" s="202">
        <f>新平!O72</f>
        <v>0</v>
      </c>
      <c r="T444" s="202">
        <f>新平!P72</f>
        <v>0</v>
      </c>
      <c r="U444" s="202">
        <f>新平!Q72</f>
        <v>0</v>
      </c>
      <c r="V444" s="202">
        <f>新平!R72</f>
        <v>0</v>
      </c>
      <c r="W444" s="202">
        <f>新平!S72</f>
        <v>0</v>
      </c>
      <c r="X444" s="202">
        <f>新平!T72</f>
        <v>0</v>
      </c>
      <c r="Y444" s="202">
        <f>新平!U72</f>
        <v>0</v>
      </c>
      <c r="Z444" s="202">
        <f>新平!V72</f>
        <v>0</v>
      </c>
      <c r="AA444" s="202">
        <f>新平!W72</f>
        <v>0</v>
      </c>
      <c r="AB444" s="202">
        <f>新平!X72</f>
        <v>0</v>
      </c>
      <c r="AC444" s="202">
        <f>新平!Y72</f>
        <v>0</v>
      </c>
      <c r="AD444" s="202">
        <f>新平!Z72</f>
        <v>0</v>
      </c>
      <c r="AE444" s="202">
        <f>新平!AA72</f>
        <v>0</v>
      </c>
      <c r="AF444" s="202">
        <f>新平!AB72</f>
        <v>0</v>
      </c>
      <c r="AG444" s="202">
        <f>新平!AC72</f>
        <v>0</v>
      </c>
      <c r="AH444" s="202">
        <f>新平!AD72</f>
        <v>0</v>
      </c>
      <c r="AI444" s="202">
        <f>新平!AE72</f>
        <v>0</v>
      </c>
      <c r="AJ444" s="202">
        <f>新平!AF72</f>
        <v>0</v>
      </c>
      <c r="AK444" s="165" t="str">
        <f>新平!AG72</f>
        <v>新平县者竜乡竹箐村</v>
      </c>
      <c r="AL444" s="165" t="str">
        <f>新平!AH72</f>
        <v>20160706</v>
      </c>
      <c r="AM444" s="165">
        <f>新平!AI72</f>
        <v>0</v>
      </c>
      <c r="AN444" s="165">
        <f>新平!AJ72</f>
        <v>0</v>
      </c>
      <c r="AO444" s="165" t="str">
        <f>新平!AK72</f>
        <v>2689008-17732139</v>
      </c>
      <c r="AP444" s="263">
        <v>6</v>
      </c>
      <c r="AQ444" s="209">
        <f>新平!AM72</f>
        <v>0</v>
      </c>
      <c r="AR444" s="295">
        <f>新平!AN72</f>
        <v>1.2</v>
      </c>
      <c r="AS444" s="199" t="str">
        <f>新平!AO72</f>
        <v>532428196903291939</v>
      </c>
      <c r="AT444" s="199" t="str">
        <f>新平!AP72</f>
        <v>18088911760</v>
      </c>
    </row>
    <row r="445" spans="1:46">
      <c r="A445" t="s">
        <v>1926</v>
      </c>
      <c r="B445" s="202" t="str">
        <f>VLOOKUP(A445,databases!$A$2:$B$7, 2, FALSE)</f>
        <v>ZhenYuan</v>
      </c>
      <c r="C445" t="str">
        <f>镇沅!B59</f>
        <v>何兴能</v>
      </c>
      <c r="D445" s="202" t="str">
        <f>VLOOKUP(C445,databases!$D$2:$E$145, 2, FALSE)</f>
        <v>R2</v>
      </c>
      <c r="E445" s="259">
        <f>INDEX(sample_database!$B$2:$B$506,MATCH(F445,sample_database!$L$2:$L$506,0))</f>
        <v>93</v>
      </c>
      <c r="F445" s="202" t="str">
        <f>镇沅!A59</f>
        <v>ZY58</v>
      </c>
      <c r="G445" s="257">
        <f>镇沅!C59</f>
        <v>8</v>
      </c>
      <c r="H445" s="257">
        <f>镇沅!D59</f>
        <v>0</v>
      </c>
      <c r="I445" s="202">
        <f>镇沅!E59</f>
        <v>82</v>
      </c>
      <c r="J445" s="202">
        <f>镇沅!F59</f>
        <v>28</v>
      </c>
      <c r="K445" s="202">
        <f>镇沅!G59</f>
        <v>18</v>
      </c>
      <c r="L445" s="202">
        <f>镇沅!H59</f>
        <v>7</v>
      </c>
      <c r="M445" s="202">
        <f>镇沅!I59</f>
        <v>9</v>
      </c>
      <c r="N445" s="202">
        <f>镇沅!J59</f>
        <v>7</v>
      </c>
      <c r="O445" s="202">
        <f>镇沅!K59</f>
        <v>4</v>
      </c>
      <c r="P445" s="202">
        <f>镇沅!L59</f>
        <v>6</v>
      </c>
      <c r="Q445" s="202">
        <f>镇沅!M59</f>
        <v>3</v>
      </c>
      <c r="R445" s="202">
        <f>镇沅!N59</f>
        <v>0</v>
      </c>
      <c r="S445" s="202">
        <f>镇沅!O59</f>
        <v>0</v>
      </c>
      <c r="T445" s="202">
        <f>镇沅!P59</f>
        <v>0</v>
      </c>
      <c r="U445" s="202">
        <f>镇沅!Q59</f>
        <v>0</v>
      </c>
      <c r="V445" s="202">
        <f>镇沅!R59</f>
        <v>0</v>
      </c>
      <c r="W445" s="202">
        <f>镇沅!S59</f>
        <v>0</v>
      </c>
      <c r="X445" s="202">
        <f>镇沅!T59</f>
        <v>0</v>
      </c>
      <c r="Y445" s="202">
        <f>镇沅!U59</f>
        <v>0</v>
      </c>
      <c r="Z445" s="202">
        <f>镇沅!V59</f>
        <v>0</v>
      </c>
      <c r="AA445" s="202">
        <f>镇沅!W59</f>
        <v>0</v>
      </c>
      <c r="AB445" s="202">
        <f>镇沅!X59</f>
        <v>0</v>
      </c>
      <c r="AC445" s="202">
        <f>镇沅!Y59</f>
        <v>0</v>
      </c>
      <c r="AD445" s="202">
        <f>镇沅!Z59</f>
        <v>0</v>
      </c>
      <c r="AE445" s="202">
        <f>镇沅!AA59</f>
        <v>0</v>
      </c>
      <c r="AF445" s="202">
        <f>镇沅!AB59</f>
        <v>0</v>
      </c>
      <c r="AG445" s="202">
        <f>镇沅!AC59</f>
        <v>0</v>
      </c>
      <c r="AH445" s="202">
        <f>镇沅!AD59</f>
        <v>0</v>
      </c>
      <c r="AI445" s="202">
        <f>镇沅!AE59</f>
        <v>0</v>
      </c>
      <c r="AJ445" s="202">
        <f>镇沅!AF59</f>
        <v>0</v>
      </c>
      <c r="AK445" s="202" t="str">
        <f>镇沅!AG59</f>
        <v>镇沅县九甲镇果吉村</v>
      </c>
      <c r="AL445" s="202" t="str">
        <f>镇沅!AH59</f>
        <v>？？</v>
      </c>
      <c r="AM445" s="202">
        <f>镇沅!AI59</f>
        <v>0</v>
      </c>
      <c r="AN445" s="202">
        <f>镇沅!AJ59</f>
        <v>0</v>
      </c>
      <c r="AO445" s="202" t="str">
        <f>镇沅!AK59</f>
        <v>1</v>
      </c>
      <c r="AP445" s="263">
        <v>12.5</v>
      </c>
      <c r="AQ445" s="209">
        <f>镇沅!AM59</f>
        <v>0</v>
      </c>
      <c r="AR445" s="295">
        <f>镇沅!AN59</f>
        <v>2.5</v>
      </c>
      <c r="AS445" s="201" t="str">
        <f>镇沅!AO59</f>
        <v>？？？</v>
      </c>
      <c r="AT445" s="201" t="str">
        <f>镇沅!AP59</f>
        <v>13887959989</v>
      </c>
    </row>
    <row r="446" spans="1:46">
      <c r="A446" t="s">
        <v>1926</v>
      </c>
      <c r="B446" s="202" t="str">
        <f>VLOOKUP(A446,databases!$A$2:$B$7, 2, FALSE)</f>
        <v>ZhenYuan</v>
      </c>
      <c r="C446" t="str">
        <f>镇沅!B60</f>
        <v>何兴能</v>
      </c>
      <c r="D446" s="202" t="str">
        <f>VLOOKUP(C446,databases!$D$2:$E$145, 2, FALSE)</f>
        <v>R2</v>
      </c>
      <c r="E446" s="259">
        <f>INDEX(sample_database!$B$2:$B$506,MATCH(F446,sample_database!$L$2:$L$506,0))</f>
        <v>93</v>
      </c>
      <c r="F446" s="202" t="str">
        <f>镇沅!A60</f>
        <v>ZY59</v>
      </c>
      <c r="G446" s="257">
        <f>镇沅!C60</f>
        <v>8</v>
      </c>
      <c r="H446" s="257">
        <f>镇沅!D60</f>
        <v>0</v>
      </c>
      <c r="I446" s="202">
        <f>镇沅!E60</f>
        <v>63</v>
      </c>
      <c r="J446" s="202">
        <f>镇沅!F60</f>
        <v>9</v>
      </c>
      <c r="K446" s="202">
        <f>镇沅!G60</f>
        <v>12</v>
      </c>
      <c r="L446" s="202">
        <f>镇沅!H60</f>
        <v>12</v>
      </c>
      <c r="M446" s="202">
        <f>镇沅!I60</f>
        <v>6</v>
      </c>
      <c r="N446" s="202">
        <f>镇沅!J60</f>
        <v>10</v>
      </c>
      <c r="O446" s="202">
        <f>镇沅!K60</f>
        <v>4</v>
      </c>
      <c r="P446" s="202">
        <f>镇沅!L60</f>
        <v>7</v>
      </c>
      <c r="Q446" s="202">
        <f>镇沅!M60</f>
        <v>3</v>
      </c>
      <c r="R446" s="202">
        <f>镇沅!N60</f>
        <v>0</v>
      </c>
      <c r="S446" s="202">
        <f>镇沅!O60</f>
        <v>0</v>
      </c>
      <c r="T446" s="202">
        <f>镇沅!P60</f>
        <v>0</v>
      </c>
      <c r="U446" s="202">
        <f>镇沅!Q60</f>
        <v>0</v>
      </c>
      <c r="V446" s="202">
        <f>镇沅!R60</f>
        <v>0</v>
      </c>
      <c r="W446" s="202">
        <f>镇沅!S60</f>
        <v>0</v>
      </c>
      <c r="X446" s="202">
        <f>镇沅!T60</f>
        <v>0</v>
      </c>
      <c r="Y446" s="202">
        <f>镇沅!U60</f>
        <v>0</v>
      </c>
      <c r="Z446" s="202">
        <f>镇沅!V60</f>
        <v>0</v>
      </c>
      <c r="AA446" s="202">
        <f>镇沅!W60</f>
        <v>0</v>
      </c>
      <c r="AB446" s="202">
        <f>镇沅!X60</f>
        <v>0</v>
      </c>
      <c r="AC446" s="202">
        <f>镇沅!Y60</f>
        <v>0</v>
      </c>
      <c r="AD446" s="202">
        <f>镇沅!Z60</f>
        <v>0</v>
      </c>
      <c r="AE446" s="202">
        <f>镇沅!AA60</f>
        <v>0</v>
      </c>
      <c r="AF446" s="202">
        <f>镇沅!AB60</f>
        <v>0</v>
      </c>
      <c r="AG446" s="202">
        <f>镇沅!AC60</f>
        <v>0</v>
      </c>
      <c r="AH446" s="202">
        <f>镇沅!AD60</f>
        <v>0</v>
      </c>
      <c r="AI446" s="202">
        <f>镇沅!AE60</f>
        <v>0</v>
      </c>
      <c r="AJ446" s="202">
        <f>镇沅!AF60</f>
        <v>0</v>
      </c>
      <c r="AK446" s="202" t="str">
        <f>镇沅!AG60</f>
        <v>镇沅县九甲镇果吉村</v>
      </c>
      <c r="AL446" s="202" t="str">
        <f>镇沅!AH60</f>
        <v>？？</v>
      </c>
      <c r="AM446" s="202">
        <f>镇沅!AI60</f>
        <v>0</v>
      </c>
      <c r="AN446" s="202">
        <f>镇沅!AJ60</f>
        <v>0</v>
      </c>
      <c r="AO446" s="202" t="str">
        <f>镇沅!AK60</f>
        <v>2</v>
      </c>
      <c r="AP446" s="263">
        <v>10</v>
      </c>
      <c r="AQ446" s="209">
        <f>镇沅!AM60</f>
        <v>0</v>
      </c>
      <c r="AR446" s="295">
        <f>镇沅!AN60</f>
        <v>2</v>
      </c>
      <c r="AS446" s="201" t="str">
        <f>镇沅!AO60</f>
        <v>？？？</v>
      </c>
      <c r="AT446" s="201" t="str">
        <f>镇沅!AP60</f>
        <v>13887959989</v>
      </c>
    </row>
    <row r="447" spans="1:46">
      <c r="A447" t="s">
        <v>1926</v>
      </c>
      <c r="B447" s="202" t="str">
        <f>VLOOKUP(A447,databases!$A$2:$B$7, 2, FALSE)</f>
        <v>ZhenYuan</v>
      </c>
      <c r="C447" t="str">
        <f>镇沅!B6</f>
        <v>何忠云</v>
      </c>
      <c r="D447" s="202" t="str">
        <f>VLOOKUP(C447,databases!$D$2:$E$145, 2, FALSE)</f>
        <v>R3</v>
      </c>
      <c r="E447" s="259">
        <f>INDEX(sample_database!$B$2:$B$506,MATCH(F447,sample_database!$L$2:$L$506,0))</f>
        <v>95</v>
      </c>
      <c r="F447" s="202" t="str">
        <f>镇沅!A6</f>
        <v>ZY05</v>
      </c>
      <c r="G447" s="257">
        <f>镇沅!C6</f>
        <v>5</v>
      </c>
      <c r="H447" s="257">
        <f>镇沅!D6</f>
        <v>0</v>
      </c>
      <c r="I447" s="202">
        <f>镇沅!E6</f>
        <v>85</v>
      </c>
      <c r="J447" s="202">
        <f>镇沅!F6</f>
        <v>34</v>
      </c>
      <c r="K447" s="202">
        <f>镇沅!G6</f>
        <v>10</v>
      </c>
      <c r="L447" s="202">
        <f>镇沅!H6</f>
        <v>17</v>
      </c>
      <c r="M447" s="202">
        <f>镇沅!I6</f>
        <v>11</v>
      </c>
      <c r="N447" s="202">
        <f>镇沅!J6</f>
        <v>13</v>
      </c>
      <c r="O447" s="202">
        <f>镇沅!K6</f>
        <v>0</v>
      </c>
      <c r="P447" s="202">
        <f>镇沅!L6</f>
        <v>0</v>
      </c>
      <c r="Q447" s="202">
        <f>镇沅!M6</f>
        <v>0</v>
      </c>
      <c r="R447" s="202">
        <f>镇沅!N6</f>
        <v>0</v>
      </c>
      <c r="S447" s="202">
        <f>镇沅!O6</f>
        <v>0</v>
      </c>
      <c r="T447" s="202">
        <f>镇沅!P6</f>
        <v>0</v>
      </c>
      <c r="U447" s="202">
        <f>镇沅!Q6</f>
        <v>0</v>
      </c>
      <c r="V447" s="202">
        <f>镇沅!R6</f>
        <v>0</v>
      </c>
      <c r="W447" s="202">
        <f>镇沅!S6</f>
        <v>0</v>
      </c>
      <c r="X447" s="202">
        <f>镇沅!T6</f>
        <v>0</v>
      </c>
      <c r="Y447" s="202">
        <f>镇沅!U6</f>
        <v>0</v>
      </c>
      <c r="Z447" s="202">
        <f>镇沅!V6</f>
        <v>0</v>
      </c>
      <c r="AA447" s="202">
        <f>镇沅!W6</f>
        <v>0</v>
      </c>
      <c r="AB447" s="202">
        <f>镇沅!X6</f>
        <v>0</v>
      </c>
      <c r="AC447" s="202">
        <f>镇沅!Y6</f>
        <v>0</v>
      </c>
      <c r="AD447" s="202">
        <f>镇沅!Z6</f>
        <v>0</v>
      </c>
      <c r="AE447" s="202">
        <f>镇沅!AA6</f>
        <v>0</v>
      </c>
      <c r="AF447" s="202">
        <f>镇沅!AB6</f>
        <v>0</v>
      </c>
      <c r="AG447" s="202">
        <f>镇沅!AC6</f>
        <v>0</v>
      </c>
      <c r="AH447" s="202">
        <f>镇沅!AD6</f>
        <v>0</v>
      </c>
      <c r="AI447" s="202">
        <f>镇沅!AE6</f>
        <v>0</v>
      </c>
      <c r="AJ447" s="202">
        <f>镇沅!AF6</f>
        <v>0</v>
      </c>
      <c r="AK447" s="202" t="str">
        <f>镇沅!AG6</f>
        <v>镇沅县九甲镇和平村千家寨</v>
      </c>
      <c r="AL447" s="202" t="str">
        <f>镇沅!AH6</f>
        <v>20160721-0730</v>
      </c>
      <c r="AM447" s="202">
        <f>镇沅!AI6</f>
        <v>0</v>
      </c>
      <c r="AN447" s="202">
        <f>镇沅!AJ6</f>
        <v>0</v>
      </c>
      <c r="AO447" s="202">
        <f>镇沅!AK6</f>
        <v>0</v>
      </c>
      <c r="AP447" s="263">
        <v>20</v>
      </c>
      <c r="AQ447" s="209">
        <f>镇沅!AM6</f>
        <v>0</v>
      </c>
      <c r="AR447" s="295">
        <f>镇沅!AN6</f>
        <v>4</v>
      </c>
      <c r="AS447" s="201" t="str">
        <f>镇沅!AO6</f>
        <v>53272619860928241X</v>
      </c>
      <c r="AT447" s="201" t="str">
        <f>镇沅!AP6</f>
        <v>13987901549</v>
      </c>
    </row>
    <row r="448" spans="1:46">
      <c r="A448" t="s">
        <v>1926</v>
      </c>
      <c r="B448" s="202" t="str">
        <f>VLOOKUP(A448,databases!$A$2:$B$7, 2, FALSE)</f>
        <v>ZhenYuan</v>
      </c>
      <c r="C448" t="str">
        <f>镇沅!B3</f>
        <v>刘永</v>
      </c>
      <c r="D448" s="202" t="str">
        <f>VLOOKUP(C448,databases!$D$2:$E$145, 2, FALSE)</f>
        <v>R6</v>
      </c>
      <c r="E448" s="259">
        <f>INDEX(sample_database!$B$2:$B$506,MATCH(F448,sample_database!$L$2:$L$506,0))</f>
        <v>85</v>
      </c>
      <c r="F448" s="202" t="str">
        <f>镇沅!A3</f>
        <v>ZY02</v>
      </c>
      <c r="G448" s="257">
        <f>镇沅!C3</f>
        <v>0</v>
      </c>
      <c r="H448" s="257">
        <f>镇沅!D3</f>
        <v>1</v>
      </c>
      <c r="I448" s="202">
        <f>镇沅!E3</f>
        <v>1</v>
      </c>
      <c r="J448" s="202">
        <f>镇沅!F3</f>
        <v>1</v>
      </c>
      <c r="K448" s="202">
        <f>镇沅!G3</f>
        <v>0</v>
      </c>
      <c r="L448" s="202">
        <f>镇沅!H3</f>
        <v>0</v>
      </c>
      <c r="M448" s="202">
        <f>镇沅!I3</f>
        <v>0</v>
      </c>
      <c r="N448" s="202">
        <f>镇沅!J3</f>
        <v>0</v>
      </c>
      <c r="O448" s="202">
        <f>镇沅!K3</f>
        <v>0</v>
      </c>
      <c r="P448" s="202">
        <f>镇沅!L3</f>
        <v>0</v>
      </c>
      <c r="Q448" s="202">
        <f>镇沅!M3</f>
        <v>0</v>
      </c>
      <c r="R448" s="202">
        <f>镇沅!N3</f>
        <v>0</v>
      </c>
      <c r="S448" s="202">
        <f>镇沅!O3</f>
        <v>0</v>
      </c>
      <c r="T448" s="202">
        <f>镇沅!P3</f>
        <v>0</v>
      </c>
      <c r="U448" s="202">
        <f>镇沅!Q3</f>
        <v>0</v>
      </c>
      <c r="V448" s="202">
        <f>镇沅!R3</f>
        <v>0</v>
      </c>
      <c r="W448" s="202">
        <f>镇沅!S3</f>
        <v>0</v>
      </c>
      <c r="X448" s="202">
        <f>镇沅!T3</f>
        <v>0</v>
      </c>
      <c r="Y448" s="202">
        <f>镇沅!U3</f>
        <v>0</v>
      </c>
      <c r="Z448" s="202">
        <f>镇沅!V3</f>
        <v>0</v>
      </c>
      <c r="AA448" s="202">
        <f>镇沅!W3</f>
        <v>0</v>
      </c>
      <c r="AB448" s="202">
        <f>镇沅!X3</f>
        <v>0</v>
      </c>
      <c r="AC448" s="202">
        <f>镇沅!Y3</f>
        <v>0</v>
      </c>
      <c r="AD448" s="202">
        <f>镇沅!Z3</f>
        <v>0</v>
      </c>
      <c r="AE448" s="202">
        <f>镇沅!AA3</f>
        <v>0</v>
      </c>
      <c r="AF448" s="202">
        <f>镇沅!AB3</f>
        <v>0</v>
      </c>
      <c r="AG448" s="202">
        <f>镇沅!AC3</f>
        <v>0</v>
      </c>
      <c r="AH448" s="202">
        <f>镇沅!AD3</f>
        <v>0</v>
      </c>
      <c r="AI448" s="202">
        <f>镇沅!AE3</f>
        <v>0</v>
      </c>
      <c r="AJ448" s="202">
        <f>镇沅!AF3</f>
        <v>0</v>
      </c>
      <c r="AK448" s="202" t="str">
        <f>镇沅!AG3</f>
        <v>镇沅县九甲镇勐真村</v>
      </c>
      <c r="AL448" s="202" t="str">
        <f>镇沅!AH3</f>
        <v>20160620</v>
      </c>
      <c r="AM448" s="202">
        <f>镇沅!AI3</f>
        <v>0</v>
      </c>
      <c r="AN448" s="202">
        <f>镇沅!AJ3</f>
        <v>0</v>
      </c>
      <c r="AO448" s="202">
        <f>镇沅!AK3</f>
        <v>0</v>
      </c>
      <c r="AP448" s="263">
        <v>0.5</v>
      </c>
      <c r="AQ448" s="209">
        <f>镇沅!AM3</f>
        <v>0</v>
      </c>
      <c r="AR448" s="295">
        <f>镇沅!AN3</f>
        <v>0.1</v>
      </c>
      <c r="AS448" s="201" t="str">
        <f>镇沅!AO3</f>
        <v>532726199008132111</v>
      </c>
      <c r="AT448" s="201" t="str">
        <f>镇沅!AP3</f>
        <v>13649692948</v>
      </c>
    </row>
    <row r="449" spans="1:46">
      <c r="A449" t="s">
        <v>1926</v>
      </c>
      <c r="B449" s="202" t="str">
        <f>VLOOKUP(A449,databases!$A$2:$B$7, 2, FALSE)</f>
        <v>ZhenYuan</v>
      </c>
      <c r="C449" t="str">
        <f>镇沅!B26</f>
        <v>周国宇</v>
      </c>
      <c r="D449" s="273" t="str">
        <f>VLOOKUP(C449,databases!$D$2:$E$145, 2, FALSE)</f>
        <v>R8</v>
      </c>
      <c r="E449" s="274" t="str">
        <f>INDEX(sample_database!$B$2:$B$506,MATCH(F449,sample_database!$L$2:$L$506,0))</f>
        <v>NA</v>
      </c>
      <c r="F449" s="202" t="str">
        <f>镇沅!A26</f>
        <v>ZY25</v>
      </c>
      <c r="G449" s="257">
        <f>镇沅!C26</f>
        <v>15</v>
      </c>
      <c r="H449" s="257">
        <f>镇沅!D26</f>
        <v>0</v>
      </c>
      <c r="I449" s="202">
        <f>镇沅!E26</f>
        <v>31</v>
      </c>
      <c r="J449" s="202">
        <f>镇沅!F26</f>
        <v>1</v>
      </c>
      <c r="K449" s="202">
        <f>镇沅!G26</f>
        <v>4</v>
      </c>
      <c r="L449" s="202">
        <f>镇沅!H26</f>
        <v>2</v>
      </c>
      <c r="M449" s="202">
        <f>镇沅!I26</f>
        <v>2</v>
      </c>
      <c r="N449" s="202">
        <f>镇沅!J26</f>
        <v>2</v>
      </c>
      <c r="O449" s="202">
        <f>镇沅!K26</f>
        <v>2</v>
      </c>
      <c r="P449" s="202">
        <f>镇沅!L26</f>
        <v>2</v>
      </c>
      <c r="Q449" s="202">
        <f>镇沅!M26</f>
        <v>2</v>
      </c>
      <c r="R449" s="202">
        <f>镇沅!N26</f>
        <v>2</v>
      </c>
      <c r="S449" s="202">
        <f>镇沅!O26</f>
        <v>2</v>
      </c>
      <c r="T449" s="202">
        <f>镇沅!P26</f>
        <v>2</v>
      </c>
      <c r="U449" s="202">
        <f>镇沅!Q26</f>
        <v>2</v>
      </c>
      <c r="V449" s="202">
        <f>镇沅!R26</f>
        <v>2</v>
      </c>
      <c r="W449" s="202">
        <f>镇沅!S26</f>
        <v>2</v>
      </c>
      <c r="X449" s="202">
        <f>镇沅!T26</f>
        <v>2</v>
      </c>
      <c r="Y449" s="202">
        <f>镇沅!U26</f>
        <v>0</v>
      </c>
      <c r="Z449" s="202">
        <f>镇沅!V26</f>
        <v>0</v>
      </c>
      <c r="AA449" s="202">
        <f>镇沅!W26</f>
        <v>0</v>
      </c>
      <c r="AB449" s="202">
        <f>镇沅!X26</f>
        <v>0</v>
      </c>
      <c r="AC449" s="202">
        <f>镇沅!Y26</f>
        <v>0</v>
      </c>
      <c r="AD449" s="202">
        <f>镇沅!Z26</f>
        <v>0</v>
      </c>
      <c r="AE449" s="202">
        <f>镇沅!AA26</f>
        <v>0</v>
      </c>
      <c r="AF449" s="202">
        <f>镇沅!AB26</f>
        <v>0</v>
      </c>
      <c r="AG449" s="202">
        <f>镇沅!AC26</f>
        <v>0</v>
      </c>
      <c r="AH449" s="202">
        <f>镇沅!AD26</f>
        <v>0</v>
      </c>
      <c r="AI449" s="202">
        <f>镇沅!AE26</f>
        <v>0</v>
      </c>
      <c r="AJ449" s="202">
        <f>镇沅!AF26</f>
        <v>0</v>
      </c>
      <c r="AK449" s="202" t="str">
        <f>镇沅!AG26</f>
        <v>镇沅县者东镇木丁村大山小组</v>
      </c>
      <c r="AL449" s="202" t="str">
        <f>镇沅!AH26</f>
        <v>20160718</v>
      </c>
      <c r="AM449" s="202">
        <f>镇沅!AI26</f>
        <v>0</v>
      </c>
      <c r="AN449" s="202">
        <f>镇沅!AJ26</f>
        <v>0</v>
      </c>
      <c r="AO449" s="202">
        <f>镇沅!AK26</f>
        <v>0</v>
      </c>
      <c r="AP449" s="263">
        <v>10</v>
      </c>
      <c r="AQ449" s="209">
        <f>镇沅!AM26</f>
        <v>0</v>
      </c>
      <c r="AR449" s="295">
        <f>镇沅!AN26</f>
        <v>2</v>
      </c>
      <c r="AS449" s="201" t="str">
        <f>镇沅!AO26</f>
        <v>532726195812282411</v>
      </c>
      <c r="AT449" s="201" t="str">
        <f>镇沅!AP26</f>
        <v>13987907342</v>
      </c>
    </row>
    <row r="450" spans="1:46">
      <c r="A450" t="s">
        <v>1926</v>
      </c>
      <c r="B450" s="202" t="str">
        <f>VLOOKUP(A450,databases!$A$2:$B$7, 2, FALSE)</f>
        <v>ZhenYuan</v>
      </c>
      <c r="C450" t="str">
        <f>镇沅!B27</f>
        <v>周国宇</v>
      </c>
      <c r="D450" s="275" t="str">
        <f>VLOOKUP(C450,databases!$D$2:$E$145, 2, FALSE)</f>
        <v>R8</v>
      </c>
      <c r="E450" s="276" t="str">
        <f>INDEX(sample_database!$B$2:$B$506,MATCH(F450,sample_database!$L$2:$L$506,0))</f>
        <v>NA</v>
      </c>
      <c r="F450" s="202" t="str">
        <f>镇沅!A27</f>
        <v>ZY26</v>
      </c>
      <c r="G450" s="257">
        <f>镇沅!C27</f>
        <v>0</v>
      </c>
      <c r="H450" s="257">
        <f>镇沅!D27</f>
        <v>20</v>
      </c>
      <c r="I450" s="202">
        <f>镇沅!E27</f>
        <v>60</v>
      </c>
      <c r="J450" s="202">
        <f>镇沅!F27</f>
        <v>1</v>
      </c>
      <c r="K450" s="202">
        <f>镇沅!G27</f>
        <v>2</v>
      </c>
      <c r="L450" s="202">
        <f>镇沅!H27</f>
        <v>2</v>
      </c>
      <c r="M450" s="202">
        <f>镇沅!I27</f>
        <v>2</v>
      </c>
      <c r="N450" s="202">
        <f>镇沅!J27</f>
        <v>2</v>
      </c>
      <c r="O450" s="202">
        <f>镇沅!K27</f>
        <v>3</v>
      </c>
      <c r="P450" s="202">
        <f>镇沅!L27</f>
        <v>3</v>
      </c>
      <c r="Q450" s="202">
        <f>镇沅!M27</f>
        <v>3</v>
      </c>
      <c r="R450" s="202">
        <f>镇沅!N27</f>
        <v>3</v>
      </c>
      <c r="S450" s="202">
        <f>镇沅!O27</f>
        <v>3</v>
      </c>
      <c r="T450" s="202">
        <f>镇沅!P27</f>
        <v>3</v>
      </c>
      <c r="U450" s="202">
        <f>镇沅!Q27</f>
        <v>3</v>
      </c>
      <c r="V450" s="202">
        <f>镇沅!R27</f>
        <v>3</v>
      </c>
      <c r="W450" s="202">
        <f>镇沅!S27</f>
        <v>3</v>
      </c>
      <c r="X450" s="202">
        <f>镇沅!T27</f>
        <v>3</v>
      </c>
      <c r="Y450" s="202">
        <f>镇沅!U27</f>
        <v>4</v>
      </c>
      <c r="Z450" s="202">
        <f>镇沅!V27</f>
        <v>4</v>
      </c>
      <c r="AA450" s="202">
        <f>镇沅!W27</f>
        <v>4</v>
      </c>
      <c r="AB450" s="202">
        <f>镇沅!X27</f>
        <v>4</v>
      </c>
      <c r="AC450" s="202">
        <f>镇沅!Y27</f>
        <v>5</v>
      </c>
      <c r="AD450" s="202">
        <f>镇沅!Z27</f>
        <v>0</v>
      </c>
      <c r="AE450" s="202">
        <f>镇沅!AA27</f>
        <v>0</v>
      </c>
      <c r="AF450" s="202">
        <f>镇沅!AB27</f>
        <v>0</v>
      </c>
      <c r="AG450" s="202">
        <f>镇沅!AC27</f>
        <v>0</v>
      </c>
      <c r="AH450" s="202">
        <f>镇沅!AD27</f>
        <v>0</v>
      </c>
      <c r="AI450" s="202">
        <f>镇沅!AE27</f>
        <v>0</v>
      </c>
      <c r="AJ450" s="202">
        <f>镇沅!AF27</f>
        <v>0</v>
      </c>
      <c r="AK450" s="202" t="str">
        <f>镇沅!AG27</f>
        <v>镇沅县者东镇木丁村大山小组</v>
      </c>
      <c r="AL450" s="202" t="str">
        <f>镇沅!AH27</f>
        <v>20160821&amp;27</v>
      </c>
      <c r="AM450" s="202">
        <f>镇沅!AI27</f>
        <v>0</v>
      </c>
      <c r="AN450" s="202">
        <f>镇沅!AJ27</f>
        <v>0</v>
      </c>
      <c r="AO450" s="202">
        <f>镇沅!AK27</f>
        <v>0</v>
      </c>
      <c r="AP450" s="263">
        <v>20</v>
      </c>
      <c r="AQ450" s="209">
        <f>镇沅!AM27</f>
        <v>0</v>
      </c>
      <c r="AR450" s="295">
        <f>镇沅!AN27</f>
        <v>4</v>
      </c>
      <c r="AS450" s="201" t="str">
        <f>镇沅!AO27</f>
        <v>532726195812282411</v>
      </c>
      <c r="AT450" s="201" t="str">
        <f>镇沅!AP27</f>
        <v>13987907342</v>
      </c>
    </row>
    <row r="451" spans="1:46">
      <c r="A451" t="s">
        <v>1926</v>
      </c>
      <c r="B451" s="202" t="str">
        <f>VLOOKUP(A451,databases!$A$2:$B$7, 2, FALSE)</f>
        <v>ZhenYuan</v>
      </c>
      <c r="C451" t="str">
        <f>镇沅!B28</f>
        <v>周国宇</v>
      </c>
      <c r="D451" s="275" t="str">
        <f>VLOOKUP(C451,databases!$D$2:$E$145, 2, FALSE)</f>
        <v>R8</v>
      </c>
      <c r="E451" s="276" t="str">
        <f>INDEX(sample_database!$B$2:$B$506,MATCH(F451,sample_database!$L$2:$L$506,0))</f>
        <v>NA</v>
      </c>
      <c r="F451" s="202" t="str">
        <f>镇沅!A28</f>
        <v>ZY27</v>
      </c>
      <c r="G451" s="257">
        <f>镇沅!C28</f>
        <v>10</v>
      </c>
      <c r="H451" s="257">
        <f>镇沅!D28</f>
        <v>0</v>
      </c>
      <c r="I451" s="202">
        <f>镇沅!E28</f>
        <v>33</v>
      </c>
      <c r="J451" s="202">
        <f>镇沅!F28</f>
        <v>2</v>
      </c>
      <c r="K451" s="202">
        <f>镇沅!G28</f>
        <v>4</v>
      </c>
      <c r="L451" s="202">
        <f>镇沅!H28</f>
        <v>4</v>
      </c>
      <c r="M451" s="202">
        <f>镇沅!I28</f>
        <v>4</v>
      </c>
      <c r="N451" s="202">
        <f>镇沅!J28</f>
        <v>4</v>
      </c>
      <c r="O451" s="202">
        <f>镇沅!K28</f>
        <v>3</v>
      </c>
      <c r="P451" s="202">
        <f>镇沅!L28</f>
        <v>3</v>
      </c>
      <c r="Q451" s="202">
        <f>镇沅!M28</f>
        <v>3</v>
      </c>
      <c r="R451" s="202">
        <f>镇沅!N28</f>
        <v>3</v>
      </c>
      <c r="S451" s="202">
        <f>镇沅!O28</f>
        <v>3</v>
      </c>
      <c r="T451" s="202">
        <f>镇沅!P28</f>
        <v>0</v>
      </c>
      <c r="U451" s="202">
        <f>镇沅!Q28</f>
        <v>0</v>
      </c>
      <c r="V451" s="202">
        <f>镇沅!R28</f>
        <v>0</v>
      </c>
      <c r="W451" s="202">
        <f>镇沅!S28</f>
        <v>0</v>
      </c>
      <c r="X451" s="202">
        <f>镇沅!T28</f>
        <v>0</v>
      </c>
      <c r="Y451" s="202">
        <f>镇沅!U28</f>
        <v>0</v>
      </c>
      <c r="Z451" s="202">
        <f>镇沅!V28</f>
        <v>0</v>
      </c>
      <c r="AA451" s="202">
        <f>镇沅!W28</f>
        <v>0</v>
      </c>
      <c r="AB451" s="202">
        <f>镇沅!X28</f>
        <v>0</v>
      </c>
      <c r="AC451" s="202">
        <f>镇沅!Y28</f>
        <v>0</v>
      </c>
      <c r="AD451" s="202">
        <f>镇沅!Z28</f>
        <v>0</v>
      </c>
      <c r="AE451" s="202">
        <f>镇沅!AA28</f>
        <v>0</v>
      </c>
      <c r="AF451" s="202">
        <f>镇沅!AB28</f>
        <v>0</v>
      </c>
      <c r="AG451" s="202">
        <f>镇沅!AC28</f>
        <v>0</v>
      </c>
      <c r="AH451" s="202">
        <f>镇沅!AD28</f>
        <v>0</v>
      </c>
      <c r="AI451" s="202">
        <f>镇沅!AE28</f>
        <v>0</v>
      </c>
      <c r="AJ451" s="202">
        <f>镇沅!AF28</f>
        <v>0</v>
      </c>
      <c r="AK451" s="202" t="str">
        <f>镇沅!AG28</f>
        <v>镇沅县者东镇木丁村大山小组</v>
      </c>
      <c r="AL451" s="202" t="str">
        <f>镇沅!AH28</f>
        <v>20160822</v>
      </c>
      <c r="AM451" s="202">
        <f>镇沅!AI28</f>
        <v>0</v>
      </c>
      <c r="AN451" s="202">
        <f>镇沅!AJ28</f>
        <v>0</v>
      </c>
      <c r="AO451" s="202">
        <f>镇沅!AK28</f>
        <v>0</v>
      </c>
      <c r="AP451" s="263">
        <v>12.5</v>
      </c>
      <c r="AQ451" s="209">
        <f>镇沅!AM28</f>
        <v>0</v>
      </c>
      <c r="AR451" s="295">
        <f>镇沅!AN28</f>
        <v>2.5</v>
      </c>
      <c r="AS451" s="201" t="str">
        <f>镇沅!AO28</f>
        <v>532726195812282411</v>
      </c>
      <c r="AT451" s="201" t="str">
        <f>镇沅!AP28</f>
        <v>13987907342</v>
      </c>
    </row>
    <row r="452" spans="1:46">
      <c r="A452" t="s">
        <v>1926</v>
      </c>
      <c r="B452" s="202" t="str">
        <f>VLOOKUP(A452,databases!$A$2:$B$7, 2, FALSE)</f>
        <v>ZhenYuan</v>
      </c>
      <c r="C452" t="str">
        <f>镇沅!B29</f>
        <v>周国宇</v>
      </c>
      <c r="D452" s="277" t="str">
        <f>VLOOKUP(C452,databases!$D$2:$E$145, 2, FALSE)</f>
        <v>R8</v>
      </c>
      <c r="E452" s="278" t="str">
        <f>INDEX(sample_database!$B$2:$B$506,MATCH(F452,sample_database!$L$2:$L$506,0))</f>
        <v>NA</v>
      </c>
      <c r="F452" s="202" t="str">
        <f>镇沅!A29</f>
        <v>ZY28</v>
      </c>
      <c r="G452" s="257">
        <f>镇沅!C29</f>
        <v>14</v>
      </c>
      <c r="H452" s="257">
        <f>镇沅!D29</f>
        <v>0</v>
      </c>
      <c r="I452" s="202">
        <f>镇沅!E29</f>
        <v>64</v>
      </c>
      <c r="J452" s="202">
        <f>镇沅!F29</f>
        <v>5</v>
      </c>
      <c r="K452" s="202">
        <f>镇沅!G29</f>
        <v>5</v>
      </c>
      <c r="L452" s="202">
        <f>镇沅!H29</f>
        <v>5</v>
      </c>
      <c r="M452" s="202">
        <f>镇沅!I29</f>
        <v>5</v>
      </c>
      <c r="N452" s="202">
        <f>镇沅!J29</f>
        <v>5</v>
      </c>
      <c r="O452" s="202">
        <f>镇沅!K29</f>
        <v>5</v>
      </c>
      <c r="P452" s="202">
        <f>镇沅!L29</f>
        <v>5</v>
      </c>
      <c r="Q452" s="202">
        <f>镇沅!M29</f>
        <v>5</v>
      </c>
      <c r="R452" s="202">
        <f>镇沅!N29</f>
        <v>4</v>
      </c>
      <c r="S452" s="202">
        <f>镇沅!O29</f>
        <v>4</v>
      </c>
      <c r="T452" s="202">
        <f>镇沅!P29</f>
        <v>4</v>
      </c>
      <c r="U452" s="202">
        <f>镇沅!Q29</f>
        <v>3</v>
      </c>
      <c r="V452" s="202">
        <f>镇沅!R29</f>
        <v>3</v>
      </c>
      <c r="W452" s="202">
        <f>镇沅!S29</f>
        <v>6</v>
      </c>
      <c r="X452" s="202">
        <f>镇沅!T29</f>
        <v>0</v>
      </c>
      <c r="Y452" s="202">
        <f>镇沅!U29</f>
        <v>0</v>
      </c>
      <c r="Z452" s="202">
        <f>镇沅!V29</f>
        <v>0</v>
      </c>
      <c r="AA452" s="202">
        <f>镇沅!W29</f>
        <v>0</v>
      </c>
      <c r="AB452" s="202">
        <f>镇沅!X29</f>
        <v>0</v>
      </c>
      <c r="AC452" s="202">
        <f>镇沅!Y29</f>
        <v>0</v>
      </c>
      <c r="AD452" s="202">
        <f>镇沅!Z29</f>
        <v>0</v>
      </c>
      <c r="AE452" s="202">
        <f>镇沅!AA29</f>
        <v>0</v>
      </c>
      <c r="AF452" s="202">
        <f>镇沅!AB29</f>
        <v>0</v>
      </c>
      <c r="AG452" s="202">
        <f>镇沅!AC29</f>
        <v>0</v>
      </c>
      <c r="AH452" s="202">
        <f>镇沅!AD29</f>
        <v>0</v>
      </c>
      <c r="AI452" s="202">
        <f>镇沅!AE29</f>
        <v>0</v>
      </c>
      <c r="AJ452" s="202">
        <f>镇沅!AF29</f>
        <v>0</v>
      </c>
      <c r="AK452" s="202" t="str">
        <f>镇沅!AG29</f>
        <v>镇沅县者东镇木丁村大山小组</v>
      </c>
      <c r="AL452" s="202" t="str">
        <f>镇沅!AH29</f>
        <v>20160823-0824</v>
      </c>
      <c r="AM452" s="202">
        <f>镇沅!AI29</f>
        <v>0</v>
      </c>
      <c r="AN452" s="202">
        <f>镇沅!AJ29</f>
        <v>0</v>
      </c>
      <c r="AO452" s="202">
        <f>镇沅!AK29</f>
        <v>0</v>
      </c>
      <c r="AP452" s="263">
        <v>20</v>
      </c>
      <c r="AQ452" s="209">
        <f>镇沅!AM29</f>
        <v>0</v>
      </c>
      <c r="AR452" s="295">
        <f>镇沅!AN29</f>
        <v>4</v>
      </c>
      <c r="AS452" s="201" t="str">
        <f>镇沅!AO29</f>
        <v>532726195812282411</v>
      </c>
      <c r="AT452" s="201" t="str">
        <f>镇沅!AP29</f>
        <v>13987907342</v>
      </c>
    </row>
    <row r="453" spans="1:46">
      <c r="A453" t="s">
        <v>1926</v>
      </c>
      <c r="B453" s="202" t="str">
        <f>VLOOKUP(A453,databases!$A$2:$B$7, 2, FALSE)</f>
        <v>ZhenYuan</v>
      </c>
      <c r="C453" t="str">
        <f>镇沅!B46</f>
        <v>普宁</v>
      </c>
      <c r="D453" s="236" t="str">
        <f>VLOOKUP(C453,databases!$D$2:$E$145, 2, FALSE)</f>
        <v>R31</v>
      </c>
      <c r="E453" s="271" t="str">
        <f>INDEX(sample_database!$B$2:$B$506,MATCH(F453,sample_database!$L$2:$L$506,0))</f>
        <v>89 or 90</v>
      </c>
      <c r="F453" s="202" t="str">
        <f>镇沅!A46</f>
        <v>ZY45</v>
      </c>
      <c r="G453" s="257">
        <f>镇沅!C46</f>
        <v>10</v>
      </c>
      <c r="H453" s="257">
        <f>镇沅!D46</f>
        <v>0</v>
      </c>
      <c r="I453" s="202">
        <f>镇沅!E46</f>
        <v>26</v>
      </c>
      <c r="J453" s="202">
        <f>镇沅!F46</f>
        <v>2</v>
      </c>
      <c r="K453" s="202">
        <f>镇沅!G46</f>
        <v>2</v>
      </c>
      <c r="L453" s="202">
        <f>镇沅!H46</f>
        <v>2</v>
      </c>
      <c r="M453" s="202">
        <f>镇沅!I46</f>
        <v>2</v>
      </c>
      <c r="N453" s="202">
        <f>镇沅!J46</f>
        <v>2</v>
      </c>
      <c r="O453" s="202">
        <f>镇沅!K46</f>
        <v>3</v>
      </c>
      <c r="P453" s="202">
        <f>镇沅!L46</f>
        <v>3</v>
      </c>
      <c r="Q453" s="202">
        <f>镇沅!M46</f>
        <v>3</v>
      </c>
      <c r="R453" s="202">
        <f>镇沅!N46</f>
        <v>3</v>
      </c>
      <c r="S453" s="202">
        <f>镇沅!O46</f>
        <v>4</v>
      </c>
      <c r="T453" s="202">
        <f>镇沅!P46</f>
        <v>0</v>
      </c>
      <c r="U453" s="202">
        <f>镇沅!Q46</f>
        <v>0</v>
      </c>
      <c r="V453" s="202">
        <f>镇沅!R46</f>
        <v>0</v>
      </c>
      <c r="W453" s="202">
        <f>镇沅!S46</f>
        <v>0</v>
      </c>
      <c r="X453" s="202">
        <f>镇沅!T46</f>
        <v>0</v>
      </c>
      <c r="Y453" s="202">
        <f>镇沅!U46</f>
        <v>0</v>
      </c>
      <c r="Z453" s="202">
        <f>镇沅!V46</f>
        <v>0</v>
      </c>
      <c r="AA453" s="202">
        <f>镇沅!W46</f>
        <v>0</v>
      </c>
      <c r="AB453" s="202">
        <f>镇沅!X46</f>
        <v>0</v>
      </c>
      <c r="AC453" s="202">
        <f>镇沅!Y46</f>
        <v>0</v>
      </c>
      <c r="AD453" s="202">
        <f>镇沅!Z46</f>
        <v>0</v>
      </c>
      <c r="AE453" s="202">
        <f>镇沅!AA46</f>
        <v>0</v>
      </c>
      <c r="AF453" s="202">
        <f>镇沅!AB46</f>
        <v>0</v>
      </c>
      <c r="AG453" s="202">
        <f>镇沅!AC46</f>
        <v>0</v>
      </c>
      <c r="AH453" s="202">
        <f>镇沅!AD46</f>
        <v>0</v>
      </c>
      <c r="AI453" s="202">
        <f>镇沅!AE46</f>
        <v>0</v>
      </c>
      <c r="AJ453" s="202">
        <f>镇沅!AF46</f>
        <v>0</v>
      </c>
      <c r="AK453" s="202" t="str">
        <f>镇沅!AG46</f>
        <v>镇沅县九甲镇文岗村争山组</v>
      </c>
      <c r="AL453" s="202" t="str">
        <f>镇沅!AH46</f>
        <v>201607</v>
      </c>
      <c r="AM453" s="202">
        <f>镇沅!AI46</f>
        <v>0</v>
      </c>
      <c r="AN453" s="202">
        <f>镇沅!AJ46</f>
        <v>0</v>
      </c>
      <c r="AO453" s="202" t="str">
        <f>镇沅!AK46</f>
        <v>大茶房</v>
      </c>
      <c r="AP453" s="263">
        <v>4</v>
      </c>
      <c r="AQ453" s="209">
        <f>镇沅!AM46</f>
        <v>0</v>
      </c>
      <c r="AR453" s="295">
        <f>镇沅!AN46</f>
        <v>0.8</v>
      </c>
      <c r="AS453" s="201" t="str">
        <f>镇沅!AO46</f>
        <v>？？？</v>
      </c>
      <c r="AT453" s="201" t="str">
        <f>镇沅!AP46</f>
        <v>18387927336</v>
      </c>
    </row>
    <row r="454" spans="1:46">
      <c r="A454" t="s">
        <v>1926</v>
      </c>
      <c r="B454" s="202" t="str">
        <f>VLOOKUP(A454,databases!$A$2:$B$7, 2, FALSE)</f>
        <v>ZhenYuan</v>
      </c>
      <c r="C454" t="str">
        <f>镇沅!B47</f>
        <v>普宁</v>
      </c>
      <c r="D454" s="236" t="str">
        <f>VLOOKUP(C454,databases!$D$2:$E$145, 2, FALSE)</f>
        <v>R31</v>
      </c>
      <c r="E454" s="271" t="str">
        <f>INDEX(sample_database!$B$2:$B$506,MATCH(F454,sample_database!$L$2:$L$506,0))</f>
        <v>89 or 90</v>
      </c>
      <c r="F454" s="202" t="str">
        <f>镇沅!A47</f>
        <v>ZY46</v>
      </c>
      <c r="G454" s="257">
        <f>镇沅!C47</f>
        <v>10</v>
      </c>
      <c r="H454" s="257">
        <f>镇沅!D47</f>
        <v>0</v>
      </c>
      <c r="I454" s="202">
        <f>镇沅!E47</f>
        <v>28</v>
      </c>
      <c r="J454" s="202">
        <f>镇沅!F47</f>
        <v>3</v>
      </c>
      <c r="K454" s="202">
        <f>镇沅!G47</f>
        <v>3</v>
      </c>
      <c r="L454" s="202">
        <f>镇沅!H47</f>
        <v>3</v>
      </c>
      <c r="M454" s="202">
        <f>镇沅!I47</f>
        <v>3</v>
      </c>
      <c r="N454" s="202">
        <f>镇沅!J47</f>
        <v>3</v>
      </c>
      <c r="O454" s="202">
        <f>镇沅!K47</f>
        <v>3</v>
      </c>
      <c r="P454" s="202">
        <f>镇沅!L47</f>
        <v>3</v>
      </c>
      <c r="Q454" s="202">
        <f>镇沅!M47</f>
        <v>3</v>
      </c>
      <c r="R454" s="202">
        <f>镇沅!N47</f>
        <v>3</v>
      </c>
      <c r="S454" s="202">
        <f>镇沅!O47</f>
        <v>1</v>
      </c>
      <c r="T454" s="202">
        <f>镇沅!P47</f>
        <v>0</v>
      </c>
      <c r="U454" s="202">
        <f>镇沅!Q47</f>
        <v>0</v>
      </c>
      <c r="V454" s="202">
        <f>镇沅!R47</f>
        <v>0</v>
      </c>
      <c r="W454" s="202">
        <f>镇沅!S47</f>
        <v>0</v>
      </c>
      <c r="X454" s="202">
        <f>镇沅!T47</f>
        <v>0</v>
      </c>
      <c r="Y454" s="202">
        <f>镇沅!U47</f>
        <v>0</v>
      </c>
      <c r="Z454" s="202">
        <f>镇沅!V47</f>
        <v>0</v>
      </c>
      <c r="AA454" s="202">
        <f>镇沅!W47</f>
        <v>0</v>
      </c>
      <c r="AB454" s="202">
        <f>镇沅!X47</f>
        <v>0</v>
      </c>
      <c r="AC454" s="202">
        <f>镇沅!Y47</f>
        <v>0</v>
      </c>
      <c r="AD454" s="202">
        <f>镇沅!Z47</f>
        <v>0</v>
      </c>
      <c r="AE454" s="202">
        <f>镇沅!AA47</f>
        <v>0</v>
      </c>
      <c r="AF454" s="202">
        <f>镇沅!AB47</f>
        <v>0</v>
      </c>
      <c r="AG454" s="202">
        <f>镇沅!AC47</f>
        <v>0</v>
      </c>
      <c r="AH454" s="202">
        <f>镇沅!AD47</f>
        <v>0</v>
      </c>
      <c r="AI454" s="202">
        <f>镇沅!AE47</f>
        <v>0</v>
      </c>
      <c r="AJ454" s="202">
        <f>镇沅!AF47</f>
        <v>0</v>
      </c>
      <c r="AK454" s="202" t="str">
        <f>镇沅!AG47</f>
        <v>镇沅县九甲镇文岗村争山组</v>
      </c>
      <c r="AL454" s="202" t="str">
        <f>镇沅!AH47</f>
        <v>201607</v>
      </c>
      <c r="AM454" s="202">
        <f>镇沅!AI47</f>
        <v>0</v>
      </c>
      <c r="AN454" s="202">
        <f>镇沅!AJ47</f>
        <v>0</v>
      </c>
      <c r="AO454" s="202" t="str">
        <f>镇沅!AK47</f>
        <v>羊蹄子山</v>
      </c>
      <c r="AP454" s="263">
        <v>4</v>
      </c>
      <c r="AQ454" s="209">
        <f>镇沅!AM47</f>
        <v>0</v>
      </c>
      <c r="AR454" s="295">
        <f>镇沅!AN47</f>
        <v>0.8</v>
      </c>
      <c r="AS454" s="201" t="str">
        <f>镇沅!AO47</f>
        <v>？？？</v>
      </c>
      <c r="AT454" s="201" t="str">
        <f>镇沅!AP47</f>
        <v>18387927336</v>
      </c>
    </row>
    <row r="455" spans="1:46">
      <c r="A455" t="s">
        <v>1926</v>
      </c>
      <c r="B455" s="202" t="str">
        <f>VLOOKUP(A455,databases!$A$2:$B$7, 2, FALSE)</f>
        <v>ZhenYuan</v>
      </c>
      <c r="C455" t="str">
        <f>镇沅!B42</f>
        <v>普恒章</v>
      </c>
      <c r="D455" s="236" t="str">
        <f>VLOOKUP(C455,databases!$D$2:$E$145, 2, FALSE)</f>
        <v>R32</v>
      </c>
      <c r="E455" s="271">
        <f>INDEX(sample_database!$B$2:$B$506,MATCH(F455,sample_database!$L$2:$L$506,0))</f>
        <v>89</v>
      </c>
      <c r="F455" s="202" t="str">
        <f>镇沅!A42</f>
        <v>ZY41</v>
      </c>
      <c r="G455" s="257">
        <f>镇沅!C42</f>
        <v>10</v>
      </c>
      <c r="H455" s="257">
        <f>镇沅!D42</f>
        <v>0</v>
      </c>
      <c r="I455" s="202">
        <f>镇沅!E42</f>
        <v>31</v>
      </c>
      <c r="J455" s="202">
        <f>镇沅!F42</f>
        <v>2</v>
      </c>
      <c r="K455" s="202">
        <f>镇沅!G42</f>
        <v>3</v>
      </c>
      <c r="L455" s="202">
        <f>镇沅!H42</f>
        <v>3</v>
      </c>
      <c r="M455" s="202">
        <f>镇沅!I42</f>
        <v>3</v>
      </c>
      <c r="N455" s="202">
        <f>镇沅!J42</f>
        <v>3</v>
      </c>
      <c r="O455" s="202">
        <f>镇沅!K42</f>
        <v>3</v>
      </c>
      <c r="P455" s="202">
        <f>镇沅!L42</f>
        <v>3</v>
      </c>
      <c r="Q455" s="202">
        <f>镇沅!M42</f>
        <v>3</v>
      </c>
      <c r="R455" s="202">
        <f>镇沅!N42</f>
        <v>4</v>
      </c>
      <c r="S455" s="202">
        <f>镇沅!O42</f>
        <v>4</v>
      </c>
      <c r="T455" s="202">
        <f>镇沅!P42</f>
        <v>0</v>
      </c>
      <c r="U455" s="202">
        <f>镇沅!Q42</f>
        <v>0</v>
      </c>
      <c r="V455" s="202">
        <f>镇沅!R42</f>
        <v>0</v>
      </c>
      <c r="W455" s="202">
        <f>镇沅!S42</f>
        <v>0</v>
      </c>
      <c r="X455" s="202">
        <f>镇沅!T42</f>
        <v>0</v>
      </c>
      <c r="Y455" s="202">
        <f>镇沅!U42</f>
        <v>0</v>
      </c>
      <c r="Z455" s="202">
        <f>镇沅!V42</f>
        <v>0</v>
      </c>
      <c r="AA455" s="202">
        <f>镇沅!W42</f>
        <v>0</v>
      </c>
      <c r="AB455" s="202">
        <f>镇沅!X42</f>
        <v>0</v>
      </c>
      <c r="AC455" s="202">
        <f>镇沅!Y42</f>
        <v>0</v>
      </c>
      <c r="AD455" s="202">
        <f>镇沅!Z42</f>
        <v>0</v>
      </c>
      <c r="AE455" s="202">
        <f>镇沅!AA42</f>
        <v>0</v>
      </c>
      <c r="AF455" s="202">
        <f>镇沅!AB42</f>
        <v>0</v>
      </c>
      <c r="AG455" s="202">
        <f>镇沅!AC42</f>
        <v>0</v>
      </c>
      <c r="AH455" s="202">
        <f>镇沅!AD42</f>
        <v>0</v>
      </c>
      <c r="AI455" s="202">
        <f>镇沅!AE42</f>
        <v>0</v>
      </c>
      <c r="AJ455" s="202">
        <f>镇沅!AF42</f>
        <v>0</v>
      </c>
      <c r="AK455" s="202" t="str">
        <f>镇沅!AG42</f>
        <v>镇沅县九甲镇文岗村争山组</v>
      </c>
      <c r="AL455" s="202" t="str">
        <f>镇沅!AH42</f>
        <v>201607</v>
      </c>
      <c r="AM455" s="202">
        <f>镇沅!AI42</f>
        <v>0</v>
      </c>
      <c r="AN455" s="202">
        <f>镇沅!AJ42</f>
        <v>0</v>
      </c>
      <c r="AO455" s="202" t="str">
        <f>镇沅!AK42</f>
        <v>大尖峰</v>
      </c>
      <c r="AP455" s="263">
        <v>7.5</v>
      </c>
      <c r="AQ455" s="209">
        <f>镇沅!AM42</f>
        <v>0</v>
      </c>
      <c r="AR455" s="295">
        <f>镇沅!AN42</f>
        <v>1.5</v>
      </c>
      <c r="AS455" s="201" t="str">
        <f>镇沅!AO42</f>
        <v>？？？</v>
      </c>
      <c r="AT455" s="201" t="str">
        <f>镇沅!AP42</f>
        <v>15925281143</v>
      </c>
    </row>
    <row r="456" spans="1:46">
      <c r="A456" t="s">
        <v>1926</v>
      </c>
      <c r="B456" s="202" t="str">
        <f>VLOOKUP(A456,databases!$A$2:$B$7, 2, FALSE)</f>
        <v>ZhenYuan</v>
      </c>
      <c r="C456" t="str">
        <f>镇沅!B43</f>
        <v>普恒章</v>
      </c>
      <c r="D456" s="236" t="str">
        <f>VLOOKUP(C456,databases!$D$2:$E$145, 2, FALSE)</f>
        <v>R32</v>
      </c>
      <c r="E456" s="271">
        <f>INDEX(sample_database!$B$2:$B$506,MATCH(F456,sample_database!$L$2:$L$506,0))</f>
        <v>89</v>
      </c>
      <c r="F456" s="202" t="str">
        <f>镇沅!A43</f>
        <v>ZY42</v>
      </c>
      <c r="G456" s="257">
        <f>镇沅!C43</f>
        <v>10</v>
      </c>
      <c r="H456" s="257">
        <f>镇沅!D43</f>
        <v>0</v>
      </c>
      <c r="I456" s="202">
        <f>镇沅!E43</f>
        <v>28</v>
      </c>
      <c r="J456" s="202">
        <f>镇沅!F43</f>
        <v>2</v>
      </c>
      <c r="K456" s="202">
        <f>镇沅!G43</f>
        <v>2</v>
      </c>
      <c r="L456" s="202">
        <f>镇沅!H43</f>
        <v>3</v>
      </c>
      <c r="M456" s="202">
        <f>镇沅!I43</f>
        <v>3</v>
      </c>
      <c r="N456" s="202">
        <f>镇沅!J43</f>
        <v>3</v>
      </c>
      <c r="O456" s="202">
        <f>镇沅!K43</f>
        <v>3</v>
      </c>
      <c r="P456" s="202">
        <f>镇沅!L43</f>
        <v>3</v>
      </c>
      <c r="Q456" s="202">
        <f>镇沅!M43</f>
        <v>3</v>
      </c>
      <c r="R456" s="202">
        <f>镇沅!N43</f>
        <v>3</v>
      </c>
      <c r="S456" s="202">
        <f>镇沅!O43</f>
        <v>3</v>
      </c>
      <c r="T456" s="202">
        <f>镇沅!P43</f>
        <v>0</v>
      </c>
      <c r="U456" s="202">
        <f>镇沅!Q43</f>
        <v>0</v>
      </c>
      <c r="V456" s="202">
        <f>镇沅!R43</f>
        <v>0</v>
      </c>
      <c r="W456" s="202">
        <f>镇沅!S43</f>
        <v>0</v>
      </c>
      <c r="X456" s="202">
        <f>镇沅!T43</f>
        <v>0</v>
      </c>
      <c r="Y456" s="202">
        <f>镇沅!U43</f>
        <v>0</v>
      </c>
      <c r="Z456" s="202">
        <f>镇沅!V43</f>
        <v>0</v>
      </c>
      <c r="AA456" s="202">
        <f>镇沅!W43</f>
        <v>0</v>
      </c>
      <c r="AB456" s="202">
        <f>镇沅!X43</f>
        <v>0</v>
      </c>
      <c r="AC456" s="202">
        <f>镇沅!Y43</f>
        <v>0</v>
      </c>
      <c r="AD456" s="202">
        <f>镇沅!Z43</f>
        <v>0</v>
      </c>
      <c r="AE456" s="202">
        <f>镇沅!AA43</f>
        <v>0</v>
      </c>
      <c r="AF456" s="202">
        <f>镇沅!AB43</f>
        <v>0</v>
      </c>
      <c r="AG456" s="202">
        <f>镇沅!AC43</f>
        <v>0</v>
      </c>
      <c r="AH456" s="202">
        <f>镇沅!AD43</f>
        <v>0</v>
      </c>
      <c r="AI456" s="202">
        <f>镇沅!AE43</f>
        <v>0</v>
      </c>
      <c r="AJ456" s="202">
        <f>镇沅!AF43</f>
        <v>0</v>
      </c>
      <c r="AK456" s="202" t="str">
        <f>镇沅!AG43</f>
        <v>镇沅县九甲镇文岗村争山组</v>
      </c>
      <c r="AL456" s="202" t="str">
        <f>镇沅!AH43</f>
        <v>201607</v>
      </c>
      <c r="AM456" s="202">
        <f>镇沅!AI43</f>
        <v>0</v>
      </c>
      <c r="AN456" s="202">
        <f>镇沅!AJ43</f>
        <v>0</v>
      </c>
      <c r="AO456" s="202" t="str">
        <f>镇沅!AK43</f>
        <v>雷打岩</v>
      </c>
      <c r="AP456" s="263">
        <v>5</v>
      </c>
      <c r="AQ456" s="209">
        <f>镇沅!AM43</f>
        <v>0</v>
      </c>
      <c r="AR456" s="295">
        <f>镇沅!AN43</f>
        <v>1</v>
      </c>
      <c r="AS456" s="201" t="str">
        <f>镇沅!AO43</f>
        <v>？？？</v>
      </c>
      <c r="AT456" s="201" t="str">
        <f>镇沅!AP43</f>
        <v>15925281143</v>
      </c>
    </row>
    <row r="457" spans="1:46">
      <c r="A457" t="s">
        <v>1926</v>
      </c>
      <c r="B457" s="202" t="str">
        <f>VLOOKUP(A457,databases!$A$2:$B$7, 2, FALSE)</f>
        <v>ZhenYuan</v>
      </c>
      <c r="C457" t="str">
        <f>镇沅!B44</f>
        <v>普恒章</v>
      </c>
      <c r="D457" s="236" t="str">
        <f>VLOOKUP(C457,databases!$D$2:$E$145, 2, FALSE)</f>
        <v>R32</v>
      </c>
      <c r="E457" s="271">
        <f>INDEX(sample_database!$B$2:$B$506,MATCH(F457,sample_database!$L$2:$L$506,0))</f>
        <v>89</v>
      </c>
      <c r="F457" s="202" t="str">
        <f>镇沅!A44</f>
        <v>ZY43</v>
      </c>
      <c r="G457" s="257">
        <f>镇沅!C44</f>
        <v>0</v>
      </c>
      <c r="H457" s="257">
        <f>镇沅!D44</f>
        <v>9</v>
      </c>
      <c r="I457" s="202">
        <f>镇沅!E44</f>
        <v>20</v>
      </c>
      <c r="J457" s="202">
        <f>镇沅!F44</f>
        <v>2</v>
      </c>
      <c r="K457" s="202">
        <f>镇沅!G44</f>
        <v>2</v>
      </c>
      <c r="L457" s="202">
        <f>镇沅!H44</f>
        <v>2</v>
      </c>
      <c r="M457" s="202">
        <f>镇沅!I44</f>
        <v>2</v>
      </c>
      <c r="N457" s="202">
        <f>镇沅!J44</f>
        <v>2</v>
      </c>
      <c r="O457" s="202">
        <f>镇沅!K44</f>
        <v>2</v>
      </c>
      <c r="P457" s="202">
        <f>镇沅!L44</f>
        <v>2</v>
      </c>
      <c r="Q457" s="202">
        <f>镇沅!M44</f>
        <v>2</v>
      </c>
      <c r="R457" s="202">
        <f>镇沅!N44</f>
        <v>4</v>
      </c>
      <c r="S457" s="202">
        <f>镇沅!O44</f>
        <v>0</v>
      </c>
      <c r="T457" s="202">
        <f>镇沅!P44</f>
        <v>0</v>
      </c>
      <c r="U457" s="202">
        <f>镇沅!Q44</f>
        <v>0</v>
      </c>
      <c r="V457" s="202">
        <f>镇沅!R44</f>
        <v>0</v>
      </c>
      <c r="W457" s="202">
        <f>镇沅!S44</f>
        <v>0</v>
      </c>
      <c r="X457" s="202">
        <f>镇沅!T44</f>
        <v>0</v>
      </c>
      <c r="Y457" s="202">
        <f>镇沅!U44</f>
        <v>0</v>
      </c>
      <c r="Z457" s="202">
        <f>镇沅!V44</f>
        <v>0</v>
      </c>
      <c r="AA457" s="202">
        <f>镇沅!W44</f>
        <v>0</v>
      </c>
      <c r="AB457" s="202">
        <f>镇沅!X44</f>
        <v>0</v>
      </c>
      <c r="AC457" s="202">
        <f>镇沅!Y44</f>
        <v>0</v>
      </c>
      <c r="AD457" s="202">
        <f>镇沅!Z44</f>
        <v>0</v>
      </c>
      <c r="AE457" s="202">
        <f>镇沅!AA44</f>
        <v>0</v>
      </c>
      <c r="AF457" s="202">
        <f>镇沅!AB44</f>
        <v>0</v>
      </c>
      <c r="AG457" s="202">
        <f>镇沅!AC44</f>
        <v>0</v>
      </c>
      <c r="AH457" s="202">
        <f>镇沅!AD44</f>
        <v>0</v>
      </c>
      <c r="AI457" s="202">
        <f>镇沅!AE44</f>
        <v>0</v>
      </c>
      <c r="AJ457" s="202">
        <f>镇沅!AF44</f>
        <v>0</v>
      </c>
      <c r="AK457" s="202" t="str">
        <f>镇沅!AG44</f>
        <v>镇沅县九甲镇文岗村争山组</v>
      </c>
      <c r="AL457" s="202" t="str">
        <f>镇沅!AH44</f>
        <v>201607</v>
      </c>
      <c r="AM457" s="202">
        <f>镇沅!AI44</f>
        <v>0</v>
      </c>
      <c r="AN457" s="202">
        <f>镇沅!AJ44</f>
        <v>0</v>
      </c>
      <c r="AO457" s="202" t="str">
        <f>镇沅!AK44</f>
        <v>大茶房上</v>
      </c>
      <c r="AP457" s="263">
        <v>10</v>
      </c>
      <c r="AQ457" s="209">
        <f>镇沅!AM44</f>
        <v>0</v>
      </c>
      <c r="AR457" s="295">
        <f>镇沅!AN44</f>
        <v>2</v>
      </c>
      <c r="AS457" s="201" t="str">
        <f>镇沅!AO44</f>
        <v>？？？</v>
      </c>
      <c r="AT457" s="201" t="str">
        <f>镇沅!AP44</f>
        <v>15925281143</v>
      </c>
    </row>
    <row r="458" spans="1:46">
      <c r="A458" t="s">
        <v>1926</v>
      </c>
      <c r="B458" s="202" t="str">
        <f>VLOOKUP(A458,databases!$A$2:$B$7, 2, FALSE)</f>
        <v>ZhenYuan</v>
      </c>
      <c r="C458" t="str">
        <f>镇沅!B45</f>
        <v>普恒章</v>
      </c>
      <c r="D458" s="236" t="str">
        <f>VLOOKUP(C458,databases!$D$2:$E$145, 2, FALSE)</f>
        <v>R32</v>
      </c>
      <c r="E458" s="271">
        <f>INDEX(sample_database!$B$2:$B$506,MATCH(F458,sample_database!$L$2:$L$506,0))</f>
        <v>89</v>
      </c>
      <c r="F458" s="202" t="str">
        <f>镇沅!A45</f>
        <v>ZY44</v>
      </c>
      <c r="G458" s="257">
        <f>镇沅!C45</f>
        <v>10</v>
      </c>
      <c r="H458" s="257">
        <f>镇沅!D45</f>
        <v>0</v>
      </c>
      <c r="I458" s="202">
        <f>镇沅!E45</f>
        <v>23</v>
      </c>
      <c r="J458" s="202">
        <f>镇沅!F45</f>
        <v>2</v>
      </c>
      <c r="K458" s="202">
        <f>镇沅!G45</f>
        <v>2</v>
      </c>
      <c r="L458" s="202">
        <f>镇沅!H45</f>
        <v>2</v>
      </c>
      <c r="M458" s="202">
        <f>镇沅!I45</f>
        <v>2</v>
      </c>
      <c r="N458" s="202">
        <f>镇沅!J45</f>
        <v>2</v>
      </c>
      <c r="O458" s="202">
        <f>镇沅!K45</f>
        <v>2</v>
      </c>
      <c r="P458" s="202">
        <f>镇沅!L45</f>
        <v>2</v>
      </c>
      <c r="Q458" s="202">
        <f>镇沅!M45</f>
        <v>2</v>
      </c>
      <c r="R458" s="202">
        <f>镇沅!N45</f>
        <v>3</v>
      </c>
      <c r="S458" s="202">
        <f>镇沅!O45</f>
        <v>4</v>
      </c>
      <c r="T458" s="202">
        <f>镇沅!P45</f>
        <v>0</v>
      </c>
      <c r="U458" s="202">
        <f>镇沅!Q45</f>
        <v>0</v>
      </c>
      <c r="V458" s="202">
        <f>镇沅!R45</f>
        <v>0</v>
      </c>
      <c r="W458" s="202">
        <f>镇沅!S45</f>
        <v>0</v>
      </c>
      <c r="X458" s="202">
        <f>镇沅!T45</f>
        <v>0</v>
      </c>
      <c r="Y458" s="202">
        <f>镇沅!U45</f>
        <v>0</v>
      </c>
      <c r="Z458" s="202">
        <f>镇沅!V45</f>
        <v>0</v>
      </c>
      <c r="AA458" s="202">
        <f>镇沅!W45</f>
        <v>0</v>
      </c>
      <c r="AB458" s="202">
        <f>镇沅!X45</f>
        <v>0</v>
      </c>
      <c r="AC458" s="202">
        <f>镇沅!Y45</f>
        <v>0</v>
      </c>
      <c r="AD458" s="202">
        <f>镇沅!Z45</f>
        <v>0</v>
      </c>
      <c r="AE458" s="202">
        <f>镇沅!AA45</f>
        <v>0</v>
      </c>
      <c r="AF458" s="202">
        <f>镇沅!AB45</f>
        <v>0</v>
      </c>
      <c r="AG458" s="202">
        <f>镇沅!AC45</f>
        <v>0</v>
      </c>
      <c r="AH458" s="202">
        <f>镇沅!AD45</f>
        <v>0</v>
      </c>
      <c r="AI458" s="202">
        <f>镇沅!AE45</f>
        <v>0</v>
      </c>
      <c r="AJ458" s="202">
        <f>镇沅!AF45</f>
        <v>0</v>
      </c>
      <c r="AK458" s="202" t="str">
        <f>镇沅!AG45</f>
        <v>镇沅县九甲镇文岗村争山组</v>
      </c>
      <c r="AL458" s="202" t="str">
        <f>镇沅!AH45</f>
        <v>201607</v>
      </c>
      <c r="AM458" s="202">
        <f>镇沅!AI45</f>
        <v>0</v>
      </c>
      <c r="AN458" s="202">
        <f>镇沅!AJ45</f>
        <v>0</v>
      </c>
      <c r="AO458" s="202" t="str">
        <f>镇沅!AK45</f>
        <v>大茶户</v>
      </c>
      <c r="AP458" s="263">
        <v>4</v>
      </c>
      <c r="AQ458" s="209">
        <f>镇沅!AM45</f>
        <v>0</v>
      </c>
      <c r="AR458" s="295">
        <f>镇沅!AN45</f>
        <v>0.8</v>
      </c>
      <c r="AS458" s="201" t="str">
        <f>镇沅!AO45</f>
        <v>？？？</v>
      </c>
      <c r="AT458" s="201" t="str">
        <f>镇沅!AP45</f>
        <v>15925281143</v>
      </c>
    </row>
    <row r="459" spans="1:46">
      <c r="A459" t="s">
        <v>1926</v>
      </c>
      <c r="B459" s="202" t="str">
        <f>VLOOKUP(A459,databases!$A$2:$B$7, 2, FALSE)</f>
        <v>ZhenYuan</v>
      </c>
      <c r="C459" t="str">
        <f>镇沅!B49</f>
        <v>普恒章</v>
      </c>
      <c r="D459" s="236" t="str">
        <f>VLOOKUP(C459,databases!$D$2:$E$145, 2, FALSE)</f>
        <v>R32</v>
      </c>
      <c r="E459" s="271">
        <f>INDEX(sample_database!$B$2:$B$506,MATCH(F459,sample_database!$L$2:$L$506,0))</f>
        <v>89</v>
      </c>
      <c r="F459" s="202" t="str">
        <f>镇沅!A49</f>
        <v>ZY48</v>
      </c>
      <c r="G459" s="257">
        <f>镇沅!C49</f>
        <v>10</v>
      </c>
      <c r="H459" s="257">
        <f>镇沅!D49</f>
        <v>0</v>
      </c>
      <c r="I459" s="202">
        <f>镇沅!E49</f>
        <v>36</v>
      </c>
      <c r="J459" s="202">
        <f>镇沅!F49</f>
        <v>3</v>
      </c>
      <c r="K459" s="202">
        <f>镇沅!G49</f>
        <v>3</v>
      </c>
      <c r="L459" s="202">
        <f>镇沅!H49</f>
        <v>3</v>
      </c>
      <c r="M459" s="202">
        <f>镇沅!I49</f>
        <v>3</v>
      </c>
      <c r="N459" s="202">
        <f>镇沅!J49</f>
        <v>3</v>
      </c>
      <c r="O459" s="202">
        <f>镇沅!K49</f>
        <v>3</v>
      </c>
      <c r="P459" s="202">
        <f>镇沅!L49</f>
        <v>3</v>
      </c>
      <c r="Q459" s="202">
        <f>镇沅!M49</f>
        <v>5</v>
      </c>
      <c r="R459" s="202">
        <f>镇沅!N49</f>
        <v>5</v>
      </c>
      <c r="S459" s="202">
        <f>镇沅!O49</f>
        <v>5</v>
      </c>
      <c r="T459" s="202">
        <f>镇沅!P49</f>
        <v>0</v>
      </c>
      <c r="U459" s="202">
        <f>镇沅!Q49</f>
        <v>0</v>
      </c>
      <c r="V459" s="202">
        <f>镇沅!R49</f>
        <v>0</v>
      </c>
      <c r="W459" s="202">
        <f>镇沅!S49</f>
        <v>0</v>
      </c>
      <c r="X459" s="202">
        <f>镇沅!T49</f>
        <v>0</v>
      </c>
      <c r="Y459" s="202">
        <f>镇沅!U49</f>
        <v>0</v>
      </c>
      <c r="Z459" s="202">
        <f>镇沅!V49</f>
        <v>0</v>
      </c>
      <c r="AA459" s="202">
        <f>镇沅!W49</f>
        <v>0</v>
      </c>
      <c r="AB459" s="202">
        <f>镇沅!X49</f>
        <v>0</v>
      </c>
      <c r="AC459" s="202">
        <f>镇沅!Y49</f>
        <v>0</v>
      </c>
      <c r="AD459" s="202">
        <f>镇沅!Z49</f>
        <v>0</v>
      </c>
      <c r="AE459" s="202">
        <f>镇沅!AA49</f>
        <v>0</v>
      </c>
      <c r="AF459" s="202">
        <f>镇沅!AB49</f>
        <v>0</v>
      </c>
      <c r="AG459" s="202">
        <f>镇沅!AC49</f>
        <v>0</v>
      </c>
      <c r="AH459" s="202">
        <f>镇沅!AD49</f>
        <v>0</v>
      </c>
      <c r="AI459" s="202">
        <f>镇沅!AE49</f>
        <v>0</v>
      </c>
      <c r="AJ459" s="202">
        <f>镇沅!AF49</f>
        <v>0</v>
      </c>
      <c r="AK459" s="202" t="str">
        <f>镇沅!AG49</f>
        <v>镇沅县九甲镇文岗村争山组</v>
      </c>
      <c r="AL459" s="202" t="str">
        <f>镇沅!AH49</f>
        <v>201607</v>
      </c>
      <c r="AM459" s="202">
        <f>镇沅!AI49</f>
        <v>0</v>
      </c>
      <c r="AN459" s="202">
        <f>镇沅!AJ49</f>
        <v>0</v>
      </c>
      <c r="AO459" s="202" t="str">
        <f>镇沅!AK49</f>
        <v>大尖峰</v>
      </c>
      <c r="AP459" s="263">
        <v>7.5</v>
      </c>
      <c r="AQ459" s="209">
        <f>镇沅!AM49</f>
        <v>0</v>
      </c>
      <c r="AR459" s="295">
        <f>镇沅!AN49</f>
        <v>1.5</v>
      </c>
      <c r="AS459" s="201" t="str">
        <f>镇沅!AO49</f>
        <v>？？？</v>
      </c>
      <c r="AT459" s="201" t="str">
        <f>镇沅!AP49</f>
        <v>15925281143</v>
      </c>
    </row>
    <row r="460" spans="1:46">
      <c r="A460" t="s">
        <v>1926</v>
      </c>
      <c r="B460" s="202" t="str">
        <f>VLOOKUP(A460,databases!$A$2:$B$7, 2, FALSE)</f>
        <v>ZhenYuan</v>
      </c>
      <c r="C460" t="str">
        <f>镇沅!B30</f>
        <v>普明文</v>
      </c>
      <c r="D460" s="202" t="str">
        <f>VLOOKUP(C460,databases!$D$2:$E$145, 2, FALSE)</f>
        <v>R33</v>
      </c>
      <c r="E460" s="259">
        <f>INDEX(sample_database!$B$2:$B$506,MATCH(F460,sample_database!$L$2:$L$506,0))</f>
        <v>88</v>
      </c>
      <c r="F460" s="202" t="str">
        <f>镇沅!A30</f>
        <v>ZY29</v>
      </c>
      <c r="G460" s="257">
        <f>镇沅!C30</f>
        <v>11</v>
      </c>
      <c r="H460" s="257">
        <f>镇沅!D30</f>
        <v>0</v>
      </c>
      <c r="I460" s="202">
        <f>镇沅!E30</f>
        <v>56</v>
      </c>
      <c r="J460" s="202">
        <f>镇沅!F30</f>
        <v>14</v>
      </c>
      <c r="K460" s="202">
        <f>镇沅!G30</f>
        <v>5</v>
      </c>
      <c r="L460" s="202">
        <f>镇沅!H30</f>
        <v>11</v>
      </c>
      <c r="M460" s="202">
        <f>镇沅!I30</f>
        <v>2</v>
      </c>
      <c r="N460" s="202">
        <f>镇沅!J30</f>
        <v>6</v>
      </c>
      <c r="O460" s="202">
        <f>镇沅!K30</f>
        <v>3</v>
      </c>
      <c r="P460" s="202">
        <f>镇沅!L30</f>
        <v>3</v>
      </c>
      <c r="Q460" s="202">
        <f>镇沅!M30</f>
        <v>2</v>
      </c>
      <c r="R460" s="202">
        <f>镇沅!N30</f>
        <v>6</v>
      </c>
      <c r="S460" s="202">
        <f>镇沅!O30</f>
        <v>2</v>
      </c>
      <c r="T460" s="202">
        <f>镇沅!P30</f>
        <v>2</v>
      </c>
      <c r="U460" s="202">
        <f>镇沅!Q30</f>
        <v>0</v>
      </c>
      <c r="V460" s="202">
        <f>镇沅!R30</f>
        <v>0</v>
      </c>
      <c r="W460" s="202">
        <f>镇沅!S30</f>
        <v>0</v>
      </c>
      <c r="X460" s="202">
        <f>镇沅!T30</f>
        <v>0</v>
      </c>
      <c r="Y460" s="202">
        <f>镇沅!U30</f>
        <v>0</v>
      </c>
      <c r="Z460" s="202">
        <f>镇沅!V30</f>
        <v>0</v>
      </c>
      <c r="AA460" s="202">
        <f>镇沅!W30</f>
        <v>0</v>
      </c>
      <c r="AB460" s="202">
        <f>镇沅!X30</f>
        <v>0</v>
      </c>
      <c r="AC460" s="202">
        <f>镇沅!Y30</f>
        <v>0</v>
      </c>
      <c r="AD460" s="202">
        <f>镇沅!Z30</f>
        <v>0</v>
      </c>
      <c r="AE460" s="202">
        <f>镇沅!AA30</f>
        <v>0</v>
      </c>
      <c r="AF460" s="202">
        <f>镇沅!AB30</f>
        <v>0</v>
      </c>
      <c r="AG460" s="202">
        <f>镇沅!AC30</f>
        <v>0</v>
      </c>
      <c r="AH460" s="202">
        <f>镇沅!AD30</f>
        <v>0</v>
      </c>
      <c r="AI460" s="202">
        <f>镇沅!AE30</f>
        <v>0</v>
      </c>
      <c r="AJ460" s="202">
        <f>镇沅!AF30</f>
        <v>0</v>
      </c>
      <c r="AK460" s="202" t="str">
        <f>镇沅!AG30</f>
        <v>镇沅县九甲镇文岗村朵山小组</v>
      </c>
      <c r="AL460" s="202" t="str">
        <f>镇沅!AH30</f>
        <v>201607-09</v>
      </c>
      <c r="AM460" s="202">
        <f>镇沅!AI30</f>
        <v>0</v>
      </c>
      <c r="AN460" s="202">
        <f>镇沅!AJ30</f>
        <v>0</v>
      </c>
      <c r="AO460" s="202" t="str">
        <f>镇沅!AK30</f>
        <v>纸场河</v>
      </c>
      <c r="AP460" s="263">
        <v>12.5</v>
      </c>
      <c r="AQ460" s="209">
        <f>镇沅!AM30</f>
        <v>0</v>
      </c>
      <c r="AR460" s="295">
        <f>镇沅!AN30</f>
        <v>2.5</v>
      </c>
      <c r="AS460" s="201" t="str">
        <f>镇沅!AO30</f>
        <v>532726197208282115</v>
      </c>
      <c r="AT460" s="201" t="str">
        <f>镇沅!AP30</f>
        <v>13578185348</v>
      </c>
    </row>
    <row r="461" spans="1:46">
      <c r="A461" t="s">
        <v>1926</v>
      </c>
      <c r="B461" s="202" t="str">
        <f>VLOOKUP(A461,databases!$A$2:$B$7, 2, FALSE)</f>
        <v>ZhenYuan</v>
      </c>
      <c r="C461" t="str">
        <f>镇沅!B31</f>
        <v>普明文</v>
      </c>
      <c r="D461" s="202" t="str">
        <f>VLOOKUP(C461,databases!$D$2:$E$145, 2, FALSE)</f>
        <v>R33</v>
      </c>
      <c r="E461" s="259">
        <f>INDEX(sample_database!$B$2:$B$506,MATCH(F461,sample_database!$L$2:$L$506,0))</f>
        <v>88</v>
      </c>
      <c r="F461" s="202" t="str">
        <f>镇沅!A31</f>
        <v>ZY30</v>
      </c>
      <c r="G461" s="257">
        <f>镇沅!C31</f>
        <v>5</v>
      </c>
      <c r="H461" s="257">
        <f>镇沅!D31</f>
        <v>0</v>
      </c>
      <c r="I461" s="202">
        <f>镇沅!E31</f>
        <v>30</v>
      </c>
      <c r="J461" s="202">
        <f>镇沅!F31</f>
        <v>12</v>
      </c>
      <c r="K461" s="202">
        <f>镇沅!G31</f>
        <v>6</v>
      </c>
      <c r="L461" s="202">
        <f>镇沅!H31</f>
        <v>7</v>
      </c>
      <c r="M461" s="202">
        <f>镇沅!I31</f>
        <v>3</v>
      </c>
      <c r="N461" s="202">
        <f>镇沅!J31</f>
        <v>2</v>
      </c>
      <c r="O461" s="202">
        <f>镇沅!K31</f>
        <v>0</v>
      </c>
      <c r="P461" s="202">
        <f>镇沅!L31</f>
        <v>0</v>
      </c>
      <c r="Q461" s="202">
        <f>镇沅!M31</f>
        <v>0</v>
      </c>
      <c r="R461" s="202">
        <f>镇沅!N31</f>
        <v>0</v>
      </c>
      <c r="S461" s="202">
        <f>镇沅!O31</f>
        <v>0</v>
      </c>
      <c r="T461" s="202">
        <f>镇沅!P31</f>
        <v>0</v>
      </c>
      <c r="U461" s="202">
        <f>镇沅!Q31</f>
        <v>0</v>
      </c>
      <c r="V461" s="202">
        <f>镇沅!R31</f>
        <v>0</v>
      </c>
      <c r="W461" s="202">
        <f>镇沅!S31</f>
        <v>0</v>
      </c>
      <c r="X461" s="202">
        <f>镇沅!T31</f>
        <v>0</v>
      </c>
      <c r="Y461" s="202">
        <f>镇沅!U31</f>
        <v>0</v>
      </c>
      <c r="Z461" s="202">
        <f>镇沅!V31</f>
        <v>0</v>
      </c>
      <c r="AA461" s="202">
        <f>镇沅!W31</f>
        <v>0</v>
      </c>
      <c r="AB461" s="202">
        <f>镇沅!X31</f>
        <v>0</v>
      </c>
      <c r="AC461" s="202">
        <f>镇沅!Y31</f>
        <v>0</v>
      </c>
      <c r="AD461" s="202">
        <f>镇沅!Z31</f>
        <v>0</v>
      </c>
      <c r="AE461" s="202">
        <f>镇沅!AA31</f>
        <v>0</v>
      </c>
      <c r="AF461" s="202">
        <f>镇沅!AB31</f>
        <v>0</v>
      </c>
      <c r="AG461" s="202">
        <f>镇沅!AC31</f>
        <v>0</v>
      </c>
      <c r="AH461" s="202">
        <f>镇沅!AD31</f>
        <v>0</v>
      </c>
      <c r="AI461" s="202">
        <f>镇沅!AE31</f>
        <v>0</v>
      </c>
      <c r="AJ461" s="202">
        <f>镇沅!AF31</f>
        <v>0</v>
      </c>
      <c r="AK461" s="202" t="str">
        <f>镇沅!AG31</f>
        <v>？？？</v>
      </c>
      <c r="AL461" s="202" t="str">
        <f>镇沅!AH31</f>
        <v>？？</v>
      </c>
      <c r="AM461" s="202">
        <f>镇沅!AI31</f>
        <v>0</v>
      </c>
      <c r="AN461" s="202">
        <f>镇沅!AJ31</f>
        <v>0</v>
      </c>
      <c r="AO461" s="202" t="str">
        <f>镇沅!AK31</f>
        <v>1</v>
      </c>
      <c r="AP461" s="263">
        <v>7.5</v>
      </c>
      <c r="AQ461" s="209">
        <f>镇沅!AM31</f>
        <v>0</v>
      </c>
      <c r="AR461" s="295">
        <f>镇沅!AN31</f>
        <v>1.5</v>
      </c>
      <c r="AS461" s="201" t="str">
        <f>镇沅!AO31</f>
        <v>532726197208282115</v>
      </c>
      <c r="AT461" s="201" t="str">
        <f>镇沅!AP31</f>
        <v>13578185348</v>
      </c>
    </row>
    <row r="462" spans="1:46">
      <c r="A462" t="s">
        <v>1926</v>
      </c>
      <c r="B462" s="202" t="str">
        <f>VLOOKUP(A462,databases!$A$2:$B$7, 2, FALSE)</f>
        <v>ZhenYuan</v>
      </c>
      <c r="C462" t="str">
        <f>镇沅!B32</f>
        <v>普明文</v>
      </c>
      <c r="D462" s="202" t="str">
        <f>VLOOKUP(C462,databases!$D$2:$E$145, 2, FALSE)</f>
        <v>R33</v>
      </c>
      <c r="E462" s="259">
        <f>INDEX(sample_database!$B$2:$B$506,MATCH(F462,sample_database!$L$2:$L$506,0))</f>
        <v>88</v>
      </c>
      <c r="F462" s="202" t="str">
        <f>镇沅!A32</f>
        <v>ZY31</v>
      </c>
      <c r="G462" s="257">
        <f>镇沅!C32</f>
        <v>9</v>
      </c>
      <c r="H462" s="257">
        <f>镇沅!D32</f>
        <v>0</v>
      </c>
      <c r="I462" s="202">
        <f>镇沅!E32</f>
        <v>57</v>
      </c>
      <c r="J462" s="202">
        <f>镇沅!F32</f>
        <v>12</v>
      </c>
      <c r="K462" s="202">
        <f>镇沅!G32</f>
        <v>12</v>
      </c>
      <c r="L462" s="202">
        <f>镇沅!H32</f>
        <v>7</v>
      </c>
      <c r="M462" s="202">
        <f>镇沅!I32</f>
        <v>5</v>
      </c>
      <c r="N462" s="202">
        <f>镇沅!J32</f>
        <v>5</v>
      </c>
      <c r="O462" s="202">
        <f>镇沅!K32</f>
        <v>6</v>
      </c>
      <c r="P462" s="202">
        <f>镇沅!L32</f>
        <v>2</v>
      </c>
      <c r="Q462" s="202">
        <f>镇沅!M32</f>
        <v>5</v>
      </c>
      <c r="R462" s="202">
        <f>镇沅!N32</f>
        <v>3</v>
      </c>
      <c r="S462" s="202">
        <f>镇沅!O32</f>
        <v>0</v>
      </c>
      <c r="T462" s="202">
        <f>镇沅!P32</f>
        <v>0</v>
      </c>
      <c r="U462" s="202">
        <f>镇沅!Q32</f>
        <v>0</v>
      </c>
      <c r="V462" s="202">
        <f>镇沅!R32</f>
        <v>0</v>
      </c>
      <c r="W462" s="202">
        <f>镇沅!S32</f>
        <v>0</v>
      </c>
      <c r="X462" s="202">
        <f>镇沅!T32</f>
        <v>0</v>
      </c>
      <c r="Y462" s="202">
        <f>镇沅!U32</f>
        <v>0</v>
      </c>
      <c r="Z462" s="202">
        <f>镇沅!V32</f>
        <v>0</v>
      </c>
      <c r="AA462" s="202">
        <f>镇沅!W32</f>
        <v>0</v>
      </c>
      <c r="AB462" s="202">
        <f>镇沅!X32</f>
        <v>0</v>
      </c>
      <c r="AC462" s="202">
        <f>镇沅!Y32</f>
        <v>0</v>
      </c>
      <c r="AD462" s="202">
        <f>镇沅!Z32</f>
        <v>0</v>
      </c>
      <c r="AE462" s="202">
        <f>镇沅!AA32</f>
        <v>0</v>
      </c>
      <c r="AF462" s="202">
        <f>镇沅!AB32</f>
        <v>0</v>
      </c>
      <c r="AG462" s="202">
        <f>镇沅!AC32</f>
        <v>0</v>
      </c>
      <c r="AH462" s="202">
        <f>镇沅!AD32</f>
        <v>0</v>
      </c>
      <c r="AI462" s="202">
        <f>镇沅!AE32</f>
        <v>0</v>
      </c>
      <c r="AJ462" s="202">
        <f>镇沅!AF32</f>
        <v>0</v>
      </c>
      <c r="AK462" s="202" t="str">
        <f>镇沅!AG32</f>
        <v>？？？</v>
      </c>
      <c r="AL462" s="202" t="str">
        <f>镇沅!AH32</f>
        <v>？？</v>
      </c>
      <c r="AM462" s="202">
        <f>镇沅!AI32</f>
        <v>0</v>
      </c>
      <c r="AN462" s="202">
        <f>镇沅!AJ32</f>
        <v>0</v>
      </c>
      <c r="AO462" s="202" t="str">
        <f>镇沅!AK32</f>
        <v>2</v>
      </c>
      <c r="AP462" s="263">
        <v>7.5</v>
      </c>
      <c r="AQ462" s="209">
        <f>镇沅!AM32</f>
        <v>0</v>
      </c>
      <c r="AR462" s="295">
        <f>镇沅!AN32</f>
        <v>1.5</v>
      </c>
      <c r="AS462" s="201" t="str">
        <f>镇沅!AO32</f>
        <v>532726197208282115</v>
      </c>
      <c r="AT462" s="201" t="str">
        <f>镇沅!AP32</f>
        <v>13578185348</v>
      </c>
    </row>
    <row r="463" spans="1:46">
      <c r="A463" t="s">
        <v>1926</v>
      </c>
      <c r="B463" s="202" t="str">
        <f>VLOOKUP(A463,databases!$A$2:$B$7, 2, FALSE)</f>
        <v>ZhenYuan</v>
      </c>
      <c r="C463" t="str">
        <f>镇沅!B33</f>
        <v>普明文</v>
      </c>
      <c r="D463" s="202" t="str">
        <f>VLOOKUP(C463,databases!$D$2:$E$145, 2, FALSE)</f>
        <v>R33</v>
      </c>
      <c r="E463" s="259">
        <f>INDEX(sample_database!$B$2:$B$506,MATCH(F463,sample_database!$L$2:$L$506,0))</f>
        <v>88</v>
      </c>
      <c r="F463" s="202" t="str">
        <f>镇沅!A33</f>
        <v>ZY32</v>
      </c>
      <c r="G463" s="257">
        <f>镇沅!C33</f>
        <v>0</v>
      </c>
      <c r="H463" s="257">
        <f>镇沅!D33</f>
        <v>2</v>
      </c>
      <c r="I463" s="202">
        <f>镇沅!E33</f>
        <v>2</v>
      </c>
      <c r="J463" s="202">
        <f>镇沅!F33</f>
        <v>1</v>
      </c>
      <c r="K463" s="202">
        <f>镇沅!G33</f>
        <v>1</v>
      </c>
      <c r="L463" s="202">
        <f>镇沅!H33</f>
        <v>0</v>
      </c>
      <c r="M463" s="202">
        <f>镇沅!I33</f>
        <v>0</v>
      </c>
      <c r="N463" s="202">
        <f>镇沅!J33</f>
        <v>0</v>
      </c>
      <c r="O463" s="202">
        <f>镇沅!K33</f>
        <v>0</v>
      </c>
      <c r="P463" s="202">
        <f>镇沅!L33</f>
        <v>0</v>
      </c>
      <c r="Q463" s="202">
        <f>镇沅!M33</f>
        <v>0</v>
      </c>
      <c r="R463" s="202">
        <f>镇沅!N33</f>
        <v>0</v>
      </c>
      <c r="S463" s="202">
        <f>镇沅!O33</f>
        <v>0</v>
      </c>
      <c r="T463" s="202">
        <f>镇沅!P33</f>
        <v>0</v>
      </c>
      <c r="U463" s="202">
        <f>镇沅!Q33</f>
        <v>0</v>
      </c>
      <c r="V463" s="202">
        <f>镇沅!R33</f>
        <v>0</v>
      </c>
      <c r="W463" s="202">
        <f>镇沅!S33</f>
        <v>0</v>
      </c>
      <c r="X463" s="202">
        <f>镇沅!T33</f>
        <v>0</v>
      </c>
      <c r="Y463" s="202">
        <f>镇沅!U33</f>
        <v>0</v>
      </c>
      <c r="Z463" s="202">
        <f>镇沅!V33</f>
        <v>0</v>
      </c>
      <c r="AA463" s="202">
        <f>镇沅!W33</f>
        <v>0</v>
      </c>
      <c r="AB463" s="202">
        <f>镇沅!X33</f>
        <v>0</v>
      </c>
      <c r="AC463" s="202">
        <f>镇沅!Y33</f>
        <v>0</v>
      </c>
      <c r="AD463" s="202">
        <f>镇沅!Z33</f>
        <v>0</v>
      </c>
      <c r="AE463" s="202">
        <f>镇沅!AA33</f>
        <v>0</v>
      </c>
      <c r="AF463" s="202">
        <f>镇沅!AB33</f>
        <v>0</v>
      </c>
      <c r="AG463" s="202">
        <f>镇沅!AC33</f>
        <v>0</v>
      </c>
      <c r="AH463" s="202">
        <f>镇沅!AD33</f>
        <v>0</v>
      </c>
      <c r="AI463" s="202">
        <f>镇沅!AE33</f>
        <v>0</v>
      </c>
      <c r="AJ463" s="202">
        <f>镇沅!AF33</f>
        <v>0</v>
      </c>
      <c r="AK463" s="202" t="str">
        <f>镇沅!AG33</f>
        <v>？？？</v>
      </c>
      <c r="AL463" s="202" t="str">
        <f>镇沅!AH33</f>
        <v>？？</v>
      </c>
      <c r="AM463" s="202">
        <f>镇沅!AI33</f>
        <v>0</v>
      </c>
      <c r="AN463" s="202">
        <f>镇沅!AJ33</f>
        <v>0</v>
      </c>
      <c r="AO463" s="202" t="str">
        <f>镇沅!AK33</f>
        <v>3</v>
      </c>
      <c r="AP463" s="263">
        <v>1</v>
      </c>
      <c r="AQ463" s="209">
        <f>镇沅!AM33</f>
        <v>0</v>
      </c>
      <c r="AR463" s="295">
        <f>镇沅!AN33</f>
        <v>0.2</v>
      </c>
      <c r="AS463" s="201" t="str">
        <f>镇沅!AO33</f>
        <v>532726197208282115</v>
      </c>
      <c r="AT463" s="201" t="str">
        <f>镇沅!AP33</f>
        <v>13578185348</v>
      </c>
    </row>
    <row r="464" spans="1:46">
      <c r="A464" t="s">
        <v>1926</v>
      </c>
      <c r="B464" s="202" t="str">
        <f>VLOOKUP(A464,databases!$A$2:$B$7, 2, FALSE)</f>
        <v>ZhenYuan</v>
      </c>
      <c r="C464" t="str">
        <f>镇沅!B38</f>
        <v>李加坤</v>
      </c>
      <c r="D464" s="273" t="str">
        <f>VLOOKUP(C464,databases!$D$2:$E$145, 2, FALSE)</f>
        <v>R38</v>
      </c>
      <c r="E464" s="274" t="str">
        <f>INDEX(sample_database!$B$2:$B$506,MATCH(F464,sample_database!$L$2:$L$506,0))</f>
        <v>NA</v>
      </c>
      <c r="F464" s="202" t="str">
        <f>镇沅!A38</f>
        <v>ZY37</v>
      </c>
      <c r="G464" s="257">
        <f>镇沅!C38</f>
        <v>4</v>
      </c>
      <c r="H464" s="257">
        <f>镇沅!D38</f>
        <v>0</v>
      </c>
      <c r="I464" s="202">
        <f>镇沅!E38</f>
        <v>37</v>
      </c>
      <c r="J464" s="202">
        <f>镇沅!F38</f>
        <v>6</v>
      </c>
      <c r="K464" s="202">
        <f>镇沅!G38</f>
        <v>19</v>
      </c>
      <c r="L464" s="202">
        <f>镇沅!H38</f>
        <v>5</v>
      </c>
      <c r="M464" s="202">
        <f>镇沅!I38</f>
        <v>7</v>
      </c>
      <c r="N464" s="202">
        <f>镇沅!J38</f>
        <v>0</v>
      </c>
      <c r="O464" s="202">
        <f>镇沅!K38</f>
        <v>0</v>
      </c>
      <c r="P464" s="202">
        <f>镇沅!L38</f>
        <v>0</v>
      </c>
      <c r="Q464" s="202">
        <f>镇沅!M38</f>
        <v>0</v>
      </c>
      <c r="R464" s="202">
        <f>镇沅!N38</f>
        <v>0</v>
      </c>
      <c r="S464" s="202">
        <f>镇沅!O38</f>
        <v>0</v>
      </c>
      <c r="T464" s="202">
        <f>镇沅!P38</f>
        <v>0</v>
      </c>
      <c r="U464" s="202">
        <f>镇沅!Q38</f>
        <v>0</v>
      </c>
      <c r="V464" s="202">
        <f>镇沅!R38</f>
        <v>0</v>
      </c>
      <c r="W464" s="202">
        <f>镇沅!S38</f>
        <v>0</v>
      </c>
      <c r="X464" s="202">
        <f>镇沅!T38</f>
        <v>0</v>
      </c>
      <c r="Y464" s="202">
        <f>镇沅!U38</f>
        <v>0</v>
      </c>
      <c r="Z464" s="202">
        <f>镇沅!V38</f>
        <v>0</v>
      </c>
      <c r="AA464" s="202">
        <f>镇沅!W38</f>
        <v>0</v>
      </c>
      <c r="AB464" s="202">
        <f>镇沅!X38</f>
        <v>0</v>
      </c>
      <c r="AC464" s="202">
        <f>镇沅!Y38</f>
        <v>0</v>
      </c>
      <c r="AD464" s="202">
        <f>镇沅!Z38</f>
        <v>0</v>
      </c>
      <c r="AE464" s="202">
        <f>镇沅!AA38</f>
        <v>0</v>
      </c>
      <c r="AF464" s="202">
        <f>镇沅!AB38</f>
        <v>0</v>
      </c>
      <c r="AG464" s="202">
        <f>镇沅!AC38</f>
        <v>0</v>
      </c>
      <c r="AH464" s="202">
        <f>镇沅!AD38</f>
        <v>0</v>
      </c>
      <c r="AI464" s="202">
        <f>镇沅!AE38</f>
        <v>0</v>
      </c>
      <c r="AJ464" s="202">
        <f>镇沅!AF38</f>
        <v>0</v>
      </c>
      <c r="AK464" s="202" t="str">
        <f>镇沅!AG38</f>
        <v>镇沅县者东镇樟盆村延樟盆组</v>
      </c>
      <c r="AL464" s="202" t="str">
        <f>镇沅!AH38</f>
        <v>20160815</v>
      </c>
      <c r="AM464" s="202">
        <f>镇沅!AI38</f>
        <v>0</v>
      </c>
      <c r="AN464" s="202">
        <f>镇沅!AJ38</f>
        <v>0</v>
      </c>
      <c r="AO464" s="202">
        <f>镇沅!AK38</f>
        <v>0</v>
      </c>
      <c r="AP464" s="263">
        <v>5</v>
      </c>
      <c r="AQ464" s="209">
        <f>镇沅!AM38</f>
        <v>0</v>
      </c>
      <c r="AR464" s="295">
        <f>镇沅!AN38</f>
        <v>1</v>
      </c>
      <c r="AS464" s="201" t="str">
        <f>镇沅!AO38</f>
        <v>532726196205242412</v>
      </c>
      <c r="AT464" s="201" t="str">
        <f>镇沅!AP38</f>
        <v>15987982717</v>
      </c>
    </row>
    <row r="465" spans="1:46">
      <c r="A465" t="s">
        <v>1926</v>
      </c>
      <c r="B465" s="202" t="str">
        <f>VLOOKUP(A465,databases!$A$2:$B$7, 2, FALSE)</f>
        <v>ZhenYuan</v>
      </c>
      <c r="C465" t="str">
        <f>镇沅!B39</f>
        <v>李加坤</v>
      </c>
      <c r="D465" s="275" t="str">
        <f>VLOOKUP(C465,databases!$D$2:$E$145, 2, FALSE)</f>
        <v>R38</v>
      </c>
      <c r="E465" s="276" t="str">
        <f>INDEX(sample_database!$B$2:$B$506,MATCH(F465,sample_database!$L$2:$L$506,0))</f>
        <v>NA</v>
      </c>
      <c r="F465" s="202" t="str">
        <f>镇沅!A39</f>
        <v>ZY38</v>
      </c>
      <c r="G465" s="257">
        <f>镇沅!C39</f>
        <v>3</v>
      </c>
      <c r="H465" s="257">
        <f>镇沅!D39</f>
        <v>0</v>
      </c>
      <c r="I465" s="202">
        <f>镇沅!E39</f>
        <v>27</v>
      </c>
      <c r="J465" s="202">
        <f>镇沅!F39</f>
        <v>12</v>
      </c>
      <c r="K465" s="202">
        <f>镇沅!G39</f>
        <v>7</v>
      </c>
      <c r="L465" s="202">
        <f>镇沅!H39</f>
        <v>8</v>
      </c>
      <c r="M465" s="202">
        <f>镇沅!I39</f>
        <v>0</v>
      </c>
      <c r="N465" s="202">
        <f>镇沅!J39</f>
        <v>0</v>
      </c>
      <c r="O465" s="202">
        <f>镇沅!K39</f>
        <v>0</v>
      </c>
      <c r="P465" s="202">
        <f>镇沅!L39</f>
        <v>0</v>
      </c>
      <c r="Q465" s="202">
        <f>镇沅!M39</f>
        <v>0</v>
      </c>
      <c r="R465" s="202">
        <f>镇沅!N39</f>
        <v>0</v>
      </c>
      <c r="S465" s="202">
        <f>镇沅!O39</f>
        <v>0</v>
      </c>
      <c r="T465" s="202">
        <f>镇沅!P39</f>
        <v>0</v>
      </c>
      <c r="U465" s="202">
        <f>镇沅!Q39</f>
        <v>0</v>
      </c>
      <c r="V465" s="202">
        <f>镇沅!R39</f>
        <v>0</v>
      </c>
      <c r="W465" s="202">
        <f>镇沅!S39</f>
        <v>0</v>
      </c>
      <c r="X465" s="202">
        <f>镇沅!T39</f>
        <v>0</v>
      </c>
      <c r="Y465" s="202">
        <f>镇沅!U39</f>
        <v>0</v>
      </c>
      <c r="Z465" s="202">
        <f>镇沅!V39</f>
        <v>0</v>
      </c>
      <c r="AA465" s="202">
        <f>镇沅!W39</f>
        <v>0</v>
      </c>
      <c r="AB465" s="202">
        <f>镇沅!X39</f>
        <v>0</v>
      </c>
      <c r="AC465" s="202">
        <f>镇沅!Y39</f>
        <v>0</v>
      </c>
      <c r="AD465" s="202">
        <f>镇沅!Z39</f>
        <v>0</v>
      </c>
      <c r="AE465" s="202">
        <f>镇沅!AA39</f>
        <v>0</v>
      </c>
      <c r="AF465" s="202">
        <f>镇沅!AB39</f>
        <v>0</v>
      </c>
      <c r="AG465" s="202">
        <f>镇沅!AC39</f>
        <v>0</v>
      </c>
      <c r="AH465" s="202">
        <f>镇沅!AD39</f>
        <v>0</v>
      </c>
      <c r="AI465" s="202">
        <f>镇沅!AE39</f>
        <v>0</v>
      </c>
      <c r="AJ465" s="202">
        <f>镇沅!AF39</f>
        <v>0</v>
      </c>
      <c r="AK465" s="202" t="str">
        <f>镇沅!AG39</f>
        <v>镇沅县者东镇樟盆村延樟盆组</v>
      </c>
      <c r="AL465" s="202" t="str">
        <f>镇沅!AH39</f>
        <v>20160705</v>
      </c>
      <c r="AM465" s="202">
        <f>镇沅!AI39</f>
        <v>0</v>
      </c>
      <c r="AN465" s="202">
        <f>镇沅!AJ39</f>
        <v>0</v>
      </c>
      <c r="AO465" s="202">
        <f>镇沅!AK39</f>
        <v>0</v>
      </c>
      <c r="AP465" s="263">
        <v>3</v>
      </c>
      <c r="AQ465" s="209">
        <f>镇沅!AM39</f>
        <v>0</v>
      </c>
      <c r="AR465" s="295">
        <f>镇沅!AN39</f>
        <v>0.6</v>
      </c>
      <c r="AS465" s="201" t="str">
        <f>镇沅!AO39</f>
        <v>532726196205242412</v>
      </c>
      <c r="AT465" s="201" t="str">
        <f>镇沅!AP39</f>
        <v>15987982717</v>
      </c>
    </row>
    <row r="466" spans="1:46">
      <c r="A466" t="s">
        <v>1926</v>
      </c>
      <c r="B466" s="202" t="str">
        <f>VLOOKUP(A466,databases!$A$2:$B$7, 2, FALSE)</f>
        <v>ZhenYuan</v>
      </c>
      <c r="C466" t="str">
        <f>镇沅!B40</f>
        <v>李加坤</v>
      </c>
      <c r="D466" s="275" t="str">
        <f>VLOOKUP(C466,databases!$D$2:$E$145, 2, FALSE)</f>
        <v>R38</v>
      </c>
      <c r="E466" s="276" t="str">
        <f>INDEX(sample_database!$B$2:$B$506,MATCH(F466,sample_database!$L$2:$L$506,0))</f>
        <v>NA</v>
      </c>
      <c r="F466" s="202" t="str">
        <f>镇沅!A40</f>
        <v>ZY39</v>
      </c>
      <c r="G466" s="257">
        <f>镇沅!C40</f>
        <v>2</v>
      </c>
      <c r="H466" s="257">
        <f>镇沅!D40</f>
        <v>0</v>
      </c>
      <c r="I466" s="202">
        <f>镇沅!E40</f>
        <v>24</v>
      </c>
      <c r="J466" s="202">
        <f>镇沅!F40</f>
        <v>13</v>
      </c>
      <c r="K466" s="202">
        <f>镇沅!G40</f>
        <v>11</v>
      </c>
      <c r="L466" s="202">
        <f>镇沅!H40</f>
        <v>0</v>
      </c>
      <c r="M466" s="202">
        <f>镇沅!I40</f>
        <v>0</v>
      </c>
      <c r="N466" s="202">
        <f>镇沅!J40</f>
        <v>0</v>
      </c>
      <c r="O466" s="202">
        <f>镇沅!K40</f>
        <v>0</v>
      </c>
      <c r="P466" s="202">
        <f>镇沅!L40</f>
        <v>0</v>
      </c>
      <c r="Q466" s="202">
        <f>镇沅!M40</f>
        <v>0</v>
      </c>
      <c r="R466" s="202">
        <f>镇沅!N40</f>
        <v>0</v>
      </c>
      <c r="S466" s="202">
        <f>镇沅!O40</f>
        <v>0</v>
      </c>
      <c r="T466" s="202">
        <f>镇沅!P40</f>
        <v>0</v>
      </c>
      <c r="U466" s="202">
        <f>镇沅!Q40</f>
        <v>0</v>
      </c>
      <c r="V466" s="202">
        <f>镇沅!R40</f>
        <v>0</v>
      </c>
      <c r="W466" s="202">
        <f>镇沅!S40</f>
        <v>0</v>
      </c>
      <c r="X466" s="202">
        <f>镇沅!T40</f>
        <v>0</v>
      </c>
      <c r="Y466" s="202">
        <f>镇沅!U40</f>
        <v>0</v>
      </c>
      <c r="Z466" s="202">
        <f>镇沅!V40</f>
        <v>0</v>
      </c>
      <c r="AA466" s="202">
        <f>镇沅!W40</f>
        <v>0</v>
      </c>
      <c r="AB466" s="202">
        <f>镇沅!X40</f>
        <v>0</v>
      </c>
      <c r="AC466" s="202">
        <f>镇沅!Y40</f>
        <v>0</v>
      </c>
      <c r="AD466" s="202">
        <f>镇沅!Z40</f>
        <v>0</v>
      </c>
      <c r="AE466" s="202">
        <f>镇沅!AA40</f>
        <v>0</v>
      </c>
      <c r="AF466" s="202">
        <f>镇沅!AB40</f>
        <v>0</v>
      </c>
      <c r="AG466" s="202">
        <f>镇沅!AC40</f>
        <v>0</v>
      </c>
      <c r="AH466" s="202">
        <f>镇沅!AD40</f>
        <v>0</v>
      </c>
      <c r="AI466" s="202">
        <f>镇沅!AE40</f>
        <v>0</v>
      </c>
      <c r="AJ466" s="202">
        <f>镇沅!AF40</f>
        <v>0</v>
      </c>
      <c r="AK466" s="202" t="str">
        <f>镇沅!AG40</f>
        <v>镇沅县者东镇樟盆村延樟盆组</v>
      </c>
      <c r="AL466" s="202" t="str">
        <f>镇沅!AH40</f>
        <v>20160720</v>
      </c>
      <c r="AM466" s="202">
        <f>镇沅!AI40</f>
        <v>0</v>
      </c>
      <c r="AN466" s="202">
        <f>镇沅!AJ40</f>
        <v>0</v>
      </c>
      <c r="AO466" s="202">
        <f>镇沅!AK40</f>
        <v>0</v>
      </c>
      <c r="AP466" s="263">
        <v>2</v>
      </c>
      <c r="AQ466" s="209">
        <f>镇沅!AM40</f>
        <v>0</v>
      </c>
      <c r="AR466" s="295">
        <f>镇沅!AN40</f>
        <v>0.4</v>
      </c>
      <c r="AS466" s="201" t="str">
        <f>镇沅!AO40</f>
        <v>532726196205242412</v>
      </c>
      <c r="AT466" s="201" t="str">
        <f>镇沅!AP40</f>
        <v>15987982717</v>
      </c>
    </row>
    <row r="467" spans="1:46">
      <c r="A467" t="s">
        <v>1926</v>
      </c>
      <c r="B467" s="202" t="str">
        <f>VLOOKUP(A467,databases!$A$2:$B$7, 2, FALSE)</f>
        <v>ZhenYuan</v>
      </c>
      <c r="C467" t="str">
        <f>镇沅!B41</f>
        <v>李加坤</v>
      </c>
      <c r="D467" s="277" t="str">
        <f>VLOOKUP(C467,databases!$D$2:$E$145, 2, FALSE)</f>
        <v>R38</v>
      </c>
      <c r="E467" s="278" t="str">
        <f>INDEX(sample_database!$B$2:$B$506,MATCH(F467,sample_database!$L$2:$L$506,0))</f>
        <v>NA</v>
      </c>
      <c r="F467" s="202" t="str">
        <f>镇沅!A41</f>
        <v>ZY40</v>
      </c>
      <c r="G467" s="257">
        <f>镇沅!C41</f>
        <v>6</v>
      </c>
      <c r="H467" s="257">
        <f>镇沅!D41</f>
        <v>0</v>
      </c>
      <c r="I467" s="202">
        <f>镇沅!E41</f>
        <v>33</v>
      </c>
      <c r="J467" s="202">
        <f>镇沅!F41</f>
        <v>11</v>
      </c>
      <c r="K467" s="202">
        <f>镇沅!G41</f>
        <v>6</v>
      </c>
      <c r="L467" s="202">
        <f>镇沅!H41</f>
        <v>6</v>
      </c>
      <c r="M467" s="202">
        <f>镇沅!I41</f>
        <v>4</v>
      </c>
      <c r="N467" s="202">
        <f>镇沅!J41</f>
        <v>3</v>
      </c>
      <c r="O467" s="202">
        <f>镇沅!K41</f>
        <v>3</v>
      </c>
      <c r="P467" s="202">
        <f>镇沅!L41</f>
        <v>0</v>
      </c>
      <c r="Q467" s="202">
        <f>镇沅!M41</f>
        <v>0</v>
      </c>
      <c r="R467" s="202">
        <f>镇沅!N41</f>
        <v>0</v>
      </c>
      <c r="S467" s="202">
        <f>镇沅!O41</f>
        <v>0</v>
      </c>
      <c r="T467" s="202">
        <f>镇沅!P41</f>
        <v>0</v>
      </c>
      <c r="U467" s="202">
        <f>镇沅!Q41</f>
        <v>0</v>
      </c>
      <c r="V467" s="202">
        <f>镇沅!R41</f>
        <v>0</v>
      </c>
      <c r="W467" s="202">
        <f>镇沅!S41</f>
        <v>0</v>
      </c>
      <c r="X467" s="202">
        <f>镇沅!T41</f>
        <v>0</v>
      </c>
      <c r="Y467" s="202">
        <f>镇沅!U41</f>
        <v>0</v>
      </c>
      <c r="Z467" s="202">
        <f>镇沅!V41</f>
        <v>0</v>
      </c>
      <c r="AA467" s="202">
        <f>镇沅!W41</f>
        <v>0</v>
      </c>
      <c r="AB467" s="202">
        <f>镇沅!X41</f>
        <v>0</v>
      </c>
      <c r="AC467" s="202">
        <f>镇沅!Y41</f>
        <v>0</v>
      </c>
      <c r="AD467" s="202">
        <f>镇沅!Z41</f>
        <v>0</v>
      </c>
      <c r="AE467" s="202">
        <f>镇沅!AA41</f>
        <v>0</v>
      </c>
      <c r="AF467" s="202">
        <f>镇沅!AB41</f>
        <v>0</v>
      </c>
      <c r="AG467" s="202">
        <f>镇沅!AC41</f>
        <v>0</v>
      </c>
      <c r="AH467" s="202">
        <f>镇沅!AD41</f>
        <v>0</v>
      </c>
      <c r="AI467" s="202">
        <f>镇沅!AE41</f>
        <v>0</v>
      </c>
      <c r="AJ467" s="202">
        <f>镇沅!AF41</f>
        <v>0</v>
      </c>
      <c r="AK467" s="202" t="str">
        <f>镇沅!AG41</f>
        <v>镇沅县者东镇樟盆村延樟盆组</v>
      </c>
      <c r="AL467" s="202" t="str">
        <f>镇沅!AH41</f>
        <v>20160911</v>
      </c>
      <c r="AM467" s="202">
        <f>镇沅!AI41</f>
        <v>0</v>
      </c>
      <c r="AN467" s="202">
        <f>镇沅!AJ41</f>
        <v>0</v>
      </c>
      <c r="AO467" s="202">
        <f>镇沅!AK41</f>
        <v>0</v>
      </c>
      <c r="AP467" s="263">
        <v>15</v>
      </c>
      <c r="AQ467" s="209">
        <f>镇沅!AM41</f>
        <v>0</v>
      </c>
      <c r="AR467" s="295">
        <f>镇沅!AN41</f>
        <v>3</v>
      </c>
      <c r="AS467" s="201" t="str">
        <f>镇沅!AO41</f>
        <v>532726196205242412</v>
      </c>
      <c r="AT467" s="201" t="str">
        <f>镇沅!AP41</f>
        <v>15987982717</v>
      </c>
    </row>
    <row r="468" spans="1:46">
      <c r="A468" t="s">
        <v>1926</v>
      </c>
      <c r="B468" s="202" t="str">
        <f>VLOOKUP(A468,databases!$A$2:$B$7, 2, FALSE)</f>
        <v>ZhenYuan</v>
      </c>
      <c r="C468" t="str">
        <f>镇沅!B2</f>
        <v>李坤</v>
      </c>
      <c r="D468" s="279" t="str">
        <f>VLOOKUP(C468,databases!$D$2:$E$145, 2, FALSE)</f>
        <v>R41</v>
      </c>
      <c r="E468" s="280" t="str">
        <f>INDEX(sample_database!$B$2:$B$506,MATCH(F468,sample_database!$L$2:$L$506,0))</f>
        <v>NA</v>
      </c>
      <c r="F468" s="202" t="str">
        <f>镇沅!A2</f>
        <v>ZY01</v>
      </c>
      <c r="G468" s="257">
        <f>镇沅!C2</f>
        <v>6</v>
      </c>
      <c r="H468" s="257">
        <f>镇沅!D2</f>
        <v>0</v>
      </c>
      <c r="I468" s="202">
        <f>镇沅!E2</f>
        <v>24</v>
      </c>
      <c r="J468" s="202">
        <f>镇沅!F2</f>
        <v>5</v>
      </c>
      <c r="K468" s="202">
        <f>镇沅!G2</f>
        <v>5</v>
      </c>
      <c r="L468" s="202">
        <f>镇沅!H2</f>
        <v>3</v>
      </c>
      <c r="M468" s="202">
        <f>镇沅!I2</f>
        <v>4</v>
      </c>
      <c r="N468" s="202">
        <f>镇沅!J2</f>
        <v>4</v>
      </c>
      <c r="O468" s="202">
        <f>镇沅!K2</f>
        <v>3</v>
      </c>
      <c r="P468" s="202">
        <f>镇沅!L2</f>
        <v>0</v>
      </c>
      <c r="Q468" s="202">
        <f>镇沅!M2</f>
        <v>0</v>
      </c>
      <c r="R468" s="202">
        <f>镇沅!N2</f>
        <v>0</v>
      </c>
      <c r="S468" s="202">
        <f>镇沅!O2</f>
        <v>0</v>
      </c>
      <c r="T468" s="202">
        <f>镇沅!P2</f>
        <v>0</v>
      </c>
      <c r="U468" s="202">
        <f>镇沅!Q2</f>
        <v>0</v>
      </c>
      <c r="V468" s="202">
        <f>镇沅!R2</f>
        <v>0</v>
      </c>
      <c r="W468" s="202">
        <f>镇沅!S2</f>
        <v>0</v>
      </c>
      <c r="X468" s="202">
        <f>镇沅!T2</f>
        <v>0</v>
      </c>
      <c r="Y468" s="202">
        <f>镇沅!U2</f>
        <v>0</v>
      </c>
      <c r="Z468" s="202">
        <f>镇沅!V2</f>
        <v>0</v>
      </c>
      <c r="AA468" s="202">
        <f>镇沅!W2</f>
        <v>0</v>
      </c>
      <c r="AB468" s="202">
        <f>镇沅!X2</f>
        <v>0</v>
      </c>
      <c r="AC468" s="202">
        <f>镇沅!Y2</f>
        <v>0</v>
      </c>
      <c r="AD468" s="202">
        <f>镇沅!Z2</f>
        <v>0</v>
      </c>
      <c r="AE468" s="202">
        <f>镇沅!AA2</f>
        <v>0</v>
      </c>
      <c r="AF468" s="202">
        <f>镇沅!AB2</f>
        <v>0</v>
      </c>
      <c r="AG468" s="202">
        <f>镇沅!AC2</f>
        <v>0</v>
      </c>
      <c r="AH468" s="202">
        <f>镇沅!AD2</f>
        <v>0</v>
      </c>
      <c r="AI468" s="202">
        <f>镇沅!AE2</f>
        <v>0</v>
      </c>
      <c r="AJ468" s="202">
        <f>镇沅!AF2</f>
        <v>0</v>
      </c>
      <c r="AK468" s="202" t="str">
        <f>镇沅!AG2</f>
        <v>镇沅县者东镇麦地村</v>
      </c>
      <c r="AL468" s="202" t="str">
        <f>镇沅!AH2</f>
        <v>NA</v>
      </c>
      <c r="AM468" s="202">
        <f>镇沅!AI2</f>
        <v>0</v>
      </c>
      <c r="AN468" s="202">
        <f>镇沅!AJ2</f>
        <v>0</v>
      </c>
      <c r="AO468" s="202">
        <f>镇沅!AK2</f>
        <v>0</v>
      </c>
      <c r="AP468" s="263">
        <v>10</v>
      </c>
      <c r="AQ468" s="209">
        <f>镇沅!AM2</f>
        <v>0</v>
      </c>
      <c r="AR468" s="295">
        <f>镇沅!AN2</f>
        <v>2</v>
      </c>
      <c r="AS468" s="201" t="str">
        <f>镇沅!AO2</f>
        <v>？？？</v>
      </c>
      <c r="AT468" s="201" t="str">
        <f>镇沅!AP2</f>
        <v>？？</v>
      </c>
    </row>
    <row r="469" spans="1:46">
      <c r="A469" t="s">
        <v>1926</v>
      </c>
      <c r="B469" s="202" t="str">
        <f>VLOOKUP(A469,databases!$A$2:$B$7, 2, FALSE)</f>
        <v>ZhenYuan</v>
      </c>
      <c r="C469" t="str">
        <f>镇沅!B57</f>
        <v>李昌恩</v>
      </c>
      <c r="D469" s="273" t="str">
        <f>VLOOKUP(C469,databases!$D$2:$E$145, 2, FALSE)</f>
        <v>R56</v>
      </c>
      <c r="E469" s="274" t="str">
        <f>INDEX(sample_database!$B$2:$B$506,MATCH(F469,sample_database!$L$2:$L$506,0))</f>
        <v>NA</v>
      </c>
      <c r="F469" s="202" t="str">
        <f>镇沅!A57</f>
        <v>ZY56</v>
      </c>
      <c r="G469" s="257">
        <f>镇沅!C57</f>
        <v>0</v>
      </c>
      <c r="H469" s="257">
        <f>镇沅!D57</f>
        <v>2</v>
      </c>
      <c r="I469" s="202">
        <f>镇沅!E57</f>
        <v>8</v>
      </c>
      <c r="J469" s="202">
        <f>镇沅!F57</f>
        <v>6</v>
      </c>
      <c r="K469" s="202">
        <f>镇沅!G57</f>
        <v>2</v>
      </c>
      <c r="L469" s="202">
        <f>镇沅!H57</f>
        <v>0</v>
      </c>
      <c r="M469" s="202">
        <f>镇沅!I57</f>
        <v>0</v>
      </c>
      <c r="N469" s="202">
        <f>镇沅!J57</f>
        <v>0</v>
      </c>
      <c r="O469" s="202">
        <f>镇沅!K57</f>
        <v>0</v>
      </c>
      <c r="P469" s="202">
        <f>镇沅!L57</f>
        <v>0</v>
      </c>
      <c r="Q469" s="202">
        <f>镇沅!M57</f>
        <v>0</v>
      </c>
      <c r="R469" s="202">
        <f>镇沅!N57</f>
        <v>0</v>
      </c>
      <c r="S469" s="202">
        <f>镇沅!O57</f>
        <v>0</v>
      </c>
      <c r="T469" s="202">
        <f>镇沅!P57</f>
        <v>0</v>
      </c>
      <c r="U469" s="202">
        <f>镇沅!Q57</f>
        <v>0</v>
      </c>
      <c r="V469" s="202">
        <f>镇沅!R57</f>
        <v>0</v>
      </c>
      <c r="W469" s="202">
        <f>镇沅!S57</f>
        <v>0</v>
      </c>
      <c r="X469" s="202">
        <f>镇沅!T57</f>
        <v>0</v>
      </c>
      <c r="Y469" s="202">
        <f>镇沅!U57</f>
        <v>0</v>
      </c>
      <c r="Z469" s="202">
        <f>镇沅!V57</f>
        <v>0</v>
      </c>
      <c r="AA469" s="202">
        <f>镇沅!W57</f>
        <v>0</v>
      </c>
      <c r="AB469" s="202">
        <f>镇沅!X57</f>
        <v>0</v>
      </c>
      <c r="AC469" s="202">
        <f>镇沅!Y57</f>
        <v>0</v>
      </c>
      <c r="AD469" s="202">
        <f>镇沅!Z57</f>
        <v>0</v>
      </c>
      <c r="AE469" s="202">
        <f>镇沅!AA57</f>
        <v>0</v>
      </c>
      <c r="AF469" s="202">
        <f>镇沅!AB57</f>
        <v>0</v>
      </c>
      <c r="AG469" s="202">
        <f>镇沅!AC57</f>
        <v>0</v>
      </c>
      <c r="AH469" s="202">
        <f>镇沅!AD57</f>
        <v>0</v>
      </c>
      <c r="AI469" s="202">
        <f>镇沅!AE57</f>
        <v>0</v>
      </c>
      <c r="AJ469" s="202">
        <f>镇沅!AF57</f>
        <v>0</v>
      </c>
      <c r="AK469" s="202" t="str">
        <f>镇沅!AG57</f>
        <v>镇沅县九甲镇果吉村</v>
      </c>
      <c r="AL469" s="202" t="str">
        <f>镇沅!AH57</f>
        <v>201607</v>
      </c>
      <c r="AM469" s="202">
        <f>镇沅!AI57</f>
        <v>0</v>
      </c>
      <c r="AN469" s="202">
        <f>镇沅!AJ57</f>
        <v>0</v>
      </c>
      <c r="AO469" s="202">
        <f>镇沅!AK57</f>
        <v>0</v>
      </c>
      <c r="AP469" s="263">
        <v>2</v>
      </c>
      <c r="AQ469" s="209">
        <f>镇沅!AM57</f>
        <v>0</v>
      </c>
      <c r="AR469" s="295">
        <f>镇沅!AN57</f>
        <v>0.4</v>
      </c>
      <c r="AS469" s="201" t="str">
        <f>镇沅!AO57</f>
        <v>53272619740801211X</v>
      </c>
      <c r="AT469" s="201" t="str">
        <f>镇沅!AP57</f>
        <v>15125687717</v>
      </c>
    </row>
    <row r="470" spans="1:46">
      <c r="A470" t="s">
        <v>1926</v>
      </c>
      <c r="B470" s="202" t="str">
        <f>VLOOKUP(A470,databases!$A$2:$B$7, 2, FALSE)</f>
        <v>ZhenYuan</v>
      </c>
      <c r="C470" t="str">
        <f>镇沅!B58</f>
        <v>李昌恩</v>
      </c>
      <c r="D470" s="277" t="str">
        <f>VLOOKUP(C470,databases!$D$2:$E$145, 2, FALSE)</f>
        <v>R56</v>
      </c>
      <c r="E470" s="278" t="str">
        <f>INDEX(sample_database!$B$2:$B$506,MATCH(F470,sample_database!$L$2:$L$506,0))</f>
        <v>NA</v>
      </c>
      <c r="F470" s="202" t="str">
        <f>镇沅!A58</f>
        <v>ZY57</v>
      </c>
      <c r="G470" s="257">
        <f>镇沅!C58</f>
        <v>4</v>
      </c>
      <c r="H470" s="257">
        <f>镇沅!D58</f>
        <v>0</v>
      </c>
      <c r="I470" s="202">
        <f>镇沅!E58</f>
        <v>24</v>
      </c>
      <c r="J470" s="202">
        <f>镇沅!F58</f>
        <v>9</v>
      </c>
      <c r="K470" s="202">
        <f>镇沅!G58</f>
        <v>5</v>
      </c>
      <c r="L470" s="202">
        <f>镇沅!H58</f>
        <v>8</v>
      </c>
      <c r="M470" s="202">
        <f>镇沅!I58</f>
        <v>2</v>
      </c>
      <c r="N470" s="202">
        <f>镇沅!J58</f>
        <v>0</v>
      </c>
      <c r="O470" s="202">
        <f>镇沅!K58</f>
        <v>0</v>
      </c>
      <c r="P470" s="202">
        <f>镇沅!L58</f>
        <v>0</v>
      </c>
      <c r="Q470" s="202">
        <f>镇沅!M58</f>
        <v>0</v>
      </c>
      <c r="R470" s="202">
        <f>镇沅!N58</f>
        <v>0</v>
      </c>
      <c r="S470" s="202">
        <f>镇沅!O58</f>
        <v>0</v>
      </c>
      <c r="T470" s="202">
        <f>镇沅!P58</f>
        <v>0</v>
      </c>
      <c r="U470" s="202">
        <f>镇沅!Q58</f>
        <v>0</v>
      </c>
      <c r="V470" s="202">
        <f>镇沅!R58</f>
        <v>0</v>
      </c>
      <c r="W470" s="202">
        <f>镇沅!S58</f>
        <v>0</v>
      </c>
      <c r="X470" s="202">
        <f>镇沅!T58</f>
        <v>0</v>
      </c>
      <c r="Y470" s="202">
        <f>镇沅!U58</f>
        <v>0</v>
      </c>
      <c r="Z470" s="202">
        <f>镇沅!V58</f>
        <v>0</v>
      </c>
      <c r="AA470" s="202">
        <f>镇沅!W58</f>
        <v>0</v>
      </c>
      <c r="AB470" s="202">
        <f>镇沅!X58</f>
        <v>0</v>
      </c>
      <c r="AC470" s="202">
        <f>镇沅!Y58</f>
        <v>0</v>
      </c>
      <c r="AD470" s="202">
        <f>镇沅!Z58</f>
        <v>0</v>
      </c>
      <c r="AE470" s="202">
        <f>镇沅!AA58</f>
        <v>0</v>
      </c>
      <c r="AF470" s="202">
        <f>镇沅!AB58</f>
        <v>0</v>
      </c>
      <c r="AG470" s="202">
        <f>镇沅!AC58</f>
        <v>0</v>
      </c>
      <c r="AH470" s="202">
        <f>镇沅!AD58</f>
        <v>0</v>
      </c>
      <c r="AI470" s="202">
        <f>镇沅!AE58</f>
        <v>0</v>
      </c>
      <c r="AJ470" s="202">
        <f>镇沅!AF58</f>
        <v>0</v>
      </c>
      <c r="AK470" s="202" t="str">
        <f>镇沅!AG58</f>
        <v>镇沅县九甲镇果吉村</v>
      </c>
      <c r="AL470" s="202" t="str">
        <f>镇沅!AH58</f>
        <v>201607-08</v>
      </c>
      <c r="AM470" s="202">
        <f>镇沅!AI58</f>
        <v>0</v>
      </c>
      <c r="AN470" s="202">
        <f>镇沅!AJ58</f>
        <v>0</v>
      </c>
      <c r="AO470" s="202">
        <f>镇沅!AK58</f>
        <v>0</v>
      </c>
      <c r="AP470" s="263">
        <v>3</v>
      </c>
      <c r="AQ470" s="209">
        <f>镇沅!AM58</f>
        <v>0</v>
      </c>
      <c r="AR470" s="295">
        <f>镇沅!AN58</f>
        <v>0.6</v>
      </c>
      <c r="AS470" s="201" t="str">
        <f>镇沅!AO58</f>
        <v>53272619740801211X</v>
      </c>
      <c r="AT470" s="201" t="str">
        <f>镇沅!AP58</f>
        <v>15125687717</v>
      </c>
    </row>
    <row r="471" spans="1:46">
      <c r="A471" t="s">
        <v>1926</v>
      </c>
      <c r="B471" s="202" t="str">
        <f>VLOOKUP(A471,databases!$A$2:$B$7, 2, FALSE)</f>
        <v>ZhenYuan</v>
      </c>
      <c r="C471" t="str">
        <f>镇沅!B55</f>
        <v>李红伟</v>
      </c>
      <c r="D471" s="202" t="str">
        <f>VLOOKUP(C471,databases!$D$2:$E$145, 2, FALSE)</f>
        <v>R63</v>
      </c>
      <c r="E471" s="259">
        <f>INDEX(sample_database!$B$2:$B$506,MATCH(F471,sample_database!$L$2:$L$506,0))</f>
        <v>94</v>
      </c>
      <c r="F471" s="202" t="str">
        <f>镇沅!A55</f>
        <v>ZY54</v>
      </c>
      <c r="G471" s="257">
        <f>镇沅!C55</f>
        <v>9</v>
      </c>
      <c r="H471" s="257">
        <f>镇沅!D55</f>
        <v>0</v>
      </c>
      <c r="I471" s="202">
        <f>镇沅!E55</f>
        <v>109</v>
      </c>
      <c r="J471" s="202">
        <f>镇沅!F55</f>
        <v>16</v>
      </c>
      <c r="K471" s="202">
        <f>镇沅!G55</f>
        <v>30</v>
      </c>
      <c r="L471" s="202">
        <f>镇沅!H55</f>
        <v>14</v>
      </c>
      <c r="M471" s="202">
        <f>镇沅!I55</f>
        <v>13</v>
      </c>
      <c r="N471" s="202">
        <f>镇沅!J55</f>
        <v>7</v>
      </c>
      <c r="O471" s="202">
        <f>镇沅!K55</f>
        <v>9</v>
      </c>
      <c r="P471" s="202">
        <f>镇沅!L55</f>
        <v>7</v>
      </c>
      <c r="Q471" s="202">
        <f>镇沅!M55</f>
        <v>7</v>
      </c>
      <c r="R471" s="202">
        <f>镇沅!N55</f>
        <v>6</v>
      </c>
      <c r="S471" s="202">
        <f>镇沅!O55</f>
        <v>0</v>
      </c>
      <c r="T471" s="202">
        <f>镇沅!P55</f>
        <v>0</v>
      </c>
      <c r="U471" s="202">
        <f>镇沅!Q55</f>
        <v>0</v>
      </c>
      <c r="V471" s="202">
        <f>镇沅!R55</f>
        <v>0</v>
      </c>
      <c r="W471" s="202">
        <f>镇沅!S55</f>
        <v>0</v>
      </c>
      <c r="X471" s="202">
        <f>镇沅!T55</f>
        <v>0</v>
      </c>
      <c r="Y471" s="202">
        <f>镇沅!U55</f>
        <v>0</v>
      </c>
      <c r="Z471" s="202">
        <f>镇沅!V55</f>
        <v>0</v>
      </c>
      <c r="AA471" s="202">
        <f>镇沅!W55</f>
        <v>0</v>
      </c>
      <c r="AB471" s="202">
        <f>镇沅!X55</f>
        <v>0</v>
      </c>
      <c r="AC471" s="202">
        <f>镇沅!Y55</f>
        <v>0</v>
      </c>
      <c r="AD471" s="202">
        <f>镇沅!Z55</f>
        <v>0</v>
      </c>
      <c r="AE471" s="202">
        <f>镇沅!AA55</f>
        <v>0</v>
      </c>
      <c r="AF471" s="202">
        <f>镇沅!AB55</f>
        <v>0</v>
      </c>
      <c r="AG471" s="202">
        <f>镇沅!AC55</f>
        <v>0</v>
      </c>
      <c r="AH471" s="202">
        <f>镇沅!AD55</f>
        <v>0</v>
      </c>
      <c r="AI471" s="202">
        <f>镇沅!AE55</f>
        <v>0</v>
      </c>
      <c r="AJ471" s="202">
        <f>镇沅!AF55</f>
        <v>0</v>
      </c>
      <c r="AK471" s="202" t="str">
        <f>镇沅!AG55</f>
        <v>镇沅县九甲镇和平村</v>
      </c>
      <c r="AL471" s="202" t="str">
        <f>镇沅!AH55</f>
        <v>20160816</v>
      </c>
      <c r="AM471" s="202">
        <f>镇沅!AI55</f>
        <v>0</v>
      </c>
      <c r="AN471" s="202">
        <f>镇沅!AJ55</f>
        <v>0</v>
      </c>
      <c r="AO471" s="202">
        <f>镇沅!AK55</f>
        <v>0</v>
      </c>
      <c r="AP471" s="263">
        <v>19.5</v>
      </c>
      <c r="AQ471" s="209" t="str">
        <f>镇沅!AM55</f>
        <v>0.9*3+0.7+0.5</v>
      </c>
      <c r="AR471" s="295">
        <f>镇沅!AN55</f>
        <v>3.9000000000000004</v>
      </c>
      <c r="AS471" s="201" t="str">
        <f>镇沅!AO55</f>
        <v>532726195702122118</v>
      </c>
      <c r="AT471" s="201" t="str">
        <f>镇沅!AP55</f>
        <v>15658794271</v>
      </c>
    </row>
    <row r="472" spans="1:46">
      <c r="A472" t="s">
        <v>1926</v>
      </c>
      <c r="B472" s="202" t="str">
        <f>VLOOKUP(A472,databases!$A$2:$B$7, 2, FALSE)</f>
        <v>ZhenYuan</v>
      </c>
      <c r="C472" t="str">
        <f>镇沅!B56</f>
        <v>李红伟</v>
      </c>
      <c r="D472" s="202" t="str">
        <f>VLOOKUP(C472,databases!$D$2:$E$145, 2, FALSE)</f>
        <v>R63</v>
      </c>
      <c r="E472" s="259">
        <f>INDEX(sample_database!$B$2:$B$506,MATCH(F472,sample_database!$L$2:$L$506,0))</f>
        <v>94</v>
      </c>
      <c r="F472" s="202" t="str">
        <f>镇沅!A56</f>
        <v>ZY55</v>
      </c>
      <c r="G472" s="257">
        <f>镇沅!C56</f>
        <v>7</v>
      </c>
      <c r="H472" s="257">
        <f>镇沅!D56</f>
        <v>0</v>
      </c>
      <c r="I472" s="202">
        <f>镇沅!E56</f>
        <v>97</v>
      </c>
      <c r="J472" s="202">
        <f>镇沅!F56</f>
        <v>34</v>
      </c>
      <c r="K472" s="202">
        <f>镇沅!G56</f>
        <v>18</v>
      </c>
      <c r="L472" s="202">
        <f>镇沅!H56</f>
        <v>18</v>
      </c>
      <c r="M472" s="202">
        <f>镇沅!I56</f>
        <v>9</v>
      </c>
      <c r="N472" s="202">
        <f>镇沅!J56</f>
        <v>7</v>
      </c>
      <c r="O472" s="202">
        <f>镇沅!K56</f>
        <v>8</v>
      </c>
      <c r="P472" s="202">
        <f>镇沅!L56</f>
        <v>3</v>
      </c>
      <c r="Q472" s="202">
        <f>镇沅!M56</f>
        <v>0</v>
      </c>
      <c r="R472" s="202">
        <f>镇沅!N56</f>
        <v>0</v>
      </c>
      <c r="S472" s="202">
        <f>镇沅!O56</f>
        <v>0</v>
      </c>
      <c r="T472" s="202">
        <f>镇沅!P56</f>
        <v>0</v>
      </c>
      <c r="U472" s="202">
        <f>镇沅!Q56</f>
        <v>0</v>
      </c>
      <c r="V472" s="202">
        <f>镇沅!R56</f>
        <v>0</v>
      </c>
      <c r="W472" s="202">
        <f>镇沅!S56</f>
        <v>0</v>
      </c>
      <c r="X472" s="202">
        <f>镇沅!T56</f>
        <v>0</v>
      </c>
      <c r="Y472" s="202">
        <f>镇沅!U56</f>
        <v>0</v>
      </c>
      <c r="Z472" s="202">
        <f>镇沅!V56</f>
        <v>0</v>
      </c>
      <c r="AA472" s="202">
        <f>镇沅!W56</f>
        <v>0</v>
      </c>
      <c r="AB472" s="202">
        <f>镇沅!X56</f>
        <v>0</v>
      </c>
      <c r="AC472" s="202">
        <f>镇沅!Y56</f>
        <v>0</v>
      </c>
      <c r="AD472" s="202">
        <f>镇沅!Z56</f>
        <v>0</v>
      </c>
      <c r="AE472" s="202">
        <f>镇沅!AA56</f>
        <v>0</v>
      </c>
      <c r="AF472" s="202">
        <f>镇沅!AB56</f>
        <v>0</v>
      </c>
      <c r="AG472" s="202">
        <f>镇沅!AC56</f>
        <v>0</v>
      </c>
      <c r="AH472" s="202">
        <f>镇沅!AD56</f>
        <v>0</v>
      </c>
      <c r="AI472" s="202">
        <f>镇沅!AE56</f>
        <v>0</v>
      </c>
      <c r="AJ472" s="202">
        <f>镇沅!AF56</f>
        <v>0</v>
      </c>
      <c r="AK472" s="202" t="str">
        <f>镇沅!AG56</f>
        <v>镇沅县九甲镇和平村</v>
      </c>
      <c r="AL472" s="202" t="str">
        <f>镇沅!AH56</f>
        <v>20160825</v>
      </c>
      <c r="AM472" s="202">
        <f>镇沅!AI56</f>
        <v>0</v>
      </c>
      <c r="AN472" s="202">
        <f>镇沅!AJ56</f>
        <v>0</v>
      </c>
      <c r="AO472" s="202">
        <f>镇沅!AK56</f>
        <v>0</v>
      </c>
      <c r="AP472" s="263">
        <v>22.5</v>
      </c>
      <c r="AQ472" s="209">
        <f>镇沅!AM56</f>
        <v>0</v>
      </c>
      <c r="AR472" s="295">
        <f>镇沅!AN56</f>
        <v>4.5</v>
      </c>
      <c r="AS472" s="201" t="str">
        <f>镇沅!AO56</f>
        <v>532726195702122118</v>
      </c>
      <c r="AT472" s="201" t="str">
        <f>镇沅!AP56</f>
        <v>15658794271</v>
      </c>
    </row>
    <row r="473" spans="1:46">
      <c r="A473" t="s">
        <v>1926</v>
      </c>
      <c r="B473" s="202" t="str">
        <f>VLOOKUP(A473,databases!$A$2:$B$7, 2, FALSE)</f>
        <v>ZhenYuan</v>
      </c>
      <c r="C473" t="str">
        <f>镇沅!B20</f>
        <v>杨春昌</v>
      </c>
      <c r="D473" s="202" t="str">
        <f>VLOOKUP(C473,databases!$D$2:$E$145, 2, FALSE)</f>
        <v>R74</v>
      </c>
      <c r="E473" s="259">
        <f>INDEX(sample_database!$B$2:$B$506,MATCH(F473,sample_database!$L$2:$L$506,0))</f>
        <v>75</v>
      </c>
      <c r="F473" s="202" t="str">
        <f>镇沅!A20</f>
        <v>ZY19</v>
      </c>
      <c r="G473" s="257">
        <f>镇沅!C20</f>
        <v>10</v>
      </c>
      <c r="H473" s="257">
        <f>镇沅!D20</f>
        <v>0</v>
      </c>
      <c r="I473" s="202">
        <f>镇沅!E20</f>
        <v>187</v>
      </c>
      <c r="J473" s="202">
        <f>镇沅!F20</f>
        <v>24</v>
      </c>
      <c r="K473" s="202">
        <f>镇沅!G20</f>
        <v>31</v>
      </c>
      <c r="L473" s="202">
        <f>镇沅!H20</f>
        <v>17</v>
      </c>
      <c r="M473" s="202">
        <f>镇沅!I20</f>
        <v>10</v>
      </c>
      <c r="N473" s="202">
        <f>镇沅!J20</f>
        <v>31</v>
      </c>
      <c r="O473" s="202">
        <f>镇沅!K20</f>
        <v>16</v>
      </c>
      <c r="P473" s="202">
        <f>镇沅!L20</f>
        <v>12</v>
      </c>
      <c r="Q473" s="202">
        <f>镇沅!M20</f>
        <v>15</v>
      </c>
      <c r="R473" s="202">
        <f>镇沅!N20</f>
        <v>14</v>
      </c>
      <c r="S473" s="202">
        <f>镇沅!O20</f>
        <v>17</v>
      </c>
      <c r="T473" s="202">
        <f>镇沅!P20</f>
        <v>0</v>
      </c>
      <c r="U473" s="202">
        <f>镇沅!Q20</f>
        <v>0</v>
      </c>
      <c r="V473" s="202">
        <f>镇沅!R20</f>
        <v>0</v>
      </c>
      <c r="W473" s="202">
        <f>镇沅!S20</f>
        <v>0</v>
      </c>
      <c r="X473" s="202">
        <f>镇沅!T20</f>
        <v>0</v>
      </c>
      <c r="Y473" s="202">
        <f>镇沅!U20</f>
        <v>0</v>
      </c>
      <c r="Z473" s="202">
        <f>镇沅!V20</f>
        <v>0</v>
      </c>
      <c r="AA473" s="202">
        <f>镇沅!W20</f>
        <v>0</v>
      </c>
      <c r="AB473" s="202">
        <f>镇沅!X20</f>
        <v>0</v>
      </c>
      <c r="AC473" s="202">
        <f>镇沅!Y20</f>
        <v>0</v>
      </c>
      <c r="AD473" s="202">
        <f>镇沅!Z20</f>
        <v>0</v>
      </c>
      <c r="AE473" s="202">
        <f>镇沅!AA20</f>
        <v>0</v>
      </c>
      <c r="AF473" s="202">
        <f>镇沅!AB20</f>
        <v>0</v>
      </c>
      <c r="AG473" s="202">
        <f>镇沅!AC20</f>
        <v>0</v>
      </c>
      <c r="AH473" s="202">
        <f>镇沅!AD20</f>
        <v>0</v>
      </c>
      <c r="AI473" s="202">
        <f>镇沅!AE20</f>
        <v>0</v>
      </c>
      <c r="AJ473" s="202">
        <f>镇沅!AF20</f>
        <v>0</v>
      </c>
      <c r="AK473" s="202" t="str">
        <f>镇沅!AG20</f>
        <v>？？？</v>
      </c>
      <c r="AL473" s="202" t="str">
        <f>镇沅!AH20</f>
        <v>20160714</v>
      </c>
      <c r="AM473" s="202">
        <f>镇沅!AI20</f>
        <v>0</v>
      </c>
      <c r="AN473" s="202">
        <f>镇沅!AJ20</f>
        <v>0</v>
      </c>
      <c r="AO473" s="202">
        <f>镇沅!AK20</f>
        <v>0</v>
      </c>
      <c r="AP473" s="263">
        <v>45</v>
      </c>
      <c r="AQ473" s="209" t="str">
        <f>镇沅!AM20</f>
        <v>1.5+2+1.5+2+2</v>
      </c>
      <c r="AR473" s="295">
        <f>镇沅!AN20</f>
        <v>9</v>
      </c>
      <c r="AS473" s="201" t="str">
        <f>镇沅!AO20</f>
        <v>532726196103102419</v>
      </c>
      <c r="AT473" s="201" t="str">
        <f>镇沅!AP20</f>
        <v>？？</v>
      </c>
    </row>
    <row r="474" spans="1:46">
      <c r="A474" t="s">
        <v>1926</v>
      </c>
      <c r="B474" s="202" t="str">
        <f>VLOOKUP(A474,databases!$A$2:$B$7, 2, FALSE)</f>
        <v>ZhenYuan</v>
      </c>
      <c r="C474" t="str">
        <f>镇沅!B21</f>
        <v>杨春昌</v>
      </c>
      <c r="D474" s="202" t="str">
        <f>VLOOKUP(C474,databases!$D$2:$E$145, 2, FALSE)</f>
        <v>R74</v>
      </c>
      <c r="E474" s="259">
        <f>INDEX(sample_database!$B$2:$B$506,MATCH(F474,sample_database!$L$2:$L$506,0))</f>
        <v>75</v>
      </c>
      <c r="F474" s="202" t="str">
        <f>镇沅!A21</f>
        <v>ZY20</v>
      </c>
      <c r="G474" s="257">
        <f>镇沅!C21</f>
        <v>10</v>
      </c>
      <c r="H474" s="257">
        <f>镇沅!D21</f>
        <v>0</v>
      </c>
      <c r="I474" s="202">
        <f>镇沅!E21</f>
        <v>269</v>
      </c>
      <c r="J474" s="202">
        <f>镇沅!F21</f>
        <v>23</v>
      </c>
      <c r="K474" s="202">
        <f>镇沅!G21</f>
        <v>28</v>
      </c>
      <c r="L474" s="202">
        <f>镇沅!H21</f>
        <v>23</v>
      </c>
      <c r="M474" s="202">
        <f>镇沅!I21</f>
        <v>21</v>
      </c>
      <c r="N474" s="202">
        <f>镇沅!J21</f>
        <v>25</v>
      </c>
      <c r="O474" s="202">
        <f>镇沅!K21</f>
        <v>25</v>
      </c>
      <c r="P474" s="202">
        <f>镇沅!L21</f>
        <v>44</v>
      </c>
      <c r="Q474" s="202">
        <f>镇沅!M21</f>
        <v>30</v>
      </c>
      <c r="R474" s="202">
        <f>镇沅!N21</f>
        <v>24</v>
      </c>
      <c r="S474" s="202">
        <f>镇沅!O21</f>
        <v>26</v>
      </c>
      <c r="T474" s="202">
        <f>镇沅!P21</f>
        <v>0</v>
      </c>
      <c r="U474" s="202">
        <f>镇沅!Q21</f>
        <v>0</v>
      </c>
      <c r="V474" s="202">
        <f>镇沅!R21</f>
        <v>0</v>
      </c>
      <c r="W474" s="202">
        <f>镇沅!S21</f>
        <v>0</v>
      </c>
      <c r="X474" s="202">
        <f>镇沅!T21</f>
        <v>0</v>
      </c>
      <c r="Y474" s="202">
        <f>镇沅!U21</f>
        <v>0</v>
      </c>
      <c r="Z474" s="202">
        <f>镇沅!V21</f>
        <v>0</v>
      </c>
      <c r="AA474" s="202">
        <f>镇沅!W21</f>
        <v>0</v>
      </c>
      <c r="AB474" s="202">
        <f>镇沅!X21</f>
        <v>0</v>
      </c>
      <c r="AC474" s="202">
        <f>镇沅!Y21</f>
        <v>0</v>
      </c>
      <c r="AD474" s="202">
        <f>镇沅!Z21</f>
        <v>0</v>
      </c>
      <c r="AE474" s="202">
        <f>镇沅!AA21</f>
        <v>0</v>
      </c>
      <c r="AF474" s="202">
        <f>镇沅!AB21</f>
        <v>0</v>
      </c>
      <c r="AG474" s="202">
        <f>镇沅!AC21</f>
        <v>0</v>
      </c>
      <c r="AH474" s="202">
        <f>镇沅!AD21</f>
        <v>0</v>
      </c>
      <c r="AI474" s="202">
        <f>镇沅!AE21</f>
        <v>0</v>
      </c>
      <c r="AJ474" s="202">
        <f>镇沅!AF21</f>
        <v>0</v>
      </c>
      <c r="AK474" s="202" t="str">
        <f>镇沅!AG21</f>
        <v>？？？</v>
      </c>
      <c r="AL474" s="202" t="str">
        <f>镇沅!AH21</f>
        <v>20160821</v>
      </c>
      <c r="AM474" s="202">
        <f>镇沅!AI21</f>
        <v>0</v>
      </c>
      <c r="AN474" s="202">
        <f>镇沅!AJ21</f>
        <v>0</v>
      </c>
      <c r="AO474" s="202">
        <f>镇沅!AK21</f>
        <v>0</v>
      </c>
      <c r="AP474" s="263">
        <v>55</v>
      </c>
      <c r="AQ474" s="209" t="str">
        <f>镇沅!AM21</f>
        <v>2+2.5+2+2.5+2</v>
      </c>
      <c r="AR474" s="295">
        <f>镇沅!AN21</f>
        <v>11</v>
      </c>
      <c r="AS474" s="201" t="str">
        <f>镇沅!AO21</f>
        <v>532726196103102419</v>
      </c>
      <c r="AT474" s="201" t="str">
        <f>镇沅!AP21</f>
        <v>？？</v>
      </c>
    </row>
    <row r="475" spans="1:46">
      <c r="A475" t="s">
        <v>1926</v>
      </c>
      <c r="B475" s="202" t="str">
        <f>VLOOKUP(A475,databases!$A$2:$B$7, 2, FALSE)</f>
        <v>ZhenYuan</v>
      </c>
      <c r="C475" t="str">
        <f>镇沅!B22</f>
        <v>杨春昌</v>
      </c>
      <c r="D475" s="202" t="str">
        <f>VLOOKUP(C475,databases!$D$2:$E$145, 2, FALSE)</f>
        <v>R74</v>
      </c>
      <c r="E475" s="259">
        <f>INDEX(sample_database!$B$2:$B$506,MATCH(F475,sample_database!$L$2:$L$506,0))</f>
        <v>75</v>
      </c>
      <c r="F475" s="202" t="str">
        <f>镇沅!A22</f>
        <v>ZY21</v>
      </c>
      <c r="G475" s="257">
        <f>镇沅!C22</f>
        <v>0</v>
      </c>
      <c r="H475" s="257">
        <f>镇沅!D22</f>
        <v>20</v>
      </c>
      <c r="I475" s="202">
        <f>镇沅!E22</f>
        <v>184</v>
      </c>
      <c r="J475" s="202">
        <f>镇沅!F22</f>
        <v>11</v>
      </c>
      <c r="K475" s="202">
        <f>镇沅!G22</f>
        <v>8</v>
      </c>
      <c r="L475" s="202">
        <f>镇沅!H22</f>
        <v>5</v>
      </c>
      <c r="M475" s="202">
        <f>镇沅!I22</f>
        <v>9</v>
      </c>
      <c r="N475" s="202">
        <f>镇沅!J22</f>
        <v>6</v>
      </c>
      <c r="O475" s="202">
        <f>镇沅!K22</f>
        <v>10</v>
      </c>
      <c r="P475" s="202">
        <f>镇沅!L22</f>
        <v>9</v>
      </c>
      <c r="Q475" s="202">
        <f>镇沅!M22</f>
        <v>10</v>
      </c>
      <c r="R475" s="202">
        <f>镇沅!N22</f>
        <v>5</v>
      </c>
      <c r="S475" s="202">
        <f>镇沅!O22</f>
        <v>7</v>
      </c>
      <c r="T475" s="202">
        <f>镇沅!P22</f>
        <v>13</v>
      </c>
      <c r="U475" s="202">
        <f>镇沅!Q22</f>
        <v>12</v>
      </c>
      <c r="V475" s="202">
        <f>镇沅!R22</f>
        <v>5</v>
      </c>
      <c r="W475" s="202">
        <f>镇沅!S22</f>
        <v>17</v>
      </c>
      <c r="X475" s="202">
        <f>镇沅!T22</f>
        <v>14</v>
      </c>
      <c r="Y475" s="202">
        <f>镇沅!U22</f>
        <v>8</v>
      </c>
      <c r="Z475" s="202">
        <f>镇沅!V22</f>
        <v>9</v>
      </c>
      <c r="AA475" s="202">
        <f>镇沅!W22</f>
        <v>8</v>
      </c>
      <c r="AB475" s="202">
        <f>镇沅!X22</f>
        <v>7</v>
      </c>
      <c r="AC475" s="202">
        <f>镇沅!Y22</f>
        <v>11</v>
      </c>
      <c r="AD475" s="202">
        <f>镇沅!Z22</f>
        <v>0</v>
      </c>
      <c r="AE475" s="202">
        <f>镇沅!AA22</f>
        <v>0</v>
      </c>
      <c r="AF475" s="202">
        <f>镇沅!AB22</f>
        <v>0</v>
      </c>
      <c r="AG475" s="202">
        <f>镇沅!AC22</f>
        <v>0</v>
      </c>
      <c r="AH475" s="202">
        <f>镇沅!AD22</f>
        <v>0</v>
      </c>
      <c r="AI475" s="202">
        <f>镇沅!AE22</f>
        <v>0</v>
      </c>
      <c r="AJ475" s="202">
        <f>镇沅!AF22</f>
        <v>0</v>
      </c>
      <c r="AK475" s="202" t="str">
        <f>镇沅!AG22</f>
        <v>？？？</v>
      </c>
      <c r="AL475" s="202" t="str">
        <f>镇沅!AH22</f>
        <v>20160805</v>
      </c>
      <c r="AM475" s="202">
        <f>镇沅!AI22</f>
        <v>0</v>
      </c>
      <c r="AN475" s="202">
        <f>镇沅!AJ22</f>
        <v>0</v>
      </c>
      <c r="AO475" s="202">
        <f>镇沅!AK22</f>
        <v>0</v>
      </c>
      <c r="AP475" s="263">
        <v>50</v>
      </c>
      <c r="AQ475" s="209" t="str">
        <f>镇沅!AM22</f>
        <v>2.5+2+2+1.5+2</v>
      </c>
      <c r="AR475" s="295">
        <f>镇沅!AN22</f>
        <v>10</v>
      </c>
      <c r="AS475" s="201" t="str">
        <f>镇沅!AO22</f>
        <v>532726196103102419</v>
      </c>
      <c r="AT475" s="201" t="str">
        <f>镇沅!AP22</f>
        <v>？？</v>
      </c>
    </row>
    <row r="476" spans="1:46">
      <c r="A476" t="s">
        <v>1926</v>
      </c>
      <c r="B476" s="202" t="str">
        <f>VLOOKUP(A476,databases!$A$2:$B$7, 2, FALSE)</f>
        <v>ZhenYuan</v>
      </c>
      <c r="C476" t="str">
        <f>镇沅!B23</f>
        <v>杨春昌</v>
      </c>
      <c r="D476" s="202" t="str">
        <f>VLOOKUP(C476,databases!$D$2:$E$145, 2, FALSE)</f>
        <v>R74</v>
      </c>
      <c r="E476" s="259">
        <f>INDEX(sample_database!$B$2:$B$506,MATCH(F476,sample_database!$L$2:$L$506,0))</f>
        <v>75</v>
      </c>
      <c r="F476" s="202" t="str">
        <f>镇沅!A23</f>
        <v>ZY22</v>
      </c>
      <c r="G476" s="257">
        <f>镇沅!C23</f>
        <v>10</v>
      </c>
      <c r="H476" s="257">
        <f>镇沅!D23</f>
        <v>0</v>
      </c>
      <c r="I476" s="202">
        <f>镇沅!E23</f>
        <v>224</v>
      </c>
      <c r="J476" s="202">
        <f>镇沅!F23</f>
        <v>23</v>
      </c>
      <c r="K476" s="202">
        <f>镇沅!G23</f>
        <v>21</v>
      </c>
      <c r="L476" s="202">
        <f>镇沅!H23</f>
        <v>22</v>
      </c>
      <c r="M476" s="202">
        <f>镇沅!I23</f>
        <v>25</v>
      </c>
      <c r="N476" s="202">
        <f>镇沅!J23</f>
        <v>35</v>
      </c>
      <c r="O476" s="202">
        <f>镇沅!K23</f>
        <v>33</v>
      </c>
      <c r="P476" s="202">
        <f>镇沅!L23</f>
        <v>23</v>
      </c>
      <c r="Q476" s="202">
        <f>镇沅!M23</f>
        <v>10</v>
      </c>
      <c r="R476" s="202">
        <f>镇沅!N23</f>
        <v>21</v>
      </c>
      <c r="S476" s="202">
        <f>镇沅!O23</f>
        <v>11</v>
      </c>
      <c r="T476" s="202">
        <f>镇沅!P23</f>
        <v>0</v>
      </c>
      <c r="U476" s="202">
        <f>镇沅!Q23</f>
        <v>0</v>
      </c>
      <c r="V476" s="202">
        <f>镇沅!R23</f>
        <v>0</v>
      </c>
      <c r="W476" s="202">
        <f>镇沅!S23</f>
        <v>0</v>
      </c>
      <c r="X476" s="202">
        <f>镇沅!T23</f>
        <v>0</v>
      </c>
      <c r="Y476" s="202">
        <f>镇沅!U23</f>
        <v>0</v>
      </c>
      <c r="Z476" s="202">
        <f>镇沅!V23</f>
        <v>0</v>
      </c>
      <c r="AA476" s="202">
        <f>镇沅!W23</f>
        <v>0</v>
      </c>
      <c r="AB476" s="202">
        <f>镇沅!X23</f>
        <v>0</v>
      </c>
      <c r="AC476" s="202">
        <f>镇沅!Y23</f>
        <v>0</v>
      </c>
      <c r="AD476" s="202">
        <f>镇沅!Z23</f>
        <v>0</v>
      </c>
      <c r="AE476" s="202">
        <f>镇沅!AA23</f>
        <v>0</v>
      </c>
      <c r="AF476" s="202">
        <f>镇沅!AB23</f>
        <v>0</v>
      </c>
      <c r="AG476" s="202">
        <f>镇沅!AC23</f>
        <v>0</v>
      </c>
      <c r="AH476" s="202">
        <f>镇沅!AD23</f>
        <v>0</v>
      </c>
      <c r="AI476" s="202">
        <f>镇沅!AE23</f>
        <v>0</v>
      </c>
      <c r="AJ476" s="202">
        <f>镇沅!AF23</f>
        <v>0</v>
      </c>
      <c r="AK476" s="202" t="str">
        <f>镇沅!AG23</f>
        <v>学堂？</v>
      </c>
      <c r="AL476" s="202" t="str">
        <f>镇沅!AH23</f>
        <v>20160821</v>
      </c>
      <c r="AM476" s="202">
        <f>镇沅!AI23</f>
        <v>0</v>
      </c>
      <c r="AN476" s="202">
        <f>镇沅!AJ23</f>
        <v>0</v>
      </c>
      <c r="AO476" s="202">
        <f>镇沅!AK23</f>
        <v>0</v>
      </c>
      <c r="AP476" s="263">
        <v>42.5</v>
      </c>
      <c r="AQ476" s="209" t="str">
        <f>镇沅!AM23</f>
        <v>2+1.5+2+1.5+1.5</v>
      </c>
      <c r="AR476" s="295">
        <f>镇沅!AN23</f>
        <v>8.5</v>
      </c>
      <c r="AS476" s="201" t="str">
        <f>镇沅!AO23</f>
        <v>532726196103102419</v>
      </c>
      <c r="AT476" s="201" t="str">
        <f>镇沅!AP23</f>
        <v>？？</v>
      </c>
    </row>
    <row r="477" spans="1:46" s="252" customFormat="1">
      <c r="A477" s="252" t="s">
        <v>1926</v>
      </c>
      <c r="B477" s="236" t="str">
        <f>VLOOKUP(A477,databases!$A$2:$B$7, 2, FALSE)</f>
        <v>ZhenYuan</v>
      </c>
      <c r="C477" s="252" t="str">
        <f>镇沅!B24</f>
        <v>杨春昌</v>
      </c>
      <c r="D477" s="236" t="str">
        <f>VLOOKUP(C477,databases!$D$2:$E$145, 2, FALSE)</f>
        <v>R74</v>
      </c>
      <c r="E477" s="271">
        <f>INDEX(sample_database!$B$2:$B$506,MATCH(F477,sample_database!$L$2:$L$506,0))</f>
        <v>75</v>
      </c>
      <c r="F477" s="236" t="str">
        <f>镇沅!A24</f>
        <v>ZY23</v>
      </c>
      <c r="G477" s="258">
        <f>镇沅!C24</f>
        <v>5</v>
      </c>
      <c r="H477" s="258">
        <f>镇沅!D24</f>
        <v>0</v>
      </c>
      <c r="I477" s="236">
        <f>镇沅!E24</f>
        <v>98</v>
      </c>
      <c r="J477" s="236">
        <f>镇沅!F24</f>
        <v>26</v>
      </c>
      <c r="K477" s="236">
        <f>镇沅!G24</f>
        <v>14</v>
      </c>
      <c r="L477" s="236">
        <f>镇沅!H24</f>
        <v>18</v>
      </c>
      <c r="M477" s="236">
        <f>镇沅!I24</f>
        <v>25</v>
      </c>
      <c r="N477" s="236">
        <f>镇沅!J24</f>
        <v>15</v>
      </c>
      <c r="O477" s="236">
        <f>镇沅!K24</f>
        <v>0</v>
      </c>
      <c r="P477" s="236">
        <f>镇沅!L24</f>
        <v>0</v>
      </c>
      <c r="Q477" s="236">
        <f>镇沅!M24</f>
        <v>0</v>
      </c>
      <c r="R477" s="236">
        <f>镇沅!N24</f>
        <v>0</v>
      </c>
      <c r="S477" s="236">
        <f>镇沅!O24</f>
        <v>0</v>
      </c>
      <c r="T477" s="236">
        <f>镇沅!P24</f>
        <v>0</v>
      </c>
      <c r="U477" s="236">
        <f>镇沅!Q24</f>
        <v>0</v>
      </c>
      <c r="V477" s="236">
        <f>镇沅!R24</f>
        <v>0</v>
      </c>
      <c r="W477" s="236">
        <f>镇沅!S24</f>
        <v>0</v>
      </c>
      <c r="X477" s="236">
        <f>镇沅!T24</f>
        <v>0</v>
      </c>
      <c r="Y477" s="236">
        <f>镇沅!U24</f>
        <v>0</v>
      </c>
      <c r="Z477" s="236">
        <f>镇沅!V24</f>
        <v>0</v>
      </c>
      <c r="AA477" s="236">
        <f>镇沅!W24</f>
        <v>0</v>
      </c>
      <c r="AB477" s="236">
        <f>镇沅!X24</f>
        <v>0</v>
      </c>
      <c r="AC477" s="236">
        <f>镇沅!Y24</f>
        <v>0</v>
      </c>
      <c r="AD477" s="236">
        <f>镇沅!Z24</f>
        <v>0</v>
      </c>
      <c r="AE477" s="236">
        <f>镇沅!AA24</f>
        <v>0</v>
      </c>
      <c r="AF477" s="236">
        <f>镇沅!AB24</f>
        <v>0</v>
      </c>
      <c r="AG477" s="236">
        <f>镇沅!AC24</f>
        <v>0</v>
      </c>
      <c r="AH477" s="236">
        <f>镇沅!AD24</f>
        <v>0</v>
      </c>
      <c r="AI477" s="236">
        <f>镇沅!AE24</f>
        <v>0</v>
      </c>
      <c r="AJ477" s="236">
        <f>镇沅!AF24</f>
        <v>0</v>
      </c>
      <c r="AK477" s="236" t="str">
        <f>镇沅!AG24</f>
        <v>学堂？</v>
      </c>
      <c r="AL477" s="236" t="str">
        <f>镇沅!AH24</f>
        <v>20160822</v>
      </c>
      <c r="AM477" s="236">
        <f>镇沅!AI24</f>
        <v>0</v>
      </c>
      <c r="AN477" s="236">
        <f>镇沅!AJ24</f>
        <v>0</v>
      </c>
      <c r="AO477" s="236">
        <f>镇沅!AK24</f>
        <v>0</v>
      </c>
      <c r="AP477" s="264">
        <v>22.5</v>
      </c>
      <c r="AQ477" s="260">
        <f>镇沅!AM24</f>
        <v>0</v>
      </c>
      <c r="AR477" s="296">
        <f>镇沅!AN24</f>
        <v>4.5</v>
      </c>
      <c r="AS477" s="254" t="str">
        <f>镇沅!AO24</f>
        <v>532726196103102419</v>
      </c>
      <c r="AT477" s="254" t="str">
        <f>镇沅!AP24</f>
        <v>？？</v>
      </c>
    </row>
    <row r="478" spans="1:46" s="171" customFormat="1">
      <c r="A478" t="s">
        <v>1926</v>
      </c>
      <c r="B478" s="202" t="str">
        <f>VLOOKUP(A478,databases!$A$2:$B$7, 2, FALSE)</f>
        <v>ZhenYuan</v>
      </c>
      <c r="C478" t="str">
        <f>镇沅!B25</f>
        <v>杨春昌</v>
      </c>
      <c r="D478" s="202" t="str">
        <f>VLOOKUP(C478,databases!$D$2:$E$145, 2, FALSE)</f>
        <v>R74</v>
      </c>
      <c r="E478" s="259">
        <f>INDEX(sample_database!$B$2:$B$506,MATCH(F478,sample_database!$L$2:$L$506,0))</f>
        <v>75</v>
      </c>
      <c r="F478" s="202" t="str">
        <f>镇沅!A25</f>
        <v>ZY24</v>
      </c>
      <c r="G478" s="257">
        <f>镇沅!C25</f>
        <v>0</v>
      </c>
      <c r="H478" s="257">
        <f>镇沅!D25</f>
        <v>14</v>
      </c>
      <c r="I478" s="202">
        <f>镇沅!E25</f>
        <v>186</v>
      </c>
      <c r="J478" s="202">
        <f>镇沅!F25</f>
        <v>9</v>
      </c>
      <c r="K478" s="202">
        <f>镇沅!G25</f>
        <v>18</v>
      </c>
      <c r="L478" s="202">
        <f>镇沅!H25</f>
        <v>25</v>
      </c>
      <c r="M478" s="202">
        <f>镇沅!I25</f>
        <v>23</v>
      </c>
      <c r="N478" s="202">
        <f>镇沅!J25</f>
        <v>11</v>
      </c>
      <c r="O478" s="202">
        <f>镇沅!K25</f>
        <v>19</v>
      </c>
      <c r="P478" s="202">
        <f>镇沅!L25</f>
        <v>6</v>
      </c>
      <c r="Q478" s="202">
        <f>镇沅!M25</f>
        <v>6</v>
      </c>
      <c r="R478" s="202">
        <f>镇沅!N25</f>
        <v>8</v>
      </c>
      <c r="S478" s="202">
        <f>镇沅!O25</f>
        <v>9</v>
      </c>
      <c r="T478" s="202">
        <f>镇沅!P25</f>
        <v>9</v>
      </c>
      <c r="U478" s="202">
        <f>镇沅!Q25</f>
        <v>5</v>
      </c>
      <c r="V478" s="202">
        <f>镇沅!R25</f>
        <v>17</v>
      </c>
      <c r="W478" s="202">
        <f>镇沅!S25</f>
        <v>21</v>
      </c>
      <c r="X478" s="202">
        <f>镇沅!T25</f>
        <v>0</v>
      </c>
      <c r="Y478" s="202">
        <f>镇沅!U25</f>
        <v>0</v>
      </c>
      <c r="Z478" s="202">
        <f>镇沅!V25</f>
        <v>0</v>
      </c>
      <c r="AA478" s="202">
        <f>镇沅!W25</f>
        <v>0</v>
      </c>
      <c r="AB478" s="202">
        <f>镇沅!X25</f>
        <v>0</v>
      </c>
      <c r="AC478" s="202">
        <f>镇沅!Y25</f>
        <v>0</v>
      </c>
      <c r="AD478" s="202">
        <f>镇沅!Z25</f>
        <v>0</v>
      </c>
      <c r="AE478" s="202">
        <f>镇沅!AA25</f>
        <v>0</v>
      </c>
      <c r="AF478" s="202">
        <f>镇沅!AB25</f>
        <v>0</v>
      </c>
      <c r="AG478" s="202">
        <f>镇沅!AC25</f>
        <v>0</v>
      </c>
      <c r="AH478" s="202">
        <f>镇沅!AD25</f>
        <v>0</v>
      </c>
      <c r="AI478" s="202">
        <f>镇沅!AE25</f>
        <v>0</v>
      </c>
      <c r="AJ478" s="202">
        <f>镇沅!AF25</f>
        <v>0</v>
      </c>
      <c r="AK478" s="202" t="str">
        <f>镇沅!AG25</f>
        <v>学堂？</v>
      </c>
      <c r="AL478" s="202" t="str">
        <f>镇沅!AH25</f>
        <v>？？</v>
      </c>
      <c r="AM478" s="202">
        <f>镇沅!AI25</f>
        <v>0</v>
      </c>
      <c r="AN478" s="202">
        <f>镇沅!AJ25</f>
        <v>0</v>
      </c>
      <c r="AO478" s="202">
        <f>镇沅!AK25</f>
        <v>0</v>
      </c>
      <c r="AP478" s="263">
        <v>34.5</v>
      </c>
      <c r="AQ478" s="209" t="str">
        <f>镇沅!AM25</f>
        <v>1.5+0.9+1.5+1.5+1.5</v>
      </c>
      <c r="AR478" s="295">
        <f>镇沅!AN25</f>
        <v>6.9</v>
      </c>
      <c r="AS478" s="201" t="str">
        <f>镇沅!AO25</f>
        <v>532726196103102419</v>
      </c>
      <c r="AT478" s="201" t="str">
        <f>镇沅!AP25</f>
        <v>？？</v>
      </c>
    </row>
    <row r="479" spans="1:46">
      <c r="A479" t="s">
        <v>1926</v>
      </c>
      <c r="B479" s="202" t="str">
        <f>VLOOKUP(A479,databases!$A$2:$B$7, 2, FALSE)</f>
        <v>ZhenYuan</v>
      </c>
      <c r="C479" t="str">
        <f>镇沅!B12</f>
        <v>王云武</v>
      </c>
      <c r="D479" s="202" t="str">
        <f>VLOOKUP(C479,databases!$D$2:$E$145, 2, FALSE)</f>
        <v>R80</v>
      </c>
      <c r="E479" s="259">
        <f>INDEX(sample_database!$B$2:$B$506,MATCH(F479,sample_database!$L$2:$L$506,0))</f>
        <v>73</v>
      </c>
      <c r="F479" s="202" t="str">
        <f>镇沅!A12</f>
        <v>ZY11</v>
      </c>
      <c r="G479" s="257">
        <f>镇沅!C12</f>
        <v>10</v>
      </c>
      <c r="H479" s="257">
        <f>镇沅!D12</f>
        <v>0</v>
      </c>
      <c r="I479" s="202">
        <f>镇沅!E12</f>
        <v>93</v>
      </c>
      <c r="J479" s="202">
        <f>镇沅!F12</f>
        <v>10</v>
      </c>
      <c r="K479" s="202">
        <f>镇沅!G12</f>
        <v>12</v>
      </c>
      <c r="L479" s="202">
        <f>镇沅!H12</f>
        <v>8</v>
      </c>
      <c r="M479" s="202">
        <f>镇沅!I12</f>
        <v>8</v>
      </c>
      <c r="N479" s="202">
        <f>镇沅!J12</f>
        <v>12</v>
      </c>
      <c r="O479" s="202">
        <f>镇沅!K12</f>
        <v>8</v>
      </c>
      <c r="P479" s="202">
        <f>镇沅!L12</f>
        <v>7</v>
      </c>
      <c r="Q479" s="202">
        <f>镇沅!M12</f>
        <v>6</v>
      </c>
      <c r="R479" s="202">
        <f>镇沅!N12</f>
        <v>10</v>
      </c>
      <c r="S479" s="202">
        <f>镇沅!O12</f>
        <v>12</v>
      </c>
      <c r="T479" s="202">
        <f>镇沅!P12</f>
        <v>0</v>
      </c>
      <c r="U479" s="202">
        <f>镇沅!Q12</f>
        <v>0</v>
      </c>
      <c r="V479" s="202">
        <f>镇沅!R12</f>
        <v>0</v>
      </c>
      <c r="W479" s="202">
        <f>镇沅!S12</f>
        <v>0</v>
      </c>
      <c r="X479" s="202">
        <f>镇沅!T12</f>
        <v>0</v>
      </c>
      <c r="Y479" s="202">
        <f>镇沅!U12</f>
        <v>0</v>
      </c>
      <c r="Z479" s="202">
        <f>镇沅!V12</f>
        <v>0</v>
      </c>
      <c r="AA479" s="202">
        <f>镇沅!W12</f>
        <v>0</v>
      </c>
      <c r="AB479" s="202">
        <f>镇沅!X12</f>
        <v>0</v>
      </c>
      <c r="AC479" s="202">
        <f>镇沅!Y12</f>
        <v>0</v>
      </c>
      <c r="AD479" s="202">
        <f>镇沅!Z12</f>
        <v>0</v>
      </c>
      <c r="AE479" s="202">
        <f>镇沅!AA12</f>
        <v>0</v>
      </c>
      <c r="AF479" s="202">
        <f>镇沅!AB12</f>
        <v>0</v>
      </c>
      <c r="AG479" s="202">
        <f>镇沅!AC12</f>
        <v>0</v>
      </c>
      <c r="AH479" s="202">
        <f>镇沅!AD12</f>
        <v>0</v>
      </c>
      <c r="AI479" s="202">
        <f>镇沅!AE12</f>
        <v>0</v>
      </c>
      <c r="AJ479" s="202">
        <f>镇沅!AF12</f>
        <v>0</v>
      </c>
      <c r="AK479" s="202" t="str">
        <f>镇沅!AG12</f>
        <v>镇沅县者东镇凹龙村二社</v>
      </c>
      <c r="AL479" s="202" t="str">
        <f>镇沅!AH12</f>
        <v>20160701-0702</v>
      </c>
      <c r="AM479" s="202">
        <f>镇沅!AI12</f>
        <v>0</v>
      </c>
      <c r="AN479" s="202">
        <f>镇沅!AJ12</f>
        <v>0</v>
      </c>
      <c r="AO479" s="202" t="str">
        <f>镇沅!AK12</f>
        <v>海拔2387&amp;3511</v>
      </c>
      <c r="AP479" s="263">
        <v>22.5</v>
      </c>
      <c r="AQ479" s="209">
        <f>镇沅!AM12</f>
        <v>0</v>
      </c>
      <c r="AR479" s="295">
        <f>镇沅!AN12</f>
        <v>4.5</v>
      </c>
      <c r="AS479" s="201" t="str">
        <f>镇沅!AO12</f>
        <v>532726196501132410</v>
      </c>
      <c r="AT479" s="201" t="str">
        <f>镇沅!AP12</f>
        <v>13577961712</v>
      </c>
    </row>
    <row r="480" spans="1:46">
      <c r="A480" t="s">
        <v>1926</v>
      </c>
      <c r="B480" s="202" t="str">
        <f>VLOOKUP(A480,databases!$A$2:$B$7, 2, FALSE)</f>
        <v>ZhenYuan</v>
      </c>
      <c r="C480" t="str">
        <f>镇沅!B13</f>
        <v>王云武</v>
      </c>
      <c r="D480" s="202" t="str">
        <f>VLOOKUP(C480,databases!$D$2:$E$145, 2, FALSE)</f>
        <v>R80</v>
      </c>
      <c r="E480" s="259">
        <f>INDEX(sample_database!$B$2:$B$506,MATCH(F480,sample_database!$L$2:$L$506,0))</f>
        <v>73</v>
      </c>
      <c r="F480" s="202" t="str">
        <f>镇沅!A13</f>
        <v>ZY12</v>
      </c>
      <c r="G480" s="257">
        <f>镇沅!C13</f>
        <v>9</v>
      </c>
      <c r="H480" s="257">
        <f>镇沅!D13</f>
        <v>0</v>
      </c>
      <c r="I480" s="202">
        <f>镇沅!E13</f>
        <v>116</v>
      </c>
      <c r="J480" s="202">
        <f>镇沅!F13</f>
        <v>28</v>
      </c>
      <c r="K480" s="202">
        <f>镇沅!G13</f>
        <v>20</v>
      </c>
      <c r="L480" s="202">
        <f>镇沅!H13</f>
        <v>8</v>
      </c>
      <c r="M480" s="202">
        <f>镇沅!I13</f>
        <v>7</v>
      </c>
      <c r="N480" s="202">
        <f>镇沅!J13</f>
        <v>11</v>
      </c>
      <c r="O480" s="202">
        <f>镇沅!K13</f>
        <v>10</v>
      </c>
      <c r="P480" s="202">
        <f>镇沅!L13</f>
        <v>13</v>
      </c>
      <c r="Q480" s="202">
        <f>镇沅!M13</f>
        <v>10</v>
      </c>
      <c r="R480" s="202">
        <f>镇沅!N13</f>
        <v>9</v>
      </c>
      <c r="S480" s="202">
        <f>镇沅!O13</f>
        <v>0</v>
      </c>
      <c r="T480" s="202">
        <f>镇沅!P13</f>
        <v>0</v>
      </c>
      <c r="U480" s="202">
        <f>镇沅!Q13</f>
        <v>0</v>
      </c>
      <c r="V480" s="202">
        <f>镇沅!R13</f>
        <v>0</v>
      </c>
      <c r="W480" s="202">
        <f>镇沅!S13</f>
        <v>0</v>
      </c>
      <c r="X480" s="202">
        <f>镇沅!T13</f>
        <v>0</v>
      </c>
      <c r="Y480" s="202">
        <f>镇沅!U13</f>
        <v>0</v>
      </c>
      <c r="Z480" s="202">
        <f>镇沅!V13</f>
        <v>0</v>
      </c>
      <c r="AA480" s="202">
        <f>镇沅!W13</f>
        <v>0</v>
      </c>
      <c r="AB480" s="202">
        <f>镇沅!X13</f>
        <v>0</v>
      </c>
      <c r="AC480" s="202">
        <f>镇沅!Y13</f>
        <v>0</v>
      </c>
      <c r="AD480" s="202">
        <f>镇沅!Z13</f>
        <v>0</v>
      </c>
      <c r="AE480" s="202">
        <f>镇沅!AA13</f>
        <v>0</v>
      </c>
      <c r="AF480" s="202">
        <f>镇沅!AB13</f>
        <v>0</v>
      </c>
      <c r="AG480" s="202">
        <f>镇沅!AC13</f>
        <v>0</v>
      </c>
      <c r="AH480" s="202">
        <f>镇沅!AD13</f>
        <v>0</v>
      </c>
      <c r="AI480" s="202">
        <f>镇沅!AE13</f>
        <v>0</v>
      </c>
      <c r="AJ480" s="202">
        <f>镇沅!AF13</f>
        <v>0</v>
      </c>
      <c r="AK480" s="202" t="str">
        <f>镇沅!AG13</f>
        <v>镇沅县者东镇凹龙村</v>
      </c>
      <c r="AL480" s="202">
        <f>镇沅!AH13</f>
        <v>20160712</v>
      </c>
      <c r="AM480" s="202">
        <f>镇沅!AI13</f>
        <v>0</v>
      </c>
      <c r="AN480" s="202">
        <f>镇沅!AJ13</f>
        <v>0</v>
      </c>
      <c r="AO480" s="202" t="str">
        <f>镇沅!AK13</f>
        <v>海拔2387</v>
      </c>
      <c r="AP480" s="263">
        <v>18.5</v>
      </c>
      <c r="AQ480" s="209" t="str">
        <f>镇沅!AM13</f>
        <v>0.9*3+0.5*2</v>
      </c>
      <c r="AR480" s="295">
        <f>镇沅!AN13</f>
        <v>3.7</v>
      </c>
      <c r="AS480" s="201" t="str">
        <f>镇沅!AO13</f>
        <v>532726196501132410</v>
      </c>
      <c r="AT480" s="201" t="str">
        <f>镇沅!AP13</f>
        <v>13577961712</v>
      </c>
    </row>
    <row r="481" spans="1:46">
      <c r="A481" t="s">
        <v>1926</v>
      </c>
      <c r="B481" s="202" t="str">
        <f>VLOOKUP(A481,databases!$A$2:$B$7, 2, FALSE)</f>
        <v>ZhenYuan</v>
      </c>
      <c r="C481" t="str">
        <f>镇沅!B14</f>
        <v>王云武</v>
      </c>
      <c r="D481" s="202" t="str">
        <f>VLOOKUP(C481,databases!$D$2:$E$145, 2, FALSE)</f>
        <v>R80</v>
      </c>
      <c r="E481" s="259">
        <f>INDEX(sample_database!$B$2:$B$506,MATCH(F481,sample_database!$L$2:$L$506,0))</f>
        <v>73</v>
      </c>
      <c r="F481" s="202" t="str">
        <f>镇沅!A14</f>
        <v>ZY13</v>
      </c>
      <c r="G481" s="257">
        <f>镇沅!C14</f>
        <v>10</v>
      </c>
      <c r="H481" s="257">
        <f>镇沅!D14</f>
        <v>0</v>
      </c>
      <c r="I481" s="202">
        <f>镇沅!E14</f>
        <v>223</v>
      </c>
      <c r="J481" s="202">
        <f>镇沅!F14</f>
        <v>15</v>
      </c>
      <c r="K481" s="202">
        <f>镇沅!G14</f>
        <v>24</v>
      </c>
      <c r="L481" s="202">
        <f>镇沅!H14</f>
        <v>23</v>
      </c>
      <c r="M481" s="202">
        <f>镇沅!I14</f>
        <v>23</v>
      </c>
      <c r="N481" s="202">
        <f>镇沅!J14</f>
        <v>21</v>
      </c>
      <c r="O481" s="202">
        <f>镇沅!K14</f>
        <v>31</v>
      </c>
      <c r="P481" s="202">
        <f>镇沅!L14</f>
        <v>18</v>
      </c>
      <c r="Q481" s="202">
        <f>镇沅!M14</f>
        <v>30</v>
      </c>
      <c r="R481" s="202">
        <f>镇沅!N14</f>
        <v>19</v>
      </c>
      <c r="S481" s="202">
        <f>镇沅!O14</f>
        <v>19</v>
      </c>
      <c r="T481" s="202">
        <f>镇沅!P14</f>
        <v>0</v>
      </c>
      <c r="U481" s="202">
        <f>镇沅!Q14</f>
        <v>0</v>
      </c>
      <c r="V481" s="202">
        <f>镇沅!R14</f>
        <v>0</v>
      </c>
      <c r="W481" s="202">
        <f>镇沅!S14</f>
        <v>0</v>
      </c>
      <c r="X481" s="202">
        <f>镇沅!T14</f>
        <v>0</v>
      </c>
      <c r="Y481" s="202">
        <f>镇沅!U14</f>
        <v>0</v>
      </c>
      <c r="Z481" s="202">
        <f>镇沅!V14</f>
        <v>0</v>
      </c>
      <c r="AA481" s="202">
        <f>镇沅!W14</f>
        <v>0</v>
      </c>
      <c r="AB481" s="202">
        <f>镇沅!X14</f>
        <v>0</v>
      </c>
      <c r="AC481" s="202">
        <f>镇沅!Y14</f>
        <v>0</v>
      </c>
      <c r="AD481" s="202">
        <f>镇沅!Z14</f>
        <v>0</v>
      </c>
      <c r="AE481" s="202">
        <f>镇沅!AA14</f>
        <v>0</v>
      </c>
      <c r="AF481" s="202">
        <f>镇沅!AB14</f>
        <v>0</v>
      </c>
      <c r="AG481" s="202">
        <f>镇沅!AC14</f>
        <v>0</v>
      </c>
      <c r="AH481" s="202">
        <f>镇沅!AD14</f>
        <v>0</v>
      </c>
      <c r="AI481" s="202">
        <f>镇沅!AE14</f>
        <v>0</v>
      </c>
      <c r="AJ481" s="202">
        <f>镇沅!AF14</f>
        <v>0</v>
      </c>
      <c r="AK481" s="202" t="str">
        <f>镇沅!AG14</f>
        <v>镇沅县者东镇凹龙村</v>
      </c>
      <c r="AL481" s="202">
        <f>镇沅!AH14</f>
        <v>20160722</v>
      </c>
      <c r="AM481" s="202">
        <f>镇沅!AI14</f>
        <v>0</v>
      </c>
      <c r="AN481" s="202">
        <f>镇沅!AJ14</f>
        <v>0</v>
      </c>
      <c r="AO481" s="202" t="str">
        <f>镇沅!AK14</f>
        <v>海拔2496</v>
      </c>
      <c r="AP481" s="263">
        <v>50</v>
      </c>
      <c r="AQ481" s="209" t="str">
        <f>镇沅!AM14</f>
        <v>2*5</v>
      </c>
      <c r="AR481" s="295">
        <f>镇沅!AN14</f>
        <v>10</v>
      </c>
      <c r="AS481" s="201" t="str">
        <f>镇沅!AO14</f>
        <v>532726196501132410</v>
      </c>
      <c r="AT481" s="201" t="str">
        <f>镇沅!AP14</f>
        <v>13577961712</v>
      </c>
    </row>
    <row r="482" spans="1:46">
      <c r="A482" t="s">
        <v>1926</v>
      </c>
      <c r="B482" s="202" t="str">
        <f>VLOOKUP(A482,databases!$A$2:$B$7, 2, FALSE)</f>
        <v>ZhenYuan</v>
      </c>
      <c r="C482" t="str">
        <f>镇沅!B15</f>
        <v>王云武</v>
      </c>
      <c r="D482" s="202" t="str">
        <f>VLOOKUP(C482,databases!$D$2:$E$145, 2, FALSE)</f>
        <v>R80</v>
      </c>
      <c r="E482" s="259">
        <f>INDEX(sample_database!$B$2:$B$506,MATCH(F482,sample_database!$L$2:$L$506,0))</f>
        <v>73</v>
      </c>
      <c r="F482" s="202" t="str">
        <f>镇沅!A15</f>
        <v>ZY14</v>
      </c>
      <c r="G482" s="257">
        <f>镇沅!C15</f>
        <v>10</v>
      </c>
      <c r="H482" s="257">
        <f>镇沅!D15</f>
        <v>0</v>
      </c>
      <c r="I482" s="202">
        <f>镇沅!E15</f>
        <v>137</v>
      </c>
      <c r="J482" s="202">
        <f>镇沅!F15</f>
        <v>14</v>
      </c>
      <c r="K482" s="202">
        <f>镇沅!G15</f>
        <v>13</v>
      </c>
      <c r="L482" s="202">
        <f>镇沅!H15</f>
        <v>12</v>
      </c>
      <c r="M482" s="202">
        <f>镇沅!I15</f>
        <v>9</v>
      </c>
      <c r="N482" s="202">
        <f>镇沅!J15</f>
        <v>12</v>
      </c>
      <c r="O482" s="202">
        <f>镇沅!K15</f>
        <v>18</v>
      </c>
      <c r="P482" s="202">
        <f>镇沅!L15</f>
        <v>13</v>
      </c>
      <c r="Q482" s="202">
        <f>镇沅!M15</f>
        <v>17</v>
      </c>
      <c r="R482" s="202">
        <f>镇沅!N15</f>
        <v>11</v>
      </c>
      <c r="S482" s="202">
        <f>镇沅!O15</f>
        <v>18</v>
      </c>
      <c r="T482" s="202">
        <f>镇沅!P15</f>
        <v>0</v>
      </c>
      <c r="U482" s="202">
        <f>镇沅!Q15</f>
        <v>0</v>
      </c>
      <c r="V482" s="202">
        <f>镇沅!R15</f>
        <v>0</v>
      </c>
      <c r="W482" s="202">
        <f>镇沅!S15</f>
        <v>0</v>
      </c>
      <c r="X482" s="202">
        <f>镇沅!T15</f>
        <v>0</v>
      </c>
      <c r="Y482" s="202">
        <f>镇沅!U15</f>
        <v>0</v>
      </c>
      <c r="Z482" s="202">
        <f>镇沅!V15</f>
        <v>0</v>
      </c>
      <c r="AA482" s="202">
        <f>镇沅!W15</f>
        <v>0</v>
      </c>
      <c r="AB482" s="202">
        <f>镇沅!X15</f>
        <v>0</v>
      </c>
      <c r="AC482" s="202">
        <f>镇沅!Y15</f>
        <v>0</v>
      </c>
      <c r="AD482" s="202">
        <f>镇沅!Z15</f>
        <v>0</v>
      </c>
      <c r="AE482" s="202">
        <f>镇沅!AA15</f>
        <v>0</v>
      </c>
      <c r="AF482" s="202">
        <f>镇沅!AB15</f>
        <v>0</v>
      </c>
      <c r="AG482" s="202">
        <f>镇沅!AC15</f>
        <v>0</v>
      </c>
      <c r="AH482" s="202">
        <f>镇沅!AD15</f>
        <v>0</v>
      </c>
      <c r="AI482" s="202">
        <f>镇沅!AE15</f>
        <v>0</v>
      </c>
      <c r="AJ482" s="202">
        <f>镇沅!AF15</f>
        <v>0</v>
      </c>
      <c r="AK482" s="202" t="str">
        <f>镇沅!AG15</f>
        <v>镇沅县者东镇凹龙村</v>
      </c>
      <c r="AL482" s="202">
        <f>镇沅!AH15</f>
        <v>20160815</v>
      </c>
      <c r="AM482" s="202">
        <f>镇沅!AI15</f>
        <v>0</v>
      </c>
      <c r="AN482" s="202">
        <f>镇沅!AJ15</f>
        <v>0</v>
      </c>
      <c r="AO482" s="202" t="str">
        <f>镇沅!AK15</f>
        <v>海拔2796</v>
      </c>
      <c r="AP482" s="263">
        <v>24.5</v>
      </c>
      <c r="AQ482" s="209" t="str">
        <f>镇沅!AM15</f>
        <v>1.5+0.9*3+0.7</v>
      </c>
      <c r="AR482" s="295">
        <f>镇沅!AN15</f>
        <v>4.9000000000000004</v>
      </c>
      <c r="AS482" s="201" t="str">
        <f>镇沅!AO15</f>
        <v>532726196501132410</v>
      </c>
      <c r="AT482" s="201" t="str">
        <f>镇沅!AP15</f>
        <v>13577961712</v>
      </c>
    </row>
    <row r="483" spans="1:46">
      <c r="A483" t="s">
        <v>1926</v>
      </c>
      <c r="B483" s="202" t="str">
        <f>VLOOKUP(A483,databases!$A$2:$B$7, 2, FALSE)</f>
        <v>ZhenYuan</v>
      </c>
      <c r="C483" t="str">
        <f>镇沅!B16</f>
        <v>王云武</v>
      </c>
      <c r="D483" s="202" t="str">
        <f>VLOOKUP(C483,databases!$D$2:$E$145, 2, FALSE)</f>
        <v>R80</v>
      </c>
      <c r="E483" s="259">
        <f>INDEX(sample_database!$B$2:$B$506,MATCH(F483,sample_database!$L$2:$L$506,0))</f>
        <v>73</v>
      </c>
      <c r="F483" s="202" t="str">
        <f>镇沅!A16</f>
        <v>ZY15</v>
      </c>
      <c r="G483" s="257">
        <f>镇沅!C16</f>
        <v>10</v>
      </c>
      <c r="H483" s="257">
        <f>镇沅!D16</f>
        <v>0</v>
      </c>
      <c r="I483" s="202">
        <f>镇沅!E16</f>
        <v>220</v>
      </c>
      <c r="J483" s="202">
        <f>镇沅!F16</f>
        <v>26</v>
      </c>
      <c r="K483" s="202">
        <f>镇沅!G16</f>
        <v>27</v>
      </c>
      <c r="L483" s="202">
        <f>镇沅!H16</f>
        <v>18</v>
      </c>
      <c r="M483" s="202">
        <f>镇沅!I16</f>
        <v>18</v>
      </c>
      <c r="N483" s="202">
        <f>镇沅!J16</f>
        <v>24</v>
      </c>
      <c r="O483" s="202">
        <f>镇沅!K16</f>
        <v>21</v>
      </c>
      <c r="P483" s="202">
        <f>镇沅!L16</f>
        <v>21</v>
      </c>
      <c r="Q483" s="202">
        <f>镇沅!M16</f>
        <v>25</v>
      </c>
      <c r="R483" s="202">
        <f>镇沅!N16</f>
        <v>16</v>
      </c>
      <c r="S483" s="202">
        <f>镇沅!O16</f>
        <v>24</v>
      </c>
      <c r="T483" s="202">
        <f>镇沅!P16</f>
        <v>0</v>
      </c>
      <c r="U483" s="202">
        <f>镇沅!Q16</f>
        <v>0</v>
      </c>
      <c r="V483" s="202">
        <f>镇沅!R16</f>
        <v>0</v>
      </c>
      <c r="W483" s="202">
        <f>镇沅!S16</f>
        <v>0</v>
      </c>
      <c r="X483" s="202">
        <f>镇沅!T16</f>
        <v>0</v>
      </c>
      <c r="Y483" s="202">
        <f>镇沅!U16</f>
        <v>0</v>
      </c>
      <c r="Z483" s="202">
        <f>镇沅!V16</f>
        <v>0</v>
      </c>
      <c r="AA483" s="202">
        <f>镇沅!W16</f>
        <v>0</v>
      </c>
      <c r="AB483" s="202">
        <f>镇沅!X16</f>
        <v>0</v>
      </c>
      <c r="AC483" s="202">
        <f>镇沅!Y16</f>
        <v>0</v>
      </c>
      <c r="AD483" s="202">
        <f>镇沅!Z16</f>
        <v>0</v>
      </c>
      <c r="AE483" s="202">
        <f>镇沅!AA16</f>
        <v>0</v>
      </c>
      <c r="AF483" s="202">
        <f>镇沅!AB16</f>
        <v>0</v>
      </c>
      <c r="AG483" s="202">
        <f>镇沅!AC16</f>
        <v>0</v>
      </c>
      <c r="AH483" s="202">
        <f>镇沅!AD16</f>
        <v>0</v>
      </c>
      <c r="AI483" s="202">
        <f>镇沅!AE16</f>
        <v>0</v>
      </c>
      <c r="AJ483" s="202">
        <f>镇沅!AF16</f>
        <v>0</v>
      </c>
      <c r="AK483" s="202" t="str">
        <f>镇沅!AG16</f>
        <v>镇沅县者东镇凹龙村</v>
      </c>
      <c r="AL483" s="202" t="str">
        <f>镇沅!AH16</f>
        <v>20160722</v>
      </c>
      <c r="AM483" s="202">
        <f>镇沅!AI16</f>
        <v>0</v>
      </c>
      <c r="AN483" s="202">
        <f>镇沅!AJ16</f>
        <v>0</v>
      </c>
      <c r="AO483" s="202" t="str">
        <f>镇沅!AK16</f>
        <v>海拔2496</v>
      </c>
      <c r="AP483" s="263">
        <v>52.5</v>
      </c>
      <c r="AQ483" s="209" t="str">
        <f>镇沅!AM16</f>
        <v>2+1.5+3+2+2</v>
      </c>
      <c r="AR483" s="295">
        <f>镇沅!AN16</f>
        <v>10.5</v>
      </c>
      <c r="AS483" s="201" t="str">
        <f>镇沅!AO16</f>
        <v>532726196501132410</v>
      </c>
      <c r="AT483" s="201" t="str">
        <f>镇沅!AP16</f>
        <v>13577961712</v>
      </c>
    </row>
    <row r="484" spans="1:46">
      <c r="A484" t="s">
        <v>1926</v>
      </c>
      <c r="B484" s="202" t="str">
        <f>VLOOKUP(A484,databases!$A$2:$B$7, 2, FALSE)</f>
        <v>ZhenYuan</v>
      </c>
      <c r="C484" t="str">
        <f>镇沅!B17</f>
        <v>王云武</v>
      </c>
      <c r="D484" s="202" t="str">
        <f>VLOOKUP(C484,databases!$D$2:$E$145, 2, FALSE)</f>
        <v>R80</v>
      </c>
      <c r="E484" s="259">
        <f>INDEX(sample_database!$B$2:$B$506,MATCH(F484,sample_database!$L$2:$L$506,0))</f>
        <v>73</v>
      </c>
      <c r="F484" s="202" t="str">
        <f>镇沅!A17</f>
        <v>ZY16</v>
      </c>
      <c r="G484" s="257">
        <f>镇沅!C17</f>
        <v>10</v>
      </c>
      <c r="H484" s="257">
        <f>镇沅!D17</f>
        <v>0</v>
      </c>
      <c r="I484" s="202">
        <f>镇沅!E17</f>
        <v>210</v>
      </c>
      <c r="J484" s="202">
        <f>镇沅!F17</f>
        <v>24</v>
      </c>
      <c r="K484" s="202">
        <f>镇沅!G17</f>
        <v>30</v>
      </c>
      <c r="L484" s="202">
        <f>镇沅!H17</f>
        <v>23</v>
      </c>
      <c r="M484" s="202">
        <f>镇沅!I17</f>
        <v>15</v>
      </c>
      <c r="N484" s="202">
        <f>镇沅!J17</f>
        <v>13</v>
      </c>
      <c r="O484" s="202">
        <f>镇沅!K17</f>
        <v>21</v>
      </c>
      <c r="P484" s="202">
        <f>镇沅!L17</f>
        <v>26</v>
      </c>
      <c r="Q484" s="202">
        <f>镇沅!M17</f>
        <v>27</v>
      </c>
      <c r="R484" s="202">
        <f>镇沅!N17</f>
        <v>16</v>
      </c>
      <c r="S484" s="202">
        <f>镇沅!O17</f>
        <v>15</v>
      </c>
      <c r="T484" s="202">
        <f>镇沅!P17</f>
        <v>0</v>
      </c>
      <c r="U484" s="202">
        <f>镇沅!Q17</f>
        <v>0</v>
      </c>
      <c r="V484" s="202">
        <f>镇沅!R17</f>
        <v>0</v>
      </c>
      <c r="W484" s="202">
        <f>镇沅!S17</f>
        <v>0</v>
      </c>
      <c r="X484" s="202">
        <f>镇沅!T17</f>
        <v>0</v>
      </c>
      <c r="Y484" s="202">
        <f>镇沅!U17</f>
        <v>0</v>
      </c>
      <c r="Z484" s="202">
        <f>镇沅!V17</f>
        <v>0</v>
      </c>
      <c r="AA484" s="202">
        <f>镇沅!W17</f>
        <v>0</v>
      </c>
      <c r="AB484" s="202">
        <f>镇沅!X17</f>
        <v>0</v>
      </c>
      <c r="AC484" s="202">
        <f>镇沅!Y17</f>
        <v>0</v>
      </c>
      <c r="AD484" s="202">
        <f>镇沅!Z17</f>
        <v>0</v>
      </c>
      <c r="AE484" s="202">
        <f>镇沅!AA17</f>
        <v>0</v>
      </c>
      <c r="AF484" s="202">
        <f>镇沅!AB17</f>
        <v>0</v>
      </c>
      <c r="AG484" s="202">
        <f>镇沅!AC17</f>
        <v>0</v>
      </c>
      <c r="AH484" s="202">
        <f>镇沅!AD17</f>
        <v>0</v>
      </c>
      <c r="AI484" s="202">
        <f>镇沅!AE17</f>
        <v>0</v>
      </c>
      <c r="AJ484" s="202">
        <f>镇沅!AF17</f>
        <v>0</v>
      </c>
      <c r="AK484" s="202" t="str">
        <f>镇沅!AG17</f>
        <v>镇沅县者东镇凹龙村</v>
      </c>
      <c r="AL484" s="202" t="str">
        <f>镇沅!AH17</f>
        <v>20160729</v>
      </c>
      <c r="AM484" s="202">
        <f>镇沅!AI17</f>
        <v>0</v>
      </c>
      <c r="AN484" s="202">
        <f>镇沅!AJ17</f>
        <v>0</v>
      </c>
      <c r="AO484" s="202" t="str">
        <f>镇沅!AK17</f>
        <v>海拔2696-1</v>
      </c>
      <c r="AP484" s="263">
        <v>45</v>
      </c>
      <c r="AQ484" s="209" t="str">
        <f>镇沅!AM17</f>
        <v>2+1.5+2+2+1.5</v>
      </c>
      <c r="AR484" s="295">
        <f>镇沅!AN17</f>
        <v>9</v>
      </c>
      <c r="AS484" s="201" t="str">
        <f>镇沅!AO17</f>
        <v>532726196501132410</v>
      </c>
      <c r="AT484" s="201" t="str">
        <f>镇沅!AP17</f>
        <v>13577961712</v>
      </c>
    </row>
    <row r="485" spans="1:46">
      <c r="A485" t="s">
        <v>1926</v>
      </c>
      <c r="B485" s="202" t="str">
        <f>VLOOKUP(A485,databases!$A$2:$B$7, 2, FALSE)</f>
        <v>ZhenYuan</v>
      </c>
      <c r="C485" t="str">
        <f>镇沅!B18</f>
        <v>王云武</v>
      </c>
      <c r="D485" s="202" t="str">
        <f>VLOOKUP(C485,databases!$D$2:$E$145, 2, FALSE)</f>
        <v>R80</v>
      </c>
      <c r="E485" s="259">
        <f>INDEX(sample_database!$B$2:$B$506,MATCH(F485,sample_database!$L$2:$L$506,0))</f>
        <v>73</v>
      </c>
      <c r="F485" s="202" t="str">
        <f>镇沅!A18</f>
        <v>ZY17</v>
      </c>
      <c r="G485" s="257">
        <f>镇沅!C18</f>
        <v>10</v>
      </c>
      <c r="H485" s="257">
        <f>镇沅!D18</f>
        <v>0</v>
      </c>
      <c r="I485" s="202">
        <f>镇沅!E18</f>
        <v>126</v>
      </c>
      <c r="J485" s="202">
        <f>镇沅!F18</f>
        <v>19</v>
      </c>
      <c r="K485" s="202">
        <f>镇沅!G18</f>
        <v>13</v>
      </c>
      <c r="L485" s="202">
        <f>镇沅!H18</f>
        <v>19</v>
      </c>
      <c r="M485" s="202">
        <f>镇沅!I18</f>
        <v>16</v>
      </c>
      <c r="N485" s="202">
        <f>镇沅!J18</f>
        <v>13</v>
      </c>
      <c r="O485" s="202">
        <f>镇沅!K18</f>
        <v>11</v>
      </c>
      <c r="P485" s="202">
        <f>镇沅!L18</f>
        <v>15</v>
      </c>
      <c r="Q485" s="202">
        <f>镇沅!M18</f>
        <v>9</v>
      </c>
      <c r="R485" s="202">
        <f>镇沅!N18</f>
        <v>8</v>
      </c>
      <c r="S485" s="202">
        <f>镇沅!O18</f>
        <v>3</v>
      </c>
      <c r="T485" s="202">
        <f>镇沅!P18</f>
        <v>0</v>
      </c>
      <c r="U485" s="202">
        <f>镇沅!Q18</f>
        <v>0</v>
      </c>
      <c r="V485" s="202">
        <f>镇沅!R18</f>
        <v>0</v>
      </c>
      <c r="W485" s="202">
        <f>镇沅!S18</f>
        <v>0</v>
      </c>
      <c r="X485" s="202">
        <f>镇沅!T18</f>
        <v>0</v>
      </c>
      <c r="Y485" s="202">
        <f>镇沅!U18</f>
        <v>0</v>
      </c>
      <c r="Z485" s="202">
        <f>镇沅!V18</f>
        <v>0</v>
      </c>
      <c r="AA485" s="202">
        <f>镇沅!W18</f>
        <v>0</v>
      </c>
      <c r="AB485" s="202">
        <f>镇沅!X18</f>
        <v>0</v>
      </c>
      <c r="AC485" s="202">
        <f>镇沅!Y18</f>
        <v>0</v>
      </c>
      <c r="AD485" s="202">
        <f>镇沅!Z18</f>
        <v>0</v>
      </c>
      <c r="AE485" s="202">
        <f>镇沅!AA18</f>
        <v>0</v>
      </c>
      <c r="AF485" s="202">
        <f>镇沅!AB18</f>
        <v>0</v>
      </c>
      <c r="AG485" s="202">
        <f>镇沅!AC18</f>
        <v>0</v>
      </c>
      <c r="AH485" s="202">
        <f>镇沅!AD18</f>
        <v>0</v>
      </c>
      <c r="AI485" s="202">
        <f>镇沅!AE18</f>
        <v>0</v>
      </c>
      <c r="AJ485" s="202">
        <f>镇沅!AF18</f>
        <v>0</v>
      </c>
      <c r="AK485" s="202" t="str">
        <f>镇沅!AG18</f>
        <v>镇沅县者东镇凹龙村</v>
      </c>
      <c r="AL485" s="202" t="str">
        <f>镇沅!AH18</f>
        <v>20160729</v>
      </c>
      <c r="AM485" s="202">
        <f>镇沅!AI18</f>
        <v>0</v>
      </c>
      <c r="AN485" s="202">
        <f>镇沅!AJ18</f>
        <v>0</v>
      </c>
      <c r="AO485" s="202" t="str">
        <f>镇沅!AK18</f>
        <v>海拔2696-2</v>
      </c>
      <c r="AP485" s="263">
        <v>32.500000000000007</v>
      </c>
      <c r="AQ485" s="209" t="str">
        <f>镇沅!AM18</f>
        <v>2+2+0.7+0.9+0.9</v>
      </c>
      <c r="AR485" s="295">
        <f>镇沅!AN18</f>
        <v>6.5000000000000009</v>
      </c>
      <c r="AS485" s="201" t="str">
        <f>镇沅!AO18</f>
        <v>532726196501132410</v>
      </c>
      <c r="AT485" s="201" t="str">
        <f>镇沅!AP18</f>
        <v>13577961712</v>
      </c>
    </row>
    <row r="486" spans="1:46">
      <c r="A486" t="s">
        <v>1926</v>
      </c>
      <c r="B486" s="202" t="str">
        <f>VLOOKUP(A486,databases!$A$2:$B$7, 2, FALSE)</f>
        <v>ZhenYuan</v>
      </c>
      <c r="C486" t="str">
        <f>镇沅!B19</f>
        <v>王云武</v>
      </c>
      <c r="D486" s="202" t="str">
        <f>VLOOKUP(C486,databases!$D$2:$E$145, 2, FALSE)</f>
        <v>R80</v>
      </c>
      <c r="E486" s="259">
        <f>INDEX(sample_database!$B$2:$B$506,MATCH(F486,sample_database!$L$2:$L$506,0))</f>
        <v>73</v>
      </c>
      <c r="F486" s="202" t="str">
        <f>镇沅!A19</f>
        <v>ZY18</v>
      </c>
      <c r="G486" s="257">
        <f>镇沅!C19</f>
        <v>9</v>
      </c>
      <c r="H486" s="257">
        <f>镇沅!D19</f>
        <v>0</v>
      </c>
      <c r="I486" s="202">
        <f>镇沅!E19</f>
        <v>193</v>
      </c>
      <c r="J486" s="202">
        <f>镇沅!F19</f>
        <v>26</v>
      </c>
      <c r="K486" s="202">
        <f>镇沅!G19</f>
        <v>17</v>
      </c>
      <c r="L486" s="202">
        <f>镇沅!H19</f>
        <v>26</v>
      </c>
      <c r="M486" s="202">
        <f>镇沅!I19</f>
        <v>16</v>
      </c>
      <c r="N486" s="202">
        <f>镇沅!J19</f>
        <v>13</v>
      </c>
      <c r="O486" s="202">
        <f>镇沅!K19</f>
        <v>24</v>
      </c>
      <c r="P486" s="202">
        <f>镇沅!L19</f>
        <v>28</v>
      </c>
      <c r="Q486" s="202">
        <f>镇沅!M19</f>
        <v>33</v>
      </c>
      <c r="R486" s="202">
        <f>镇沅!N19</f>
        <v>10</v>
      </c>
      <c r="S486" s="202">
        <f>镇沅!O19</f>
        <v>0</v>
      </c>
      <c r="T486" s="202">
        <f>镇沅!P19</f>
        <v>0</v>
      </c>
      <c r="U486" s="202">
        <f>镇沅!Q19</f>
        <v>0</v>
      </c>
      <c r="V486" s="202">
        <f>镇沅!R19</f>
        <v>0</v>
      </c>
      <c r="W486" s="202">
        <f>镇沅!S19</f>
        <v>0</v>
      </c>
      <c r="X486" s="202">
        <f>镇沅!T19</f>
        <v>0</v>
      </c>
      <c r="Y486" s="202">
        <f>镇沅!U19</f>
        <v>0</v>
      </c>
      <c r="Z486" s="202">
        <f>镇沅!V19</f>
        <v>0</v>
      </c>
      <c r="AA486" s="202">
        <f>镇沅!W19</f>
        <v>0</v>
      </c>
      <c r="AB486" s="202">
        <f>镇沅!X19</f>
        <v>0</v>
      </c>
      <c r="AC486" s="202">
        <f>镇沅!Y19</f>
        <v>0</v>
      </c>
      <c r="AD486" s="202">
        <f>镇沅!Z19</f>
        <v>0</v>
      </c>
      <c r="AE486" s="202">
        <f>镇沅!AA19</f>
        <v>0</v>
      </c>
      <c r="AF486" s="202">
        <f>镇沅!AB19</f>
        <v>0</v>
      </c>
      <c r="AG486" s="202">
        <f>镇沅!AC19</f>
        <v>0</v>
      </c>
      <c r="AH486" s="202">
        <f>镇沅!AD19</f>
        <v>0</v>
      </c>
      <c r="AI486" s="202">
        <f>镇沅!AE19</f>
        <v>0</v>
      </c>
      <c r="AJ486" s="202">
        <f>镇沅!AF19</f>
        <v>0</v>
      </c>
      <c r="AK486" s="202" t="str">
        <f>镇沅!AG19</f>
        <v>镇沅县者东镇凹龙村</v>
      </c>
      <c r="AL486" s="202" t="str">
        <f>镇沅!AH19</f>
        <v>20160815</v>
      </c>
      <c r="AM486" s="202">
        <f>镇沅!AI19</f>
        <v>0</v>
      </c>
      <c r="AN486" s="202">
        <f>镇沅!AJ19</f>
        <v>0</v>
      </c>
      <c r="AO486" s="202" t="str">
        <f>镇沅!AK19</f>
        <v>海拔2796</v>
      </c>
      <c r="AP486" s="263">
        <v>62.5</v>
      </c>
      <c r="AQ486" s="209" t="str">
        <f>镇沅!AM19</f>
        <v>3+2.5+2.5+3+1.5</v>
      </c>
      <c r="AR486" s="295">
        <f>镇沅!AN19</f>
        <v>12.5</v>
      </c>
      <c r="AS486" s="201" t="str">
        <f>镇沅!AO19</f>
        <v>532726196501132410</v>
      </c>
      <c r="AT486" s="201" t="str">
        <f>镇沅!AP19</f>
        <v>13577961712</v>
      </c>
    </row>
    <row r="487" spans="1:46">
      <c r="A487" t="s">
        <v>1926</v>
      </c>
      <c r="B487" s="202" t="str">
        <f>VLOOKUP(A487,databases!$A$2:$B$7, 2, FALSE)</f>
        <v>ZhenYuan</v>
      </c>
      <c r="C487" t="str">
        <f>镇沅!B10</f>
        <v>王开昌</v>
      </c>
      <c r="D487" s="202" t="str">
        <f>VLOOKUP(C487,databases!$D$2:$E$145, 2, FALSE)</f>
        <v>R89</v>
      </c>
      <c r="E487" s="259">
        <f>INDEX(sample_database!$B$2:$B$506,MATCH(F487,sample_database!$L$2:$L$506,0))</f>
        <v>87</v>
      </c>
      <c r="F487" s="202" t="str">
        <f>镇沅!A10</f>
        <v>ZY09</v>
      </c>
      <c r="G487" s="257">
        <f>镇沅!C10</f>
        <v>3</v>
      </c>
      <c r="H487" s="257">
        <f>镇沅!D10</f>
        <v>0</v>
      </c>
      <c r="I487" s="202">
        <f>镇沅!E10</f>
        <v>11</v>
      </c>
      <c r="J487" s="202">
        <f>镇沅!F10</f>
        <v>4</v>
      </c>
      <c r="K487" s="202">
        <f>镇沅!G10</f>
        <v>4</v>
      </c>
      <c r="L487" s="202">
        <f>镇沅!H10</f>
        <v>3</v>
      </c>
      <c r="M487" s="202">
        <f>镇沅!I10</f>
        <v>0</v>
      </c>
      <c r="N487" s="202">
        <f>镇沅!J10</f>
        <v>0</v>
      </c>
      <c r="O487" s="202">
        <f>镇沅!K10</f>
        <v>0</v>
      </c>
      <c r="P487" s="202">
        <f>镇沅!L10</f>
        <v>0</v>
      </c>
      <c r="Q487" s="202">
        <f>镇沅!M10</f>
        <v>0</v>
      </c>
      <c r="R487" s="202">
        <f>镇沅!N10</f>
        <v>0</v>
      </c>
      <c r="S487" s="202">
        <f>镇沅!O10</f>
        <v>0</v>
      </c>
      <c r="T487" s="202">
        <f>镇沅!P10</f>
        <v>0</v>
      </c>
      <c r="U487" s="202">
        <f>镇沅!Q10</f>
        <v>0</v>
      </c>
      <c r="V487" s="202">
        <f>镇沅!R10</f>
        <v>0</v>
      </c>
      <c r="W487" s="202">
        <f>镇沅!S10</f>
        <v>0</v>
      </c>
      <c r="X487" s="202">
        <f>镇沅!T10</f>
        <v>0</v>
      </c>
      <c r="Y487" s="202">
        <f>镇沅!U10</f>
        <v>0</v>
      </c>
      <c r="Z487" s="202">
        <f>镇沅!V10</f>
        <v>0</v>
      </c>
      <c r="AA487" s="202">
        <f>镇沅!W10</f>
        <v>0</v>
      </c>
      <c r="AB487" s="202">
        <f>镇沅!X10</f>
        <v>0</v>
      </c>
      <c r="AC487" s="202">
        <f>镇沅!Y10</f>
        <v>0</v>
      </c>
      <c r="AD487" s="202">
        <f>镇沅!Z10</f>
        <v>0</v>
      </c>
      <c r="AE487" s="202">
        <f>镇沅!AA10</f>
        <v>0</v>
      </c>
      <c r="AF487" s="202">
        <f>镇沅!AB10</f>
        <v>0</v>
      </c>
      <c r="AG487" s="202">
        <f>镇沅!AC10</f>
        <v>0</v>
      </c>
      <c r="AH487" s="202">
        <f>镇沅!AD10</f>
        <v>0</v>
      </c>
      <c r="AI487" s="202">
        <f>镇沅!AE10</f>
        <v>0</v>
      </c>
      <c r="AJ487" s="202">
        <f>镇沅!AF10</f>
        <v>0</v>
      </c>
      <c r="AK487" s="202" t="str">
        <f>镇沅!AG10</f>
        <v>镇沅九甲甸坑村民委员会</v>
      </c>
      <c r="AL487" s="202" t="str">
        <f>镇沅!AH10</f>
        <v>201607-08</v>
      </c>
      <c r="AM487" s="202">
        <f>镇沅!AI10</f>
        <v>0</v>
      </c>
      <c r="AN487" s="202">
        <f>镇沅!AJ10</f>
        <v>0</v>
      </c>
      <c r="AO487" s="202">
        <f>镇沅!AK10</f>
        <v>0</v>
      </c>
      <c r="AP487" s="263">
        <v>3</v>
      </c>
      <c r="AQ487" s="209">
        <f>镇沅!AM10</f>
        <v>0</v>
      </c>
      <c r="AR487" s="295">
        <f>镇沅!AN10</f>
        <v>0.6</v>
      </c>
      <c r="AS487" s="201" t="str">
        <f>镇沅!AO10</f>
        <v>532726197505162136</v>
      </c>
      <c r="AT487" s="201" t="str">
        <f>镇沅!AP10</f>
        <v>13759009851</v>
      </c>
    </row>
    <row r="488" spans="1:46">
      <c r="A488" t="s">
        <v>1926</v>
      </c>
      <c r="B488" s="202" t="str">
        <f>VLOOKUP(A488,databases!$A$2:$B$7, 2, FALSE)</f>
        <v>ZhenYuan</v>
      </c>
      <c r="C488" t="str">
        <f>镇沅!B11</f>
        <v>王开昌</v>
      </c>
      <c r="D488" s="202" t="str">
        <f>VLOOKUP(C488,databases!$D$2:$E$145, 2, FALSE)</f>
        <v>R89</v>
      </c>
      <c r="E488" s="259">
        <f>INDEX(sample_database!$B$2:$B$506,MATCH(F488,sample_database!$L$2:$L$506,0))</f>
        <v>87</v>
      </c>
      <c r="F488" s="202" t="str">
        <f>镇沅!A11</f>
        <v>ZY10</v>
      </c>
      <c r="G488" s="257">
        <f>镇沅!C11</f>
        <v>6</v>
      </c>
      <c r="H488" s="257">
        <f>镇沅!D11</f>
        <v>0</v>
      </c>
      <c r="I488" s="202">
        <f>镇沅!E11</f>
        <v>25</v>
      </c>
      <c r="J488" s="202">
        <f>镇沅!F11</f>
        <v>9</v>
      </c>
      <c r="K488" s="202">
        <f>镇沅!G11</f>
        <v>4</v>
      </c>
      <c r="L488" s="202">
        <f>镇沅!H11</f>
        <v>2</v>
      </c>
      <c r="M488" s="202">
        <f>镇沅!I11</f>
        <v>1</v>
      </c>
      <c r="N488" s="202">
        <f>镇沅!J11</f>
        <v>4</v>
      </c>
      <c r="O488" s="202">
        <f>镇沅!K11</f>
        <v>5</v>
      </c>
      <c r="P488" s="202">
        <f>镇沅!L11</f>
        <v>0</v>
      </c>
      <c r="Q488" s="202">
        <f>镇沅!M11</f>
        <v>0</v>
      </c>
      <c r="R488" s="202">
        <f>镇沅!N11</f>
        <v>0</v>
      </c>
      <c r="S488" s="202">
        <f>镇沅!O11</f>
        <v>0</v>
      </c>
      <c r="T488" s="202">
        <f>镇沅!P11</f>
        <v>0</v>
      </c>
      <c r="U488" s="202">
        <f>镇沅!Q11</f>
        <v>0</v>
      </c>
      <c r="V488" s="202">
        <f>镇沅!R11</f>
        <v>0</v>
      </c>
      <c r="W488" s="202">
        <f>镇沅!S11</f>
        <v>0</v>
      </c>
      <c r="X488" s="202">
        <f>镇沅!T11</f>
        <v>0</v>
      </c>
      <c r="Y488" s="202">
        <f>镇沅!U11</f>
        <v>0</v>
      </c>
      <c r="Z488" s="202">
        <f>镇沅!V11</f>
        <v>0</v>
      </c>
      <c r="AA488" s="202">
        <f>镇沅!W11</f>
        <v>0</v>
      </c>
      <c r="AB488" s="202">
        <f>镇沅!X11</f>
        <v>0</v>
      </c>
      <c r="AC488" s="202">
        <f>镇沅!Y11</f>
        <v>0</v>
      </c>
      <c r="AD488" s="202">
        <f>镇沅!Z11</f>
        <v>0</v>
      </c>
      <c r="AE488" s="202">
        <f>镇沅!AA11</f>
        <v>0</v>
      </c>
      <c r="AF488" s="202">
        <f>镇沅!AB11</f>
        <v>0</v>
      </c>
      <c r="AG488" s="202">
        <f>镇沅!AC11</f>
        <v>0</v>
      </c>
      <c r="AH488" s="202">
        <f>镇沅!AD11</f>
        <v>0</v>
      </c>
      <c r="AI488" s="202">
        <f>镇沅!AE11</f>
        <v>0</v>
      </c>
      <c r="AJ488" s="202">
        <f>镇沅!AF11</f>
        <v>0</v>
      </c>
      <c r="AK488" s="202" t="str">
        <f>镇沅!AG11</f>
        <v>镇沅九甲甸坑村</v>
      </c>
      <c r="AL488" s="202" t="str">
        <f>镇沅!AH11</f>
        <v>201607-08</v>
      </c>
      <c r="AM488" s="202">
        <f>镇沅!AI11</f>
        <v>0</v>
      </c>
      <c r="AN488" s="202">
        <f>镇沅!AJ11</f>
        <v>0</v>
      </c>
      <c r="AO488" s="202">
        <f>镇沅!AK11</f>
        <v>0</v>
      </c>
      <c r="AP488" s="263">
        <v>7.5</v>
      </c>
      <c r="AQ488" s="209">
        <f>镇沅!AM11</f>
        <v>0</v>
      </c>
      <c r="AR488" s="295">
        <f>镇沅!AN11</f>
        <v>1.5</v>
      </c>
      <c r="AS488" s="201" t="str">
        <f>镇沅!AO11</f>
        <v>532726197505162136</v>
      </c>
      <c r="AT488" s="201" t="str">
        <f>镇沅!AP11</f>
        <v>13759009851</v>
      </c>
    </row>
    <row r="489" spans="1:46">
      <c r="A489" t="s">
        <v>1926</v>
      </c>
      <c r="B489" s="202" t="str">
        <f>VLOOKUP(A489,databases!$A$2:$B$7, 2, FALSE)</f>
        <v>ZhenYuan</v>
      </c>
      <c r="C489" t="str">
        <f>镇沅!B5</f>
        <v>王影</v>
      </c>
      <c r="D489" s="202" t="str">
        <f>VLOOKUP(C489,databases!$D$2:$E$145, 2, FALSE)</f>
        <v>R91</v>
      </c>
      <c r="E489" s="259">
        <f>INDEX(sample_database!$B$2:$B$506,MATCH(F489,sample_database!$L$2:$L$506,0))</f>
        <v>84</v>
      </c>
      <c r="F489" s="202" t="str">
        <f>镇沅!A5</f>
        <v>ZY04</v>
      </c>
      <c r="G489" s="257">
        <f>镇沅!C5</f>
        <v>6</v>
      </c>
      <c r="H489" s="257">
        <f>镇沅!D5</f>
        <v>0</v>
      </c>
      <c r="I489" s="202">
        <f>镇沅!E5</f>
        <v>6</v>
      </c>
      <c r="J489" s="202">
        <f>镇沅!F5</f>
        <v>1</v>
      </c>
      <c r="K489" s="202">
        <f>镇沅!G5</f>
        <v>1</v>
      </c>
      <c r="L489" s="202">
        <f>镇沅!H5</f>
        <v>1</v>
      </c>
      <c r="M489" s="202">
        <f>镇沅!I5</f>
        <v>1</v>
      </c>
      <c r="N489" s="202">
        <f>镇沅!J5</f>
        <v>1</v>
      </c>
      <c r="O489" s="202">
        <f>镇沅!K5</f>
        <v>1</v>
      </c>
      <c r="P489" s="202">
        <f>镇沅!L5</f>
        <v>0</v>
      </c>
      <c r="Q489" s="202">
        <f>镇沅!M5</f>
        <v>0</v>
      </c>
      <c r="R489" s="202">
        <f>镇沅!N5</f>
        <v>0</v>
      </c>
      <c r="S489" s="202">
        <f>镇沅!O5</f>
        <v>0</v>
      </c>
      <c r="T489" s="202">
        <f>镇沅!P5</f>
        <v>0</v>
      </c>
      <c r="U489" s="202">
        <f>镇沅!Q5</f>
        <v>0</v>
      </c>
      <c r="V489" s="202">
        <f>镇沅!R5</f>
        <v>0</v>
      </c>
      <c r="W489" s="202">
        <f>镇沅!S5</f>
        <v>0</v>
      </c>
      <c r="X489" s="202">
        <f>镇沅!T5</f>
        <v>0</v>
      </c>
      <c r="Y489" s="202">
        <f>镇沅!U5</f>
        <v>0</v>
      </c>
      <c r="Z489" s="202">
        <f>镇沅!V5</f>
        <v>0</v>
      </c>
      <c r="AA489" s="202">
        <f>镇沅!W5</f>
        <v>0</v>
      </c>
      <c r="AB489" s="202">
        <f>镇沅!X5</f>
        <v>0</v>
      </c>
      <c r="AC489" s="202">
        <f>镇沅!Y5</f>
        <v>0</v>
      </c>
      <c r="AD489" s="202">
        <f>镇沅!Z5</f>
        <v>0</v>
      </c>
      <c r="AE489" s="202">
        <f>镇沅!AA5</f>
        <v>0</v>
      </c>
      <c r="AF489" s="202">
        <f>镇沅!AB5</f>
        <v>0</v>
      </c>
      <c r="AG489" s="202">
        <f>镇沅!AC5</f>
        <v>0</v>
      </c>
      <c r="AH489" s="202">
        <f>镇沅!AD5</f>
        <v>0</v>
      </c>
      <c r="AI489" s="202">
        <f>镇沅!AE5</f>
        <v>0</v>
      </c>
      <c r="AJ489" s="202">
        <f>镇沅!AF5</f>
        <v>0</v>
      </c>
      <c r="AK489" s="202" t="str">
        <f>镇沅!AG5</f>
        <v>镇沅县者东镇新村村</v>
      </c>
      <c r="AL489" s="202" t="str">
        <f>镇沅!AH5</f>
        <v>？？</v>
      </c>
      <c r="AM489" s="202">
        <f>镇沅!AI5</f>
        <v>0</v>
      </c>
      <c r="AN489" s="202">
        <f>镇沅!AJ5</f>
        <v>0</v>
      </c>
      <c r="AO489" s="202">
        <f>镇沅!AK5</f>
        <v>0</v>
      </c>
      <c r="AP489" s="263">
        <v>1</v>
      </c>
      <c r="AQ489" s="209">
        <f>镇沅!AM5</f>
        <v>0</v>
      </c>
      <c r="AR489" s="295">
        <f>镇沅!AN5</f>
        <v>0.2</v>
      </c>
      <c r="AS489" s="201" t="str">
        <f>镇沅!AO5</f>
        <v>？？？</v>
      </c>
      <c r="AT489" s="201" t="str">
        <f>镇沅!AP5</f>
        <v>15987945909</v>
      </c>
    </row>
    <row r="490" spans="1:46">
      <c r="A490" t="s">
        <v>1926</v>
      </c>
      <c r="B490" s="202" t="str">
        <f>VLOOKUP(A490,databases!$A$2:$B$7, 2, FALSE)</f>
        <v>ZhenYuan</v>
      </c>
      <c r="C490" t="str">
        <f>镇沅!B61</f>
        <v>王立东</v>
      </c>
      <c r="D490" s="202" t="str">
        <f>VLOOKUP(C490,databases!$D$2:$E$145, 2, FALSE)</f>
        <v>R95</v>
      </c>
      <c r="E490" s="259">
        <f>INDEX(sample_database!$B$2:$B$506,MATCH(F490,sample_database!$L$2:$L$506,0))</f>
        <v>126</v>
      </c>
      <c r="F490" s="202" t="str">
        <f>镇沅!A61</f>
        <v>ZY60</v>
      </c>
      <c r="G490" s="257">
        <f>镇沅!C61</f>
        <v>2</v>
      </c>
      <c r="H490" s="257">
        <f>镇沅!D61</f>
        <v>0</v>
      </c>
      <c r="I490" s="202">
        <f>镇沅!E61</f>
        <v>22</v>
      </c>
      <c r="J490" s="202">
        <f>镇沅!F61</f>
        <v>11</v>
      </c>
      <c r="K490" s="202">
        <f>镇沅!G61</f>
        <v>11</v>
      </c>
      <c r="L490" s="202">
        <f>镇沅!H61</f>
        <v>0</v>
      </c>
      <c r="M490" s="202">
        <f>镇沅!I61</f>
        <v>0</v>
      </c>
      <c r="N490" s="202">
        <f>镇沅!J61</f>
        <v>0</v>
      </c>
      <c r="O490" s="202">
        <f>镇沅!K61</f>
        <v>0</v>
      </c>
      <c r="P490" s="202">
        <f>镇沅!L61</f>
        <v>0</v>
      </c>
      <c r="Q490" s="202">
        <f>镇沅!M61</f>
        <v>0</v>
      </c>
      <c r="R490" s="202">
        <f>镇沅!N61</f>
        <v>0</v>
      </c>
      <c r="S490" s="202">
        <f>镇沅!O61</f>
        <v>0</v>
      </c>
      <c r="T490" s="202">
        <f>镇沅!P61</f>
        <v>0</v>
      </c>
      <c r="U490" s="202">
        <f>镇沅!Q61</f>
        <v>0</v>
      </c>
      <c r="V490" s="202">
        <f>镇沅!R61</f>
        <v>0</v>
      </c>
      <c r="W490" s="202">
        <f>镇沅!S61</f>
        <v>0</v>
      </c>
      <c r="X490" s="202">
        <f>镇沅!T61</f>
        <v>0</v>
      </c>
      <c r="Y490" s="202">
        <f>镇沅!U61</f>
        <v>0</v>
      </c>
      <c r="Z490" s="202">
        <f>镇沅!V61</f>
        <v>0</v>
      </c>
      <c r="AA490" s="202">
        <f>镇沅!W61</f>
        <v>0</v>
      </c>
      <c r="AB490" s="202">
        <f>镇沅!X61</f>
        <v>0</v>
      </c>
      <c r="AC490" s="202">
        <f>镇沅!Y61</f>
        <v>0</v>
      </c>
      <c r="AD490" s="202">
        <f>镇沅!Z61</f>
        <v>0</v>
      </c>
      <c r="AE490" s="202">
        <f>镇沅!AA61</f>
        <v>0</v>
      </c>
      <c r="AF490" s="202">
        <f>镇沅!AB61</f>
        <v>0</v>
      </c>
      <c r="AG490" s="202">
        <f>镇沅!AC61</f>
        <v>0</v>
      </c>
      <c r="AH490" s="202">
        <f>镇沅!AD61</f>
        <v>0</v>
      </c>
      <c r="AI490" s="202">
        <f>镇沅!AE61</f>
        <v>0</v>
      </c>
      <c r="AJ490" s="202">
        <f>镇沅!AF61</f>
        <v>0</v>
      </c>
      <c r="AK490" s="202" t="str">
        <f>镇沅!AG61</f>
        <v>镇沅县九甲镇和平村千家寨</v>
      </c>
      <c r="AL490" s="202" t="str">
        <f>镇沅!AH61</f>
        <v>20160713</v>
      </c>
      <c r="AM490" s="202">
        <f>镇沅!AI61</f>
        <v>0</v>
      </c>
      <c r="AN490" s="202">
        <f>镇沅!AJ61</f>
        <v>0</v>
      </c>
      <c r="AO490" s="202" t="str">
        <f>镇沅!AK61</f>
        <v>1</v>
      </c>
      <c r="AP490" s="263">
        <v>5</v>
      </c>
      <c r="AQ490" s="209">
        <f>镇沅!AM61</f>
        <v>0</v>
      </c>
      <c r="AR490" s="295">
        <f>镇沅!AN61</f>
        <v>1</v>
      </c>
      <c r="AS490" s="201" t="str">
        <f>镇沅!AO61</f>
        <v>？？？</v>
      </c>
      <c r="AT490" s="201" t="str">
        <f>镇沅!AP61</f>
        <v>13987931449</v>
      </c>
    </row>
    <row r="491" spans="1:46">
      <c r="A491" t="s">
        <v>1926</v>
      </c>
      <c r="B491" s="202" t="str">
        <f>VLOOKUP(A491,databases!$A$2:$B$7, 2, FALSE)</f>
        <v>ZhenYuan</v>
      </c>
      <c r="C491" t="str">
        <f>镇沅!B62</f>
        <v>王立东</v>
      </c>
      <c r="D491" s="202" t="str">
        <f>VLOOKUP(C491,databases!$D$2:$E$145, 2, FALSE)</f>
        <v>R95</v>
      </c>
      <c r="E491" s="259">
        <f>INDEX(sample_database!$B$2:$B$506,MATCH(F491,sample_database!$L$2:$L$506,0))</f>
        <v>126</v>
      </c>
      <c r="F491" s="202" t="str">
        <f>镇沅!A62</f>
        <v>ZY61</v>
      </c>
      <c r="G491" s="257">
        <f>镇沅!C62</f>
        <v>3</v>
      </c>
      <c r="H491" s="257">
        <f>镇沅!D62</f>
        <v>0</v>
      </c>
      <c r="I491" s="202">
        <f>镇沅!E62</f>
        <v>27</v>
      </c>
      <c r="J491" s="202">
        <f>镇沅!F62</f>
        <v>10</v>
      </c>
      <c r="K491" s="202">
        <f>镇沅!G62</f>
        <v>10</v>
      </c>
      <c r="L491" s="202">
        <f>镇沅!H62</f>
        <v>7</v>
      </c>
      <c r="M491" s="202">
        <f>镇沅!I62</f>
        <v>0</v>
      </c>
      <c r="N491" s="202">
        <f>镇沅!J62</f>
        <v>0</v>
      </c>
      <c r="O491" s="202">
        <f>镇沅!K62</f>
        <v>0</v>
      </c>
      <c r="P491" s="202">
        <f>镇沅!L62</f>
        <v>0</v>
      </c>
      <c r="Q491" s="202">
        <f>镇沅!M62</f>
        <v>0</v>
      </c>
      <c r="R491" s="202">
        <f>镇沅!N62</f>
        <v>0</v>
      </c>
      <c r="S491" s="202">
        <f>镇沅!O62</f>
        <v>0</v>
      </c>
      <c r="T491" s="202">
        <f>镇沅!P62</f>
        <v>0</v>
      </c>
      <c r="U491" s="202">
        <f>镇沅!Q62</f>
        <v>0</v>
      </c>
      <c r="V491" s="202">
        <f>镇沅!R62</f>
        <v>0</v>
      </c>
      <c r="W491" s="202">
        <f>镇沅!S62</f>
        <v>0</v>
      </c>
      <c r="X491" s="202">
        <f>镇沅!T62</f>
        <v>0</v>
      </c>
      <c r="Y491" s="202">
        <f>镇沅!U62</f>
        <v>0</v>
      </c>
      <c r="Z491" s="202">
        <f>镇沅!V62</f>
        <v>0</v>
      </c>
      <c r="AA491" s="202">
        <f>镇沅!W62</f>
        <v>0</v>
      </c>
      <c r="AB491" s="202">
        <f>镇沅!X62</f>
        <v>0</v>
      </c>
      <c r="AC491" s="202">
        <f>镇沅!Y62</f>
        <v>0</v>
      </c>
      <c r="AD491" s="202">
        <f>镇沅!Z62</f>
        <v>0</v>
      </c>
      <c r="AE491" s="202">
        <f>镇沅!AA62</f>
        <v>0</v>
      </c>
      <c r="AF491" s="202">
        <f>镇沅!AB62</f>
        <v>0</v>
      </c>
      <c r="AG491" s="202">
        <f>镇沅!AC62</f>
        <v>0</v>
      </c>
      <c r="AH491" s="202">
        <f>镇沅!AD62</f>
        <v>0</v>
      </c>
      <c r="AI491" s="202">
        <f>镇沅!AE62</f>
        <v>0</v>
      </c>
      <c r="AJ491" s="202">
        <f>镇沅!AF62</f>
        <v>0</v>
      </c>
      <c r="AK491" s="202" t="str">
        <f>镇沅!AG62</f>
        <v>镇沅县九甲镇和平村千家寨</v>
      </c>
      <c r="AL491" s="202" t="str">
        <f>镇沅!AH62</f>
        <v>20160713</v>
      </c>
      <c r="AM491" s="202">
        <f>镇沅!AI62</f>
        <v>0</v>
      </c>
      <c r="AN491" s="202">
        <f>镇沅!AJ62</f>
        <v>0</v>
      </c>
      <c r="AO491" s="202" t="str">
        <f>镇沅!AK62</f>
        <v>2</v>
      </c>
      <c r="AP491" s="263">
        <v>5</v>
      </c>
      <c r="AQ491" s="209">
        <f>镇沅!AM62</f>
        <v>0</v>
      </c>
      <c r="AR491" s="295">
        <f>镇沅!AN62</f>
        <v>1</v>
      </c>
      <c r="AS491" s="201" t="str">
        <f>镇沅!AO62</f>
        <v>？？？</v>
      </c>
      <c r="AT491" s="201" t="str">
        <f>镇沅!AP62</f>
        <v>13987931449</v>
      </c>
    </row>
    <row r="492" spans="1:46">
      <c r="A492" t="s">
        <v>1926</v>
      </c>
      <c r="B492" s="202" t="str">
        <f>VLOOKUP(A492,databases!$A$2:$B$7, 2, FALSE)</f>
        <v>ZhenYuan</v>
      </c>
      <c r="C492" t="str">
        <f>镇沅!B63</f>
        <v>王立东</v>
      </c>
      <c r="D492" s="202" t="str">
        <f>VLOOKUP(C492,databases!$D$2:$E$145, 2, FALSE)</f>
        <v>R95</v>
      </c>
      <c r="E492" s="259">
        <f>INDEX(sample_database!$B$2:$B$506,MATCH(F492,sample_database!$L$2:$L$506,0))</f>
        <v>126</v>
      </c>
      <c r="F492" s="202" t="str">
        <f>镇沅!A63</f>
        <v>ZY62</v>
      </c>
      <c r="G492" s="257">
        <f>镇沅!C63</f>
        <v>9</v>
      </c>
      <c r="H492" s="257">
        <f>镇沅!D63</f>
        <v>0</v>
      </c>
      <c r="I492" s="202">
        <f>镇沅!E63</f>
        <v>105</v>
      </c>
      <c r="J492" s="202">
        <f>镇沅!F63</f>
        <v>21</v>
      </c>
      <c r="K492" s="202">
        <f>镇沅!G63</f>
        <v>12</v>
      </c>
      <c r="L492" s="202">
        <f>镇沅!H63</f>
        <v>9</v>
      </c>
      <c r="M492" s="202">
        <f>镇沅!I63</f>
        <v>10</v>
      </c>
      <c r="N492" s="202">
        <f>镇沅!J63</f>
        <v>11</v>
      </c>
      <c r="O492" s="202">
        <f>镇沅!K63</f>
        <v>12</v>
      </c>
      <c r="P492" s="202">
        <f>镇沅!L63</f>
        <v>10</v>
      </c>
      <c r="Q492" s="202">
        <f>镇沅!M63</f>
        <v>10</v>
      </c>
      <c r="R492" s="202">
        <f>镇沅!N63</f>
        <v>10</v>
      </c>
      <c r="S492" s="202">
        <f>镇沅!O63</f>
        <v>0</v>
      </c>
      <c r="T492" s="202">
        <f>镇沅!P63</f>
        <v>0</v>
      </c>
      <c r="U492" s="202">
        <f>镇沅!Q63</f>
        <v>0</v>
      </c>
      <c r="V492" s="202">
        <f>镇沅!R63</f>
        <v>0</v>
      </c>
      <c r="W492" s="202">
        <f>镇沅!S63</f>
        <v>0</v>
      </c>
      <c r="X492" s="202">
        <f>镇沅!T63</f>
        <v>0</v>
      </c>
      <c r="Y492" s="202">
        <f>镇沅!U63</f>
        <v>0</v>
      </c>
      <c r="Z492" s="202">
        <f>镇沅!V63</f>
        <v>0</v>
      </c>
      <c r="AA492" s="202">
        <f>镇沅!W63</f>
        <v>0</v>
      </c>
      <c r="AB492" s="202">
        <f>镇沅!X63</f>
        <v>0</v>
      </c>
      <c r="AC492" s="202">
        <f>镇沅!Y63</f>
        <v>0</v>
      </c>
      <c r="AD492" s="202">
        <f>镇沅!Z63</f>
        <v>0</v>
      </c>
      <c r="AE492" s="202">
        <f>镇沅!AA63</f>
        <v>0</v>
      </c>
      <c r="AF492" s="202">
        <f>镇沅!AB63</f>
        <v>0</v>
      </c>
      <c r="AG492" s="202">
        <f>镇沅!AC63</f>
        <v>0</v>
      </c>
      <c r="AH492" s="202">
        <f>镇沅!AD63</f>
        <v>0</v>
      </c>
      <c r="AI492" s="202">
        <f>镇沅!AE63</f>
        <v>0</v>
      </c>
      <c r="AJ492" s="202">
        <f>镇沅!AF63</f>
        <v>0</v>
      </c>
      <c r="AK492" s="202" t="str">
        <f>镇沅!AG63</f>
        <v>镇沅县九甲镇和平村千家寨</v>
      </c>
      <c r="AL492" s="202" t="str">
        <f>镇沅!AH63</f>
        <v>20160713</v>
      </c>
      <c r="AM492" s="202">
        <f>镇沅!AI63</f>
        <v>0</v>
      </c>
      <c r="AN492" s="202">
        <f>镇沅!AJ63</f>
        <v>0</v>
      </c>
      <c r="AO492" s="202" t="str">
        <f>镇沅!AK63</f>
        <v>3</v>
      </c>
      <c r="AP492" s="263">
        <v>16.5</v>
      </c>
      <c r="AQ492" s="209" t="str">
        <f>镇沅!AM63</f>
        <v>0.7+0.9+0.5+0.7+0.5</v>
      </c>
      <c r="AR492" s="295">
        <f>镇沅!AN63</f>
        <v>3.3</v>
      </c>
      <c r="AS492" s="201" t="str">
        <f>镇沅!AO63</f>
        <v>？？？</v>
      </c>
      <c r="AT492" s="201" t="str">
        <f>镇沅!AP63</f>
        <v>13987931449</v>
      </c>
    </row>
    <row r="493" spans="1:46">
      <c r="A493" t="s">
        <v>1926</v>
      </c>
      <c r="B493" s="202" t="str">
        <f>VLOOKUP(A493,databases!$A$2:$B$7, 2, FALSE)</f>
        <v>ZhenYuan</v>
      </c>
      <c r="C493" t="str">
        <f>镇沅!B4</f>
        <v>王彪</v>
      </c>
      <c r="D493" s="202" t="str">
        <f>VLOOKUP(C493,databases!$D$2:$E$145, 2, FALSE)</f>
        <v>R96</v>
      </c>
      <c r="E493" s="259">
        <f>INDEX(sample_database!$B$2:$B$506,MATCH(F493,sample_database!$L$2:$L$506,0))</f>
        <v>72</v>
      </c>
      <c r="F493" s="202" t="str">
        <f>镇沅!A4</f>
        <v>ZY03</v>
      </c>
      <c r="G493" s="257">
        <f>镇沅!C4</f>
        <v>2</v>
      </c>
      <c r="H493" s="257">
        <f>镇沅!D4</f>
        <v>0</v>
      </c>
      <c r="I493" s="202">
        <f>镇沅!E4</f>
        <v>31</v>
      </c>
      <c r="J493" s="202">
        <f>镇沅!F4</f>
        <v>17</v>
      </c>
      <c r="K493" s="202">
        <f>镇沅!G4</f>
        <v>14</v>
      </c>
      <c r="L493" s="202">
        <f>镇沅!H4</f>
        <v>0</v>
      </c>
      <c r="M493" s="202">
        <f>镇沅!I4</f>
        <v>0</v>
      </c>
      <c r="N493" s="202">
        <f>镇沅!J4</f>
        <v>0</v>
      </c>
      <c r="O493" s="202">
        <f>镇沅!K4</f>
        <v>0</v>
      </c>
      <c r="P493" s="202">
        <f>镇沅!L4</f>
        <v>0</v>
      </c>
      <c r="Q493" s="202">
        <f>镇沅!M4</f>
        <v>0</v>
      </c>
      <c r="R493" s="202">
        <f>镇沅!N4</f>
        <v>0</v>
      </c>
      <c r="S493" s="202">
        <f>镇沅!O4</f>
        <v>0</v>
      </c>
      <c r="T493" s="202">
        <f>镇沅!P4</f>
        <v>0</v>
      </c>
      <c r="U493" s="202">
        <f>镇沅!Q4</f>
        <v>0</v>
      </c>
      <c r="V493" s="202">
        <f>镇沅!R4</f>
        <v>0</v>
      </c>
      <c r="W493" s="202">
        <f>镇沅!S4</f>
        <v>0</v>
      </c>
      <c r="X493" s="202">
        <f>镇沅!T4</f>
        <v>0</v>
      </c>
      <c r="Y493" s="202">
        <f>镇沅!U4</f>
        <v>0</v>
      </c>
      <c r="Z493" s="202">
        <f>镇沅!V4</f>
        <v>0</v>
      </c>
      <c r="AA493" s="202">
        <f>镇沅!W4</f>
        <v>0</v>
      </c>
      <c r="AB493" s="202">
        <f>镇沅!X4</f>
        <v>0</v>
      </c>
      <c r="AC493" s="202">
        <f>镇沅!Y4</f>
        <v>0</v>
      </c>
      <c r="AD493" s="202">
        <f>镇沅!Z4</f>
        <v>0</v>
      </c>
      <c r="AE493" s="202">
        <f>镇沅!AA4</f>
        <v>0</v>
      </c>
      <c r="AF493" s="202">
        <f>镇沅!AB4</f>
        <v>0</v>
      </c>
      <c r="AG493" s="202">
        <f>镇沅!AC4</f>
        <v>0</v>
      </c>
      <c r="AH493" s="202">
        <f>镇沅!AD4</f>
        <v>0</v>
      </c>
      <c r="AI493" s="202">
        <f>镇沅!AE4</f>
        <v>0</v>
      </c>
      <c r="AJ493" s="202">
        <f>镇沅!AF4</f>
        <v>0</v>
      </c>
      <c r="AK493" s="202" t="str">
        <f>镇沅!AG4</f>
        <v>镇沅县麦地村</v>
      </c>
      <c r="AL493" s="202" t="str">
        <f>镇沅!AH4</f>
        <v>20160713</v>
      </c>
      <c r="AM493" s="202">
        <f>镇沅!AI4</f>
        <v>0</v>
      </c>
      <c r="AN493" s="202">
        <f>镇沅!AJ4</f>
        <v>0</v>
      </c>
      <c r="AO493" s="202">
        <f>镇沅!AK4</f>
        <v>0</v>
      </c>
      <c r="AP493" s="263">
        <v>10</v>
      </c>
      <c r="AQ493" s="209">
        <f>镇沅!AM4</f>
        <v>0</v>
      </c>
      <c r="AR493" s="295">
        <f>镇沅!AN4</f>
        <v>2</v>
      </c>
      <c r="AS493" s="201" t="str">
        <f>镇沅!AO4</f>
        <v>532726197806252434</v>
      </c>
      <c r="AT493" s="201" t="str">
        <f>镇沅!AP4</f>
        <v>15125604726</v>
      </c>
    </row>
    <row r="494" spans="1:46">
      <c r="A494" s="252" t="s">
        <v>1926</v>
      </c>
      <c r="B494" s="202" t="str">
        <f>VLOOKUP(A494,databases!$A$2:$B$7, 2, FALSE)</f>
        <v>ZhenYuan</v>
      </c>
      <c r="C494" s="252" t="str">
        <f>镇沅!B7</f>
        <v>田子云</v>
      </c>
      <c r="D494" s="202" t="str">
        <f>VLOOKUP(C494,databases!$D$2:$E$145, 2, FALSE)</f>
        <v>R102</v>
      </c>
      <c r="E494" s="259">
        <f>INDEX(sample_database!$B$2:$B$506,MATCH(F494,sample_database!$L$2:$L$506,0))</f>
        <v>86</v>
      </c>
      <c r="F494" s="236" t="str">
        <f>镇沅!A7</f>
        <v>ZY06</v>
      </c>
      <c r="G494" s="258">
        <f>镇沅!C7</f>
        <v>1</v>
      </c>
      <c r="H494" s="258">
        <f>镇沅!D7</f>
        <v>0</v>
      </c>
      <c r="I494" s="236">
        <f>镇沅!E7</f>
        <v>1</v>
      </c>
      <c r="J494" s="236">
        <f>镇沅!F7</f>
        <v>1</v>
      </c>
      <c r="K494" s="236">
        <f>镇沅!G7</f>
        <v>0</v>
      </c>
      <c r="L494" s="236">
        <f>镇沅!H7</f>
        <v>0</v>
      </c>
      <c r="M494" s="236">
        <f>镇沅!I7</f>
        <v>0</v>
      </c>
      <c r="N494" s="236">
        <f>镇沅!J7</f>
        <v>0</v>
      </c>
      <c r="O494" s="236">
        <f>镇沅!K7</f>
        <v>0</v>
      </c>
      <c r="P494" s="236">
        <f>镇沅!L7</f>
        <v>0</v>
      </c>
      <c r="Q494" s="236">
        <f>镇沅!M7</f>
        <v>0</v>
      </c>
      <c r="R494" s="236">
        <f>镇沅!N7</f>
        <v>0</v>
      </c>
      <c r="S494" s="236">
        <f>镇沅!O7</f>
        <v>0</v>
      </c>
      <c r="T494" s="236">
        <f>镇沅!P7</f>
        <v>0</v>
      </c>
      <c r="U494" s="236">
        <f>镇沅!Q7</f>
        <v>0</v>
      </c>
      <c r="V494" s="236">
        <f>镇沅!R7</f>
        <v>0</v>
      </c>
      <c r="W494" s="236">
        <f>镇沅!S7</f>
        <v>0</v>
      </c>
      <c r="X494" s="236">
        <f>镇沅!T7</f>
        <v>0</v>
      </c>
      <c r="Y494" s="236">
        <f>镇沅!U7</f>
        <v>0</v>
      </c>
      <c r="Z494" s="236">
        <f>镇沅!V7</f>
        <v>0</v>
      </c>
      <c r="AA494" s="236">
        <f>镇沅!W7</f>
        <v>0</v>
      </c>
      <c r="AB494" s="236">
        <f>镇沅!X7</f>
        <v>0</v>
      </c>
      <c r="AC494" s="236">
        <f>镇沅!Y7</f>
        <v>0</v>
      </c>
      <c r="AD494" s="236">
        <f>镇沅!Z7</f>
        <v>0</v>
      </c>
      <c r="AE494" s="236">
        <f>镇沅!AA7</f>
        <v>0</v>
      </c>
      <c r="AF494" s="236">
        <f>镇沅!AB7</f>
        <v>0</v>
      </c>
      <c r="AG494" s="236">
        <f>镇沅!AC7</f>
        <v>0</v>
      </c>
      <c r="AH494" s="236">
        <f>镇沅!AD7</f>
        <v>0</v>
      </c>
      <c r="AI494" s="236">
        <f>镇沅!AE7</f>
        <v>0</v>
      </c>
      <c r="AJ494" s="236">
        <f>镇沅!AF7</f>
        <v>0</v>
      </c>
      <c r="AK494" s="236" t="str">
        <f>镇沅!AG7</f>
        <v>镇沅县九甲镇勐真村文工村民小组</v>
      </c>
      <c r="AL494" s="236" t="str">
        <f>镇沅!AH7</f>
        <v>20160709</v>
      </c>
      <c r="AM494" s="236">
        <f>镇沅!AI7</f>
        <v>0</v>
      </c>
      <c r="AN494" s="236">
        <f>镇沅!AJ7</f>
        <v>0</v>
      </c>
      <c r="AO494" s="236">
        <f>镇沅!AK7</f>
        <v>0</v>
      </c>
      <c r="AP494" s="264">
        <v>0.5</v>
      </c>
      <c r="AQ494" s="260">
        <f>镇沅!AM7</f>
        <v>0</v>
      </c>
      <c r="AR494" s="296">
        <f>镇沅!AN7</f>
        <v>0.1</v>
      </c>
      <c r="AS494" s="254" t="str">
        <f>镇沅!AO7</f>
        <v>53272619800405211X</v>
      </c>
      <c r="AT494" s="254" t="str">
        <f>镇沅!AP7</f>
        <v>13577954998</v>
      </c>
    </row>
    <row r="495" spans="1:46">
      <c r="A495" t="s">
        <v>1926</v>
      </c>
      <c r="B495" s="202" t="str">
        <f>VLOOKUP(A495,databases!$A$2:$B$7, 2, FALSE)</f>
        <v>ZhenYuan</v>
      </c>
      <c r="C495" t="str">
        <f>镇沅!B8</f>
        <v>罗权章</v>
      </c>
      <c r="D495" s="202" t="str">
        <f>VLOOKUP(C495,databases!$D$2:$E$145, 2, FALSE)</f>
        <v>R110</v>
      </c>
      <c r="E495" s="259">
        <f>INDEX(sample_database!$B$2:$B$506,MATCH(F495,sample_database!$L$2:$L$506,0))</f>
        <v>83</v>
      </c>
      <c r="F495" s="202" t="str">
        <f>镇沅!A8</f>
        <v>ZY07</v>
      </c>
      <c r="G495" s="257">
        <f>镇沅!C8</f>
        <v>1</v>
      </c>
      <c r="H495" s="257">
        <f>镇沅!D8</f>
        <v>0</v>
      </c>
      <c r="I495" s="202">
        <f>镇沅!E8</f>
        <v>5</v>
      </c>
      <c r="J495" s="202">
        <f>镇沅!F8</f>
        <v>5</v>
      </c>
      <c r="K495" s="202">
        <f>镇沅!G8</f>
        <v>0</v>
      </c>
      <c r="L495" s="202">
        <f>镇沅!H8</f>
        <v>0</v>
      </c>
      <c r="M495" s="202">
        <f>镇沅!I8</f>
        <v>0</v>
      </c>
      <c r="N495" s="202">
        <f>镇沅!J8</f>
        <v>0</v>
      </c>
      <c r="O495" s="202">
        <f>镇沅!K8</f>
        <v>0</v>
      </c>
      <c r="P495" s="202">
        <f>镇沅!L8</f>
        <v>0</v>
      </c>
      <c r="Q495" s="202">
        <f>镇沅!M8</f>
        <v>0</v>
      </c>
      <c r="R495" s="202">
        <f>镇沅!N8</f>
        <v>0</v>
      </c>
      <c r="S495" s="202">
        <f>镇沅!O8</f>
        <v>0</v>
      </c>
      <c r="T495" s="202">
        <f>镇沅!P8</f>
        <v>0</v>
      </c>
      <c r="U495" s="202">
        <f>镇沅!Q8</f>
        <v>0</v>
      </c>
      <c r="V495" s="202">
        <f>镇沅!R8</f>
        <v>0</v>
      </c>
      <c r="W495" s="202">
        <f>镇沅!S8</f>
        <v>0</v>
      </c>
      <c r="X495" s="202">
        <f>镇沅!T8</f>
        <v>0</v>
      </c>
      <c r="Y495" s="202">
        <f>镇沅!U8</f>
        <v>0</v>
      </c>
      <c r="Z495" s="202">
        <f>镇沅!V8</f>
        <v>0</v>
      </c>
      <c r="AA495" s="202">
        <f>镇沅!W8</f>
        <v>0</v>
      </c>
      <c r="AB495" s="202">
        <f>镇沅!X8</f>
        <v>0</v>
      </c>
      <c r="AC495" s="202">
        <f>镇沅!Y8</f>
        <v>0</v>
      </c>
      <c r="AD495" s="202">
        <f>镇沅!Z8</f>
        <v>0</v>
      </c>
      <c r="AE495" s="202">
        <f>镇沅!AA8</f>
        <v>0</v>
      </c>
      <c r="AF495" s="202">
        <f>镇沅!AB8</f>
        <v>0</v>
      </c>
      <c r="AG495" s="202">
        <f>镇沅!AC8</f>
        <v>0</v>
      </c>
      <c r="AH495" s="202">
        <f>镇沅!AD8</f>
        <v>0</v>
      </c>
      <c r="AI495" s="202">
        <f>镇沅!AE8</f>
        <v>0</v>
      </c>
      <c r="AJ495" s="202">
        <f>镇沅!AF8</f>
        <v>0</v>
      </c>
      <c r="AK495" s="202" t="str">
        <f>镇沅!AG8</f>
        <v>镇沅东洒村</v>
      </c>
      <c r="AL495" s="202" t="str">
        <f>镇沅!AH8</f>
        <v>20160708</v>
      </c>
      <c r="AM495" s="202">
        <f>镇沅!AI8</f>
        <v>0</v>
      </c>
      <c r="AN495" s="202">
        <f>镇沅!AJ8</f>
        <v>0</v>
      </c>
      <c r="AO495" s="202">
        <f>镇沅!AK8</f>
        <v>0</v>
      </c>
      <c r="AP495" s="263">
        <v>1</v>
      </c>
      <c r="AQ495" s="209">
        <f>镇沅!AM8</f>
        <v>0</v>
      </c>
      <c r="AR495" s="295">
        <f>镇沅!AN8</f>
        <v>0.2</v>
      </c>
      <c r="AS495" s="201" t="str">
        <f>镇沅!AO8</f>
        <v>532726195903062115</v>
      </c>
      <c r="AT495" s="201" t="str">
        <f>镇沅!AP8</f>
        <v>13769902526</v>
      </c>
    </row>
    <row r="496" spans="1:46">
      <c r="A496" t="s">
        <v>1926</v>
      </c>
      <c r="B496" s="202" t="str">
        <f>VLOOKUP(A496,databases!$A$2:$B$7, 2, FALSE)</f>
        <v>ZhenYuan</v>
      </c>
      <c r="C496" t="str">
        <f>镇沅!B34</f>
        <v>肖子云</v>
      </c>
      <c r="D496" s="202" t="str">
        <f>VLOOKUP(C496,databases!$D$2:$E$145, 2, FALSE)</f>
        <v>R115</v>
      </c>
      <c r="E496" s="259">
        <f>INDEX(sample_database!$B$2:$B$506,MATCH(F496,sample_database!$L$2:$L$506,0))</f>
        <v>78</v>
      </c>
      <c r="F496" s="202" t="str">
        <f>镇沅!A34</f>
        <v>ZY33</v>
      </c>
      <c r="G496" s="257">
        <f>镇沅!C34</f>
        <v>10</v>
      </c>
      <c r="H496" s="257">
        <f>镇沅!D34</f>
        <v>0</v>
      </c>
      <c r="I496" s="202">
        <f>镇沅!E34</f>
        <v>23</v>
      </c>
      <c r="J496" s="202">
        <f>镇沅!F34</f>
        <v>1</v>
      </c>
      <c r="K496" s="202">
        <f>镇沅!G34</f>
        <v>1</v>
      </c>
      <c r="L496" s="202">
        <f>镇沅!H34</f>
        <v>2</v>
      </c>
      <c r="M496" s="202">
        <f>镇沅!I34</f>
        <v>2</v>
      </c>
      <c r="N496" s="202">
        <f>镇沅!J34</f>
        <v>2</v>
      </c>
      <c r="O496" s="202">
        <f>镇沅!K34</f>
        <v>2</v>
      </c>
      <c r="P496" s="202">
        <f>镇沅!L34</f>
        <v>3</v>
      </c>
      <c r="Q496" s="202">
        <f>镇沅!M34</f>
        <v>3</v>
      </c>
      <c r="R496" s="202">
        <f>镇沅!N34</f>
        <v>3</v>
      </c>
      <c r="S496" s="202">
        <f>镇沅!O34</f>
        <v>4</v>
      </c>
      <c r="T496" s="202">
        <f>镇沅!P34</f>
        <v>0</v>
      </c>
      <c r="U496" s="202">
        <f>镇沅!Q34</f>
        <v>0</v>
      </c>
      <c r="V496" s="202">
        <f>镇沅!R34</f>
        <v>0</v>
      </c>
      <c r="W496" s="202">
        <f>镇沅!S34</f>
        <v>0</v>
      </c>
      <c r="X496" s="202">
        <f>镇沅!T34</f>
        <v>0</v>
      </c>
      <c r="Y496" s="202">
        <f>镇沅!U34</f>
        <v>0</v>
      </c>
      <c r="Z496" s="202">
        <f>镇沅!V34</f>
        <v>0</v>
      </c>
      <c r="AA496" s="202">
        <f>镇沅!W34</f>
        <v>0</v>
      </c>
      <c r="AB496" s="202">
        <f>镇沅!X34</f>
        <v>0</v>
      </c>
      <c r="AC496" s="202">
        <f>镇沅!Y34</f>
        <v>0</v>
      </c>
      <c r="AD496" s="202">
        <f>镇沅!Z34</f>
        <v>0</v>
      </c>
      <c r="AE496" s="202">
        <f>镇沅!AA34</f>
        <v>0</v>
      </c>
      <c r="AF496" s="202">
        <f>镇沅!AB34</f>
        <v>0</v>
      </c>
      <c r="AG496" s="202">
        <f>镇沅!AC34</f>
        <v>0</v>
      </c>
      <c r="AH496" s="202">
        <f>镇沅!AD34</f>
        <v>0</v>
      </c>
      <c r="AI496" s="202">
        <f>镇沅!AE34</f>
        <v>0</v>
      </c>
      <c r="AJ496" s="202">
        <f>镇沅!AF34</f>
        <v>0</v>
      </c>
      <c r="AK496" s="202" t="str">
        <f>镇沅!AG34</f>
        <v>镇沅县者东镇木丁村中山组</v>
      </c>
      <c r="AL496" s="202" t="str">
        <f>镇沅!AH34</f>
        <v>20160815</v>
      </c>
      <c r="AM496" s="202">
        <f>镇沅!AI34</f>
        <v>0</v>
      </c>
      <c r="AN496" s="202">
        <f>镇沅!AJ34</f>
        <v>0</v>
      </c>
      <c r="AO496" s="202" t="str">
        <f>镇沅!AK34</f>
        <v>1</v>
      </c>
      <c r="AP496" s="263">
        <v>5</v>
      </c>
      <c r="AQ496" s="209">
        <f>镇沅!AM34</f>
        <v>0</v>
      </c>
      <c r="AR496" s="295">
        <f>镇沅!AN34</f>
        <v>1</v>
      </c>
      <c r="AS496" s="201" t="str">
        <f>镇沅!AO34</f>
        <v>53272619780514241X</v>
      </c>
      <c r="AT496" s="201" t="str">
        <f>镇沅!AP34</f>
        <v>15154888456</v>
      </c>
    </row>
    <row r="497" spans="1:46">
      <c r="A497" t="s">
        <v>1926</v>
      </c>
      <c r="B497" s="202" t="str">
        <f>VLOOKUP(A497,databases!$A$2:$B$7, 2, FALSE)</f>
        <v>ZhenYuan</v>
      </c>
      <c r="C497" t="str">
        <f>镇沅!B35</f>
        <v>肖子云</v>
      </c>
      <c r="D497" s="202" t="str">
        <f>VLOOKUP(C497,databases!$D$2:$E$145, 2, FALSE)</f>
        <v>R115</v>
      </c>
      <c r="E497" s="259">
        <f>INDEX(sample_database!$B$2:$B$506,MATCH(F497,sample_database!$L$2:$L$506,0))</f>
        <v>78</v>
      </c>
      <c r="F497" s="202" t="str">
        <f>镇沅!A35</f>
        <v>ZY34</v>
      </c>
      <c r="G497" s="257">
        <f>镇沅!C35</f>
        <v>8</v>
      </c>
      <c r="H497" s="257">
        <f>镇沅!D35</f>
        <v>0</v>
      </c>
      <c r="I497" s="202">
        <f>镇沅!E35</f>
        <v>83</v>
      </c>
      <c r="J497" s="202">
        <f>镇沅!F35</f>
        <v>10</v>
      </c>
      <c r="K497" s="202">
        <f>镇沅!G35</f>
        <v>10</v>
      </c>
      <c r="L497" s="202">
        <f>镇沅!H35</f>
        <v>10</v>
      </c>
      <c r="M497" s="202">
        <f>镇沅!I35</f>
        <v>10</v>
      </c>
      <c r="N497" s="202">
        <f>镇沅!J35</f>
        <v>9</v>
      </c>
      <c r="O497" s="202">
        <f>镇沅!K35</f>
        <v>15</v>
      </c>
      <c r="P497" s="202">
        <f>镇沅!L35</f>
        <v>8</v>
      </c>
      <c r="Q497" s="202">
        <f>镇沅!M35</f>
        <v>11</v>
      </c>
      <c r="R497" s="202">
        <f>镇沅!N35</f>
        <v>0</v>
      </c>
      <c r="S497" s="202">
        <f>镇沅!O35</f>
        <v>0</v>
      </c>
      <c r="T497" s="202">
        <f>镇沅!P35</f>
        <v>0</v>
      </c>
      <c r="U497" s="202">
        <f>镇沅!Q35</f>
        <v>0</v>
      </c>
      <c r="V497" s="202">
        <f>镇沅!R35</f>
        <v>0</v>
      </c>
      <c r="W497" s="202">
        <f>镇沅!S35</f>
        <v>0</v>
      </c>
      <c r="X497" s="202">
        <f>镇沅!T35</f>
        <v>0</v>
      </c>
      <c r="Y497" s="202">
        <f>镇沅!U35</f>
        <v>0</v>
      </c>
      <c r="Z497" s="202">
        <f>镇沅!V35</f>
        <v>0</v>
      </c>
      <c r="AA497" s="202">
        <f>镇沅!W35</f>
        <v>0</v>
      </c>
      <c r="AB497" s="202">
        <f>镇沅!X35</f>
        <v>0</v>
      </c>
      <c r="AC497" s="202">
        <f>镇沅!Y35</f>
        <v>0</v>
      </c>
      <c r="AD497" s="202">
        <f>镇沅!Z35</f>
        <v>0</v>
      </c>
      <c r="AE497" s="202">
        <f>镇沅!AA35</f>
        <v>0</v>
      </c>
      <c r="AF497" s="202">
        <f>镇沅!AB35</f>
        <v>0</v>
      </c>
      <c r="AG497" s="202">
        <f>镇沅!AC35</f>
        <v>0</v>
      </c>
      <c r="AH497" s="202">
        <f>镇沅!AD35</f>
        <v>0</v>
      </c>
      <c r="AI497" s="202">
        <f>镇沅!AE35</f>
        <v>0</v>
      </c>
      <c r="AJ497" s="202">
        <f>镇沅!AF35</f>
        <v>0</v>
      </c>
      <c r="AK497" s="202" t="str">
        <f>镇沅!AG35</f>
        <v>镇沅县者东镇木丁村中山组</v>
      </c>
      <c r="AL497" s="202" t="str">
        <f>镇沅!AH35</f>
        <v>20160815</v>
      </c>
      <c r="AM497" s="202">
        <f>镇沅!AI35</f>
        <v>0</v>
      </c>
      <c r="AN497" s="202">
        <f>镇沅!AJ35</f>
        <v>0</v>
      </c>
      <c r="AO497" s="202" t="str">
        <f>镇沅!AK35</f>
        <v>2</v>
      </c>
      <c r="AP497" s="263">
        <v>15</v>
      </c>
      <c r="AQ497" s="209">
        <f>镇沅!AM35</f>
        <v>0</v>
      </c>
      <c r="AR497" s="295">
        <f>镇沅!AN35</f>
        <v>3</v>
      </c>
      <c r="AS497" s="201" t="str">
        <f>镇沅!AO35</f>
        <v>53272619780514241X</v>
      </c>
      <c r="AT497" s="201" t="str">
        <f>镇沅!AP35</f>
        <v>15154888456</v>
      </c>
    </row>
    <row r="498" spans="1:46">
      <c r="A498" t="s">
        <v>1926</v>
      </c>
      <c r="B498" s="202" t="str">
        <f>VLOOKUP(A498,databases!$A$2:$B$7, 2, FALSE)</f>
        <v>ZhenYuan</v>
      </c>
      <c r="C498" t="str">
        <f>镇沅!B36</f>
        <v>肖子云</v>
      </c>
      <c r="D498" s="202" t="str">
        <f>VLOOKUP(C498,databases!$D$2:$E$145, 2, FALSE)</f>
        <v>R115</v>
      </c>
      <c r="E498" s="259">
        <f>INDEX(sample_database!$B$2:$B$506,MATCH(F498,sample_database!$L$2:$L$506,0))</f>
        <v>78</v>
      </c>
      <c r="F498" s="202" t="str">
        <f>镇沅!A36</f>
        <v>ZY35</v>
      </c>
      <c r="G498" s="257">
        <f>镇沅!C36</f>
        <v>12</v>
      </c>
      <c r="H498" s="257">
        <f>镇沅!D36</f>
        <v>0</v>
      </c>
      <c r="I498" s="202">
        <f>镇沅!E36</f>
        <v>28</v>
      </c>
      <c r="J498" s="202">
        <f>镇沅!F36</f>
        <v>2</v>
      </c>
      <c r="K498" s="202">
        <f>镇沅!G36</f>
        <v>2</v>
      </c>
      <c r="L498" s="202">
        <f>镇沅!H36</f>
        <v>2</v>
      </c>
      <c r="M498" s="202">
        <f>镇沅!I36</f>
        <v>2</v>
      </c>
      <c r="N498" s="202">
        <f>镇沅!J36</f>
        <v>2</v>
      </c>
      <c r="O498" s="202">
        <f>镇沅!K36</f>
        <v>2</v>
      </c>
      <c r="P498" s="202">
        <f>镇沅!L36</f>
        <v>2</v>
      </c>
      <c r="Q498" s="202">
        <f>镇沅!M36</f>
        <v>2</v>
      </c>
      <c r="R498" s="202">
        <f>镇沅!N36</f>
        <v>2</v>
      </c>
      <c r="S498" s="202">
        <f>镇沅!O36</f>
        <v>3</v>
      </c>
      <c r="T498" s="202">
        <f>镇沅!P36</f>
        <v>3</v>
      </c>
      <c r="U498" s="202">
        <f>镇沅!Q36</f>
        <v>4</v>
      </c>
      <c r="V498" s="202">
        <f>镇沅!R36</f>
        <v>0</v>
      </c>
      <c r="W498" s="202">
        <f>镇沅!S36</f>
        <v>0</v>
      </c>
      <c r="X498" s="202">
        <f>镇沅!T36</f>
        <v>0</v>
      </c>
      <c r="Y498" s="202">
        <f>镇沅!U36</f>
        <v>0</v>
      </c>
      <c r="Z498" s="202">
        <f>镇沅!V36</f>
        <v>0</v>
      </c>
      <c r="AA498" s="202">
        <f>镇沅!W36</f>
        <v>0</v>
      </c>
      <c r="AB498" s="202">
        <f>镇沅!X36</f>
        <v>0</v>
      </c>
      <c r="AC498" s="202">
        <f>镇沅!Y36</f>
        <v>0</v>
      </c>
      <c r="AD498" s="202">
        <f>镇沅!Z36</f>
        <v>0</v>
      </c>
      <c r="AE498" s="202">
        <f>镇沅!AA36</f>
        <v>0</v>
      </c>
      <c r="AF498" s="202">
        <f>镇沅!AB36</f>
        <v>0</v>
      </c>
      <c r="AG498" s="202">
        <f>镇沅!AC36</f>
        <v>0</v>
      </c>
      <c r="AH498" s="202">
        <f>镇沅!AD36</f>
        <v>0</v>
      </c>
      <c r="AI498" s="202">
        <f>镇沅!AE36</f>
        <v>0</v>
      </c>
      <c r="AJ498" s="202">
        <f>镇沅!AF36</f>
        <v>0</v>
      </c>
      <c r="AK498" s="202" t="str">
        <f>镇沅!AG36</f>
        <v>镇沅县者东镇木丁村中山组</v>
      </c>
      <c r="AL498" s="202" t="str">
        <f>镇沅!AH36</f>
        <v>20160828</v>
      </c>
      <c r="AM498" s="202">
        <f>镇沅!AI36</f>
        <v>0</v>
      </c>
      <c r="AN498" s="202">
        <f>镇沅!AJ36</f>
        <v>0</v>
      </c>
      <c r="AO498" s="202">
        <f>镇沅!AK36</f>
        <v>0</v>
      </c>
      <c r="AP498" s="263">
        <v>5</v>
      </c>
      <c r="AQ498" s="209">
        <f>镇沅!AM36</f>
        <v>0</v>
      </c>
      <c r="AR498" s="295">
        <f>镇沅!AN36</f>
        <v>1</v>
      </c>
      <c r="AS498" s="201" t="str">
        <f>镇沅!AO36</f>
        <v>53272619780514241X</v>
      </c>
      <c r="AT498" s="201" t="str">
        <f>镇沅!AP36</f>
        <v>15154888456</v>
      </c>
    </row>
    <row r="499" spans="1:46">
      <c r="A499" t="s">
        <v>1926</v>
      </c>
      <c r="B499" s="202" t="str">
        <f>VLOOKUP(A499,databases!$A$2:$B$7, 2, FALSE)</f>
        <v>ZhenYuan</v>
      </c>
      <c r="C499" t="str">
        <f>镇沅!B37</f>
        <v>肖子云</v>
      </c>
      <c r="D499" s="202" t="str">
        <f>VLOOKUP(C499,databases!$D$2:$E$145, 2, FALSE)</f>
        <v>R115</v>
      </c>
      <c r="E499" s="259">
        <f>INDEX(sample_database!$B$2:$B$506,MATCH(F499,sample_database!$L$2:$L$506,0))</f>
        <v>78</v>
      </c>
      <c r="F499" s="202" t="str">
        <f>镇沅!A37</f>
        <v>ZY36</v>
      </c>
      <c r="G499" s="257">
        <f>镇沅!C37</f>
        <v>0</v>
      </c>
      <c r="H499" s="257">
        <f>镇沅!D37</f>
        <v>20</v>
      </c>
      <c r="I499" s="202">
        <f>镇沅!E37</f>
        <v>50</v>
      </c>
      <c r="J499" s="202">
        <f>镇沅!F37</f>
        <v>1</v>
      </c>
      <c r="K499" s="202">
        <f>镇沅!G37</f>
        <v>1</v>
      </c>
      <c r="L499" s="202">
        <f>镇沅!H37</f>
        <v>2</v>
      </c>
      <c r="M499" s="202">
        <f>镇沅!I37</f>
        <v>2</v>
      </c>
      <c r="N499" s="202">
        <f>镇沅!J37</f>
        <v>2</v>
      </c>
      <c r="O499" s="202">
        <f>镇沅!K37</f>
        <v>2</v>
      </c>
      <c r="P499" s="202">
        <f>镇沅!L37</f>
        <v>2</v>
      </c>
      <c r="Q499" s="202">
        <f>镇沅!M37</f>
        <v>2</v>
      </c>
      <c r="R499" s="202">
        <f>镇沅!N37</f>
        <v>2</v>
      </c>
      <c r="S499" s="202">
        <f>镇沅!O37</f>
        <v>2</v>
      </c>
      <c r="T499" s="202">
        <f>镇沅!P37</f>
        <v>2</v>
      </c>
      <c r="U499" s="202">
        <f>镇沅!Q37</f>
        <v>3</v>
      </c>
      <c r="V499" s="202">
        <f>镇沅!R37</f>
        <v>3</v>
      </c>
      <c r="W499" s="202">
        <f>镇沅!S37</f>
        <v>3</v>
      </c>
      <c r="X499" s="202">
        <f>镇沅!T37</f>
        <v>3</v>
      </c>
      <c r="Y499" s="202">
        <f>镇沅!U37</f>
        <v>3</v>
      </c>
      <c r="Z499" s="202">
        <f>镇沅!V37</f>
        <v>3</v>
      </c>
      <c r="AA499" s="202">
        <f>镇沅!W37</f>
        <v>3</v>
      </c>
      <c r="AB499" s="202">
        <f>镇沅!X37</f>
        <v>3</v>
      </c>
      <c r="AC499" s="202">
        <f>镇沅!Y37</f>
        <v>6</v>
      </c>
      <c r="AD499" s="202">
        <f>镇沅!Z37</f>
        <v>0</v>
      </c>
      <c r="AE499" s="202">
        <f>镇沅!AA37</f>
        <v>0</v>
      </c>
      <c r="AF499" s="202">
        <f>镇沅!AB37</f>
        <v>0</v>
      </c>
      <c r="AG499" s="202">
        <f>镇沅!AC37</f>
        <v>0</v>
      </c>
      <c r="AH499" s="202">
        <f>镇沅!AD37</f>
        <v>0</v>
      </c>
      <c r="AI499" s="202">
        <f>镇沅!AE37</f>
        <v>0</v>
      </c>
      <c r="AJ499" s="202">
        <f>镇沅!AF37</f>
        <v>0</v>
      </c>
      <c r="AK499" s="202" t="str">
        <f>镇沅!AG37</f>
        <v>镇沅县者东镇木丁村中山组</v>
      </c>
      <c r="AL499" s="202" t="str">
        <f>镇沅!AH37</f>
        <v>20160828</v>
      </c>
      <c r="AM499" s="202">
        <f>镇沅!AI37</f>
        <v>0</v>
      </c>
      <c r="AN499" s="202">
        <f>镇沅!AJ37</f>
        <v>0</v>
      </c>
      <c r="AO499" s="202">
        <f>镇沅!AK37</f>
        <v>0</v>
      </c>
      <c r="AP499" s="263">
        <v>15</v>
      </c>
      <c r="AQ499" s="209">
        <f>镇沅!AM37</f>
        <v>0</v>
      </c>
      <c r="AR499" s="295">
        <f>镇沅!AN37</f>
        <v>3</v>
      </c>
      <c r="AS499" s="201" t="str">
        <f>镇沅!AO37</f>
        <v>53272619780514241X</v>
      </c>
      <c r="AT499" s="201" t="str">
        <f>镇沅!AP37</f>
        <v>15154888456</v>
      </c>
    </row>
    <row r="500" spans="1:46">
      <c r="A500" t="s">
        <v>1926</v>
      </c>
      <c r="B500" s="202" t="str">
        <f>VLOOKUP(A500,databases!$A$2:$B$7, 2, FALSE)</f>
        <v>ZhenYuan</v>
      </c>
      <c r="C500" t="str">
        <f>镇沅!B9</f>
        <v>范学恩</v>
      </c>
      <c r="D500" s="202" t="str">
        <f>VLOOKUP(C500,databases!$D$2:$E$145, 2, FALSE)</f>
        <v>R118</v>
      </c>
      <c r="E500" s="259">
        <f>INDEX(sample_database!$B$2:$B$506,MATCH(F500,sample_database!$L$2:$L$506,0))</f>
        <v>163</v>
      </c>
      <c r="F500" s="202" t="str">
        <f>镇沅!A9</f>
        <v>ZY08</v>
      </c>
      <c r="G500" s="257">
        <f>镇沅!C9</f>
        <v>1</v>
      </c>
      <c r="H500" s="257">
        <f>镇沅!D9</f>
        <v>0</v>
      </c>
      <c r="I500" s="202">
        <f>镇沅!E9</f>
        <v>8</v>
      </c>
      <c r="J500" s="202">
        <f>镇沅!F9</f>
        <v>8</v>
      </c>
      <c r="K500" s="202">
        <f>镇沅!G9</f>
        <v>0</v>
      </c>
      <c r="L500" s="202">
        <f>镇沅!H9</f>
        <v>0</v>
      </c>
      <c r="M500" s="202">
        <f>镇沅!I9</f>
        <v>0</v>
      </c>
      <c r="N500" s="202">
        <f>镇沅!J9</f>
        <v>0</v>
      </c>
      <c r="O500" s="202">
        <f>镇沅!K9</f>
        <v>0</v>
      </c>
      <c r="P500" s="202">
        <f>镇沅!L9</f>
        <v>0</v>
      </c>
      <c r="Q500" s="202">
        <f>镇沅!M9</f>
        <v>0</v>
      </c>
      <c r="R500" s="202">
        <f>镇沅!N9</f>
        <v>0</v>
      </c>
      <c r="S500" s="202">
        <f>镇沅!O9</f>
        <v>0</v>
      </c>
      <c r="T500" s="202">
        <f>镇沅!P9</f>
        <v>0</v>
      </c>
      <c r="U500" s="202">
        <f>镇沅!Q9</f>
        <v>0</v>
      </c>
      <c r="V500" s="202">
        <f>镇沅!R9</f>
        <v>0</v>
      </c>
      <c r="W500" s="202">
        <f>镇沅!S9</f>
        <v>0</v>
      </c>
      <c r="X500" s="202">
        <f>镇沅!T9</f>
        <v>0</v>
      </c>
      <c r="Y500" s="202">
        <f>镇沅!U9</f>
        <v>0</v>
      </c>
      <c r="Z500" s="202">
        <f>镇沅!V9</f>
        <v>0</v>
      </c>
      <c r="AA500" s="202">
        <f>镇沅!W9</f>
        <v>0</v>
      </c>
      <c r="AB500" s="202">
        <f>镇沅!X9</f>
        <v>0</v>
      </c>
      <c r="AC500" s="202">
        <f>镇沅!Y9</f>
        <v>0</v>
      </c>
      <c r="AD500" s="202">
        <f>镇沅!Z9</f>
        <v>0</v>
      </c>
      <c r="AE500" s="202">
        <f>镇沅!AA9</f>
        <v>0</v>
      </c>
      <c r="AF500" s="202">
        <f>镇沅!AB9</f>
        <v>0</v>
      </c>
      <c r="AG500" s="202">
        <f>镇沅!AC9</f>
        <v>0</v>
      </c>
      <c r="AH500" s="202">
        <f>镇沅!AD9</f>
        <v>0</v>
      </c>
      <c r="AI500" s="202">
        <f>镇沅!AE9</f>
        <v>0</v>
      </c>
      <c r="AJ500" s="202">
        <f>镇沅!AF9</f>
        <v>0</v>
      </c>
      <c r="AK500" s="202" t="str">
        <f>镇沅!AG9</f>
        <v>镇沅东洒村</v>
      </c>
      <c r="AL500" s="202" t="str">
        <f>镇沅!AH9</f>
        <v>20160708-0710</v>
      </c>
      <c r="AM500" s="202">
        <f>镇沅!AI9</f>
        <v>0</v>
      </c>
      <c r="AN500" s="202">
        <f>镇沅!AJ9</f>
        <v>0</v>
      </c>
      <c r="AO500" s="202">
        <f>镇沅!AK9</f>
        <v>0</v>
      </c>
      <c r="AP500" s="263">
        <v>2</v>
      </c>
      <c r="AQ500" s="209">
        <f>镇沅!AM9</f>
        <v>0</v>
      </c>
      <c r="AR500" s="295">
        <f>镇沅!AN9</f>
        <v>0.4</v>
      </c>
      <c r="AS500" s="201" t="str">
        <f>镇沅!AO9</f>
        <v>532726196904061254</v>
      </c>
      <c r="AT500" s="201" t="str">
        <f>镇沅!AP9</f>
        <v>13648795316</v>
      </c>
    </row>
    <row r="501" spans="1:46">
      <c r="A501" t="s">
        <v>1926</v>
      </c>
      <c r="B501" s="202" t="str">
        <f>VLOOKUP(A501,databases!$A$2:$B$7, 2, FALSE)</f>
        <v>ZhenYuan</v>
      </c>
      <c r="C501" t="str">
        <f>镇沅!B50</f>
        <v>黄正先</v>
      </c>
      <c r="D501" s="202" t="str">
        <f>VLOOKUP(C501,databases!$D$2:$E$145, 2, FALSE)</f>
        <v>R143</v>
      </c>
      <c r="E501" s="259">
        <f>INDEX(sample_database!$B$2:$B$506,MATCH(F501,sample_database!$L$2:$L$506,0))</f>
        <v>5</v>
      </c>
      <c r="F501" s="202" t="str">
        <f>镇沅!A50</f>
        <v>ZY49</v>
      </c>
      <c r="G501" s="257">
        <f>镇沅!C50</f>
        <v>10</v>
      </c>
      <c r="H501" s="257">
        <f>镇沅!D50</f>
        <v>0</v>
      </c>
      <c r="I501" s="202">
        <f>镇沅!E50</f>
        <v>19</v>
      </c>
      <c r="J501" s="202">
        <f>镇沅!F50</f>
        <v>1</v>
      </c>
      <c r="K501" s="202">
        <f>镇沅!G50</f>
        <v>1</v>
      </c>
      <c r="L501" s="202">
        <f>镇沅!H50</f>
        <v>2</v>
      </c>
      <c r="M501" s="202">
        <f>镇沅!I50</f>
        <v>2</v>
      </c>
      <c r="N501" s="202">
        <f>镇沅!J50</f>
        <v>2</v>
      </c>
      <c r="O501" s="202">
        <f>镇沅!K50</f>
        <v>2</v>
      </c>
      <c r="P501" s="202">
        <f>镇沅!L50</f>
        <v>2</v>
      </c>
      <c r="Q501" s="202">
        <f>镇沅!M50</f>
        <v>2</v>
      </c>
      <c r="R501" s="202">
        <f>镇沅!N50</f>
        <v>2</v>
      </c>
      <c r="S501" s="202">
        <f>镇沅!O50</f>
        <v>3</v>
      </c>
      <c r="T501" s="202">
        <f>镇沅!P50</f>
        <v>0</v>
      </c>
      <c r="U501" s="202">
        <f>镇沅!Q50</f>
        <v>0</v>
      </c>
      <c r="V501" s="202">
        <f>镇沅!R50</f>
        <v>0</v>
      </c>
      <c r="W501" s="202">
        <f>镇沅!S50</f>
        <v>0</v>
      </c>
      <c r="X501" s="202">
        <f>镇沅!T50</f>
        <v>0</v>
      </c>
      <c r="Y501" s="202">
        <f>镇沅!U50</f>
        <v>0</v>
      </c>
      <c r="Z501" s="202">
        <f>镇沅!V50</f>
        <v>0</v>
      </c>
      <c r="AA501" s="202">
        <f>镇沅!W50</f>
        <v>0</v>
      </c>
      <c r="AB501" s="202">
        <f>镇沅!X50</f>
        <v>0</v>
      </c>
      <c r="AC501" s="202">
        <f>镇沅!Y50</f>
        <v>0</v>
      </c>
      <c r="AD501" s="202">
        <f>镇沅!Z50</f>
        <v>0</v>
      </c>
      <c r="AE501" s="202">
        <f>镇沅!AA50</f>
        <v>0</v>
      </c>
      <c r="AF501" s="202">
        <f>镇沅!AB50</f>
        <v>0</v>
      </c>
      <c r="AG501" s="202">
        <f>镇沅!AC50</f>
        <v>0</v>
      </c>
      <c r="AH501" s="202">
        <f>镇沅!AD50</f>
        <v>0</v>
      </c>
      <c r="AI501" s="202">
        <f>镇沅!AE50</f>
        <v>0</v>
      </c>
      <c r="AJ501" s="202">
        <f>镇沅!AF50</f>
        <v>0</v>
      </c>
      <c r="AK501" s="202" t="str">
        <f>镇沅!AG50</f>
        <v>镇沅县九甲镇和平村往南</v>
      </c>
      <c r="AL501" s="202" t="str">
        <f>镇沅!AH50</f>
        <v>20160702</v>
      </c>
      <c r="AM501" s="202">
        <f>镇沅!AI50</f>
        <v>0</v>
      </c>
      <c r="AN501" s="202">
        <f>镇沅!AJ50</f>
        <v>0</v>
      </c>
      <c r="AO501" s="202" t="str">
        <f>镇沅!AK50</f>
        <v>海拔2200</v>
      </c>
      <c r="AP501" s="263">
        <v>5</v>
      </c>
      <c r="AQ501" s="209">
        <f>镇沅!AM50</f>
        <v>0</v>
      </c>
      <c r="AR501" s="295">
        <f>镇沅!AN50</f>
        <v>1</v>
      </c>
      <c r="AS501" s="201" t="str">
        <f>镇沅!AO50</f>
        <v>？？？</v>
      </c>
      <c r="AT501" s="201" t="str">
        <f>镇沅!AP50</f>
        <v>15925281740</v>
      </c>
    </row>
    <row r="502" spans="1:46">
      <c r="A502" t="s">
        <v>1926</v>
      </c>
      <c r="B502" s="202" t="str">
        <f>VLOOKUP(A502,databases!$A$2:$B$7, 2, FALSE)</f>
        <v>ZhenYuan</v>
      </c>
      <c r="C502" t="str">
        <f>镇沅!B51</f>
        <v>黄正先</v>
      </c>
      <c r="D502" s="202" t="str">
        <f>VLOOKUP(C502,databases!$D$2:$E$145, 2, FALSE)</f>
        <v>R143</v>
      </c>
      <c r="E502" s="259">
        <f>INDEX(sample_database!$B$2:$B$506,MATCH(F502,sample_database!$L$2:$L$506,0))</f>
        <v>5</v>
      </c>
      <c r="F502" s="202" t="str">
        <f>镇沅!A51</f>
        <v>ZY50</v>
      </c>
      <c r="G502" s="257">
        <f>镇沅!C51</f>
        <v>10</v>
      </c>
      <c r="H502" s="257">
        <f>镇沅!D51</f>
        <v>0</v>
      </c>
      <c r="I502" s="202">
        <f>镇沅!E51</f>
        <v>34</v>
      </c>
      <c r="J502" s="202">
        <f>镇沅!F51</f>
        <v>2</v>
      </c>
      <c r="K502" s="202">
        <f>镇沅!G51</f>
        <v>2</v>
      </c>
      <c r="L502" s="202">
        <f>镇沅!H51</f>
        <v>5</v>
      </c>
      <c r="M502" s="202">
        <f>镇沅!I51</f>
        <v>5</v>
      </c>
      <c r="N502" s="202">
        <f>镇沅!J51</f>
        <v>3</v>
      </c>
      <c r="O502" s="202">
        <f>镇沅!K51</f>
        <v>3</v>
      </c>
      <c r="P502" s="202">
        <f>镇沅!L51</f>
        <v>3</v>
      </c>
      <c r="Q502" s="202">
        <f>镇沅!M51</f>
        <v>1</v>
      </c>
      <c r="R502" s="202">
        <f>镇沅!N51</f>
        <v>4</v>
      </c>
      <c r="S502" s="202">
        <f>镇沅!O51</f>
        <v>6</v>
      </c>
      <c r="T502" s="202">
        <f>镇沅!P51</f>
        <v>0</v>
      </c>
      <c r="U502" s="202">
        <f>镇沅!Q51</f>
        <v>0</v>
      </c>
      <c r="V502" s="202">
        <f>镇沅!R51</f>
        <v>0</v>
      </c>
      <c r="W502" s="202">
        <f>镇沅!S51</f>
        <v>0</v>
      </c>
      <c r="X502" s="202">
        <f>镇沅!T51</f>
        <v>0</v>
      </c>
      <c r="Y502" s="202">
        <f>镇沅!U51</f>
        <v>0</v>
      </c>
      <c r="Z502" s="202">
        <f>镇沅!V51</f>
        <v>0</v>
      </c>
      <c r="AA502" s="202">
        <f>镇沅!W51</f>
        <v>0</v>
      </c>
      <c r="AB502" s="202">
        <f>镇沅!X51</f>
        <v>0</v>
      </c>
      <c r="AC502" s="202">
        <f>镇沅!Y51</f>
        <v>0</v>
      </c>
      <c r="AD502" s="202">
        <f>镇沅!Z51</f>
        <v>0</v>
      </c>
      <c r="AE502" s="202">
        <f>镇沅!AA51</f>
        <v>0</v>
      </c>
      <c r="AF502" s="202">
        <f>镇沅!AB51</f>
        <v>0</v>
      </c>
      <c r="AG502" s="202">
        <f>镇沅!AC51</f>
        <v>0</v>
      </c>
      <c r="AH502" s="202">
        <f>镇沅!AD51</f>
        <v>0</v>
      </c>
      <c r="AI502" s="202">
        <f>镇沅!AE51</f>
        <v>0</v>
      </c>
      <c r="AJ502" s="202">
        <f>镇沅!AF51</f>
        <v>0</v>
      </c>
      <c r="AK502" s="202" t="str">
        <f>镇沅!AG51</f>
        <v>镇沅县九甲镇和平村千家寨保护所</v>
      </c>
      <c r="AL502" s="202" t="str">
        <f>镇沅!AH51</f>
        <v>2016709</v>
      </c>
      <c r="AM502" s="202">
        <f>镇沅!AI51</f>
        <v>0</v>
      </c>
      <c r="AN502" s="202">
        <f>镇沅!AJ51</f>
        <v>0</v>
      </c>
      <c r="AO502" s="202">
        <f>镇沅!AK51</f>
        <v>0</v>
      </c>
      <c r="AP502" s="263">
        <v>5</v>
      </c>
      <c r="AQ502" s="209">
        <f>镇沅!AM51</f>
        <v>0</v>
      </c>
      <c r="AR502" s="295">
        <f>镇沅!AN51</f>
        <v>1</v>
      </c>
      <c r="AS502" s="201" t="str">
        <f>镇沅!AO51</f>
        <v>？？？</v>
      </c>
      <c r="AT502" s="201" t="str">
        <f>镇沅!AP51</f>
        <v>15925281740</v>
      </c>
    </row>
    <row r="503" spans="1:46">
      <c r="A503" t="s">
        <v>1926</v>
      </c>
      <c r="B503" s="202" t="str">
        <f>VLOOKUP(A503,databases!$A$2:$B$7, 2, FALSE)</f>
        <v>ZhenYuan</v>
      </c>
      <c r="C503" t="str">
        <f>镇沅!B52</f>
        <v>黄正先</v>
      </c>
      <c r="D503" s="202" t="str">
        <f>VLOOKUP(C503,databases!$D$2:$E$145, 2, FALSE)</f>
        <v>R143</v>
      </c>
      <c r="E503" s="259">
        <f>INDEX(sample_database!$B$2:$B$506,MATCH(F503,sample_database!$L$2:$L$506,0))</f>
        <v>5</v>
      </c>
      <c r="F503" s="202" t="str">
        <f>镇沅!A52</f>
        <v>ZY51</v>
      </c>
      <c r="G503" s="257">
        <f>镇沅!C52</f>
        <v>0</v>
      </c>
      <c r="H503" s="257">
        <f>镇沅!D52</f>
        <v>4</v>
      </c>
      <c r="I503" s="202">
        <f>镇沅!E52</f>
        <v>17</v>
      </c>
      <c r="J503" s="202">
        <f>镇沅!F52</f>
        <v>1</v>
      </c>
      <c r="K503" s="202">
        <f>镇沅!G52</f>
        <v>4</v>
      </c>
      <c r="L503" s="202">
        <f>镇沅!H52</f>
        <v>5</v>
      </c>
      <c r="M503" s="202">
        <f>镇沅!I52</f>
        <v>7</v>
      </c>
      <c r="N503" s="202">
        <f>镇沅!J52</f>
        <v>0</v>
      </c>
      <c r="O503" s="202">
        <f>镇沅!K52</f>
        <v>0</v>
      </c>
      <c r="P503" s="202">
        <f>镇沅!L52</f>
        <v>0</v>
      </c>
      <c r="Q503" s="202">
        <f>镇沅!M52</f>
        <v>0</v>
      </c>
      <c r="R503" s="202">
        <f>镇沅!N52</f>
        <v>0</v>
      </c>
      <c r="S503" s="202">
        <f>镇沅!O52</f>
        <v>0</v>
      </c>
      <c r="T503" s="202">
        <f>镇沅!P52</f>
        <v>0</v>
      </c>
      <c r="U503" s="202">
        <f>镇沅!Q52</f>
        <v>0</v>
      </c>
      <c r="V503" s="202">
        <f>镇沅!R52</f>
        <v>0</v>
      </c>
      <c r="W503" s="202">
        <f>镇沅!S52</f>
        <v>0</v>
      </c>
      <c r="X503" s="202">
        <f>镇沅!T52</f>
        <v>0</v>
      </c>
      <c r="Y503" s="202">
        <f>镇沅!U52</f>
        <v>0</v>
      </c>
      <c r="Z503" s="202">
        <f>镇沅!V52</f>
        <v>0</v>
      </c>
      <c r="AA503" s="202">
        <f>镇沅!W52</f>
        <v>0</v>
      </c>
      <c r="AB503" s="202">
        <f>镇沅!X52</f>
        <v>0</v>
      </c>
      <c r="AC503" s="202">
        <f>镇沅!Y52</f>
        <v>0</v>
      </c>
      <c r="AD503" s="202">
        <f>镇沅!Z52</f>
        <v>0</v>
      </c>
      <c r="AE503" s="202">
        <f>镇沅!AA52</f>
        <v>0</v>
      </c>
      <c r="AF503" s="202">
        <f>镇沅!AB52</f>
        <v>0</v>
      </c>
      <c r="AG503" s="202">
        <f>镇沅!AC52</f>
        <v>0</v>
      </c>
      <c r="AH503" s="202">
        <f>镇沅!AD52</f>
        <v>0</v>
      </c>
      <c r="AI503" s="202">
        <f>镇沅!AE52</f>
        <v>0</v>
      </c>
      <c r="AJ503" s="202">
        <f>镇沅!AF52</f>
        <v>0</v>
      </c>
      <c r="AK503" s="202" t="str">
        <f>镇沅!AG52</f>
        <v>镇沅县九甲镇和平村千家寨保护所</v>
      </c>
      <c r="AL503" s="202" t="str">
        <f>镇沅!AH52</f>
        <v>20160820</v>
      </c>
      <c r="AM503" s="202">
        <f>镇沅!AI52</f>
        <v>0</v>
      </c>
      <c r="AN503" s="202">
        <f>镇沅!AJ52</f>
        <v>0</v>
      </c>
      <c r="AO503" s="202">
        <f>镇沅!AK52</f>
        <v>0</v>
      </c>
      <c r="AP503" s="263">
        <v>5</v>
      </c>
      <c r="AQ503" s="209">
        <f>镇沅!AM52</f>
        <v>0</v>
      </c>
      <c r="AR503" s="295">
        <f>镇沅!AN52</f>
        <v>1</v>
      </c>
      <c r="AS503" s="201" t="str">
        <f>镇沅!AO52</f>
        <v>？？？</v>
      </c>
      <c r="AT503" s="201" t="str">
        <f>镇沅!AP52</f>
        <v>15925281740</v>
      </c>
    </row>
    <row r="504" spans="1:46">
      <c r="A504" t="s">
        <v>1926</v>
      </c>
      <c r="B504" s="202" t="str">
        <f>VLOOKUP(A504,databases!$A$2:$B$7, 2, FALSE)</f>
        <v>ZhenYuan</v>
      </c>
      <c r="C504" t="str">
        <f>镇沅!B53</f>
        <v>黄正先</v>
      </c>
      <c r="D504" s="202" t="str">
        <f>VLOOKUP(C504,databases!$D$2:$E$145, 2, FALSE)</f>
        <v>R143</v>
      </c>
      <c r="E504" s="259">
        <f>INDEX(sample_database!$B$2:$B$506,MATCH(F504,sample_database!$L$2:$L$506,0))</f>
        <v>5</v>
      </c>
      <c r="F504" s="202" t="str">
        <f>镇沅!A53</f>
        <v>ZY52</v>
      </c>
      <c r="G504" s="257">
        <f>镇沅!C53</f>
        <v>8</v>
      </c>
      <c r="H504" s="257">
        <f>镇沅!D53</f>
        <v>0</v>
      </c>
      <c r="I504" s="202">
        <f>镇沅!E53</f>
        <v>12</v>
      </c>
      <c r="J504" s="202">
        <f>镇沅!F53</f>
        <v>1</v>
      </c>
      <c r="K504" s="202">
        <f>镇沅!G53</f>
        <v>1</v>
      </c>
      <c r="L504" s="202">
        <f>镇沅!H53</f>
        <v>1</v>
      </c>
      <c r="M504" s="202">
        <f>镇沅!I53</f>
        <v>1</v>
      </c>
      <c r="N504" s="202">
        <f>镇沅!J53</f>
        <v>1</v>
      </c>
      <c r="O504" s="202">
        <f>镇沅!K53</f>
        <v>2</v>
      </c>
      <c r="P504" s="202">
        <f>镇沅!L53</f>
        <v>2</v>
      </c>
      <c r="Q504" s="202">
        <f>镇沅!M53</f>
        <v>3</v>
      </c>
      <c r="R504" s="202">
        <f>镇沅!N53</f>
        <v>0</v>
      </c>
      <c r="S504" s="202">
        <f>镇沅!O53</f>
        <v>0</v>
      </c>
      <c r="T504" s="202">
        <f>镇沅!P53</f>
        <v>0</v>
      </c>
      <c r="U504" s="202">
        <f>镇沅!Q53</f>
        <v>0</v>
      </c>
      <c r="V504" s="202">
        <f>镇沅!R53</f>
        <v>0</v>
      </c>
      <c r="W504" s="202">
        <f>镇沅!S53</f>
        <v>0</v>
      </c>
      <c r="X504" s="202">
        <f>镇沅!T53</f>
        <v>0</v>
      </c>
      <c r="Y504" s="202">
        <f>镇沅!U53</f>
        <v>0</v>
      </c>
      <c r="Z504" s="202">
        <f>镇沅!V53</f>
        <v>0</v>
      </c>
      <c r="AA504" s="202">
        <f>镇沅!W53</f>
        <v>0</v>
      </c>
      <c r="AB504" s="202">
        <f>镇沅!X53</f>
        <v>0</v>
      </c>
      <c r="AC504" s="202">
        <f>镇沅!Y53</f>
        <v>0</v>
      </c>
      <c r="AD504" s="202">
        <f>镇沅!Z53</f>
        <v>0</v>
      </c>
      <c r="AE504" s="202">
        <f>镇沅!AA53</f>
        <v>0</v>
      </c>
      <c r="AF504" s="202">
        <f>镇沅!AB53</f>
        <v>0</v>
      </c>
      <c r="AG504" s="202">
        <f>镇沅!AC53</f>
        <v>0</v>
      </c>
      <c r="AH504" s="202">
        <f>镇沅!AD53</f>
        <v>0</v>
      </c>
      <c r="AI504" s="202">
        <f>镇沅!AE53</f>
        <v>0</v>
      </c>
      <c r="AJ504" s="202">
        <f>镇沅!AF53</f>
        <v>0</v>
      </c>
      <c r="AK504" s="202" t="str">
        <f>镇沅!AG53</f>
        <v>镇沅县</v>
      </c>
      <c r="AL504" s="202" t="str">
        <f>镇沅!AH53</f>
        <v>20160824</v>
      </c>
      <c r="AM504" s="202">
        <f>镇沅!AI53</f>
        <v>0</v>
      </c>
      <c r="AN504" s="202">
        <f>镇沅!AJ53</f>
        <v>0</v>
      </c>
      <c r="AO504" s="202" t="str">
        <f>镇沅!AK53</f>
        <v>海拔2500</v>
      </c>
      <c r="AP504" s="263">
        <v>3</v>
      </c>
      <c r="AQ504" s="209">
        <f>镇沅!AM53</f>
        <v>0</v>
      </c>
      <c r="AR504" s="295">
        <f>镇沅!AN53</f>
        <v>0.6</v>
      </c>
      <c r="AS504" s="201" t="str">
        <f>镇沅!AO53</f>
        <v>？？？</v>
      </c>
      <c r="AT504" s="201" t="str">
        <f>镇沅!AP53</f>
        <v>15925281740</v>
      </c>
    </row>
    <row r="505" spans="1:46">
      <c r="A505" t="s">
        <v>1926</v>
      </c>
      <c r="B505" s="202" t="str">
        <f>VLOOKUP(A505,databases!$A$2:$B$7, 2, FALSE)</f>
        <v>ZhenYuan</v>
      </c>
      <c r="C505" t="str">
        <f>镇沅!B54</f>
        <v>黄正先</v>
      </c>
      <c r="D505" s="202" t="str">
        <f>VLOOKUP(C505,databases!$D$2:$E$145, 2, FALSE)</f>
        <v>R143</v>
      </c>
      <c r="E505" s="259">
        <f>INDEX(sample_database!$B$2:$B$506,MATCH(F505,sample_database!$L$2:$L$506,0))</f>
        <v>5</v>
      </c>
      <c r="F505" s="202" t="str">
        <f>镇沅!A54</f>
        <v>ZY53</v>
      </c>
      <c r="G505" s="257">
        <f>镇沅!C54</f>
        <v>2</v>
      </c>
      <c r="H505" s="257">
        <f>镇沅!D54</f>
        <v>0</v>
      </c>
      <c r="I505" s="202">
        <f>镇沅!E54</f>
        <v>5</v>
      </c>
      <c r="J505" s="202">
        <f>镇沅!F54</f>
        <v>2</v>
      </c>
      <c r="K505" s="202">
        <f>镇沅!G54</f>
        <v>3</v>
      </c>
      <c r="L505" s="202">
        <f>镇沅!H54</f>
        <v>0</v>
      </c>
      <c r="M505" s="202">
        <f>镇沅!I54</f>
        <v>0</v>
      </c>
      <c r="N505" s="202">
        <f>镇沅!J54</f>
        <v>0</v>
      </c>
      <c r="O505" s="202">
        <f>镇沅!K54</f>
        <v>0</v>
      </c>
      <c r="P505" s="202">
        <f>镇沅!L54</f>
        <v>0</v>
      </c>
      <c r="Q505" s="202">
        <f>镇沅!M54</f>
        <v>0</v>
      </c>
      <c r="R505" s="202">
        <f>镇沅!N54</f>
        <v>0</v>
      </c>
      <c r="S505" s="202">
        <f>镇沅!O54</f>
        <v>0</v>
      </c>
      <c r="T505" s="202">
        <f>镇沅!P54</f>
        <v>0</v>
      </c>
      <c r="U505" s="202">
        <f>镇沅!Q54</f>
        <v>0</v>
      </c>
      <c r="V505" s="202">
        <f>镇沅!R54</f>
        <v>0</v>
      </c>
      <c r="W505" s="202">
        <f>镇沅!S54</f>
        <v>0</v>
      </c>
      <c r="X505" s="202">
        <f>镇沅!T54</f>
        <v>0</v>
      </c>
      <c r="Y505" s="202">
        <f>镇沅!U54</f>
        <v>0</v>
      </c>
      <c r="Z505" s="202">
        <f>镇沅!V54</f>
        <v>0</v>
      </c>
      <c r="AA505" s="202">
        <f>镇沅!W54</f>
        <v>0</v>
      </c>
      <c r="AB505" s="202">
        <f>镇沅!X54</f>
        <v>0</v>
      </c>
      <c r="AC505" s="202">
        <f>镇沅!Y54</f>
        <v>0</v>
      </c>
      <c r="AD505" s="202">
        <f>镇沅!Z54</f>
        <v>0</v>
      </c>
      <c r="AE505" s="202">
        <f>镇沅!AA54</f>
        <v>0</v>
      </c>
      <c r="AF505" s="202">
        <f>镇沅!AB54</f>
        <v>0</v>
      </c>
      <c r="AG505" s="202">
        <f>镇沅!AC54</f>
        <v>0</v>
      </c>
      <c r="AH505" s="202">
        <f>镇沅!AD54</f>
        <v>0</v>
      </c>
      <c r="AI505" s="202">
        <f>镇沅!AE54</f>
        <v>0</v>
      </c>
      <c r="AJ505" s="202">
        <f>镇沅!AF54</f>
        <v>0</v>
      </c>
      <c r="AK505" s="202" t="str">
        <f>镇沅!AG54</f>
        <v>镇沅县九甲镇和平村千家寨保护区</v>
      </c>
      <c r="AL505" s="202" t="str">
        <f>镇沅!AH54</f>
        <v>20161028</v>
      </c>
      <c r="AM505" s="202">
        <f>镇沅!AI54</f>
        <v>0</v>
      </c>
      <c r="AN505" s="202">
        <f>镇沅!AJ54</f>
        <v>0</v>
      </c>
      <c r="AO505" s="202" t="str">
        <f>镇沅!AK54</f>
        <v>海拔2100</v>
      </c>
      <c r="AP505" s="263">
        <v>20</v>
      </c>
      <c r="AQ505" s="209">
        <f>镇沅!AM54</f>
        <v>0</v>
      </c>
      <c r="AR505" s="295">
        <f>镇沅!AN54</f>
        <v>4</v>
      </c>
      <c r="AS505" s="201" t="str">
        <f>镇沅!AO54</f>
        <v>？？？</v>
      </c>
      <c r="AT505" s="201" t="str">
        <f>镇沅!AP54</f>
        <v>15925281740</v>
      </c>
    </row>
    <row r="506" spans="1:46">
      <c r="A506" t="s">
        <v>1926</v>
      </c>
      <c r="B506" s="202" t="str">
        <f>VLOOKUP(A506,databases!$A$2:$B$7, 2, FALSE)</f>
        <v>ZhenYuan</v>
      </c>
      <c r="C506" s="292" t="str">
        <f>镇沅!B48</f>
        <v>NA</v>
      </c>
      <c r="D506" s="293" t="e">
        <f>VLOOKUP(C506,databases!$D$2:$E$145, 2, FALSE)</f>
        <v>#N/A</v>
      </c>
      <c r="E506" s="280" t="str">
        <f>INDEX(sample_database!$B$2:$B$506,MATCH(F506,sample_database!$L$2:$L$506,0))</f>
        <v>NA</v>
      </c>
      <c r="F506" s="202" t="str">
        <f>镇沅!A48</f>
        <v>ZY47</v>
      </c>
      <c r="G506" s="257">
        <f>镇沅!C48</f>
        <v>0</v>
      </c>
      <c r="H506" s="257">
        <f>镇沅!D48</f>
        <v>9</v>
      </c>
      <c r="I506" s="202">
        <f>镇沅!E48</f>
        <v>29</v>
      </c>
      <c r="J506" s="202">
        <f>镇沅!F48</f>
        <v>2</v>
      </c>
      <c r="K506" s="202">
        <f>镇沅!G48</f>
        <v>2</v>
      </c>
      <c r="L506" s="202">
        <f>镇沅!H48</f>
        <v>3</v>
      </c>
      <c r="M506" s="202">
        <f>镇沅!I48</f>
        <v>3</v>
      </c>
      <c r="N506" s="202">
        <f>镇沅!J48</f>
        <v>3</v>
      </c>
      <c r="O506" s="202">
        <f>镇沅!K48</f>
        <v>4</v>
      </c>
      <c r="P506" s="202">
        <f>镇沅!L48</f>
        <v>4</v>
      </c>
      <c r="Q506" s="202">
        <f>镇沅!M48</f>
        <v>4</v>
      </c>
      <c r="R506" s="202">
        <f>镇沅!N48</f>
        <v>4</v>
      </c>
      <c r="S506" s="202">
        <f>镇沅!O48</f>
        <v>0</v>
      </c>
      <c r="T506" s="202">
        <f>镇沅!P48</f>
        <v>0</v>
      </c>
      <c r="U506" s="202">
        <f>镇沅!Q48</f>
        <v>0</v>
      </c>
      <c r="V506" s="202">
        <f>镇沅!R48</f>
        <v>0</v>
      </c>
      <c r="W506" s="202">
        <f>镇沅!S48</f>
        <v>0</v>
      </c>
      <c r="X506" s="202">
        <f>镇沅!T48</f>
        <v>0</v>
      </c>
      <c r="Y506" s="202">
        <f>镇沅!U48</f>
        <v>0</v>
      </c>
      <c r="Z506" s="202">
        <f>镇沅!V48</f>
        <v>0</v>
      </c>
      <c r="AA506" s="202">
        <f>镇沅!W48</f>
        <v>0</v>
      </c>
      <c r="AB506" s="202">
        <f>镇沅!X48</f>
        <v>0</v>
      </c>
      <c r="AC506" s="202">
        <f>镇沅!Y48</f>
        <v>0</v>
      </c>
      <c r="AD506" s="202">
        <f>镇沅!Z48</f>
        <v>0</v>
      </c>
      <c r="AE506" s="202">
        <f>镇沅!AA48</f>
        <v>0</v>
      </c>
      <c r="AF506" s="202">
        <f>镇沅!AB48</f>
        <v>0</v>
      </c>
      <c r="AG506" s="202">
        <f>镇沅!AC48</f>
        <v>0</v>
      </c>
      <c r="AH506" s="202">
        <f>镇沅!AD48</f>
        <v>0</v>
      </c>
      <c r="AI506" s="202">
        <f>镇沅!AE48</f>
        <v>0</v>
      </c>
      <c r="AJ506" s="202">
        <f>镇沅!AF48</f>
        <v>0</v>
      </c>
      <c r="AK506" s="202" t="str">
        <f>镇沅!AG48</f>
        <v>镇沅县九甲镇文岗村争山组</v>
      </c>
      <c r="AL506" s="202" t="str">
        <f>镇沅!AH48</f>
        <v>201607</v>
      </c>
      <c r="AM506" s="202">
        <f>镇沅!AI48</f>
        <v>0</v>
      </c>
      <c r="AN506" s="202">
        <f>镇沅!AJ48</f>
        <v>0</v>
      </c>
      <c r="AO506" s="202" t="str">
        <f>镇沅!AK48</f>
        <v>大尖峰</v>
      </c>
      <c r="AP506" s="263">
        <v>4</v>
      </c>
      <c r="AQ506" s="209">
        <f>镇沅!AM48</f>
        <v>0</v>
      </c>
      <c r="AR506" s="295">
        <f>镇沅!AN48</f>
        <v>0.8</v>
      </c>
      <c r="AS506" s="201" t="str">
        <f>镇沅!AO48</f>
        <v>？？？</v>
      </c>
      <c r="AT506" s="201" t="str">
        <f>镇沅!AP48</f>
        <v>？？</v>
      </c>
    </row>
    <row r="507" spans="1:46">
      <c r="J507" s="202"/>
      <c r="K507" s="202"/>
      <c r="L507" s="202"/>
      <c r="M507" s="202"/>
      <c r="N507" s="202"/>
      <c r="O507" s="202"/>
      <c r="P507" s="202"/>
      <c r="Q507" s="202"/>
      <c r="R507" s="202"/>
      <c r="S507" s="202"/>
      <c r="T507" s="202"/>
      <c r="U507" s="202"/>
      <c r="V507" s="202"/>
      <c r="W507" s="202"/>
      <c r="X507" s="202"/>
      <c r="Y507" s="202"/>
      <c r="Z507" s="202"/>
      <c r="AA507" s="202"/>
      <c r="AB507" s="202"/>
      <c r="AC507" s="202"/>
      <c r="AD507" s="202"/>
      <c r="AE507" s="202"/>
      <c r="AF507" s="202"/>
      <c r="AG507" s="202"/>
      <c r="AH507" s="202"/>
      <c r="AI507" s="202"/>
      <c r="AJ507" s="202"/>
      <c r="AK507" s="202"/>
      <c r="AL507" s="202"/>
      <c r="AM507" s="202"/>
      <c r="AN507" s="202"/>
      <c r="AO507" s="202"/>
      <c r="AP507" s="202"/>
    </row>
  </sheetData>
  <autoFilter ref="A1:AT506" xr:uid="{00000000-0009-0000-0000-000000000000}">
    <sortState xmlns:xlrd2="http://schemas.microsoft.com/office/spreadsheetml/2017/richdata2" ref="A2:AT506">
      <sortCondition ref="B2:B506"/>
      <sortCondition ref="D2:D506"/>
    </sortState>
  </autoFilter>
  <conditionalFormatting sqref="F1:F1048576">
    <cfRule type="duplicateValues" dxfId="6"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66B9-214C-EB49-BD7E-CDD8422ED3BB}">
  <dimension ref="A3:DF150"/>
  <sheetViews>
    <sheetView topLeftCell="S91" workbookViewId="0">
      <selection activeCell="AK77" sqref="AK77"/>
    </sheetView>
  </sheetViews>
  <sheetFormatPr baseColWidth="10" defaultRowHeight="15"/>
  <cols>
    <col min="1" max="1" width="13.5" bestFit="1" customWidth="1"/>
    <col min="2" max="2" width="14.83203125" bestFit="1" customWidth="1"/>
    <col min="3" max="10" width="2.1640625" bestFit="1" customWidth="1"/>
    <col min="11" max="65" width="3.1640625" bestFit="1" customWidth="1"/>
    <col min="66" max="105" width="4.1640625" bestFit="1" customWidth="1"/>
    <col min="106" max="108" width="7.5" bestFit="1" customWidth="1"/>
    <col min="109" max="109" width="4.1640625" bestFit="1" customWidth="1"/>
    <col min="110" max="110" width="10" bestFit="1" customWidth="1"/>
    <col min="111" max="216" width="14.83203125" bestFit="1" customWidth="1"/>
    <col min="217" max="217" width="18.6640625" bestFit="1" customWidth="1"/>
    <col min="218" max="218" width="16.33203125" bestFit="1" customWidth="1"/>
    <col min="219" max="219" width="18.6640625" bestFit="1" customWidth="1"/>
  </cols>
  <sheetData>
    <row r="3" spans="1:110">
      <c r="A3" s="251" t="s">
        <v>3415</v>
      </c>
      <c r="B3" s="251" t="s">
        <v>3390</v>
      </c>
    </row>
    <row r="4" spans="1:110">
      <c r="A4" s="251" t="s">
        <v>3385</v>
      </c>
      <c r="B4" s="202">
        <v>0</v>
      </c>
      <c r="C4" s="202">
        <v>2</v>
      </c>
      <c r="D4" s="202">
        <v>3</v>
      </c>
      <c r="E4" s="202">
        <v>4</v>
      </c>
      <c r="F4" s="202">
        <v>5</v>
      </c>
      <c r="G4" s="202">
        <v>6</v>
      </c>
      <c r="H4" s="202">
        <v>7</v>
      </c>
      <c r="I4" s="202">
        <v>8</v>
      </c>
      <c r="J4" s="202">
        <v>9</v>
      </c>
      <c r="K4" s="202">
        <v>10</v>
      </c>
      <c r="L4" s="202">
        <v>11</v>
      </c>
      <c r="M4" s="202">
        <v>13</v>
      </c>
      <c r="N4" s="202">
        <v>14</v>
      </c>
      <c r="O4" s="202">
        <v>17</v>
      </c>
      <c r="P4" s="202">
        <v>19</v>
      </c>
      <c r="Q4" s="202">
        <v>21</v>
      </c>
      <c r="R4" s="202">
        <v>22</v>
      </c>
      <c r="S4" s="202">
        <v>26</v>
      </c>
      <c r="T4" s="202">
        <v>29</v>
      </c>
      <c r="U4" s="202">
        <v>30</v>
      </c>
      <c r="V4" s="202">
        <v>31</v>
      </c>
      <c r="W4" s="202">
        <v>32</v>
      </c>
      <c r="X4" s="202">
        <v>33</v>
      </c>
      <c r="Y4" s="202">
        <v>35</v>
      </c>
      <c r="Z4" s="202">
        <v>37</v>
      </c>
      <c r="AA4" s="202">
        <v>38</v>
      </c>
      <c r="AB4" s="202">
        <v>39</v>
      </c>
      <c r="AC4" s="202">
        <v>40</v>
      </c>
      <c r="AD4" s="202">
        <v>43</v>
      </c>
      <c r="AE4" s="202">
        <v>44</v>
      </c>
      <c r="AF4" s="202">
        <v>46</v>
      </c>
      <c r="AG4" s="202">
        <v>47</v>
      </c>
      <c r="AH4" s="202">
        <v>48</v>
      </c>
      <c r="AI4" s="202">
        <v>50</v>
      </c>
      <c r="AJ4" s="202">
        <v>51</v>
      </c>
      <c r="AK4" s="202">
        <v>52</v>
      </c>
      <c r="AL4" s="202">
        <v>53</v>
      </c>
      <c r="AM4" s="202">
        <v>55</v>
      </c>
      <c r="AN4" s="202">
        <v>56</v>
      </c>
      <c r="AO4" s="202">
        <v>58</v>
      </c>
      <c r="AP4" s="202">
        <v>61</v>
      </c>
      <c r="AQ4" s="202">
        <v>63</v>
      </c>
      <c r="AR4" s="202">
        <v>64</v>
      </c>
      <c r="AS4" s="202">
        <v>66</v>
      </c>
      <c r="AT4" s="202">
        <v>67</v>
      </c>
      <c r="AU4" s="202">
        <v>71</v>
      </c>
      <c r="AV4" s="202">
        <v>72</v>
      </c>
      <c r="AW4" s="202">
        <v>73</v>
      </c>
      <c r="AX4" s="202">
        <v>75</v>
      </c>
      <c r="AY4" s="202">
        <v>76</v>
      </c>
      <c r="AZ4" s="202">
        <v>77</v>
      </c>
      <c r="BA4" s="202">
        <v>78</v>
      </c>
      <c r="BB4" s="202">
        <v>83</v>
      </c>
      <c r="BC4" s="202">
        <v>84</v>
      </c>
      <c r="BD4" s="202">
        <v>85</v>
      </c>
      <c r="BE4" s="202">
        <v>86</v>
      </c>
      <c r="BF4" s="202">
        <v>87</v>
      </c>
      <c r="BG4" s="202">
        <v>88</v>
      </c>
      <c r="BH4" s="202">
        <v>89</v>
      </c>
      <c r="BI4" s="202">
        <v>93</v>
      </c>
      <c r="BJ4" s="202">
        <v>94</v>
      </c>
      <c r="BK4" s="202">
        <v>95</v>
      </c>
      <c r="BL4" s="202">
        <v>97</v>
      </c>
      <c r="BM4" s="202">
        <v>98</v>
      </c>
      <c r="BN4" s="202">
        <v>100</v>
      </c>
      <c r="BO4" s="202">
        <v>101</v>
      </c>
      <c r="BP4" s="202">
        <v>102</v>
      </c>
      <c r="BQ4" s="202">
        <v>103</v>
      </c>
      <c r="BR4" s="202">
        <v>104</v>
      </c>
      <c r="BS4" s="202">
        <v>105</v>
      </c>
      <c r="BT4" s="202">
        <v>106</v>
      </c>
      <c r="BU4" s="202">
        <v>107</v>
      </c>
      <c r="BV4" s="202">
        <v>109</v>
      </c>
      <c r="BW4" s="202">
        <v>110</v>
      </c>
      <c r="BX4" s="202">
        <v>111</v>
      </c>
      <c r="BY4" s="202">
        <v>112</v>
      </c>
      <c r="BZ4" s="202">
        <v>114</v>
      </c>
      <c r="CA4" s="202">
        <v>115</v>
      </c>
      <c r="CB4" s="202">
        <v>119</v>
      </c>
      <c r="CC4" s="202">
        <v>121</v>
      </c>
      <c r="CD4" s="202">
        <v>122</v>
      </c>
      <c r="CE4" s="202">
        <v>123</v>
      </c>
      <c r="CF4" s="202">
        <v>124</v>
      </c>
      <c r="CG4" s="202">
        <v>125</v>
      </c>
      <c r="CH4" s="202">
        <v>126</v>
      </c>
      <c r="CI4" s="202">
        <v>130</v>
      </c>
      <c r="CJ4" s="202">
        <v>136</v>
      </c>
      <c r="CK4" s="202">
        <v>138</v>
      </c>
      <c r="CL4" s="202">
        <v>140</v>
      </c>
      <c r="CM4" s="202">
        <v>141</v>
      </c>
      <c r="CN4" s="202">
        <v>142</v>
      </c>
      <c r="CO4" s="202">
        <v>143</v>
      </c>
      <c r="CP4" s="202">
        <v>144</v>
      </c>
      <c r="CQ4" s="202">
        <v>146</v>
      </c>
      <c r="CR4" s="202">
        <v>148</v>
      </c>
      <c r="CS4" s="202">
        <v>151</v>
      </c>
      <c r="CT4" s="202">
        <v>152</v>
      </c>
      <c r="CU4" s="202">
        <v>153</v>
      </c>
      <c r="CV4" s="202">
        <v>156</v>
      </c>
      <c r="CW4" s="202">
        <v>157</v>
      </c>
      <c r="CX4" s="202">
        <v>163</v>
      </c>
      <c r="CY4" s="202">
        <v>169</v>
      </c>
      <c r="CZ4" s="202">
        <v>170</v>
      </c>
      <c r="DA4" s="202">
        <v>171</v>
      </c>
      <c r="DB4" s="202" t="s">
        <v>3386</v>
      </c>
      <c r="DC4" s="202" t="s">
        <v>3387</v>
      </c>
      <c r="DD4" s="202" t="s">
        <v>3388</v>
      </c>
      <c r="DE4" s="202" t="s">
        <v>1929</v>
      </c>
      <c r="DF4" t="s">
        <v>3389</v>
      </c>
    </row>
    <row r="5" spans="1:110">
      <c r="A5" s="205" t="s">
        <v>2795</v>
      </c>
      <c r="B5" s="202"/>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c r="AD5" s="202"/>
      <c r="AE5" s="202"/>
      <c r="AF5" s="202"/>
      <c r="AG5" s="202"/>
      <c r="AH5" s="202"/>
      <c r="AI5" s="202"/>
      <c r="AJ5" s="202"/>
      <c r="AK5" s="202"/>
      <c r="AL5" s="202"/>
      <c r="AM5" s="202"/>
      <c r="AN5" s="202"/>
      <c r="AO5" s="202"/>
      <c r="AP5" s="202"/>
      <c r="AQ5" s="202"/>
      <c r="AR5" s="202"/>
      <c r="AS5" s="202"/>
      <c r="AT5" s="202"/>
      <c r="AU5" s="202"/>
      <c r="AV5" s="202"/>
      <c r="AW5" s="202"/>
      <c r="AX5" s="202"/>
      <c r="AY5" s="202"/>
      <c r="AZ5" s="202"/>
      <c r="BA5" s="202"/>
      <c r="BB5" s="202"/>
      <c r="BC5" s="202"/>
      <c r="BD5" s="202"/>
      <c r="BE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v>1</v>
      </c>
      <c r="DF5" s="202">
        <v>1</v>
      </c>
    </row>
    <row r="6" spans="1:110">
      <c r="A6" s="205" t="s">
        <v>3391</v>
      </c>
      <c r="B6" s="202"/>
      <c r="C6" s="202"/>
      <c r="D6" s="202"/>
      <c r="E6" s="202">
        <v>1</v>
      </c>
      <c r="F6" s="202"/>
      <c r="G6" s="202"/>
      <c r="H6" s="202"/>
      <c r="I6" s="202"/>
      <c r="J6" s="202"/>
      <c r="K6" s="202"/>
      <c r="L6" s="202"/>
      <c r="M6" s="202"/>
      <c r="N6" s="202"/>
      <c r="O6" s="202"/>
      <c r="P6" s="202"/>
      <c r="Q6" s="202"/>
      <c r="R6" s="202"/>
      <c r="S6" s="202"/>
      <c r="T6" s="202"/>
      <c r="U6" s="202"/>
      <c r="V6" s="202"/>
      <c r="W6" s="202"/>
      <c r="X6" s="202"/>
      <c r="Y6" s="202"/>
      <c r="Z6" s="202"/>
      <c r="AA6" s="202"/>
      <c r="AB6" s="202"/>
      <c r="AC6" s="202"/>
      <c r="AD6" s="202"/>
      <c r="AE6" s="202"/>
      <c r="AF6" s="202"/>
      <c r="AG6" s="202"/>
      <c r="AH6" s="202"/>
      <c r="AI6" s="202"/>
      <c r="AJ6" s="202"/>
      <c r="AK6" s="202"/>
      <c r="AL6" s="202"/>
      <c r="AM6" s="202"/>
      <c r="AN6" s="202"/>
      <c r="AO6" s="202"/>
      <c r="AP6" s="202"/>
      <c r="AQ6" s="202"/>
      <c r="AR6" s="202"/>
      <c r="AS6" s="202"/>
      <c r="AT6" s="202"/>
      <c r="AU6" s="202"/>
      <c r="AV6" s="202"/>
      <c r="AW6" s="202"/>
      <c r="AX6" s="202"/>
      <c r="AY6" s="202"/>
      <c r="AZ6" s="202"/>
      <c r="BA6" s="202"/>
      <c r="BB6" s="202"/>
      <c r="BC6" s="202"/>
      <c r="BD6" s="202"/>
      <c r="BE6" s="202"/>
      <c r="BF6" s="202"/>
      <c r="BG6" s="202"/>
      <c r="BH6" s="202"/>
      <c r="BI6" s="202"/>
      <c r="BJ6" s="202"/>
      <c r="BK6" s="202"/>
      <c r="BL6" s="202"/>
      <c r="BM6" s="202"/>
      <c r="BN6" s="202"/>
      <c r="BO6" s="202"/>
      <c r="BP6" s="202"/>
      <c r="BQ6" s="202"/>
      <c r="BR6" s="202"/>
      <c r="BS6" s="202"/>
      <c r="BT6" s="202"/>
      <c r="BU6" s="202"/>
      <c r="BV6" s="202"/>
      <c r="BW6" s="202"/>
      <c r="BX6" s="202"/>
      <c r="BY6" s="202"/>
      <c r="BZ6" s="202"/>
      <c r="CA6" s="202"/>
      <c r="CB6" s="202"/>
      <c r="CC6" s="202"/>
      <c r="CD6" s="202"/>
      <c r="CE6" s="202"/>
      <c r="CF6" s="202"/>
      <c r="CG6" s="202"/>
      <c r="CH6" s="202"/>
      <c r="CI6" s="202"/>
      <c r="CJ6" s="202"/>
      <c r="CK6" s="202"/>
      <c r="CL6" s="202"/>
      <c r="CM6" s="202"/>
      <c r="CN6" s="202"/>
      <c r="CO6" s="202"/>
      <c r="CP6" s="202"/>
      <c r="CQ6" s="202"/>
      <c r="CR6" s="202"/>
      <c r="CS6" s="202"/>
      <c r="CT6" s="202"/>
      <c r="CU6" s="202"/>
      <c r="CV6" s="202"/>
      <c r="CW6" s="202"/>
      <c r="CX6" s="202"/>
      <c r="CY6" s="202"/>
      <c r="CZ6" s="202"/>
      <c r="DA6" s="202"/>
      <c r="DB6" s="202"/>
      <c r="DC6" s="202"/>
      <c r="DD6" s="202"/>
      <c r="DE6" s="202">
        <v>4</v>
      </c>
      <c r="DF6" s="202">
        <v>5</v>
      </c>
    </row>
    <row r="7" spans="1:110">
      <c r="A7" s="205" t="s">
        <v>2046</v>
      </c>
      <c r="B7" s="202"/>
      <c r="C7" s="202"/>
      <c r="D7" s="202"/>
      <c r="E7" s="202"/>
      <c r="F7" s="202"/>
      <c r="G7" s="202"/>
      <c r="H7" s="202"/>
      <c r="I7" s="202"/>
      <c r="J7" s="202"/>
      <c r="K7" s="202"/>
      <c r="L7" s="202"/>
      <c r="M7" s="202"/>
      <c r="N7" s="202"/>
      <c r="O7" s="202"/>
      <c r="P7" s="202"/>
      <c r="Q7" s="202"/>
      <c r="R7" s="202"/>
      <c r="S7" s="202"/>
      <c r="T7" s="202"/>
      <c r="U7" s="202"/>
      <c r="V7" s="202"/>
      <c r="W7" s="202"/>
      <c r="X7" s="202"/>
      <c r="Y7" s="202"/>
      <c r="Z7" s="202"/>
      <c r="AA7" s="202"/>
      <c r="AB7" s="202"/>
      <c r="AC7" s="202"/>
      <c r="AD7" s="202"/>
      <c r="AE7" s="202"/>
      <c r="AF7" s="202"/>
      <c r="AG7" s="202"/>
      <c r="AH7" s="202"/>
      <c r="AI7" s="202"/>
      <c r="AJ7" s="202"/>
      <c r="AK7" s="202"/>
      <c r="AL7" s="202"/>
      <c r="AM7" s="202"/>
      <c r="AN7" s="202"/>
      <c r="AO7" s="202"/>
      <c r="AP7" s="202"/>
      <c r="AQ7" s="202"/>
      <c r="AR7" s="202"/>
      <c r="AS7" s="202"/>
      <c r="AT7" s="202"/>
      <c r="AU7" s="202"/>
      <c r="AV7" s="202"/>
      <c r="AW7" s="202"/>
      <c r="AX7" s="202"/>
      <c r="AY7" s="202"/>
      <c r="AZ7" s="202"/>
      <c r="BA7" s="202"/>
      <c r="BB7" s="202"/>
      <c r="BC7" s="202"/>
      <c r="BD7" s="202"/>
      <c r="BE7" s="202"/>
      <c r="BF7" s="202"/>
      <c r="BG7" s="202"/>
      <c r="BH7" s="202"/>
      <c r="BI7" s="202">
        <v>2</v>
      </c>
      <c r="BJ7" s="202"/>
      <c r="BK7" s="202"/>
      <c r="BL7" s="202"/>
      <c r="BM7" s="202"/>
      <c r="BN7" s="202"/>
      <c r="BO7" s="202"/>
      <c r="BP7" s="202"/>
      <c r="BQ7" s="202"/>
      <c r="BR7" s="202"/>
      <c r="BS7" s="202"/>
      <c r="BT7" s="202"/>
      <c r="BU7" s="202"/>
      <c r="BV7" s="202"/>
      <c r="BW7" s="202"/>
      <c r="BX7" s="202"/>
      <c r="BY7" s="202"/>
      <c r="BZ7" s="202"/>
      <c r="CA7" s="202"/>
      <c r="CB7" s="202"/>
      <c r="CC7" s="202"/>
      <c r="CD7" s="202"/>
      <c r="CE7" s="202"/>
      <c r="CF7" s="202"/>
      <c r="CG7" s="202"/>
      <c r="CH7" s="202"/>
      <c r="CI7" s="202"/>
      <c r="CJ7" s="202"/>
      <c r="CK7" s="202"/>
      <c r="CL7" s="202"/>
      <c r="CM7" s="202"/>
      <c r="CN7" s="202"/>
      <c r="CO7" s="202"/>
      <c r="CP7" s="202"/>
      <c r="CQ7" s="202"/>
      <c r="CR7" s="202"/>
      <c r="CS7" s="202"/>
      <c r="CT7" s="202"/>
      <c r="CU7" s="202"/>
      <c r="CV7" s="202"/>
      <c r="CW7" s="202"/>
      <c r="CX7" s="202"/>
      <c r="CY7" s="202"/>
      <c r="CZ7" s="202"/>
      <c r="DA7" s="202"/>
      <c r="DB7" s="202"/>
      <c r="DC7" s="202"/>
      <c r="DD7" s="202"/>
      <c r="DE7" s="202"/>
      <c r="DF7" s="202">
        <v>2</v>
      </c>
    </row>
    <row r="8" spans="1:110">
      <c r="A8" s="205" t="s">
        <v>2047</v>
      </c>
      <c r="B8" s="202"/>
      <c r="C8" s="202"/>
      <c r="D8" s="202"/>
      <c r="E8" s="202"/>
      <c r="F8" s="202"/>
      <c r="G8" s="202"/>
      <c r="H8" s="202"/>
      <c r="I8" s="202"/>
      <c r="J8" s="202"/>
      <c r="K8" s="202"/>
      <c r="L8" s="202"/>
      <c r="M8" s="202"/>
      <c r="N8" s="202"/>
      <c r="O8" s="202"/>
      <c r="P8" s="202"/>
      <c r="Q8" s="202"/>
      <c r="R8" s="202"/>
      <c r="S8" s="202"/>
      <c r="T8" s="202"/>
      <c r="U8" s="202"/>
      <c r="V8" s="202"/>
      <c r="W8" s="202"/>
      <c r="X8" s="202"/>
      <c r="Y8" s="202"/>
      <c r="Z8" s="202"/>
      <c r="AA8" s="202"/>
      <c r="AB8" s="202"/>
      <c r="AC8" s="202"/>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c r="BD8" s="202"/>
      <c r="BE8" s="202"/>
      <c r="BF8" s="202"/>
      <c r="BG8" s="202"/>
      <c r="BH8" s="202"/>
      <c r="BI8" s="202"/>
      <c r="BJ8" s="202"/>
      <c r="BK8" s="202">
        <v>1</v>
      </c>
      <c r="BL8" s="202"/>
      <c r="BM8" s="202"/>
      <c r="BN8" s="202"/>
      <c r="BO8" s="202"/>
      <c r="BP8" s="202"/>
      <c r="BQ8" s="202"/>
      <c r="BR8" s="202"/>
      <c r="BS8" s="202"/>
      <c r="BT8" s="202"/>
      <c r="BU8" s="202"/>
      <c r="BV8" s="202"/>
      <c r="BW8" s="202"/>
      <c r="BX8" s="202"/>
      <c r="BY8" s="202"/>
      <c r="BZ8" s="202"/>
      <c r="CA8" s="202"/>
      <c r="CB8" s="202"/>
      <c r="CC8" s="202"/>
      <c r="CD8" s="202"/>
      <c r="CE8" s="202"/>
      <c r="CF8" s="202"/>
      <c r="CG8" s="202"/>
      <c r="CH8" s="202"/>
      <c r="CI8" s="202"/>
      <c r="CJ8" s="202"/>
      <c r="CK8" s="202"/>
      <c r="CL8" s="202"/>
      <c r="CM8" s="202"/>
      <c r="CN8" s="202"/>
      <c r="CO8" s="202"/>
      <c r="CP8" s="202"/>
      <c r="CQ8" s="202"/>
      <c r="CR8" s="202"/>
      <c r="CS8" s="202"/>
      <c r="CT8" s="202"/>
      <c r="CU8" s="202"/>
      <c r="CV8" s="202"/>
      <c r="CW8" s="202"/>
      <c r="CX8" s="202"/>
      <c r="CY8" s="202"/>
      <c r="CZ8" s="202"/>
      <c r="DA8" s="202"/>
      <c r="DB8" s="202"/>
      <c r="DC8" s="202"/>
      <c r="DD8" s="202"/>
      <c r="DE8" s="202"/>
      <c r="DF8" s="202">
        <v>1</v>
      </c>
    </row>
    <row r="9" spans="1:110">
      <c r="A9" s="205" t="s">
        <v>3117</v>
      </c>
      <c r="B9" s="202"/>
      <c r="C9" s="202"/>
      <c r="D9" s="202"/>
      <c r="E9" s="202"/>
      <c r="F9" s="202"/>
      <c r="G9" s="202"/>
      <c r="H9" s="202"/>
      <c r="I9" s="202"/>
      <c r="J9" s="202"/>
      <c r="K9" s="202"/>
      <c r="L9" s="202"/>
      <c r="M9" s="202"/>
      <c r="N9" s="202"/>
      <c r="O9" s="202"/>
      <c r="P9" s="202"/>
      <c r="Q9" s="202"/>
      <c r="R9" s="202"/>
      <c r="S9" s="202"/>
      <c r="T9" s="202"/>
      <c r="U9" s="202"/>
      <c r="V9" s="202"/>
      <c r="W9" s="202"/>
      <c r="X9" s="202"/>
      <c r="Y9" s="202"/>
      <c r="Z9" s="202"/>
      <c r="AA9" s="202"/>
      <c r="AB9" s="202"/>
      <c r="AC9" s="202"/>
      <c r="AD9" s="202"/>
      <c r="AE9" s="202"/>
      <c r="AF9" s="202"/>
      <c r="AG9" s="202"/>
      <c r="AH9" s="202"/>
      <c r="AI9" s="202"/>
      <c r="AJ9" s="202"/>
      <c r="AK9" s="202"/>
      <c r="AL9" s="202"/>
      <c r="AM9" s="202"/>
      <c r="AN9" s="202">
        <v>1</v>
      </c>
      <c r="AO9" s="202"/>
      <c r="AP9" s="202"/>
      <c r="AQ9" s="202"/>
      <c r="AR9" s="202"/>
      <c r="AS9" s="202"/>
      <c r="AT9" s="202"/>
      <c r="AU9" s="202"/>
      <c r="AV9" s="202"/>
      <c r="AW9" s="202"/>
      <c r="AX9" s="202"/>
      <c r="AY9" s="202"/>
      <c r="AZ9" s="202"/>
      <c r="BA9" s="202"/>
      <c r="BB9" s="202"/>
      <c r="BC9" s="202"/>
      <c r="BD9" s="202"/>
      <c r="BE9" s="202"/>
      <c r="BF9" s="202"/>
      <c r="BG9" s="202"/>
      <c r="BH9" s="202"/>
      <c r="BI9" s="202"/>
      <c r="BJ9" s="202"/>
      <c r="BK9" s="202"/>
      <c r="BL9" s="202"/>
      <c r="BM9" s="202"/>
      <c r="BN9" s="202"/>
      <c r="BO9" s="202"/>
      <c r="BP9" s="202"/>
      <c r="BQ9" s="202"/>
      <c r="BR9" s="202"/>
      <c r="BS9" s="202"/>
      <c r="BT9" s="202"/>
      <c r="BU9" s="202"/>
      <c r="BV9" s="202"/>
      <c r="BW9" s="202"/>
      <c r="BX9" s="202"/>
      <c r="BY9" s="202"/>
      <c r="BZ9" s="202"/>
      <c r="CA9" s="202"/>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v>1</v>
      </c>
    </row>
    <row r="10" spans="1:110">
      <c r="A10" s="205" t="s">
        <v>2359</v>
      </c>
      <c r="B10" s="202"/>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v>4</v>
      </c>
      <c r="DF10" s="202">
        <v>4</v>
      </c>
    </row>
    <row r="11" spans="1:110">
      <c r="A11" s="205" t="s">
        <v>2090</v>
      </c>
      <c r="B11" s="202"/>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c r="BD11" s="202">
        <v>1</v>
      </c>
      <c r="BE11" s="202"/>
      <c r="BF11" s="202"/>
      <c r="BG11" s="202"/>
      <c r="BH11" s="202"/>
      <c r="BI11" s="202"/>
      <c r="BJ11" s="202"/>
      <c r="BK11" s="202"/>
      <c r="BL11" s="202"/>
      <c r="BM11" s="202"/>
      <c r="BN11" s="202"/>
      <c r="BO11" s="202"/>
      <c r="BP11" s="202"/>
      <c r="BQ11" s="202"/>
      <c r="BR11" s="202"/>
      <c r="BS11" s="202"/>
      <c r="BT11" s="202"/>
      <c r="BU11" s="202"/>
      <c r="BV11" s="202"/>
      <c r="BW11" s="202"/>
      <c r="BX11" s="202"/>
      <c r="BY11" s="202"/>
      <c r="BZ11" s="202"/>
      <c r="CA11" s="202"/>
      <c r="CB11" s="202"/>
      <c r="CC11" s="202"/>
      <c r="CD11" s="202"/>
      <c r="CE11" s="202"/>
      <c r="CF11" s="202"/>
      <c r="CG11" s="202"/>
      <c r="CH11" s="202"/>
      <c r="CI11" s="202"/>
      <c r="CJ11" s="202"/>
      <c r="CK11" s="202"/>
      <c r="CL11" s="202"/>
      <c r="CM11" s="202"/>
      <c r="CN11" s="202"/>
      <c r="CO11" s="202"/>
      <c r="CP11" s="202"/>
      <c r="CQ11" s="202"/>
      <c r="CR11" s="202"/>
      <c r="CS11" s="202"/>
      <c r="CT11" s="202"/>
      <c r="CU11" s="202"/>
      <c r="CV11" s="202"/>
      <c r="CW11" s="202"/>
      <c r="CX11" s="202"/>
      <c r="CY11" s="202"/>
      <c r="CZ11" s="202"/>
      <c r="DA11" s="202"/>
      <c r="DB11" s="202"/>
      <c r="DC11" s="202"/>
      <c r="DD11" s="202"/>
      <c r="DE11" s="202"/>
      <c r="DF11" s="202">
        <v>1</v>
      </c>
    </row>
    <row r="12" spans="1:110">
      <c r="A12" s="205" t="s">
        <v>2763</v>
      </c>
      <c r="B12" s="202"/>
      <c r="C12" s="202"/>
      <c r="D12" s="202"/>
      <c r="E12" s="202"/>
      <c r="F12" s="202"/>
      <c r="G12" s="202"/>
      <c r="H12" s="202"/>
      <c r="I12" s="202"/>
      <c r="J12" s="202"/>
      <c r="K12" s="202"/>
      <c r="L12" s="202"/>
      <c r="M12" s="202"/>
      <c r="N12" s="202"/>
      <c r="O12" s="202"/>
      <c r="P12" s="202"/>
      <c r="Q12" s="202"/>
      <c r="R12" s="202"/>
      <c r="S12" s="202"/>
      <c r="T12" s="202"/>
      <c r="U12" s="202"/>
      <c r="V12" s="202"/>
      <c r="W12" s="202"/>
      <c r="X12" s="202"/>
      <c r="Y12" s="202"/>
      <c r="Z12" s="202"/>
      <c r="AA12" s="202"/>
      <c r="AB12" s="202"/>
      <c r="AC12" s="202"/>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c r="BD12" s="202"/>
      <c r="BE12" s="202"/>
      <c r="BF12" s="202"/>
      <c r="BG12" s="202"/>
      <c r="BH12" s="202"/>
      <c r="BI12" s="202"/>
      <c r="BJ12" s="202"/>
      <c r="BK12" s="202"/>
      <c r="BL12" s="202"/>
      <c r="BM12" s="202"/>
      <c r="BN12" s="202"/>
      <c r="BO12" s="202"/>
      <c r="BP12" s="202"/>
      <c r="BQ12" s="202"/>
      <c r="BR12" s="202"/>
      <c r="BS12" s="202"/>
      <c r="BT12" s="202"/>
      <c r="BU12" s="202"/>
      <c r="BV12" s="202"/>
      <c r="BW12" s="202"/>
      <c r="BX12" s="202"/>
      <c r="BY12" s="202"/>
      <c r="BZ12" s="202"/>
      <c r="CA12" s="202"/>
      <c r="CB12" s="202"/>
      <c r="CC12" s="202"/>
      <c r="CD12" s="202"/>
      <c r="CE12" s="202"/>
      <c r="CF12" s="202"/>
      <c r="CG12" s="202"/>
      <c r="CH12" s="202"/>
      <c r="CI12" s="202"/>
      <c r="CJ12" s="202"/>
      <c r="CK12" s="202"/>
      <c r="CL12" s="202"/>
      <c r="CM12" s="202"/>
      <c r="CN12" s="202"/>
      <c r="CO12" s="202"/>
      <c r="CP12" s="202"/>
      <c r="CQ12" s="202"/>
      <c r="CR12" s="202"/>
      <c r="CS12" s="202"/>
      <c r="CT12" s="202"/>
      <c r="CU12" s="202"/>
      <c r="CV12" s="202"/>
      <c r="CW12" s="202"/>
      <c r="CX12" s="202"/>
      <c r="CY12" s="202"/>
      <c r="CZ12" s="202"/>
      <c r="DA12" s="202"/>
      <c r="DB12" s="202"/>
      <c r="DC12" s="202"/>
      <c r="DD12" s="202"/>
      <c r="DE12" s="202">
        <v>3</v>
      </c>
      <c r="DF12" s="202">
        <v>3</v>
      </c>
    </row>
    <row r="13" spans="1:110">
      <c r="A13" s="205" t="s">
        <v>3045</v>
      </c>
      <c r="B13" s="202"/>
      <c r="C13" s="202"/>
      <c r="D13" s="202"/>
      <c r="E13" s="202"/>
      <c r="F13" s="202"/>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v>4</v>
      </c>
      <c r="DF13" s="202">
        <v>4</v>
      </c>
    </row>
    <row r="14" spans="1:110">
      <c r="A14" s="205" t="s">
        <v>2160</v>
      </c>
      <c r="B14" s="202"/>
      <c r="C14" s="202"/>
      <c r="D14" s="202"/>
      <c r="E14" s="202"/>
      <c r="F14" s="202"/>
      <c r="G14" s="202"/>
      <c r="H14" s="202"/>
      <c r="I14" s="202"/>
      <c r="J14" s="202"/>
      <c r="K14" s="202"/>
      <c r="L14" s="202"/>
      <c r="M14" s="202"/>
      <c r="N14" s="202"/>
      <c r="O14" s="202"/>
      <c r="P14" s="202"/>
      <c r="Q14" s="202"/>
      <c r="R14" s="202"/>
      <c r="S14" s="202"/>
      <c r="T14" s="202"/>
      <c r="U14" s="202"/>
      <c r="V14" s="202"/>
      <c r="W14" s="202"/>
      <c r="X14" s="202"/>
      <c r="Y14" s="202"/>
      <c r="Z14" s="202"/>
      <c r="AA14" s="202"/>
      <c r="AB14" s="202"/>
      <c r="AC14" s="202"/>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c r="BD14" s="202"/>
      <c r="BE14" s="202"/>
      <c r="BF14" s="202"/>
      <c r="BG14" s="202"/>
      <c r="BH14" s="202"/>
      <c r="BI14" s="202"/>
      <c r="BJ14" s="202"/>
      <c r="BK14" s="202"/>
      <c r="BL14" s="202"/>
      <c r="BM14" s="202"/>
      <c r="BN14" s="202"/>
      <c r="BO14" s="202">
        <v>4</v>
      </c>
      <c r="BP14" s="202"/>
      <c r="BQ14" s="202"/>
      <c r="BR14" s="202"/>
      <c r="BS14" s="202"/>
      <c r="BT14" s="202"/>
      <c r="BU14" s="202"/>
      <c r="BV14" s="202"/>
      <c r="BW14" s="202"/>
      <c r="BX14" s="202"/>
      <c r="BY14" s="202"/>
      <c r="BZ14" s="202"/>
      <c r="CA14" s="202"/>
      <c r="CB14" s="202"/>
      <c r="CC14" s="202"/>
      <c r="CD14" s="202"/>
      <c r="CE14" s="202"/>
      <c r="CF14" s="202"/>
      <c r="CG14" s="202"/>
      <c r="CH14" s="202"/>
      <c r="CI14" s="202"/>
      <c r="CJ14" s="202"/>
      <c r="CK14" s="202"/>
      <c r="CL14" s="202"/>
      <c r="CM14" s="202"/>
      <c r="CN14" s="202"/>
      <c r="CO14" s="202"/>
      <c r="CP14" s="202"/>
      <c r="CQ14" s="202"/>
      <c r="CR14" s="202"/>
      <c r="CS14" s="202"/>
      <c r="CT14" s="202"/>
      <c r="CU14" s="202"/>
      <c r="CV14" s="202"/>
      <c r="CW14" s="202"/>
      <c r="CX14" s="202"/>
      <c r="CY14" s="202"/>
      <c r="CZ14" s="202"/>
      <c r="DA14" s="202"/>
      <c r="DB14" s="202"/>
      <c r="DC14" s="202"/>
      <c r="DD14" s="202"/>
      <c r="DE14" s="202"/>
      <c r="DF14" s="202">
        <v>4</v>
      </c>
    </row>
    <row r="15" spans="1:110">
      <c r="A15" s="205" t="s">
        <v>3392</v>
      </c>
      <c r="B15" s="202"/>
      <c r="C15" s="202"/>
      <c r="D15" s="202"/>
      <c r="E15" s="202"/>
      <c r="F15" s="202"/>
      <c r="G15" s="202"/>
      <c r="H15" s="202"/>
      <c r="I15" s="202"/>
      <c r="J15" s="202"/>
      <c r="K15" s="202"/>
      <c r="L15" s="202"/>
      <c r="M15" s="202"/>
      <c r="N15" s="202"/>
      <c r="O15" s="202"/>
      <c r="P15" s="202"/>
      <c r="Q15" s="202"/>
      <c r="R15" s="202"/>
      <c r="S15" s="202"/>
      <c r="T15" s="202"/>
      <c r="U15" s="202"/>
      <c r="V15" s="202"/>
      <c r="W15" s="202"/>
      <c r="X15" s="202"/>
      <c r="Y15" s="202"/>
      <c r="Z15" s="202"/>
      <c r="AA15" s="202"/>
      <c r="AB15" s="202"/>
      <c r="AC15" s="202"/>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c r="CY15" s="202"/>
      <c r="CZ15" s="202"/>
      <c r="DA15" s="202"/>
      <c r="DB15" s="202">
        <v>4</v>
      </c>
      <c r="DC15" s="202"/>
      <c r="DD15" s="202"/>
      <c r="DE15" s="202"/>
      <c r="DF15" s="202">
        <v>4</v>
      </c>
    </row>
    <row r="16" spans="1:110">
      <c r="A16" s="205" t="s">
        <v>2164</v>
      </c>
      <c r="B16" s="202"/>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2"/>
      <c r="AG16" s="202"/>
      <c r="AH16" s="202"/>
      <c r="AI16" s="202"/>
      <c r="AJ16" s="202"/>
      <c r="AK16" s="202"/>
      <c r="AL16" s="202"/>
      <c r="AM16" s="202">
        <v>2</v>
      </c>
      <c r="AN16" s="202"/>
      <c r="AO16" s="202"/>
      <c r="AP16" s="202"/>
      <c r="AQ16" s="202"/>
      <c r="AR16" s="202"/>
      <c r="AS16" s="202"/>
      <c r="AT16" s="202"/>
      <c r="AU16" s="202"/>
      <c r="AV16" s="202"/>
      <c r="AW16" s="202"/>
      <c r="AX16" s="202"/>
      <c r="AY16" s="202"/>
      <c r="AZ16" s="202"/>
      <c r="BA16" s="202"/>
      <c r="BB16" s="202"/>
      <c r="BC16" s="202"/>
      <c r="BD16" s="202"/>
      <c r="BE16" s="202"/>
      <c r="BF16" s="202"/>
      <c r="BG16" s="202"/>
      <c r="BH16" s="202"/>
      <c r="BI16" s="202"/>
      <c r="BJ16" s="202"/>
      <c r="BK16" s="202"/>
      <c r="BL16" s="202"/>
      <c r="BM16" s="202"/>
      <c r="BN16" s="202"/>
      <c r="BO16" s="202"/>
      <c r="BP16" s="202"/>
      <c r="BQ16" s="202"/>
      <c r="BR16" s="202"/>
      <c r="BS16" s="202"/>
      <c r="BT16" s="202"/>
      <c r="BU16" s="202"/>
      <c r="BV16" s="202"/>
      <c r="BW16" s="202"/>
      <c r="BX16" s="202"/>
      <c r="BY16" s="202"/>
      <c r="BZ16" s="202"/>
      <c r="CA16" s="202"/>
      <c r="CB16" s="202"/>
      <c r="CC16" s="202"/>
      <c r="CD16" s="202"/>
      <c r="CE16" s="202"/>
      <c r="CF16" s="202"/>
      <c r="CG16" s="202"/>
      <c r="CH16" s="202"/>
      <c r="CI16" s="202"/>
      <c r="CJ16" s="202"/>
      <c r="CK16" s="202"/>
      <c r="CL16" s="202"/>
      <c r="CM16" s="202"/>
      <c r="CN16" s="202"/>
      <c r="CO16" s="202"/>
      <c r="CP16" s="202"/>
      <c r="CQ16" s="202"/>
      <c r="CR16" s="202"/>
      <c r="CS16" s="202"/>
      <c r="CT16" s="202"/>
      <c r="CU16" s="202"/>
      <c r="CV16" s="202"/>
      <c r="CW16" s="202"/>
      <c r="CX16" s="202"/>
      <c r="CY16" s="202"/>
      <c r="CZ16" s="202"/>
      <c r="DA16" s="202"/>
      <c r="DB16" s="202"/>
      <c r="DC16" s="202"/>
      <c r="DD16" s="202"/>
      <c r="DE16" s="202"/>
      <c r="DF16" s="202">
        <v>2</v>
      </c>
    </row>
    <row r="17" spans="1:110">
      <c r="A17" s="205" t="s">
        <v>3393</v>
      </c>
      <c r="B17" s="202"/>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2"/>
      <c r="AA17" s="202"/>
      <c r="AB17" s="202"/>
      <c r="AC17" s="202"/>
      <c r="AD17" s="202"/>
      <c r="AE17" s="202"/>
      <c r="AF17" s="202"/>
      <c r="AG17" s="202"/>
      <c r="AH17" s="202"/>
      <c r="AI17" s="202"/>
      <c r="AJ17" s="202"/>
      <c r="AK17" s="202"/>
      <c r="AL17" s="202"/>
      <c r="AM17" s="202"/>
      <c r="AN17" s="202"/>
      <c r="AO17" s="202"/>
      <c r="AP17" s="202"/>
      <c r="AQ17" s="202"/>
      <c r="AR17" s="202"/>
      <c r="AS17" s="202"/>
      <c r="AT17" s="202"/>
      <c r="AU17" s="202"/>
      <c r="AV17" s="202"/>
      <c r="AW17" s="202"/>
      <c r="AX17" s="202"/>
      <c r="AY17" s="202"/>
      <c r="AZ17" s="202"/>
      <c r="BA17" s="202"/>
      <c r="BB17" s="202"/>
      <c r="BC17" s="202"/>
      <c r="BD17" s="202"/>
      <c r="BE17" s="202"/>
      <c r="BF17" s="202"/>
      <c r="BG17" s="202"/>
      <c r="BH17" s="202"/>
      <c r="BI17" s="202"/>
      <c r="BJ17" s="202"/>
      <c r="BK17" s="202"/>
      <c r="BL17" s="202"/>
      <c r="BM17" s="202"/>
      <c r="BN17" s="202"/>
      <c r="BO17" s="202"/>
      <c r="BP17" s="202"/>
      <c r="BQ17" s="202"/>
      <c r="BR17" s="202"/>
      <c r="BS17" s="202"/>
      <c r="BT17" s="202"/>
      <c r="BU17" s="202"/>
      <c r="BV17" s="202"/>
      <c r="BW17" s="202"/>
      <c r="BX17" s="202"/>
      <c r="BY17" s="202"/>
      <c r="BZ17" s="202"/>
      <c r="CA17" s="202"/>
      <c r="CB17" s="202"/>
      <c r="CC17" s="202"/>
      <c r="CD17" s="202"/>
      <c r="CE17" s="202"/>
      <c r="CF17" s="202"/>
      <c r="CG17" s="202"/>
      <c r="CH17" s="202"/>
      <c r="CI17" s="202"/>
      <c r="CJ17" s="202"/>
      <c r="CK17" s="202"/>
      <c r="CL17" s="202"/>
      <c r="CM17" s="202"/>
      <c r="CN17" s="202"/>
      <c r="CO17" s="202"/>
      <c r="CP17" s="202"/>
      <c r="CQ17" s="202"/>
      <c r="CR17" s="202"/>
      <c r="CS17" s="202"/>
      <c r="CT17" s="202"/>
      <c r="CU17" s="202"/>
      <c r="CV17" s="202"/>
      <c r="CW17" s="202"/>
      <c r="CX17" s="202"/>
      <c r="CY17" s="202"/>
      <c r="CZ17" s="202"/>
      <c r="DA17" s="202"/>
      <c r="DB17" s="202"/>
      <c r="DC17" s="202"/>
      <c r="DD17" s="202"/>
      <c r="DE17" s="202">
        <v>1</v>
      </c>
      <c r="DF17" s="202">
        <v>1</v>
      </c>
    </row>
    <row r="18" spans="1:110">
      <c r="A18" s="205" t="s">
        <v>3394</v>
      </c>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2"/>
      <c r="AJ18" s="202"/>
      <c r="AK18" s="202"/>
      <c r="AL18" s="202"/>
      <c r="AM18" s="202"/>
      <c r="AN18" s="202"/>
      <c r="AO18" s="202"/>
      <c r="AP18" s="202"/>
      <c r="AQ18" s="202"/>
      <c r="AR18" s="202"/>
      <c r="AS18" s="202"/>
      <c r="AT18" s="202"/>
      <c r="AU18" s="202"/>
      <c r="AV18" s="202"/>
      <c r="AW18" s="202"/>
      <c r="AX18" s="202"/>
      <c r="AY18" s="202"/>
      <c r="AZ18" s="202"/>
      <c r="BA18" s="202"/>
      <c r="BB18" s="202"/>
      <c r="BC18" s="202"/>
      <c r="BD18" s="202"/>
      <c r="BE18" s="202"/>
      <c r="BF18" s="202"/>
      <c r="BG18" s="202"/>
      <c r="BH18" s="202"/>
      <c r="BI18" s="202"/>
      <c r="BJ18" s="202"/>
      <c r="BK18" s="202"/>
      <c r="BL18" s="202"/>
      <c r="BM18" s="202"/>
      <c r="BN18" s="202"/>
      <c r="BO18" s="202"/>
      <c r="BP18" s="202"/>
      <c r="BQ18" s="202"/>
      <c r="BR18" s="202"/>
      <c r="BS18" s="202"/>
      <c r="BT18" s="202"/>
      <c r="BU18" s="202"/>
      <c r="BV18" s="202"/>
      <c r="BW18" s="202"/>
      <c r="BX18" s="202"/>
      <c r="BY18" s="202"/>
      <c r="BZ18" s="202"/>
      <c r="CA18" s="202"/>
      <c r="CB18" s="202"/>
      <c r="CC18" s="202"/>
      <c r="CD18" s="202"/>
      <c r="CE18" s="202"/>
      <c r="CF18" s="202"/>
      <c r="CG18" s="202"/>
      <c r="CH18" s="202"/>
      <c r="CI18" s="202"/>
      <c r="CJ18" s="202"/>
      <c r="CK18" s="202"/>
      <c r="CL18" s="202"/>
      <c r="CM18" s="202"/>
      <c r="CN18" s="202"/>
      <c r="CO18" s="202"/>
      <c r="CP18" s="202"/>
      <c r="CQ18" s="202"/>
      <c r="CR18" s="202"/>
      <c r="CS18" s="202"/>
      <c r="CT18" s="202"/>
      <c r="CU18" s="202"/>
      <c r="CV18" s="202"/>
      <c r="CW18" s="202"/>
      <c r="CX18" s="202"/>
      <c r="CY18" s="202"/>
      <c r="CZ18" s="202"/>
      <c r="DA18" s="202"/>
      <c r="DB18" s="202"/>
      <c r="DC18" s="202"/>
      <c r="DD18" s="202"/>
      <c r="DE18" s="202">
        <v>2</v>
      </c>
      <c r="DF18" s="202">
        <v>2</v>
      </c>
    </row>
    <row r="19" spans="1:110">
      <c r="A19" s="205" t="s">
        <v>3395</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202"/>
      <c r="Z19" s="202"/>
      <c r="AA19" s="202"/>
      <c r="AB19" s="202"/>
      <c r="AC19" s="202"/>
      <c r="AD19" s="202"/>
      <c r="AE19" s="202"/>
      <c r="AF19" s="202"/>
      <c r="AG19" s="202"/>
      <c r="AH19" s="202"/>
      <c r="AI19" s="202"/>
      <c r="AJ19" s="202"/>
      <c r="AK19" s="202"/>
      <c r="AL19" s="202"/>
      <c r="AM19" s="202"/>
      <c r="AN19" s="202"/>
      <c r="AO19" s="202"/>
      <c r="AP19" s="202"/>
      <c r="AQ19" s="202"/>
      <c r="AR19" s="202"/>
      <c r="AS19" s="202"/>
      <c r="AT19" s="202"/>
      <c r="AU19" s="202"/>
      <c r="AV19" s="202"/>
      <c r="AW19" s="202"/>
      <c r="AX19" s="202"/>
      <c r="AY19" s="202"/>
      <c r="AZ19" s="202"/>
      <c r="BA19" s="202"/>
      <c r="BB19" s="202"/>
      <c r="BC19" s="202"/>
      <c r="BD19" s="202"/>
      <c r="BE19" s="202"/>
      <c r="BF19" s="202"/>
      <c r="BG19" s="202"/>
      <c r="BH19" s="202"/>
      <c r="BI19" s="202"/>
      <c r="BJ19" s="202"/>
      <c r="BK19" s="202"/>
      <c r="BL19" s="202"/>
      <c r="BM19" s="202"/>
      <c r="BN19" s="202"/>
      <c r="BO19" s="202"/>
      <c r="BP19" s="202"/>
      <c r="BQ19" s="202"/>
      <c r="BR19" s="202"/>
      <c r="BS19" s="202"/>
      <c r="BT19" s="202"/>
      <c r="BU19" s="202"/>
      <c r="BV19" s="202"/>
      <c r="BW19" s="202"/>
      <c r="BX19" s="202"/>
      <c r="BY19" s="202"/>
      <c r="BZ19" s="202"/>
      <c r="CA19" s="202"/>
      <c r="CB19" s="202"/>
      <c r="CC19" s="202"/>
      <c r="CD19" s="202"/>
      <c r="CE19" s="202"/>
      <c r="CF19" s="202"/>
      <c r="CG19" s="202"/>
      <c r="CH19" s="202"/>
      <c r="CI19" s="202"/>
      <c r="CJ19" s="202"/>
      <c r="CK19" s="202"/>
      <c r="CL19" s="202"/>
      <c r="CM19" s="202"/>
      <c r="CN19" s="202"/>
      <c r="CO19" s="202"/>
      <c r="CP19" s="202"/>
      <c r="CQ19" s="202"/>
      <c r="CR19" s="202"/>
      <c r="CS19" s="202"/>
      <c r="CT19" s="202"/>
      <c r="CU19" s="202"/>
      <c r="CV19" s="202"/>
      <c r="CW19" s="202"/>
      <c r="CX19" s="202"/>
      <c r="CY19" s="202"/>
      <c r="CZ19" s="202"/>
      <c r="DA19" s="202"/>
      <c r="DB19" s="202"/>
      <c r="DC19" s="202"/>
      <c r="DD19" s="202"/>
      <c r="DE19" s="202">
        <v>1</v>
      </c>
      <c r="DF19" s="202">
        <v>1</v>
      </c>
    </row>
    <row r="20" spans="1:110">
      <c r="A20" s="205" t="s">
        <v>3396</v>
      </c>
      <c r="B20" s="202"/>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2"/>
      <c r="AA20" s="202"/>
      <c r="AB20" s="202"/>
      <c r="AC20" s="202"/>
      <c r="AD20" s="202"/>
      <c r="AE20" s="202"/>
      <c r="AF20" s="202"/>
      <c r="AG20" s="202"/>
      <c r="AH20" s="202"/>
      <c r="AI20" s="202"/>
      <c r="AJ20" s="202"/>
      <c r="AK20" s="202"/>
      <c r="AL20" s="202"/>
      <c r="AM20" s="202"/>
      <c r="AN20" s="202"/>
      <c r="AO20" s="202"/>
      <c r="AP20" s="202"/>
      <c r="AQ20" s="202"/>
      <c r="AR20" s="202"/>
      <c r="AS20" s="202"/>
      <c r="AT20" s="202"/>
      <c r="AU20" s="202"/>
      <c r="AV20" s="202"/>
      <c r="AW20" s="202"/>
      <c r="AX20" s="202"/>
      <c r="AY20" s="202"/>
      <c r="AZ20" s="202"/>
      <c r="BA20" s="202"/>
      <c r="BB20" s="202"/>
      <c r="BC20" s="202"/>
      <c r="BD20" s="202"/>
      <c r="BE20" s="202"/>
      <c r="BF20" s="202"/>
      <c r="BG20" s="202"/>
      <c r="BH20" s="202"/>
      <c r="BI20" s="202"/>
      <c r="BJ20" s="202"/>
      <c r="BK20" s="202"/>
      <c r="BL20" s="202"/>
      <c r="BM20" s="202"/>
      <c r="BN20" s="202"/>
      <c r="BO20" s="202"/>
      <c r="BP20" s="202"/>
      <c r="BQ20" s="202"/>
      <c r="BR20" s="202"/>
      <c r="BS20" s="202"/>
      <c r="BT20" s="202"/>
      <c r="BU20" s="202"/>
      <c r="BV20" s="202"/>
      <c r="BW20" s="202"/>
      <c r="BX20" s="202"/>
      <c r="BY20" s="202"/>
      <c r="BZ20" s="202"/>
      <c r="CA20" s="202"/>
      <c r="CB20" s="202"/>
      <c r="CC20" s="202"/>
      <c r="CD20" s="202"/>
      <c r="CE20" s="202"/>
      <c r="CF20" s="202"/>
      <c r="CG20" s="202"/>
      <c r="CH20" s="202"/>
      <c r="CI20" s="202"/>
      <c r="CJ20" s="202"/>
      <c r="CK20" s="202"/>
      <c r="CL20" s="202"/>
      <c r="CM20" s="202"/>
      <c r="CN20" s="202"/>
      <c r="CO20" s="202"/>
      <c r="CP20" s="202"/>
      <c r="CQ20" s="202"/>
      <c r="CR20" s="202"/>
      <c r="CS20" s="202"/>
      <c r="CT20" s="202"/>
      <c r="CU20" s="202"/>
      <c r="CV20" s="202"/>
      <c r="CW20" s="202"/>
      <c r="CX20" s="202"/>
      <c r="CY20" s="202"/>
      <c r="CZ20" s="202"/>
      <c r="DA20" s="202"/>
      <c r="DB20" s="202"/>
      <c r="DC20" s="202"/>
      <c r="DD20" s="202"/>
      <c r="DE20" s="202">
        <v>1</v>
      </c>
      <c r="DF20" s="202">
        <v>1</v>
      </c>
    </row>
    <row r="21" spans="1:110">
      <c r="A21" s="205" t="s">
        <v>2148</v>
      </c>
      <c r="B21" s="202"/>
      <c r="C21" s="202"/>
      <c r="D21" s="202"/>
      <c r="E21" s="202"/>
      <c r="F21" s="202"/>
      <c r="G21" s="202"/>
      <c r="H21" s="202"/>
      <c r="I21" s="202"/>
      <c r="J21" s="202"/>
      <c r="K21" s="202"/>
      <c r="L21" s="202"/>
      <c r="M21" s="202"/>
      <c r="N21" s="202"/>
      <c r="O21" s="202"/>
      <c r="P21" s="202"/>
      <c r="Q21" s="202"/>
      <c r="R21" s="202"/>
      <c r="S21" s="202"/>
      <c r="T21" s="202"/>
      <c r="U21" s="202"/>
      <c r="V21" s="202"/>
      <c r="W21" s="202"/>
      <c r="X21" s="202"/>
      <c r="Y21" s="202"/>
      <c r="Z21" s="202"/>
      <c r="AA21" s="202">
        <v>4</v>
      </c>
      <c r="AB21" s="202"/>
      <c r="AC21" s="202"/>
      <c r="AD21" s="202"/>
      <c r="AE21" s="202"/>
      <c r="AF21" s="202"/>
      <c r="AG21" s="202"/>
      <c r="AH21" s="202"/>
      <c r="AI21" s="202"/>
      <c r="AJ21" s="202"/>
      <c r="AK21" s="202"/>
      <c r="AL21" s="202"/>
      <c r="AM21" s="202"/>
      <c r="AN21" s="202"/>
      <c r="AO21" s="202"/>
      <c r="AP21" s="202"/>
      <c r="AQ21" s="202"/>
      <c r="AR21" s="202"/>
      <c r="AS21" s="202"/>
      <c r="AT21" s="202"/>
      <c r="AU21" s="202"/>
      <c r="AV21" s="202"/>
      <c r="AW21" s="202"/>
      <c r="AX21" s="202"/>
      <c r="AY21" s="202"/>
      <c r="AZ21" s="202"/>
      <c r="BA21" s="202"/>
      <c r="BB21" s="202"/>
      <c r="BC21" s="202"/>
      <c r="BD21" s="202"/>
      <c r="BE21" s="202"/>
      <c r="BF21" s="202"/>
      <c r="BG21" s="202"/>
      <c r="BH21" s="202"/>
      <c r="BI21" s="202"/>
      <c r="BJ21" s="202"/>
      <c r="BK21" s="202"/>
      <c r="BL21" s="202"/>
      <c r="BM21" s="202"/>
      <c r="BN21" s="202"/>
      <c r="BO21" s="202"/>
      <c r="BP21" s="202"/>
      <c r="BQ21" s="202"/>
      <c r="BR21" s="202"/>
      <c r="BS21" s="202"/>
      <c r="BT21" s="202"/>
      <c r="BU21" s="202"/>
      <c r="BV21" s="202"/>
      <c r="BW21" s="202"/>
      <c r="BX21" s="202"/>
      <c r="BY21" s="202"/>
      <c r="BZ21" s="202"/>
      <c r="CA21" s="202"/>
      <c r="CB21" s="202"/>
      <c r="CC21" s="202"/>
      <c r="CD21" s="202"/>
      <c r="CE21" s="202"/>
      <c r="CF21" s="202"/>
      <c r="CG21" s="202"/>
      <c r="CH21" s="202"/>
      <c r="CI21" s="202"/>
      <c r="CJ21" s="202"/>
      <c r="CK21" s="202"/>
      <c r="CL21" s="202"/>
      <c r="CM21" s="202"/>
      <c r="CN21" s="202"/>
      <c r="CO21" s="202"/>
      <c r="CP21" s="202"/>
      <c r="CQ21" s="202"/>
      <c r="CR21" s="202"/>
      <c r="CS21" s="202"/>
      <c r="CT21" s="202"/>
      <c r="CU21" s="202"/>
      <c r="CV21" s="202"/>
      <c r="CW21" s="202"/>
      <c r="CX21" s="202"/>
      <c r="CY21" s="202"/>
      <c r="CZ21" s="202"/>
      <c r="DA21" s="202"/>
      <c r="DB21" s="202"/>
      <c r="DC21" s="202"/>
      <c r="DD21" s="202"/>
      <c r="DE21" s="202"/>
      <c r="DF21" s="202">
        <v>4</v>
      </c>
    </row>
    <row r="22" spans="1:110">
      <c r="A22" s="205" t="s">
        <v>2579</v>
      </c>
      <c r="B22" s="202"/>
      <c r="C22" s="202"/>
      <c r="D22" s="202"/>
      <c r="E22" s="202"/>
      <c r="F22" s="202"/>
      <c r="G22" s="202"/>
      <c r="H22" s="202"/>
      <c r="I22" s="202"/>
      <c r="J22" s="202"/>
      <c r="K22" s="202"/>
      <c r="L22" s="202"/>
      <c r="M22" s="202"/>
      <c r="N22" s="202"/>
      <c r="O22" s="202"/>
      <c r="P22" s="202"/>
      <c r="Q22" s="202"/>
      <c r="R22" s="202"/>
      <c r="S22" s="202"/>
      <c r="T22" s="202"/>
      <c r="U22" s="202"/>
      <c r="V22" s="202"/>
      <c r="W22" s="202"/>
      <c r="X22" s="202"/>
      <c r="Y22" s="202"/>
      <c r="Z22" s="202"/>
      <c r="AA22" s="202"/>
      <c r="AB22" s="202"/>
      <c r="AC22" s="202"/>
      <c r="AD22" s="202"/>
      <c r="AE22" s="202"/>
      <c r="AF22" s="202"/>
      <c r="AG22" s="202"/>
      <c r="AH22" s="202"/>
      <c r="AI22" s="202"/>
      <c r="AJ22" s="202"/>
      <c r="AK22" s="202"/>
      <c r="AL22" s="202"/>
      <c r="AM22" s="202"/>
      <c r="AN22" s="202"/>
      <c r="AO22" s="202"/>
      <c r="AP22" s="202"/>
      <c r="AQ22" s="202"/>
      <c r="AR22" s="202"/>
      <c r="AS22" s="202"/>
      <c r="AT22" s="202"/>
      <c r="AU22" s="202"/>
      <c r="AV22" s="202"/>
      <c r="AW22" s="202"/>
      <c r="AX22" s="202"/>
      <c r="AY22" s="202"/>
      <c r="AZ22" s="202"/>
      <c r="BA22" s="202"/>
      <c r="BB22" s="202"/>
      <c r="BC22" s="202"/>
      <c r="BD22" s="202"/>
      <c r="BE22" s="202"/>
      <c r="BF22" s="202"/>
      <c r="BG22" s="202"/>
      <c r="BH22" s="202"/>
      <c r="BI22" s="202"/>
      <c r="BJ22" s="202"/>
      <c r="BK22" s="202"/>
      <c r="BL22" s="202"/>
      <c r="BM22" s="202"/>
      <c r="BN22" s="202"/>
      <c r="BO22" s="202"/>
      <c r="BP22" s="202"/>
      <c r="BQ22" s="202"/>
      <c r="BR22" s="202"/>
      <c r="BS22" s="202"/>
      <c r="BT22" s="202"/>
      <c r="BU22" s="202"/>
      <c r="BV22" s="202"/>
      <c r="BW22" s="202"/>
      <c r="BX22" s="202"/>
      <c r="BY22" s="202"/>
      <c r="BZ22" s="202"/>
      <c r="CA22" s="202"/>
      <c r="CB22" s="202"/>
      <c r="CC22" s="202"/>
      <c r="CD22" s="202"/>
      <c r="CE22" s="202"/>
      <c r="CF22" s="202"/>
      <c r="CG22" s="202"/>
      <c r="CH22" s="202"/>
      <c r="CI22" s="202"/>
      <c r="CJ22" s="202"/>
      <c r="CK22" s="202"/>
      <c r="CL22" s="202"/>
      <c r="CM22" s="202"/>
      <c r="CN22" s="202"/>
      <c r="CO22" s="202"/>
      <c r="CP22" s="202"/>
      <c r="CQ22" s="202"/>
      <c r="CR22" s="202"/>
      <c r="CS22" s="202"/>
      <c r="CT22" s="202"/>
      <c r="CU22" s="202"/>
      <c r="CV22" s="202"/>
      <c r="CW22" s="202"/>
      <c r="CX22" s="202"/>
      <c r="CY22" s="202"/>
      <c r="CZ22" s="202"/>
      <c r="DA22" s="202"/>
      <c r="DB22" s="202"/>
      <c r="DC22" s="202"/>
      <c r="DD22" s="202"/>
      <c r="DE22" s="202">
        <v>5</v>
      </c>
      <c r="DF22" s="202">
        <v>5</v>
      </c>
    </row>
    <row r="23" spans="1:110">
      <c r="A23" s="205" t="s">
        <v>2154</v>
      </c>
      <c r="B23" s="202"/>
      <c r="C23" s="202">
        <v>5</v>
      </c>
      <c r="D23" s="202"/>
      <c r="E23" s="202"/>
      <c r="F23" s="202"/>
      <c r="G23" s="202"/>
      <c r="H23" s="202"/>
      <c r="I23" s="202"/>
      <c r="J23" s="202"/>
      <c r="K23" s="202"/>
      <c r="L23" s="202"/>
      <c r="M23" s="202"/>
      <c r="N23" s="202"/>
      <c r="O23" s="202"/>
      <c r="P23" s="202"/>
      <c r="Q23" s="202"/>
      <c r="R23" s="202"/>
      <c r="S23" s="202"/>
      <c r="T23" s="202"/>
      <c r="U23" s="202"/>
      <c r="V23" s="202"/>
      <c r="W23" s="202"/>
      <c r="X23" s="202"/>
      <c r="Y23" s="202"/>
      <c r="Z23" s="202"/>
      <c r="AA23" s="202"/>
      <c r="AB23" s="202"/>
      <c r="AC23" s="202"/>
      <c r="AD23" s="202"/>
      <c r="AE23" s="202"/>
      <c r="AF23" s="202"/>
      <c r="AG23" s="202"/>
      <c r="AH23" s="202"/>
      <c r="AI23" s="202"/>
      <c r="AJ23" s="202"/>
      <c r="AK23" s="202"/>
      <c r="AL23" s="202"/>
      <c r="AM23" s="202"/>
      <c r="AN23" s="202"/>
      <c r="AO23" s="202"/>
      <c r="AP23" s="202"/>
      <c r="AQ23" s="202"/>
      <c r="AR23" s="202"/>
      <c r="AS23" s="202"/>
      <c r="AT23" s="202"/>
      <c r="AU23" s="202"/>
      <c r="AV23" s="202"/>
      <c r="AW23" s="202"/>
      <c r="AX23" s="202"/>
      <c r="AY23" s="202"/>
      <c r="AZ23" s="202"/>
      <c r="BA23" s="202"/>
      <c r="BB23" s="202"/>
      <c r="BC23" s="202"/>
      <c r="BD23" s="202"/>
      <c r="BE23" s="202"/>
      <c r="BF23" s="202"/>
      <c r="BG23" s="202"/>
      <c r="BH23" s="202"/>
      <c r="BI23" s="202"/>
      <c r="BJ23" s="202"/>
      <c r="BK23" s="202"/>
      <c r="BL23" s="202"/>
      <c r="BM23" s="202"/>
      <c r="BN23" s="202"/>
      <c r="BO23" s="202"/>
      <c r="BP23" s="202"/>
      <c r="BQ23" s="202"/>
      <c r="BR23" s="202"/>
      <c r="BS23" s="202"/>
      <c r="BT23" s="202"/>
      <c r="BU23" s="202"/>
      <c r="BV23" s="202"/>
      <c r="BW23" s="202"/>
      <c r="BX23" s="202"/>
      <c r="BY23" s="202"/>
      <c r="BZ23" s="202"/>
      <c r="CA23" s="202"/>
      <c r="CB23" s="202"/>
      <c r="CC23" s="202"/>
      <c r="CD23" s="202"/>
      <c r="CE23" s="202"/>
      <c r="CF23" s="202"/>
      <c r="CG23" s="202"/>
      <c r="CH23" s="202"/>
      <c r="CI23" s="202"/>
      <c r="CJ23" s="202"/>
      <c r="CK23" s="202"/>
      <c r="CL23" s="202"/>
      <c r="CM23" s="202"/>
      <c r="CN23" s="202"/>
      <c r="CO23" s="202"/>
      <c r="CP23" s="202"/>
      <c r="CQ23" s="202"/>
      <c r="CR23" s="202"/>
      <c r="CS23" s="202"/>
      <c r="CT23" s="202"/>
      <c r="CU23" s="202"/>
      <c r="CV23" s="202"/>
      <c r="CW23" s="202"/>
      <c r="CX23" s="202"/>
      <c r="CY23" s="202"/>
      <c r="CZ23" s="202"/>
      <c r="DA23" s="202"/>
      <c r="DB23" s="202"/>
      <c r="DC23" s="202"/>
      <c r="DD23" s="202"/>
      <c r="DE23" s="202"/>
      <c r="DF23" s="202">
        <v>5</v>
      </c>
    </row>
    <row r="24" spans="1:110">
      <c r="A24" s="205" t="s">
        <v>2151</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202"/>
      <c r="Z24" s="202"/>
      <c r="AA24" s="202"/>
      <c r="AB24" s="202"/>
      <c r="AC24" s="202"/>
      <c r="AD24" s="202"/>
      <c r="AE24" s="202"/>
      <c r="AF24" s="202"/>
      <c r="AG24" s="202"/>
      <c r="AH24" s="202"/>
      <c r="AI24" s="202"/>
      <c r="AJ24" s="202"/>
      <c r="AK24" s="202"/>
      <c r="AL24" s="202"/>
      <c r="AM24" s="202"/>
      <c r="AN24" s="202"/>
      <c r="AO24" s="202"/>
      <c r="AP24" s="202"/>
      <c r="AQ24" s="202"/>
      <c r="AR24" s="202"/>
      <c r="AS24" s="202"/>
      <c r="AT24" s="202">
        <v>1</v>
      </c>
      <c r="AU24" s="202"/>
      <c r="AV24" s="202"/>
      <c r="AW24" s="202"/>
      <c r="AX24" s="202"/>
      <c r="AY24" s="202"/>
      <c r="AZ24" s="202"/>
      <c r="BA24" s="202"/>
      <c r="BB24" s="202"/>
      <c r="BC24" s="202"/>
      <c r="BD24" s="202"/>
      <c r="BE24" s="202"/>
      <c r="BF24" s="202"/>
      <c r="BG24" s="202"/>
      <c r="BH24" s="202"/>
      <c r="BI24" s="202"/>
      <c r="BJ24" s="202"/>
      <c r="BK24" s="202"/>
      <c r="BL24" s="202"/>
      <c r="BM24" s="202"/>
      <c r="BN24" s="202"/>
      <c r="BO24" s="202"/>
      <c r="BP24" s="202"/>
      <c r="BQ24" s="202"/>
      <c r="BR24" s="202"/>
      <c r="BS24" s="202"/>
      <c r="BT24" s="202"/>
      <c r="BU24" s="202"/>
      <c r="BV24" s="202"/>
      <c r="BW24" s="202"/>
      <c r="BX24" s="202"/>
      <c r="BY24" s="202"/>
      <c r="BZ24" s="202"/>
      <c r="CA24" s="202"/>
      <c r="CB24" s="202"/>
      <c r="CC24" s="202"/>
      <c r="CD24" s="202"/>
      <c r="CE24" s="202"/>
      <c r="CF24" s="202"/>
      <c r="CG24" s="202"/>
      <c r="CH24" s="202"/>
      <c r="CI24" s="202"/>
      <c r="CJ24" s="202"/>
      <c r="CK24" s="202"/>
      <c r="CL24" s="202"/>
      <c r="CM24" s="202"/>
      <c r="CN24" s="202"/>
      <c r="CO24" s="202"/>
      <c r="CP24" s="202"/>
      <c r="CQ24" s="202"/>
      <c r="CR24" s="202"/>
      <c r="CS24" s="202"/>
      <c r="CT24" s="202"/>
      <c r="CU24" s="202"/>
      <c r="CV24" s="202"/>
      <c r="CW24" s="202"/>
      <c r="CX24" s="202"/>
      <c r="CY24" s="202"/>
      <c r="CZ24" s="202"/>
      <c r="DA24" s="202"/>
      <c r="DB24" s="202"/>
      <c r="DC24" s="202"/>
      <c r="DD24" s="202"/>
      <c r="DE24" s="202"/>
      <c r="DF24" s="202">
        <v>1</v>
      </c>
    </row>
    <row r="25" spans="1:110">
      <c r="A25" s="205" t="s">
        <v>2150</v>
      </c>
      <c r="B25" s="202"/>
      <c r="C25" s="202"/>
      <c r="D25" s="202"/>
      <c r="E25" s="202"/>
      <c r="F25" s="202"/>
      <c r="G25" s="202"/>
      <c r="H25" s="202"/>
      <c r="I25" s="202"/>
      <c r="J25" s="202"/>
      <c r="K25" s="202"/>
      <c r="L25" s="202"/>
      <c r="M25" s="202"/>
      <c r="N25" s="202"/>
      <c r="O25" s="202"/>
      <c r="P25" s="202"/>
      <c r="Q25" s="202"/>
      <c r="R25" s="202"/>
      <c r="S25" s="202"/>
      <c r="T25" s="202"/>
      <c r="U25" s="202"/>
      <c r="V25" s="202"/>
      <c r="W25" s="202"/>
      <c r="X25" s="202"/>
      <c r="Y25" s="202"/>
      <c r="Z25" s="202"/>
      <c r="AA25" s="202"/>
      <c r="AB25" s="202"/>
      <c r="AC25" s="202"/>
      <c r="AD25" s="202"/>
      <c r="AE25" s="202"/>
      <c r="AF25" s="202"/>
      <c r="AG25" s="202"/>
      <c r="AH25" s="202"/>
      <c r="AI25" s="202"/>
      <c r="AJ25" s="202"/>
      <c r="AK25" s="202"/>
      <c r="AL25" s="202"/>
      <c r="AM25" s="202"/>
      <c r="AN25" s="202"/>
      <c r="AO25" s="202"/>
      <c r="AP25" s="202"/>
      <c r="AQ25" s="202"/>
      <c r="AR25" s="202"/>
      <c r="AS25" s="202"/>
      <c r="AT25" s="202"/>
      <c r="AU25" s="202"/>
      <c r="AV25" s="202"/>
      <c r="AW25" s="202"/>
      <c r="AX25" s="202"/>
      <c r="AY25" s="202"/>
      <c r="AZ25" s="202"/>
      <c r="BA25" s="202"/>
      <c r="BB25" s="202"/>
      <c r="BC25" s="202"/>
      <c r="BD25" s="202"/>
      <c r="BE25" s="202"/>
      <c r="BF25" s="202"/>
      <c r="BG25" s="202"/>
      <c r="BH25" s="202"/>
      <c r="BI25" s="202"/>
      <c r="BJ25" s="202"/>
      <c r="BK25" s="202"/>
      <c r="BL25" s="202"/>
      <c r="BM25" s="202"/>
      <c r="BN25" s="202"/>
      <c r="BO25" s="202"/>
      <c r="BP25" s="202">
        <v>1</v>
      </c>
      <c r="BQ25" s="202"/>
      <c r="BR25" s="202"/>
      <c r="BS25" s="202"/>
      <c r="BT25" s="202"/>
      <c r="BU25" s="202"/>
      <c r="BV25" s="202"/>
      <c r="BW25" s="202"/>
      <c r="BX25" s="202"/>
      <c r="BY25" s="202"/>
      <c r="BZ25" s="202"/>
      <c r="CA25" s="202"/>
      <c r="CB25" s="202"/>
      <c r="CC25" s="202"/>
      <c r="CD25" s="202"/>
      <c r="CE25" s="202"/>
      <c r="CF25" s="202"/>
      <c r="CG25" s="202"/>
      <c r="CH25" s="202"/>
      <c r="CI25" s="202"/>
      <c r="CJ25" s="202"/>
      <c r="CK25" s="202"/>
      <c r="CL25" s="202"/>
      <c r="CM25" s="202"/>
      <c r="CN25" s="202"/>
      <c r="CO25" s="202"/>
      <c r="CP25" s="202"/>
      <c r="CQ25" s="202"/>
      <c r="CR25" s="202"/>
      <c r="CS25" s="202"/>
      <c r="CT25" s="202"/>
      <c r="CU25" s="202"/>
      <c r="CV25" s="202"/>
      <c r="CW25" s="202"/>
      <c r="CX25" s="202"/>
      <c r="CY25" s="202"/>
      <c r="CZ25" s="202"/>
      <c r="DA25" s="202"/>
      <c r="DB25" s="202"/>
      <c r="DC25" s="202"/>
      <c r="DD25" s="202"/>
      <c r="DE25" s="202"/>
      <c r="DF25" s="202">
        <v>1</v>
      </c>
    </row>
    <row r="26" spans="1:110">
      <c r="A26" s="205" t="s">
        <v>2628</v>
      </c>
      <c r="B26" s="202"/>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2"/>
      <c r="AA26" s="202"/>
      <c r="AB26" s="202"/>
      <c r="AC26" s="202"/>
      <c r="AD26" s="202"/>
      <c r="AE26" s="202"/>
      <c r="AF26" s="202"/>
      <c r="AG26" s="202"/>
      <c r="AH26" s="202"/>
      <c r="AI26" s="202"/>
      <c r="AJ26" s="202"/>
      <c r="AK26" s="202"/>
      <c r="AL26" s="202"/>
      <c r="AM26" s="202"/>
      <c r="AN26" s="202"/>
      <c r="AO26" s="202"/>
      <c r="AP26" s="202"/>
      <c r="AQ26" s="202"/>
      <c r="AR26" s="202"/>
      <c r="AS26" s="202"/>
      <c r="AT26" s="202"/>
      <c r="AU26" s="202"/>
      <c r="AV26" s="202"/>
      <c r="AW26" s="202"/>
      <c r="AX26" s="202"/>
      <c r="AY26" s="202"/>
      <c r="AZ26" s="202"/>
      <c r="BA26" s="202"/>
      <c r="BB26" s="202"/>
      <c r="BC26" s="202"/>
      <c r="BD26" s="202"/>
      <c r="BE26" s="202"/>
      <c r="BF26" s="202"/>
      <c r="BG26" s="202"/>
      <c r="BH26" s="202"/>
      <c r="BI26" s="202"/>
      <c r="BJ26" s="202"/>
      <c r="BK26" s="202"/>
      <c r="BL26" s="202"/>
      <c r="BM26" s="202"/>
      <c r="BN26" s="202"/>
      <c r="BO26" s="202"/>
      <c r="BP26" s="202"/>
      <c r="BQ26" s="202"/>
      <c r="BR26" s="202"/>
      <c r="BS26" s="202"/>
      <c r="BT26" s="202"/>
      <c r="BU26" s="202"/>
      <c r="BV26" s="202"/>
      <c r="BW26" s="202"/>
      <c r="BX26" s="202"/>
      <c r="BY26" s="202"/>
      <c r="BZ26" s="202"/>
      <c r="CA26" s="202"/>
      <c r="CB26" s="202"/>
      <c r="CC26" s="202"/>
      <c r="CD26" s="202"/>
      <c r="CE26" s="202"/>
      <c r="CF26" s="202"/>
      <c r="CG26" s="202"/>
      <c r="CH26" s="202"/>
      <c r="CI26" s="202"/>
      <c r="CJ26" s="202"/>
      <c r="CK26" s="202"/>
      <c r="CL26" s="202"/>
      <c r="CM26" s="202"/>
      <c r="CN26" s="202"/>
      <c r="CO26" s="202"/>
      <c r="CP26" s="202"/>
      <c r="CQ26" s="202"/>
      <c r="CR26" s="202"/>
      <c r="CS26" s="202"/>
      <c r="CT26" s="202"/>
      <c r="CU26" s="202"/>
      <c r="CV26" s="202"/>
      <c r="CW26" s="202"/>
      <c r="CX26" s="202"/>
      <c r="CY26" s="202"/>
      <c r="CZ26" s="202"/>
      <c r="DA26" s="202"/>
      <c r="DB26" s="202"/>
      <c r="DC26" s="202"/>
      <c r="DD26" s="202"/>
      <c r="DE26" s="202">
        <v>5</v>
      </c>
      <c r="DF26" s="202">
        <v>5</v>
      </c>
    </row>
    <row r="27" spans="1:110">
      <c r="A27" s="205" t="s">
        <v>2616</v>
      </c>
      <c r="B27" s="202"/>
      <c r="C27" s="202"/>
      <c r="D27" s="202"/>
      <c r="E27" s="202"/>
      <c r="F27" s="202"/>
      <c r="G27" s="202"/>
      <c r="H27" s="202"/>
      <c r="I27" s="202"/>
      <c r="J27" s="202"/>
      <c r="K27" s="202"/>
      <c r="L27" s="202"/>
      <c r="M27" s="202"/>
      <c r="N27" s="202"/>
      <c r="O27" s="202"/>
      <c r="P27" s="202"/>
      <c r="Q27" s="202"/>
      <c r="R27" s="202"/>
      <c r="S27" s="202"/>
      <c r="T27" s="202"/>
      <c r="U27" s="202"/>
      <c r="V27" s="202"/>
      <c r="W27" s="202"/>
      <c r="X27" s="202"/>
      <c r="Y27" s="202"/>
      <c r="Z27" s="202"/>
      <c r="AA27" s="202"/>
      <c r="AB27" s="202"/>
      <c r="AC27" s="202"/>
      <c r="AD27" s="202"/>
      <c r="AE27" s="202"/>
      <c r="AF27" s="202"/>
      <c r="AG27" s="202"/>
      <c r="AH27" s="202"/>
      <c r="AI27" s="202"/>
      <c r="AJ27" s="202"/>
      <c r="AK27" s="202"/>
      <c r="AL27" s="202"/>
      <c r="AM27" s="202"/>
      <c r="AN27" s="202"/>
      <c r="AO27" s="202"/>
      <c r="AP27" s="202"/>
      <c r="AQ27" s="202"/>
      <c r="AR27" s="202"/>
      <c r="AS27" s="202"/>
      <c r="AT27" s="202"/>
      <c r="AU27" s="202"/>
      <c r="AV27" s="202"/>
      <c r="AW27" s="202"/>
      <c r="AX27" s="202"/>
      <c r="AY27" s="202"/>
      <c r="AZ27" s="202"/>
      <c r="BA27" s="202"/>
      <c r="BB27" s="202"/>
      <c r="BC27" s="202"/>
      <c r="BD27" s="202"/>
      <c r="BE27" s="202"/>
      <c r="BF27" s="202"/>
      <c r="BG27" s="202"/>
      <c r="BH27" s="202"/>
      <c r="BI27" s="202"/>
      <c r="BJ27" s="202"/>
      <c r="BK27" s="202"/>
      <c r="BL27" s="202"/>
      <c r="BM27" s="202"/>
      <c r="BN27" s="202"/>
      <c r="BO27" s="202"/>
      <c r="BP27" s="202"/>
      <c r="BQ27" s="202"/>
      <c r="BR27" s="202"/>
      <c r="BS27" s="202"/>
      <c r="BT27" s="202"/>
      <c r="BU27" s="202"/>
      <c r="BV27" s="202"/>
      <c r="BW27" s="202"/>
      <c r="BX27" s="202"/>
      <c r="BY27" s="202"/>
      <c r="BZ27" s="202"/>
      <c r="CA27" s="202"/>
      <c r="CB27" s="202"/>
      <c r="CC27" s="202"/>
      <c r="CD27" s="202"/>
      <c r="CE27" s="202"/>
      <c r="CF27" s="202"/>
      <c r="CG27" s="202"/>
      <c r="CH27" s="202"/>
      <c r="CI27" s="202"/>
      <c r="CJ27" s="202"/>
      <c r="CK27" s="202"/>
      <c r="CL27" s="202"/>
      <c r="CM27" s="202"/>
      <c r="CN27" s="202"/>
      <c r="CO27" s="202"/>
      <c r="CP27" s="202"/>
      <c r="CQ27" s="202"/>
      <c r="CR27" s="202"/>
      <c r="CS27" s="202"/>
      <c r="CT27" s="202"/>
      <c r="CU27" s="202"/>
      <c r="CV27" s="202"/>
      <c r="CW27" s="202"/>
      <c r="CX27" s="202"/>
      <c r="CY27" s="202"/>
      <c r="CZ27" s="202"/>
      <c r="DA27" s="202"/>
      <c r="DB27" s="202"/>
      <c r="DC27" s="202"/>
      <c r="DD27" s="202"/>
      <c r="DE27" s="202">
        <v>5</v>
      </c>
      <c r="DF27" s="202">
        <v>5</v>
      </c>
    </row>
    <row r="28" spans="1:110">
      <c r="A28" s="205" t="s">
        <v>2152</v>
      </c>
      <c r="B28" s="202"/>
      <c r="C28" s="202"/>
      <c r="D28" s="202"/>
      <c r="E28" s="202"/>
      <c r="F28" s="202"/>
      <c r="G28" s="202"/>
      <c r="H28" s="202"/>
      <c r="I28" s="202"/>
      <c r="J28" s="202"/>
      <c r="K28" s="202"/>
      <c r="L28" s="202"/>
      <c r="M28" s="202"/>
      <c r="N28" s="202"/>
      <c r="O28" s="202"/>
      <c r="P28" s="202"/>
      <c r="Q28" s="202"/>
      <c r="R28" s="202"/>
      <c r="S28" s="202"/>
      <c r="T28" s="202"/>
      <c r="U28" s="202"/>
      <c r="V28" s="202"/>
      <c r="W28" s="202"/>
      <c r="X28" s="202"/>
      <c r="Y28" s="202"/>
      <c r="Z28" s="202"/>
      <c r="AA28" s="202"/>
      <c r="AB28" s="202"/>
      <c r="AC28" s="202"/>
      <c r="AD28" s="202"/>
      <c r="AE28" s="202"/>
      <c r="AF28" s="202"/>
      <c r="AG28" s="202"/>
      <c r="AH28" s="202"/>
      <c r="AI28" s="202"/>
      <c r="AJ28" s="202"/>
      <c r="AK28" s="202"/>
      <c r="AL28" s="202"/>
      <c r="AM28" s="202"/>
      <c r="AN28" s="202"/>
      <c r="AO28" s="202"/>
      <c r="AP28" s="202"/>
      <c r="AQ28" s="202"/>
      <c r="AR28" s="202"/>
      <c r="AS28" s="202"/>
      <c r="AT28" s="202"/>
      <c r="AU28" s="202"/>
      <c r="AV28" s="202"/>
      <c r="AW28" s="202"/>
      <c r="AX28" s="202"/>
      <c r="AY28" s="202"/>
      <c r="AZ28" s="202"/>
      <c r="BA28" s="202"/>
      <c r="BB28" s="202"/>
      <c r="BC28" s="202"/>
      <c r="BD28" s="202"/>
      <c r="BE28" s="202"/>
      <c r="BF28" s="202"/>
      <c r="BG28" s="202"/>
      <c r="BH28" s="202"/>
      <c r="BI28" s="202"/>
      <c r="BJ28" s="202"/>
      <c r="BK28" s="202"/>
      <c r="BL28" s="202"/>
      <c r="BM28" s="202">
        <v>1</v>
      </c>
      <c r="BN28" s="202"/>
      <c r="BO28" s="202"/>
      <c r="BP28" s="202"/>
      <c r="BQ28" s="202"/>
      <c r="BR28" s="202"/>
      <c r="BS28" s="202"/>
      <c r="BT28" s="202"/>
      <c r="BU28" s="202"/>
      <c r="BV28" s="202"/>
      <c r="BW28" s="202"/>
      <c r="BX28" s="202"/>
      <c r="BY28" s="202"/>
      <c r="BZ28" s="202"/>
      <c r="CA28" s="202"/>
      <c r="CB28" s="202"/>
      <c r="CC28" s="202"/>
      <c r="CD28" s="202"/>
      <c r="CE28" s="202"/>
      <c r="CF28" s="202"/>
      <c r="CG28" s="202"/>
      <c r="CH28" s="202"/>
      <c r="CI28" s="202"/>
      <c r="CJ28" s="202"/>
      <c r="CK28" s="202"/>
      <c r="CL28" s="202"/>
      <c r="CM28" s="202"/>
      <c r="CN28" s="202"/>
      <c r="CO28" s="202"/>
      <c r="CP28" s="202"/>
      <c r="CQ28" s="202"/>
      <c r="CR28" s="202"/>
      <c r="CS28" s="202"/>
      <c r="CT28" s="202"/>
      <c r="CU28" s="202"/>
      <c r="CV28" s="202"/>
      <c r="CW28" s="202"/>
      <c r="CX28" s="202"/>
      <c r="CY28" s="202"/>
      <c r="CZ28" s="202"/>
      <c r="DA28" s="202"/>
      <c r="DB28" s="202"/>
      <c r="DC28" s="202"/>
      <c r="DD28" s="202"/>
      <c r="DE28" s="202"/>
      <c r="DF28" s="202">
        <v>1</v>
      </c>
    </row>
    <row r="29" spans="1:110">
      <c r="A29" s="205" t="s">
        <v>2410</v>
      </c>
      <c r="B29" s="202"/>
      <c r="C29" s="202"/>
      <c r="D29" s="202"/>
      <c r="E29" s="202"/>
      <c r="F29" s="202"/>
      <c r="G29" s="202"/>
      <c r="H29" s="202"/>
      <c r="I29" s="202"/>
      <c r="J29" s="202"/>
      <c r="K29" s="202"/>
      <c r="L29" s="202">
        <v>2</v>
      </c>
      <c r="M29" s="202"/>
      <c r="N29" s="202"/>
      <c r="O29" s="202"/>
      <c r="P29" s="202"/>
      <c r="Q29" s="202"/>
      <c r="R29" s="202"/>
      <c r="S29" s="202"/>
      <c r="T29" s="202"/>
      <c r="U29" s="202"/>
      <c r="V29" s="202"/>
      <c r="W29" s="202"/>
      <c r="X29" s="202"/>
      <c r="Y29" s="202"/>
      <c r="Z29" s="202"/>
      <c r="AA29" s="202"/>
      <c r="AB29" s="202"/>
      <c r="AC29" s="202"/>
      <c r="AD29" s="202"/>
      <c r="AE29" s="202"/>
      <c r="AF29" s="202"/>
      <c r="AG29" s="202"/>
      <c r="AH29" s="202"/>
      <c r="AI29" s="202"/>
      <c r="AJ29" s="202"/>
      <c r="AK29" s="202"/>
      <c r="AL29" s="202"/>
      <c r="AM29" s="202"/>
      <c r="AN29" s="202"/>
      <c r="AO29" s="202"/>
      <c r="AP29" s="202"/>
      <c r="AQ29" s="202"/>
      <c r="AR29" s="202"/>
      <c r="AS29" s="202"/>
      <c r="AT29" s="202"/>
      <c r="AU29" s="202"/>
      <c r="AV29" s="202"/>
      <c r="AW29" s="202"/>
      <c r="AX29" s="202"/>
      <c r="AY29" s="202"/>
      <c r="AZ29" s="202"/>
      <c r="BA29" s="202"/>
      <c r="BB29" s="202"/>
      <c r="BC29" s="202"/>
      <c r="BD29" s="202"/>
      <c r="BE29" s="202"/>
      <c r="BF29" s="202"/>
      <c r="BG29" s="202"/>
      <c r="BH29" s="202"/>
      <c r="BI29" s="202"/>
      <c r="BJ29" s="202"/>
      <c r="BK29" s="202"/>
      <c r="BL29" s="202"/>
      <c r="BM29" s="202"/>
      <c r="BN29" s="202"/>
      <c r="BO29" s="202"/>
      <c r="BP29" s="202"/>
      <c r="BQ29" s="202"/>
      <c r="BR29" s="202"/>
      <c r="BS29" s="202"/>
      <c r="BT29" s="202"/>
      <c r="BU29" s="202"/>
      <c r="BV29" s="202"/>
      <c r="BW29" s="202"/>
      <c r="BX29" s="202"/>
      <c r="BY29" s="202"/>
      <c r="BZ29" s="202"/>
      <c r="CA29" s="202"/>
      <c r="CB29" s="202"/>
      <c r="CC29" s="202"/>
      <c r="CD29" s="202"/>
      <c r="CE29" s="202"/>
      <c r="CF29" s="202"/>
      <c r="CG29" s="202"/>
      <c r="CH29" s="202"/>
      <c r="CI29" s="202"/>
      <c r="CJ29" s="202"/>
      <c r="CK29" s="202"/>
      <c r="CL29" s="202"/>
      <c r="CM29" s="202"/>
      <c r="CN29" s="202"/>
      <c r="CO29" s="202"/>
      <c r="CP29" s="202"/>
      <c r="CQ29" s="202"/>
      <c r="CR29" s="202"/>
      <c r="CS29" s="202"/>
      <c r="CT29" s="202"/>
      <c r="CU29" s="202"/>
      <c r="CV29" s="202"/>
      <c r="CW29" s="202"/>
      <c r="CX29" s="202"/>
      <c r="CY29" s="202"/>
      <c r="CZ29" s="202"/>
      <c r="DA29" s="202"/>
      <c r="DB29" s="202"/>
      <c r="DC29" s="202"/>
      <c r="DD29" s="202"/>
      <c r="DE29" s="202">
        <v>2</v>
      </c>
      <c r="DF29" s="202">
        <v>4</v>
      </c>
    </row>
    <row r="30" spans="1:110">
      <c r="A30" s="205" t="s">
        <v>2592</v>
      </c>
      <c r="B30" s="202"/>
      <c r="C30" s="202"/>
      <c r="D30" s="202"/>
      <c r="E30" s="202"/>
      <c r="F30" s="202"/>
      <c r="G30" s="202"/>
      <c r="H30" s="202"/>
      <c r="I30" s="202"/>
      <c r="J30" s="202"/>
      <c r="K30" s="202"/>
      <c r="L30" s="202"/>
      <c r="M30" s="202"/>
      <c r="N30" s="202"/>
      <c r="O30" s="202"/>
      <c r="P30" s="202"/>
      <c r="Q30" s="202"/>
      <c r="R30" s="202"/>
      <c r="S30" s="202"/>
      <c r="T30" s="202"/>
      <c r="U30" s="202"/>
      <c r="V30" s="202"/>
      <c r="W30" s="202"/>
      <c r="X30" s="202"/>
      <c r="Y30" s="202"/>
      <c r="Z30" s="202"/>
      <c r="AA30" s="202"/>
      <c r="AB30" s="202"/>
      <c r="AC30" s="202"/>
      <c r="AD30" s="202"/>
      <c r="AE30" s="202"/>
      <c r="AF30" s="202"/>
      <c r="AG30" s="202"/>
      <c r="AH30" s="202"/>
      <c r="AI30" s="202"/>
      <c r="AJ30" s="202"/>
      <c r="AK30" s="202"/>
      <c r="AL30" s="202"/>
      <c r="AM30" s="202"/>
      <c r="AN30" s="202"/>
      <c r="AO30" s="202"/>
      <c r="AP30" s="202"/>
      <c r="AQ30" s="202"/>
      <c r="AR30" s="202"/>
      <c r="AS30" s="202"/>
      <c r="AT30" s="202"/>
      <c r="AU30" s="202"/>
      <c r="AV30" s="202"/>
      <c r="AW30" s="202"/>
      <c r="AX30" s="202"/>
      <c r="AY30" s="202"/>
      <c r="AZ30" s="202"/>
      <c r="BA30" s="202"/>
      <c r="BB30" s="202"/>
      <c r="BC30" s="202"/>
      <c r="BD30" s="202"/>
      <c r="BE30" s="202"/>
      <c r="BF30" s="202"/>
      <c r="BG30" s="202"/>
      <c r="BH30" s="202"/>
      <c r="BI30" s="202"/>
      <c r="BJ30" s="202"/>
      <c r="BK30" s="202"/>
      <c r="BL30" s="202"/>
      <c r="BM30" s="202"/>
      <c r="BN30" s="202"/>
      <c r="BO30" s="202"/>
      <c r="BP30" s="202"/>
      <c r="BQ30" s="202"/>
      <c r="BR30" s="202"/>
      <c r="BS30" s="202"/>
      <c r="BT30" s="202"/>
      <c r="BU30" s="202"/>
      <c r="BV30" s="202"/>
      <c r="BW30" s="202"/>
      <c r="BX30" s="202"/>
      <c r="BY30" s="202"/>
      <c r="BZ30" s="202"/>
      <c r="CA30" s="202"/>
      <c r="CB30" s="202"/>
      <c r="CC30" s="202"/>
      <c r="CD30" s="202"/>
      <c r="CE30" s="202"/>
      <c r="CF30" s="202"/>
      <c r="CG30" s="202"/>
      <c r="CH30" s="202"/>
      <c r="CI30" s="202"/>
      <c r="CJ30" s="202"/>
      <c r="CK30" s="202"/>
      <c r="CL30" s="202"/>
      <c r="CM30" s="202"/>
      <c r="CN30" s="202"/>
      <c r="CO30" s="202"/>
      <c r="CP30" s="202"/>
      <c r="CQ30" s="202"/>
      <c r="CR30" s="202"/>
      <c r="CS30" s="202"/>
      <c r="CT30" s="202"/>
      <c r="CU30" s="202"/>
      <c r="CV30" s="202"/>
      <c r="CW30" s="202"/>
      <c r="CX30" s="202"/>
      <c r="CY30" s="202"/>
      <c r="CZ30" s="202"/>
      <c r="DA30" s="202"/>
      <c r="DB30" s="202"/>
      <c r="DC30" s="202"/>
      <c r="DD30" s="202"/>
      <c r="DE30" s="202">
        <v>5</v>
      </c>
      <c r="DF30" s="202">
        <v>5</v>
      </c>
    </row>
    <row r="31" spans="1:110">
      <c r="A31" s="205" t="s">
        <v>2149</v>
      </c>
      <c r="B31" s="202"/>
      <c r="C31" s="202"/>
      <c r="D31" s="202"/>
      <c r="E31" s="202"/>
      <c r="F31" s="202"/>
      <c r="G31" s="202"/>
      <c r="H31" s="202"/>
      <c r="I31" s="202"/>
      <c r="J31" s="202"/>
      <c r="K31" s="202"/>
      <c r="L31" s="202"/>
      <c r="M31" s="202"/>
      <c r="N31" s="202"/>
      <c r="O31" s="202"/>
      <c r="P31" s="202"/>
      <c r="Q31" s="202"/>
      <c r="R31" s="202"/>
      <c r="S31" s="202"/>
      <c r="T31" s="202"/>
      <c r="U31" s="202"/>
      <c r="V31" s="202"/>
      <c r="W31" s="202"/>
      <c r="X31" s="202"/>
      <c r="Y31" s="202"/>
      <c r="Z31" s="202"/>
      <c r="AA31" s="202"/>
      <c r="AB31" s="202"/>
      <c r="AC31" s="202"/>
      <c r="AD31" s="202"/>
      <c r="AE31" s="202"/>
      <c r="AF31" s="202"/>
      <c r="AG31" s="202"/>
      <c r="AH31" s="202"/>
      <c r="AI31" s="202"/>
      <c r="AJ31" s="202"/>
      <c r="AK31" s="202"/>
      <c r="AL31" s="202"/>
      <c r="AM31" s="202"/>
      <c r="AN31" s="202"/>
      <c r="AO31" s="202"/>
      <c r="AP31" s="202"/>
      <c r="AQ31" s="202"/>
      <c r="AR31" s="202"/>
      <c r="AS31" s="202"/>
      <c r="AT31" s="202"/>
      <c r="AU31" s="202"/>
      <c r="AV31" s="202"/>
      <c r="AW31" s="202"/>
      <c r="AX31" s="202"/>
      <c r="AY31" s="202"/>
      <c r="AZ31" s="202"/>
      <c r="BA31" s="202"/>
      <c r="BB31" s="202"/>
      <c r="BC31" s="202"/>
      <c r="BD31" s="202"/>
      <c r="BE31" s="202"/>
      <c r="BF31" s="202"/>
      <c r="BG31" s="202"/>
      <c r="BH31" s="202"/>
      <c r="BI31" s="202"/>
      <c r="BJ31" s="202"/>
      <c r="BK31" s="202"/>
      <c r="BL31" s="202"/>
      <c r="BM31" s="202"/>
      <c r="BN31" s="202"/>
      <c r="BO31" s="202"/>
      <c r="BP31" s="202"/>
      <c r="BQ31" s="202"/>
      <c r="BR31" s="202"/>
      <c r="BS31" s="202"/>
      <c r="BT31" s="202"/>
      <c r="BU31" s="202"/>
      <c r="BV31" s="202"/>
      <c r="BW31" s="202"/>
      <c r="BX31" s="202"/>
      <c r="BY31" s="202"/>
      <c r="BZ31" s="202"/>
      <c r="CA31" s="202"/>
      <c r="CB31" s="202"/>
      <c r="CC31" s="202"/>
      <c r="CD31" s="202"/>
      <c r="CE31" s="202"/>
      <c r="CF31" s="202"/>
      <c r="CG31" s="202"/>
      <c r="CH31" s="202"/>
      <c r="CI31" s="202"/>
      <c r="CJ31" s="202"/>
      <c r="CK31" s="202"/>
      <c r="CL31" s="202"/>
      <c r="CM31" s="202"/>
      <c r="CN31" s="202"/>
      <c r="CO31" s="202"/>
      <c r="CP31" s="202"/>
      <c r="CQ31" s="202"/>
      <c r="CR31" s="202"/>
      <c r="CS31" s="202"/>
      <c r="CT31" s="202"/>
      <c r="CU31" s="202"/>
      <c r="CV31" s="202">
        <v>4</v>
      </c>
      <c r="CW31" s="202"/>
      <c r="CX31" s="202"/>
      <c r="CY31" s="202"/>
      <c r="CZ31" s="202"/>
      <c r="DA31" s="202"/>
      <c r="DB31" s="202"/>
      <c r="DC31" s="202"/>
      <c r="DD31" s="202"/>
      <c r="DE31" s="202"/>
      <c r="DF31" s="202">
        <v>4</v>
      </c>
    </row>
    <row r="32" spans="1:110">
      <c r="A32" s="205" t="s">
        <v>3397</v>
      </c>
      <c r="B32" s="202"/>
      <c r="C32" s="202"/>
      <c r="D32" s="202"/>
      <c r="E32" s="202"/>
      <c r="F32" s="202"/>
      <c r="G32" s="202"/>
      <c r="H32" s="202"/>
      <c r="I32" s="202">
        <v>5</v>
      </c>
      <c r="J32" s="202"/>
      <c r="K32" s="202"/>
      <c r="L32" s="202"/>
      <c r="M32" s="202"/>
      <c r="N32" s="202"/>
      <c r="O32" s="202"/>
      <c r="P32" s="202"/>
      <c r="Q32" s="202"/>
      <c r="R32" s="202"/>
      <c r="S32" s="202"/>
      <c r="T32" s="202"/>
      <c r="U32" s="202"/>
      <c r="V32" s="202"/>
      <c r="W32" s="202"/>
      <c r="X32" s="202"/>
      <c r="Y32" s="202"/>
      <c r="Z32" s="202"/>
      <c r="AA32" s="202"/>
      <c r="AB32" s="202"/>
      <c r="AC32" s="202"/>
      <c r="AD32" s="202"/>
      <c r="AE32" s="202"/>
      <c r="AF32" s="202"/>
      <c r="AG32" s="202"/>
      <c r="AH32" s="202"/>
      <c r="AI32" s="202"/>
      <c r="AJ32" s="202"/>
      <c r="AK32" s="202"/>
      <c r="AL32" s="202"/>
      <c r="AM32" s="202"/>
      <c r="AN32" s="202"/>
      <c r="AO32" s="202"/>
      <c r="AP32" s="202"/>
      <c r="AQ32" s="202"/>
      <c r="AR32" s="202"/>
      <c r="AS32" s="202"/>
      <c r="AT32" s="202"/>
      <c r="AU32" s="202"/>
      <c r="AV32" s="202"/>
      <c r="AW32" s="202"/>
      <c r="AX32" s="202"/>
      <c r="AY32" s="202"/>
      <c r="AZ32" s="202"/>
      <c r="BA32" s="202"/>
      <c r="BB32" s="202"/>
      <c r="BC32" s="202"/>
      <c r="BD32" s="202"/>
      <c r="BE32" s="202"/>
      <c r="BF32" s="202"/>
      <c r="BG32" s="202"/>
      <c r="BH32" s="202"/>
      <c r="BI32" s="202"/>
      <c r="BJ32" s="202"/>
      <c r="BK32" s="202"/>
      <c r="BL32" s="202"/>
      <c r="BM32" s="202"/>
      <c r="BN32" s="202"/>
      <c r="BO32" s="202"/>
      <c r="BP32" s="202"/>
      <c r="BQ32" s="202"/>
      <c r="BR32" s="202"/>
      <c r="BS32" s="202"/>
      <c r="BT32" s="202"/>
      <c r="BU32" s="202"/>
      <c r="BV32" s="202"/>
      <c r="BW32" s="202"/>
      <c r="BX32" s="202"/>
      <c r="BY32" s="202"/>
      <c r="BZ32" s="202"/>
      <c r="CA32" s="202"/>
      <c r="CB32" s="202"/>
      <c r="CC32" s="202"/>
      <c r="CD32" s="202"/>
      <c r="CE32" s="202"/>
      <c r="CF32" s="202"/>
      <c r="CG32" s="202"/>
      <c r="CH32" s="202"/>
      <c r="CI32" s="202"/>
      <c r="CJ32" s="202"/>
      <c r="CK32" s="202"/>
      <c r="CL32" s="202"/>
      <c r="CM32" s="202"/>
      <c r="CN32" s="202"/>
      <c r="CO32" s="202"/>
      <c r="CP32" s="202"/>
      <c r="CQ32" s="202"/>
      <c r="CR32" s="202"/>
      <c r="CS32" s="202"/>
      <c r="CT32" s="202"/>
      <c r="CU32" s="202"/>
      <c r="CV32" s="202"/>
      <c r="CW32" s="202"/>
      <c r="CX32" s="202"/>
      <c r="CY32" s="202"/>
      <c r="CZ32" s="202"/>
      <c r="DA32" s="202"/>
      <c r="DB32" s="202"/>
      <c r="DC32" s="202"/>
      <c r="DD32" s="202"/>
      <c r="DE32" s="202"/>
      <c r="DF32" s="202">
        <v>5</v>
      </c>
    </row>
    <row r="33" spans="1:110">
      <c r="A33" s="205" t="s">
        <v>3092</v>
      </c>
      <c r="B33" s="202"/>
      <c r="C33" s="202"/>
      <c r="D33" s="202"/>
      <c r="E33" s="202"/>
      <c r="F33" s="202"/>
      <c r="G33" s="202"/>
      <c r="H33" s="202"/>
      <c r="I33" s="202"/>
      <c r="J33" s="202"/>
      <c r="K33" s="202"/>
      <c r="L33" s="202"/>
      <c r="M33" s="202"/>
      <c r="N33" s="202"/>
      <c r="O33" s="202"/>
      <c r="P33" s="202"/>
      <c r="Q33" s="202"/>
      <c r="R33" s="202"/>
      <c r="S33" s="202"/>
      <c r="T33" s="202"/>
      <c r="U33" s="202"/>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2"/>
      <c r="AU33" s="202"/>
      <c r="AV33" s="202"/>
      <c r="AW33" s="202"/>
      <c r="AX33" s="202"/>
      <c r="AY33" s="202"/>
      <c r="AZ33" s="202"/>
      <c r="BA33" s="202"/>
      <c r="BB33" s="202"/>
      <c r="BC33" s="202"/>
      <c r="BD33" s="202"/>
      <c r="BE33" s="202"/>
      <c r="BF33" s="202"/>
      <c r="BG33" s="202"/>
      <c r="BH33" s="202"/>
      <c r="BI33" s="202"/>
      <c r="BJ33" s="202"/>
      <c r="BK33" s="202"/>
      <c r="BL33" s="202"/>
      <c r="BM33" s="202"/>
      <c r="BN33" s="202"/>
      <c r="BO33" s="202"/>
      <c r="BP33" s="202"/>
      <c r="BQ33" s="202"/>
      <c r="BR33" s="202"/>
      <c r="BS33" s="202"/>
      <c r="BT33" s="202"/>
      <c r="BU33" s="202"/>
      <c r="BV33" s="202"/>
      <c r="BW33" s="202"/>
      <c r="BX33" s="202"/>
      <c r="BY33" s="202"/>
      <c r="BZ33" s="202"/>
      <c r="CA33" s="202"/>
      <c r="CB33" s="202"/>
      <c r="CC33" s="202"/>
      <c r="CD33" s="202"/>
      <c r="CE33" s="202"/>
      <c r="CF33" s="202"/>
      <c r="CG33" s="202"/>
      <c r="CH33" s="202"/>
      <c r="CI33" s="202"/>
      <c r="CJ33" s="202"/>
      <c r="CK33" s="202"/>
      <c r="CL33" s="202"/>
      <c r="CM33" s="202"/>
      <c r="CN33" s="202"/>
      <c r="CO33" s="202"/>
      <c r="CP33" s="202"/>
      <c r="CQ33" s="202"/>
      <c r="CR33" s="202"/>
      <c r="CS33" s="202"/>
      <c r="CT33" s="202"/>
      <c r="CU33" s="202"/>
      <c r="CV33" s="202"/>
      <c r="CW33" s="202"/>
      <c r="CX33" s="202"/>
      <c r="CY33" s="202"/>
      <c r="CZ33" s="202"/>
      <c r="DA33" s="202"/>
      <c r="DB33" s="202"/>
      <c r="DC33" s="202"/>
      <c r="DD33" s="202"/>
      <c r="DE33" s="202">
        <v>1</v>
      </c>
      <c r="DF33" s="202">
        <v>1</v>
      </c>
    </row>
    <row r="34" spans="1:110">
      <c r="A34" s="205" t="s">
        <v>2648</v>
      </c>
      <c r="B34" s="202"/>
      <c r="C34" s="202"/>
      <c r="D34" s="202"/>
      <c r="E34" s="202"/>
      <c r="F34" s="202"/>
      <c r="G34" s="202"/>
      <c r="H34" s="202"/>
      <c r="I34" s="202"/>
      <c r="J34" s="20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c r="BQ34" s="202"/>
      <c r="BR34" s="202"/>
      <c r="BS34" s="202"/>
      <c r="BT34" s="202"/>
      <c r="BU34" s="202"/>
      <c r="BV34" s="202"/>
      <c r="BW34" s="202"/>
      <c r="BX34" s="202"/>
      <c r="BY34" s="202"/>
      <c r="BZ34" s="202"/>
      <c r="CA34" s="202"/>
      <c r="CB34" s="202"/>
      <c r="CC34" s="202"/>
      <c r="CD34" s="202"/>
      <c r="CE34" s="202"/>
      <c r="CF34" s="202"/>
      <c r="CG34" s="202"/>
      <c r="CH34" s="202"/>
      <c r="CI34" s="202"/>
      <c r="CJ34" s="202"/>
      <c r="CK34" s="202"/>
      <c r="CL34" s="202"/>
      <c r="CM34" s="202"/>
      <c r="CN34" s="202"/>
      <c r="CO34" s="202"/>
      <c r="CP34" s="202"/>
      <c r="CQ34" s="202"/>
      <c r="CR34" s="202"/>
      <c r="CS34" s="202"/>
      <c r="CT34" s="202"/>
      <c r="CU34" s="202"/>
      <c r="CV34" s="202"/>
      <c r="CW34" s="202"/>
      <c r="CX34" s="202"/>
      <c r="CY34" s="202"/>
      <c r="CZ34" s="202"/>
      <c r="DA34" s="202"/>
      <c r="DB34" s="202"/>
      <c r="DC34" s="202"/>
      <c r="DD34" s="202"/>
      <c r="DE34" s="202">
        <v>5</v>
      </c>
      <c r="DF34" s="202">
        <v>5</v>
      </c>
    </row>
    <row r="35" spans="1:110">
      <c r="A35" s="205" t="s">
        <v>2112</v>
      </c>
      <c r="B35" s="202"/>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c r="AQ35" s="202"/>
      <c r="AR35" s="202"/>
      <c r="AS35" s="202"/>
      <c r="AT35" s="202"/>
      <c r="AU35" s="202"/>
      <c r="AV35" s="202"/>
      <c r="AW35" s="202"/>
      <c r="AX35" s="202"/>
      <c r="AY35" s="202"/>
      <c r="AZ35" s="202"/>
      <c r="BA35" s="202"/>
      <c r="BB35" s="202"/>
      <c r="BC35" s="202"/>
      <c r="BD35" s="202"/>
      <c r="BE35" s="202"/>
      <c r="BF35" s="202"/>
      <c r="BG35" s="202"/>
      <c r="BH35" s="202"/>
      <c r="BI35" s="202"/>
      <c r="BJ35" s="202"/>
      <c r="BK35" s="202"/>
      <c r="BL35" s="202"/>
      <c r="BM35" s="202"/>
      <c r="BN35" s="202"/>
      <c r="BO35" s="202"/>
      <c r="BP35" s="202"/>
      <c r="BQ35" s="202"/>
      <c r="BR35" s="202"/>
      <c r="BS35" s="202"/>
      <c r="BT35" s="202"/>
      <c r="BU35" s="202"/>
      <c r="BV35" s="202"/>
      <c r="BW35" s="202"/>
      <c r="BX35" s="202"/>
      <c r="BY35" s="202"/>
      <c r="BZ35" s="202"/>
      <c r="CA35" s="202"/>
      <c r="CB35" s="202"/>
      <c r="CC35" s="202"/>
      <c r="CD35" s="202"/>
      <c r="CE35" s="202"/>
      <c r="CF35" s="202"/>
      <c r="CG35" s="202"/>
      <c r="CH35" s="202"/>
      <c r="CI35" s="202"/>
      <c r="CJ35" s="202">
        <v>3</v>
      </c>
      <c r="CK35" s="202"/>
      <c r="CL35" s="202"/>
      <c r="CM35" s="202"/>
      <c r="CN35" s="202"/>
      <c r="CO35" s="202"/>
      <c r="CP35" s="202"/>
      <c r="CQ35" s="202"/>
      <c r="CR35" s="202"/>
      <c r="CS35" s="202"/>
      <c r="CT35" s="202"/>
      <c r="CU35" s="202"/>
      <c r="CV35" s="202"/>
      <c r="CW35" s="202"/>
      <c r="CX35" s="202"/>
      <c r="CY35" s="202"/>
      <c r="CZ35" s="202"/>
      <c r="DA35" s="202"/>
      <c r="DB35" s="202"/>
      <c r="DC35" s="202"/>
      <c r="DD35" s="202"/>
      <c r="DE35" s="202"/>
      <c r="DF35" s="202">
        <v>3</v>
      </c>
    </row>
    <row r="36" spans="1:110">
      <c r="A36" s="205" t="s">
        <v>3066</v>
      </c>
      <c r="B36" s="202"/>
      <c r="C36" s="202"/>
      <c r="D36" s="202"/>
      <c r="E36" s="202"/>
      <c r="F36" s="202"/>
      <c r="G36" s="202"/>
      <c r="H36" s="202"/>
      <c r="I36" s="202"/>
      <c r="J36" s="202"/>
      <c r="K36" s="202"/>
      <c r="L36" s="202"/>
      <c r="M36" s="202"/>
      <c r="N36" s="202"/>
      <c r="O36" s="202"/>
      <c r="P36" s="202"/>
      <c r="Q36" s="202"/>
      <c r="R36" s="202"/>
      <c r="S36" s="202"/>
      <c r="T36" s="202"/>
      <c r="U36" s="202"/>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2"/>
      <c r="AU36" s="202"/>
      <c r="AV36" s="202"/>
      <c r="AW36" s="202"/>
      <c r="AX36" s="202"/>
      <c r="AY36" s="202"/>
      <c r="AZ36" s="202"/>
      <c r="BA36" s="202"/>
      <c r="BB36" s="202"/>
      <c r="BC36" s="202"/>
      <c r="BD36" s="202"/>
      <c r="BE36" s="202"/>
      <c r="BF36" s="202"/>
      <c r="BG36" s="202"/>
      <c r="BH36" s="202"/>
      <c r="BI36" s="202"/>
      <c r="BJ36" s="202"/>
      <c r="BK36" s="202"/>
      <c r="BL36" s="202"/>
      <c r="BM36" s="202"/>
      <c r="BN36" s="202"/>
      <c r="BO36" s="202"/>
      <c r="BP36" s="202"/>
      <c r="BQ36" s="202"/>
      <c r="BR36" s="202"/>
      <c r="BS36" s="202"/>
      <c r="BT36" s="202"/>
      <c r="BU36" s="202"/>
      <c r="BV36" s="202"/>
      <c r="BW36" s="202"/>
      <c r="BX36" s="202"/>
      <c r="BY36" s="202"/>
      <c r="BZ36" s="202"/>
      <c r="CA36" s="202"/>
      <c r="CB36" s="202"/>
      <c r="CC36" s="202"/>
      <c r="CD36" s="202"/>
      <c r="CE36" s="202"/>
      <c r="CF36" s="202"/>
      <c r="CG36" s="202"/>
      <c r="CH36" s="202"/>
      <c r="CI36" s="202"/>
      <c r="CJ36" s="202"/>
      <c r="CK36" s="202"/>
      <c r="CL36" s="202"/>
      <c r="CM36" s="202"/>
      <c r="CN36" s="202"/>
      <c r="CO36" s="202"/>
      <c r="CP36" s="202"/>
      <c r="CQ36" s="202"/>
      <c r="CR36" s="202"/>
      <c r="CS36" s="202"/>
      <c r="CT36" s="202"/>
      <c r="CU36" s="202"/>
      <c r="CV36" s="202"/>
      <c r="CW36" s="202"/>
      <c r="CX36" s="202"/>
      <c r="CY36" s="202"/>
      <c r="CZ36" s="202"/>
      <c r="DA36" s="202"/>
      <c r="DB36" s="202"/>
      <c r="DC36" s="202"/>
      <c r="DD36" s="202">
        <v>2</v>
      </c>
      <c r="DE36" s="202"/>
      <c r="DF36" s="202">
        <v>2</v>
      </c>
    </row>
    <row r="37" spans="1:110">
      <c r="A37" s="205" t="s">
        <v>2110</v>
      </c>
      <c r="B37" s="202"/>
      <c r="C37" s="202"/>
      <c r="D37" s="202"/>
      <c r="E37" s="202"/>
      <c r="F37" s="202"/>
      <c r="G37" s="202"/>
      <c r="H37" s="202"/>
      <c r="I37" s="202"/>
      <c r="J37" s="202"/>
      <c r="K37" s="202"/>
      <c r="L37" s="202"/>
      <c r="M37" s="202"/>
      <c r="N37" s="202"/>
      <c r="O37" s="202"/>
      <c r="P37" s="202"/>
      <c r="Q37" s="202"/>
      <c r="R37" s="202"/>
      <c r="S37" s="202"/>
      <c r="T37" s="202"/>
      <c r="U37" s="202"/>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2"/>
      <c r="AU37" s="202"/>
      <c r="AV37" s="202"/>
      <c r="AW37" s="202"/>
      <c r="AX37" s="202"/>
      <c r="AY37" s="202"/>
      <c r="AZ37" s="202"/>
      <c r="BA37" s="202"/>
      <c r="BB37" s="202"/>
      <c r="BC37" s="202"/>
      <c r="BD37" s="202"/>
      <c r="BE37" s="202"/>
      <c r="BF37" s="202"/>
      <c r="BG37" s="202"/>
      <c r="BH37" s="202">
        <v>5</v>
      </c>
      <c r="BI37" s="202"/>
      <c r="BJ37" s="202"/>
      <c r="BK37" s="202"/>
      <c r="BL37" s="202"/>
      <c r="BM37" s="202"/>
      <c r="BN37" s="202"/>
      <c r="BO37" s="202"/>
      <c r="BP37" s="202"/>
      <c r="BQ37" s="202"/>
      <c r="BR37" s="202"/>
      <c r="BS37" s="202"/>
      <c r="BT37" s="202"/>
      <c r="BU37" s="202"/>
      <c r="BV37" s="202"/>
      <c r="BW37" s="202"/>
      <c r="BX37" s="202"/>
      <c r="BY37" s="202"/>
      <c r="BZ37" s="202"/>
      <c r="CA37" s="202"/>
      <c r="CB37" s="202"/>
      <c r="CC37" s="202"/>
      <c r="CD37" s="202"/>
      <c r="CE37" s="202"/>
      <c r="CF37" s="202"/>
      <c r="CG37" s="202"/>
      <c r="CH37" s="202"/>
      <c r="CI37" s="202"/>
      <c r="CJ37" s="202"/>
      <c r="CK37" s="202"/>
      <c r="CL37" s="202"/>
      <c r="CM37" s="202"/>
      <c r="CN37" s="202"/>
      <c r="CO37" s="202"/>
      <c r="CP37" s="202"/>
      <c r="CQ37" s="202"/>
      <c r="CR37" s="202"/>
      <c r="CS37" s="202"/>
      <c r="CT37" s="202"/>
      <c r="CU37" s="202"/>
      <c r="CV37" s="202"/>
      <c r="CW37" s="202"/>
      <c r="CX37" s="202"/>
      <c r="CY37" s="202"/>
      <c r="CZ37" s="202"/>
      <c r="DA37" s="202"/>
      <c r="DB37" s="202"/>
      <c r="DC37" s="202"/>
      <c r="DD37" s="202"/>
      <c r="DE37" s="202"/>
      <c r="DF37" s="202">
        <v>5</v>
      </c>
    </row>
    <row r="38" spans="1:110">
      <c r="A38" s="205" t="s">
        <v>2111</v>
      </c>
      <c r="B38" s="202"/>
      <c r="C38" s="202"/>
      <c r="D38" s="202"/>
      <c r="E38" s="202"/>
      <c r="F38" s="202"/>
      <c r="G38" s="202"/>
      <c r="H38" s="202"/>
      <c r="I38" s="202"/>
      <c r="J38" s="202"/>
      <c r="K38" s="202"/>
      <c r="L38" s="202"/>
      <c r="M38" s="202"/>
      <c r="N38" s="202"/>
      <c r="O38" s="202"/>
      <c r="P38" s="202"/>
      <c r="Q38" s="202"/>
      <c r="R38" s="202"/>
      <c r="S38" s="202"/>
      <c r="T38" s="202"/>
      <c r="U38" s="202"/>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v>4</v>
      </c>
      <c r="BH38" s="202"/>
      <c r="BI38" s="202"/>
      <c r="BJ38" s="202"/>
      <c r="BK38" s="202"/>
      <c r="BL38" s="202"/>
      <c r="BM38" s="202"/>
      <c r="BN38" s="202"/>
      <c r="BO38" s="202"/>
      <c r="BP38" s="202"/>
      <c r="BQ38" s="202"/>
      <c r="BR38" s="202"/>
      <c r="BS38" s="202"/>
      <c r="BT38" s="202"/>
      <c r="BU38" s="202"/>
      <c r="BV38" s="202"/>
      <c r="BW38" s="202"/>
      <c r="BX38" s="202"/>
      <c r="BY38" s="202"/>
      <c r="BZ38" s="202"/>
      <c r="CA38" s="202"/>
      <c r="CB38" s="202"/>
      <c r="CC38" s="202"/>
      <c r="CD38" s="202"/>
      <c r="CE38" s="202"/>
      <c r="CF38" s="202"/>
      <c r="CG38" s="202"/>
      <c r="CH38" s="202"/>
      <c r="CI38" s="202"/>
      <c r="CJ38" s="202"/>
      <c r="CK38" s="202"/>
      <c r="CL38" s="202"/>
      <c r="CM38" s="202"/>
      <c r="CN38" s="202"/>
      <c r="CO38" s="202"/>
      <c r="CP38" s="202"/>
      <c r="CQ38" s="202"/>
      <c r="CR38" s="202"/>
      <c r="CS38" s="202"/>
      <c r="CT38" s="202"/>
      <c r="CU38" s="202"/>
      <c r="CV38" s="202"/>
      <c r="CW38" s="202"/>
      <c r="CX38" s="202"/>
      <c r="CY38" s="202"/>
      <c r="CZ38" s="202"/>
      <c r="DA38" s="202"/>
      <c r="DB38" s="202"/>
      <c r="DC38" s="202"/>
      <c r="DD38" s="202"/>
      <c r="DE38" s="202"/>
      <c r="DF38" s="202">
        <v>4</v>
      </c>
    </row>
    <row r="39" spans="1:110">
      <c r="A39" s="205" t="s">
        <v>2165</v>
      </c>
      <c r="B39" s="202"/>
      <c r="C39" s="202"/>
      <c r="D39" s="202"/>
      <c r="E39" s="202"/>
      <c r="F39" s="202"/>
      <c r="G39" s="202"/>
      <c r="H39" s="202"/>
      <c r="I39" s="202"/>
      <c r="J39" s="202"/>
      <c r="K39" s="202"/>
      <c r="L39" s="202"/>
      <c r="M39" s="202">
        <v>3</v>
      </c>
      <c r="N39" s="202"/>
      <c r="O39" s="202"/>
      <c r="P39" s="202"/>
      <c r="Q39" s="202"/>
      <c r="R39" s="202"/>
      <c r="S39" s="202"/>
      <c r="T39" s="202"/>
      <c r="U39" s="202"/>
      <c r="V39" s="202"/>
      <c r="W39" s="202"/>
      <c r="X39" s="202"/>
      <c r="Y39" s="202"/>
      <c r="Z39" s="202"/>
      <c r="AA39" s="202"/>
      <c r="AB39" s="202"/>
      <c r="AC39" s="202"/>
      <c r="AD39" s="202"/>
      <c r="AE39" s="202"/>
      <c r="AF39" s="202"/>
      <c r="AG39" s="202"/>
      <c r="AH39" s="202"/>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c r="BQ39" s="202"/>
      <c r="BR39" s="202"/>
      <c r="BS39" s="202"/>
      <c r="BT39" s="202"/>
      <c r="BU39" s="202"/>
      <c r="BV39" s="202"/>
      <c r="BW39" s="202"/>
      <c r="BX39" s="202"/>
      <c r="BY39" s="202"/>
      <c r="BZ39" s="202"/>
      <c r="CA39" s="202"/>
      <c r="CB39" s="202"/>
      <c r="CC39" s="202"/>
      <c r="CD39" s="202"/>
      <c r="CE39" s="202"/>
      <c r="CF39" s="202"/>
      <c r="CG39" s="202"/>
      <c r="CH39" s="202"/>
      <c r="CI39" s="202"/>
      <c r="CJ39" s="202"/>
      <c r="CK39" s="202"/>
      <c r="CL39" s="202"/>
      <c r="CM39" s="202"/>
      <c r="CN39" s="202"/>
      <c r="CO39" s="202"/>
      <c r="CP39" s="202"/>
      <c r="CQ39" s="202"/>
      <c r="CR39" s="202"/>
      <c r="CS39" s="202"/>
      <c r="CT39" s="202"/>
      <c r="CU39" s="202"/>
      <c r="CV39" s="202"/>
      <c r="CW39" s="202"/>
      <c r="CX39" s="202"/>
      <c r="CY39" s="202"/>
      <c r="CZ39" s="202"/>
      <c r="DA39" s="202"/>
      <c r="DB39" s="202"/>
      <c r="DC39" s="202"/>
      <c r="DD39" s="202"/>
      <c r="DE39" s="202"/>
      <c r="DF39" s="202">
        <v>3</v>
      </c>
    </row>
    <row r="40" spans="1:110">
      <c r="A40" s="205" t="s">
        <v>2073</v>
      </c>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c r="AA40" s="202"/>
      <c r="AB40" s="202"/>
      <c r="AC40" s="202"/>
      <c r="AD40" s="202"/>
      <c r="AE40" s="202"/>
      <c r="AF40" s="202"/>
      <c r="AG40" s="202"/>
      <c r="AH40" s="202"/>
      <c r="AI40" s="202">
        <v>2</v>
      </c>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c r="BO40" s="202"/>
      <c r="BP40" s="202"/>
      <c r="BQ40" s="202"/>
      <c r="BR40" s="202"/>
      <c r="BS40" s="202"/>
      <c r="BT40" s="202"/>
      <c r="BU40" s="202"/>
      <c r="BV40" s="202"/>
      <c r="BW40" s="202"/>
      <c r="BX40" s="202"/>
      <c r="BY40" s="202"/>
      <c r="BZ40" s="202"/>
      <c r="CA40" s="202"/>
      <c r="CB40" s="202"/>
      <c r="CC40" s="202"/>
      <c r="CD40" s="202"/>
      <c r="CE40" s="202"/>
      <c r="CF40" s="202"/>
      <c r="CG40" s="202"/>
      <c r="CH40" s="202"/>
      <c r="CI40" s="202"/>
      <c r="CJ40" s="202"/>
      <c r="CK40" s="202"/>
      <c r="CL40" s="202"/>
      <c r="CM40" s="202"/>
      <c r="CN40" s="202"/>
      <c r="CO40" s="202"/>
      <c r="CP40" s="202"/>
      <c r="CQ40" s="202"/>
      <c r="CR40" s="202"/>
      <c r="CS40" s="202"/>
      <c r="CT40" s="202"/>
      <c r="CU40" s="202"/>
      <c r="CV40" s="202"/>
      <c r="CW40" s="202"/>
      <c r="CX40" s="202"/>
      <c r="CY40" s="202"/>
      <c r="CZ40" s="202"/>
      <c r="DA40" s="202"/>
      <c r="DB40" s="202"/>
      <c r="DC40" s="202"/>
      <c r="DD40" s="202"/>
      <c r="DE40" s="202"/>
      <c r="DF40" s="202">
        <v>2</v>
      </c>
    </row>
    <row r="41" spans="1:110">
      <c r="A41" s="205" t="s">
        <v>3398</v>
      </c>
      <c r="B41" s="202"/>
      <c r="C41" s="202"/>
      <c r="D41" s="202"/>
      <c r="E41" s="202"/>
      <c r="F41" s="202"/>
      <c r="G41" s="202"/>
      <c r="H41" s="202"/>
      <c r="I41" s="202"/>
      <c r="J41" s="202"/>
      <c r="K41" s="202"/>
      <c r="L41" s="202"/>
      <c r="M41" s="202"/>
      <c r="N41" s="202"/>
      <c r="O41" s="202"/>
      <c r="P41" s="202"/>
      <c r="Q41" s="202"/>
      <c r="R41" s="202"/>
      <c r="S41" s="202"/>
      <c r="T41" s="202"/>
      <c r="U41" s="202">
        <v>1</v>
      </c>
      <c r="V41" s="202"/>
      <c r="W41" s="202"/>
      <c r="X41" s="202"/>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2"/>
      <c r="AU41" s="202"/>
      <c r="AV41" s="202"/>
      <c r="AW41" s="202"/>
      <c r="AX41" s="202"/>
      <c r="AY41" s="202"/>
      <c r="AZ41" s="202"/>
      <c r="BA41" s="202"/>
      <c r="BB41" s="202"/>
      <c r="BC41" s="202"/>
      <c r="BD41" s="202"/>
      <c r="BE41" s="202"/>
      <c r="BF41" s="202"/>
      <c r="BG41" s="202"/>
      <c r="BH41" s="202"/>
      <c r="BI41" s="202"/>
      <c r="BJ41" s="202"/>
      <c r="BK41" s="202"/>
      <c r="BL41" s="202"/>
      <c r="BM41" s="202"/>
      <c r="BN41" s="202"/>
      <c r="BO41" s="202"/>
      <c r="BP41" s="202"/>
      <c r="BQ41" s="202"/>
      <c r="BR41" s="202"/>
      <c r="BS41" s="202"/>
      <c r="BT41" s="202"/>
      <c r="BU41" s="202"/>
      <c r="BV41" s="202"/>
      <c r="BW41" s="202"/>
      <c r="BX41" s="202"/>
      <c r="BY41" s="202"/>
      <c r="BZ41" s="202"/>
      <c r="CA41" s="202"/>
      <c r="CB41" s="202"/>
      <c r="CC41" s="202"/>
      <c r="CD41" s="202"/>
      <c r="CE41" s="202"/>
      <c r="CF41" s="202"/>
      <c r="CG41" s="202"/>
      <c r="CH41" s="202"/>
      <c r="CI41" s="202"/>
      <c r="CJ41" s="202"/>
      <c r="CK41" s="202"/>
      <c r="CL41" s="202"/>
      <c r="CM41" s="202"/>
      <c r="CN41" s="202"/>
      <c r="CO41" s="202"/>
      <c r="CP41" s="202"/>
      <c r="CQ41" s="202"/>
      <c r="CR41" s="202"/>
      <c r="CS41" s="202"/>
      <c r="CT41" s="202"/>
      <c r="CU41" s="202"/>
      <c r="CV41" s="202"/>
      <c r="CW41" s="202"/>
      <c r="CX41" s="202"/>
      <c r="CY41" s="202"/>
      <c r="CZ41" s="202"/>
      <c r="DA41" s="202"/>
      <c r="DB41" s="202"/>
      <c r="DC41" s="202"/>
      <c r="DD41" s="202"/>
      <c r="DE41" s="202">
        <v>4</v>
      </c>
      <c r="DF41" s="202">
        <v>5</v>
      </c>
    </row>
    <row r="42" spans="1:110">
      <c r="A42" s="205" t="s">
        <v>2082</v>
      </c>
      <c r="B42" s="202"/>
      <c r="C42" s="202"/>
      <c r="D42" s="202"/>
      <c r="E42" s="202"/>
      <c r="F42" s="202"/>
      <c r="G42" s="202"/>
      <c r="H42" s="202"/>
      <c r="I42" s="202"/>
      <c r="J42" s="202"/>
      <c r="K42" s="202"/>
      <c r="L42" s="202"/>
      <c r="M42" s="202"/>
      <c r="N42" s="202"/>
      <c r="O42" s="202"/>
      <c r="P42" s="202"/>
      <c r="Q42" s="202"/>
      <c r="R42" s="202"/>
      <c r="S42" s="202"/>
      <c r="T42" s="202"/>
      <c r="U42" s="202"/>
      <c r="V42" s="202"/>
      <c r="W42" s="202"/>
      <c r="X42" s="202"/>
      <c r="Y42" s="202"/>
      <c r="Z42" s="202"/>
      <c r="AA42" s="202"/>
      <c r="AB42" s="202"/>
      <c r="AC42" s="202"/>
      <c r="AD42" s="202"/>
      <c r="AE42" s="202"/>
      <c r="AF42" s="202"/>
      <c r="AG42" s="202"/>
      <c r="AH42" s="202"/>
      <c r="AI42" s="202"/>
      <c r="AJ42" s="202"/>
      <c r="AK42" s="202"/>
      <c r="AL42" s="202">
        <v>1</v>
      </c>
      <c r="AM42" s="202"/>
      <c r="AN42" s="202"/>
      <c r="AO42" s="202"/>
      <c r="AP42" s="202"/>
      <c r="AQ42" s="202"/>
      <c r="AR42" s="202"/>
      <c r="AS42" s="202"/>
      <c r="AT42" s="202"/>
      <c r="AU42" s="202"/>
      <c r="AV42" s="202"/>
      <c r="AW42" s="202"/>
      <c r="AX42" s="202"/>
      <c r="AY42" s="202"/>
      <c r="AZ42" s="202"/>
      <c r="BA42" s="202"/>
      <c r="BB42" s="202"/>
      <c r="BC42" s="202"/>
      <c r="BD42" s="202"/>
      <c r="BE42" s="202"/>
      <c r="BF42" s="202"/>
      <c r="BG42" s="202"/>
      <c r="BH42" s="202"/>
      <c r="BI42" s="202"/>
      <c r="BJ42" s="202"/>
      <c r="BK42" s="202"/>
      <c r="BL42" s="202"/>
      <c r="BM42" s="202"/>
      <c r="BN42" s="202"/>
      <c r="BO42" s="202"/>
      <c r="BP42" s="202"/>
      <c r="BQ42" s="202"/>
      <c r="BR42" s="202"/>
      <c r="BS42" s="202"/>
      <c r="BT42" s="202"/>
      <c r="BU42" s="202"/>
      <c r="BV42" s="202"/>
      <c r="BW42" s="202"/>
      <c r="BX42" s="202"/>
      <c r="BY42" s="202"/>
      <c r="BZ42" s="202"/>
      <c r="CA42" s="202"/>
      <c r="CB42" s="202"/>
      <c r="CC42" s="202"/>
      <c r="CD42" s="202"/>
      <c r="CE42" s="202"/>
      <c r="CF42" s="202"/>
      <c r="CG42" s="202"/>
      <c r="CH42" s="202"/>
      <c r="CI42" s="202"/>
      <c r="CJ42" s="202"/>
      <c r="CK42" s="202"/>
      <c r="CL42" s="202"/>
      <c r="CM42" s="202"/>
      <c r="CN42" s="202"/>
      <c r="CO42" s="202"/>
      <c r="CP42" s="202"/>
      <c r="CQ42" s="202"/>
      <c r="CR42" s="202"/>
      <c r="CS42" s="202"/>
      <c r="CT42" s="202"/>
      <c r="CU42" s="202"/>
      <c r="CV42" s="202"/>
      <c r="CW42" s="202"/>
      <c r="CX42" s="202"/>
      <c r="CY42" s="202"/>
      <c r="CZ42" s="202"/>
      <c r="DA42" s="202"/>
      <c r="DB42" s="202"/>
      <c r="DC42" s="202"/>
      <c r="DD42" s="202"/>
      <c r="DE42" s="202"/>
      <c r="DF42" s="202">
        <v>1</v>
      </c>
    </row>
    <row r="43" spans="1:110">
      <c r="A43" s="205" t="s">
        <v>2064</v>
      </c>
      <c r="B43" s="202"/>
      <c r="C43" s="202"/>
      <c r="D43" s="202"/>
      <c r="E43" s="202"/>
      <c r="F43" s="202"/>
      <c r="G43" s="202"/>
      <c r="H43" s="202"/>
      <c r="I43" s="202"/>
      <c r="J43" s="202"/>
      <c r="K43" s="202"/>
      <c r="L43" s="202"/>
      <c r="M43" s="202"/>
      <c r="N43" s="202"/>
      <c r="O43" s="202"/>
      <c r="P43" s="202"/>
      <c r="Q43" s="202"/>
      <c r="R43" s="202"/>
      <c r="S43" s="202"/>
      <c r="T43" s="202"/>
      <c r="U43" s="202"/>
      <c r="V43" s="202"/>
      <c r="W43" s="202"/>
      <c r="X43" s="202"/>
      <c r="Y43" s="202"/>
      <c r="Z43" s="202"/>
      <c r="AA43" s="202"/>
      <c r="AB43" s="202"/>
      <c r="AC43" s="202"/>
      <c r="AD43" s="202"/>
      <c r="AE43" s="202"/>
      <c r="AF43" s="202"/>
      <c r="AG43" s="202"/>
      <c r="AH43" s="202"/>
      <c r="AI43" s="202"/>
      <c r="AJ43" s="202"/>
      <c r="AK43" s="202"/>
      <c r="AL43" s="202"/>
      <c r="AM43" s="202"/>
      <c r="AN43" s="202"/>
      <c r="AO43" s="202"/>
      <c r="AP43" s="202"/>
      <c r="AQ43" s="202"/>
      <c r="AR43" s="202"/>
      <c r="AS43" s="202"/>
      <c r="AT43" s="202"/>
      <c r="AU43" s="202"/>
      <c r="AV43" s="202"/>
      <c r="AW43" s="202"/>
      <c r="AX43" s="202"/>
      <c r="AY43" s="202"/>
      <c r="AZ43" s="202"/>
      <c r="BA43" s="202"/>
      <c r="BB43" s="202"/>
      <c r="BC43" s="202"/>
      <c r="BD43" s="202"/>
      <c r="BE43" s="202"/>
      <c r="BF43" s="202"/>
      <c r="BG43" s="202"/>
      <c r="BH43" s="202"/>
      <c r="BI43" s="202"/>
      <c r="BJ43" s="202"/>
      <c r="BK43" s="202"/>
      <c r="BL43" s="202"/>
      <c r="BM43" s="202"/>
      <c r="BN43" s="202"/>
      <c r="BO43" s="202"/>
      <c r="BP43" s="202"/>
      <c r="BQ43" s="202"/>
      <c r="BR43" s="202"/>
      <c r="BS43" s="202"/>
      <c r="BT43" s="202"/>
      <c r="BU43" s="202"/>
      <c r="BV43" s="202"/>
      <c r="BW43" s="202"/>
      <c r="BX43" s="202"/>
      <c r="BY43" s="202"/>
      <c r="BZ43" s="202"/>
      <c r="CA43" s="202"/>
      <c r="CB43" s="202"/>
      <c r="CC43" s="202"/>
      <c r="CD43" s="202"/>
      <c r="CE43" s="202"/>
      <c r="CF43" s="202"/>
      <c r="CG43" s="202"/>
      <c r="CH43" s="202"/>
      <c r="CI43" s="202"/>
      <c r="CJ43" s="202"/>
      <c r="CK43" s="202"/>
      <c r="CL43" s="202"/>
      <c r="CM43" s="202"/>
      <c r="CN43" s="202"/>
      <c r="CO43" s="202"/>
      <c r="CP43" s="202"/>
      <c r="CQ43" s="202"/>
      <c r="CR43" s="202"/>
      <c r="CS43" s="202"/>
      <c r="CT43" s="202"/>
      <c r="CU43" s="202"/>
      <c r="CV43" s="202"/>
      <c r="CW43" s="202"/>
      <c r="CX43" s="202"/>
      <c r="CY43" s="202"/>
      <c r="CZ43" s="202"/>
      <c r="DA43" s="202"/>
      <c r="DB43" s="202"/>
      <c r="DC43" s="202"/>
      <c r="DD43" s="202"/>
      <c r="DE43" s="202">
        <v>4</v>
      </c>
      <c r="DF43" s="202">
        <v>4</v>
      </c>
    </row>
    <row r="44" spans="1:110">
      <c r="A44" s="205" t="s">
        <v>2056</v>
      </c>
      <c r="B44" s="202"/>
      <c r="C44" s="202"/>
      <c r="D44" s="202"/>
      <c r="E44" s="202"/>
      <c r="F44" s="202"/>
      <c r="G44" s="202"/>
      <c r="H44" s="202"/>
      <c r="I44" s="202"/>
      <c r="J44" s="202"/>
      <c r="K44" s="202"/>
      <c r="L44" s="202"/>
      <c r="M44" s="202"/>
      <c r="N44" s="202"/>
      <c r="O44" s="202"/>
      <c r="P44" s="202"/>
      <c r="Q44" s="202"/>
      <c r="R44" s="202"/>
      <c r="S44" s="202"/>
      <c r="T44" s="202"/>
      <c r="U44" s="202"/>
      <c r="V44" s="202"/>
      <c r="W44" s="202"/>
      <c r="X44" s="202"/>
      <c r="Y44" s="202"/>
      <c r="Z44" s="202"/>
      <c r="AA44" s="202"/>
      <c r="AB44" s="202"/>
      <c r="AC44" s="202"/>
      <c r="AD44" s="202"/>
      <c r="AE44" s="202"/>
      <c r="AF44" s="202"/>
      <c r="AG44" s="202"/>
      <c r="AH44" s="202"/>
      <c r="AI44" s="202"/>
      <c r="AJ44" s="202"/>
      <c r="AK44" s="202"/>
      <c r="AL44" s="202"/>
      <c r="AM44" s="202"/>
      <c r="AN44" s="202"/>
      <c r="AO44" s="202"/>
      <c r="AP44" s="202"/>
      <c r="AQ44" s="202"/>
      <c r="AR44" s="202"/>
      <c r="AS44" s="202"/>
      <c r="AT44" s="202"/>
      <c r="AU44" s="202"/>
      <c r="AV44" s="202"/>
      <c r="AW44" s="202"/>
      <c r="AX44" s="202"/>
      <c r="AY44" s="202"/>
      <c r="AZ44" s="202"/>
      <c r="BA44" s="202"/>
      <c r="BB44" s="202"/>
      <c r="BC44" s="202"/>
      <c r="BD44" s="202"/>
      <c r="BE44" s="202"/>
      <c r="BF44" s="202"/>
      <c r="BG44" s="202"/>
      <c r="BH44" s="202"/>
      <c r="BI44" s="202"/>
      <c r="BJ44" s="202"/>
      <c r="BK44" s="202"/>
      <c r="BL44" s="202"/>
      <c r="BM44" s="202"/>
      <c r="BN44" s="202"/>
      <c r="BO44" s="202"/>
      <c r="BP44" s="202"/>
      <c r="BQ44" s="202"/>
      <c r="BR44" s="202"/>
      <c r="BS44" s="202"/>
      <c r="BT44" s="202"/>
      <c r="BU44" s="202"/>
      <c r="BV44" s="202"/>
      <c r="BW44" s="202"/>
      <c r="BX44" s="202">
        <v>4</v>
      </c>
      <c r="BY44" s="202"/>
      <c r="BZ44" s="202"/>
      <c r="CA44" s="202"/>
      <c r="CB44" s="202"/>
      <c r="CC44" s="202"/>
      <c r="CD44" s="202"/>
      <c r="CE44" s="202"/>
      <c r="CF44" s="202"/>
      <c r="CG44" s="202"/>
      <c r="CH44" s="202"/>
      <c r="CI44" s="202"/>
      <c r="CJ44" s="202"/>
      <c r="CK44" s="202"/>
      <c r="CL44" s="202"/>
      <c r="CM44" s="202"/>
      <c r="CN44" s="202"/>
      <c r="CO44" s="202"/>
      <c r="CP44" s="202"/>
      <c r="CQ44" s="202"/>
      <c r="CR44" s="202"/>
      <c r="CS44" s="202"/>
      <c r="CT44" s="202"/>
      <c r="CU44" s="202"/>
      <c r="CV44" s="202"/>
      <c r="CW44" s="202"/>
      <c r="CX44" s="202"/>
      <c r="CY44" s="202"/>
      <c r="CZ44" s="202"/>
      <c r="DA44" s="202"/>
      <c r="DB44" s="202"/>
      <c r="DC44" s="202"/>
      <c r="DD44" s="202"/>
      <c r="DE44" s="202"/>
      <c r="DF44" s="202">
        <v>4</v>
      </c>
    </row>
    <row r="45" spans="1:110">
      <c r="A45" s="205" t="s">
        <v>2445</v>
      </c>
      <c r="B45" s="202"/>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c r="AA45" s="202"/>
      <c r="AB45" s="202"/>
      <c r="AC45" s="202"/>
      <c r="AD45" s="202"/>
      <c r="AE45" s="202"/>
      <c r="AF45" s="202"/>
      <c r="AG45" s="202"/>
      <c r="AH45" s="202"/>
      <c r="AI45" s="202"/>
      <c r="AJ45" s="202"/>
      <c r="AK45" s="202"/>
      <c r="AL45" s="202"/>
      <c r="AM45" s="202"/>
      <c r="AN45" s="202"/>
      <c r="AO45" s="202"/>
      <c r="AP45" s="202"/>
      <c r="AQ45" s="202"/>
      <c r="AR45" s="202"/>
      <c r="AS45" s="202"/>
      <c r="AT45" s="202"/>
      <c r="AU45" s="202"/>
      <c r="AV45" s="202"/>
      <c r="AW45" s="202"/>
      <c r="AX45" s="202"/>
      <c r="AY45" s="202"/>
      <c r="AZ45" s="202"/>
      <c r="BA45" s="202"/>
      <c r="BB45" s="202"/>
      <c r="BC45" s="202"/>
      <c r="BD45" s="202"/>
      <c r="BE45" s="202"/>
      <c r="BF45" s="202"/>
      <c r="BG45" s="202"/>
      <c r="BH45" s="202"/>
      <c r="BI45" s="202"/>
      <c r="BJ45" s="202"/>
      <c r="BK45" s="202"/>
      <c r="BL45" s="202"/>
      <c r="BM45" s="202"/>
      <c r="BN45" s="202"/>
      <c r="BO45" s="202"/>
      <c r="BP45" s="202"/>
      <c r="BQ45" s="202"/>
      <c r="BR45" s="202"/>
      <c r="BS45" s="202"/>
      <c r="BT45" s="202"/>
      <c r="BU45" s="202"/>
      <c r="BV45" s="202"/>
      <c r="BW45" s="202"/>
      <c r="BX45" s="202"/>
      <c r="BY45" s="202"/>
      <c r="BZ45" s="202"/>
      <c r="CA45" s="202"/>
      <c r="CB45" s="202"/>
      <c r="CC45" s="202"/>
      <c r="CD45" s="202"/>
      <c r="CE45" s="202"/>
      <c r="CF45" s="202"/>
      <c r="CG45" s="202"/>
      <c r="CH45" s="202"/>
      <c r="CI45" s="202"/>
      <c r="CJ45" s="202"/>
      <c r="CK45" s="202"/>
      <c r="CL45" s="202"/>
      <c r="CM45" s="202"/>
      <c r="CN45" s="202">
        <v>1</v>
      </c>
      <c r="CO45" s="202">
        <v>1</v>
      </c>
      <c r="CP45" s="202">
        <v>1</v>
      </c>
      <c r="CQ45" s="202"/>
      <c r="CR45" s="202"/>
      <c r="CS45" s="202"/>
      <c r="CT45" s="202"/>
      <c r="CU45" s="202"/>
      <c r="CV45" s="202"/>
      <c r="CW45" s="202">
        <v>1</v>
      </c>
      <c r="CX45" s="202"/>
      <c r="CY45" s="202"/>
      <c r="CZ45" s="202"/>
      <c r="DA45" s="202"/>
      <c r="DB45" s="202"/>
      <c r="DC45" s="202"/>
      <c r="DD45" s="202"/>
      <c r="DE45" s="202">
        <v>4</v>
      </c>
      <c r="DF45" s="202">
        <v>8</v>
      </c>
    </row>
    <row r="46" spans="1:110">
      <c r="A46" s="205" t="s">
        <v>2999</v>
      </c>
      <c r="B46" s="202"/>
      <c r="C46" s="202"/>
      <c r="D46" s="202"/>
      <c r="E46" s="202"/>
      <c r="F46" s="202"/>
      <c r="G46" s="202"/>
      <c r="H46" s="202"/>
      <c r="I46" s="202"/>
      <c r="J46" s="202"/>
      <c r="K46" s="202"/>
      <c r="L46" s="202"/>
      <c r="M46" s="202"/>
      <c r="N46" s="202"/>
      <c r="O46" s="202"/>
      <c r="P46" s="202"/>
      <c r="Q46" s="202"/>
      <c r="R46" s="202"/>
      <c r="S46" s="202"/>
      <c r="T46" s="202"/>
      <c r="U46" s="202"/>
      <c r="V46" s="202"/>
      <c r="W46" s="202"/>
      <c r="X46" s="202"/>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2"/>
      <c r="AU46" s="202"/>
      <c r="AV46" s="202"/>
      <c r="AW46" s="202"/>
      <c r="AX46" s="202"/>
      <c r="AY46" s="202"/>
      <c r="AZ46" s="202"/>
      <c r="BA46" s="202"/>
      <c r="BB46" s="202"/>
      <c r="BC46" s="202"/>
      <c r="BD46" s="202"/>
      <c r="BE46" s="202"/>
      <c r="BF46" s="202"/>
      <c r="BG46" s="202"/>
      <c r="BH46" s="202"/>
      <c r="BI46" s="202"/>
      <c r="BJ46" s="202"/>
      <c r="BK46" s="202"/>
      <c r="BL46" s="202"/>
      <c r="BM46" s="202"/>
      <c r="BN46" s="202"/>
      <c r="BO46" s="202"/>
      <c r="BP46" s="202"/>
      <c r="BQ46" s="202"/>
      <c r="BR46" s="202"/>
      <c r="BS46" s="202"/>
      <c r="BT46" s="202"/>
      <c r="BU46" s="202"/>
      <c r="BV46" s="202"/>
      <c r="BW46" s="202"/>
      <c r="BX46" s="202"/>
      <c r="BY46" s="202"/>
      <c r="BZ46" s="202"/>
      <c r="CA46" s="202"/>
      <c r="CB46" s="202"/>
      <c r="CC46" s="202"/>
      <c r="CD46" s="202"/>
      <c r="CE46" s="202"/>
      <c r="CF46" s="202"/>
      <c r="CG46" s="202"/>
      <c r="CH46" s="202"/>
      <c r="CI46" s="202"/>
      <c r="CJ46" s="202"/>
      <c r="CK46" s="202"/>
      <c r="CL46" s="202"/>
      <c r="CM46" s="202"/>
      <c r="CN46" s="202"/>
      <c r="CO46" s="202"/>
      <c r="CP46" s="202"/>
      <c r="CQ46" s="202"/>
      <c r="CR46" s="202"/>
      <c r="CS46" s="202"/>
      <c r="CT46" s="202"/>
      <c r="CU46" s="202"/>
      <c r="CV46" s="202"/>
      <c r="CW46" s="202"/>
      <c r="CX46" s="202"/>
      <c r="CY46" s="202"/>
      <c r="CZ46" s="202"/>
      <c r="DA46" s="202"/>
      <c r="DB46" s="202"/>
      <c r="DC46" s="202"/>
      <c r="DD46" s="202"/>
      <c r="DE46" s="202">
        <v>1</v>
      </c>
      <c r="DF46" s="202">
        <v>1</v>
      </c>
    </row>
    <row r="47" spans="1:110">
      <c r="A47" s="205" t="s">
        <v>2076</v>
      </c>
      <c r="B47" s="202">
        <v>4</v>
      </c>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2"/>
      <c r="BG47" s="202"/>
      <c r="BH47" s="202"/>
      <c r="BI47" s="202"/>
      <c r="BJ47" s="202"/>
      <c r="BK47" s="202"/>
      <c r="BL47" s="202"/>
      <c r="BM47" s="202"/>
      <c r="BN47" s="202"/>
      <c r="BO47" s="202"/>
      <c r="BP47" s="202"/>
      <c r="BQ47" s="202"/>
      <c r="BR47" s="202"/>
      <c r="BS47" s="202"/>
      <c r="BT47" s="202"/>
      <c r="BU47" s="202"/>
      <c r="BV47" s="202"/>
      <c r="BW47" s="202"/>
      <c r="BX47" s="202"/>
      <c r="BY47" s="202"/>
      <c r="BZ47" s="202"/>
      <c r="CA47" s="202"/>
      <c r="CB47" s="202"/>
      <c r="CC47" s="202"/>
      <c r="CD47" s="202"/>
      <c r="CE47" s="202"/>
      <c r="CF47" s="202"/>
      <c r="CG47" s="202"/>
      <c r="CH47" s="202"/>
      <c r="CI47" s="202"/>
      <c r="CJ47" s="202"/>
      <c r="CK47" s="202"/>
      <c r="CL47" s="202"/>
      <c r="CM47" s="202"/>
      <c r="CN47" s="202"/>
      <c r="CO47" s="202"/>
      <c r="CP47" s="202"/>
      <c r="CQ47" s="202"/>
      <c r="CR47" s="202"/>
      <c r="CS47" s="202"/>
      <c r="CT47" s="202"/>
      <c r="CU47" s="202"/>
      <c r="CV47" s="202"/>
      <c r="CW47" s="202"/>
      <c r="CX47" s="202"/>
      <c r="CY47" s="202"/>
      <c r="CZ47" s="202"/>
      <c r="DA47" s="202"/>
      <c r="DB47" s="202"/>
      <c r="DC47" s="202"/>
      <c r="DD47" s="202"/>
      <c r="DE47" s="202"/>
      <c r="DF47" s="202">
        <v>4</v>
      </c>
    </row>
    <row r="48" spans="1:110">
      <c r="A48" s="205" t="s">
        <v>2055</v>
      </c>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2"/>
      <c r="AA48" s="202"/>
      <c r="AB48" s="202"/>
      <c r="AC48" s="202"/>
      <c r="AD48" s="202"/>
      <c r="AE48" s="202"/>
      <c r="AF48" s="202">
        <v>2</v>
      </c>
      <c r="AG48" s="202"/>
      <c r="AH48" s="202"/>
      <c r="AI48" s="202"/>
      <c r="AJ48" s="202"/>
      <c r="AK48" s="202"/>
      <c r="AL48" s="202"/>
      <c r="AM48" s="202"/>
      <c r="AN48" s="202"/>
      <c r="AO48" s="202"/>
      <c r="AP48" s="202"/>
      <c r="AQ48" s="202"/>
      <c r="AR48" s="202"/>
      <c r="AS48" s="202"/>
      <c r="AT48" s="202"/>
      <c r="AU48" s="202"/>
      <c r="AV48" s="202"/>
      <c r="AW48" s="202"/>
      <c r="AX48" s="202"/>
      <c r="AY48" s="202"/>
      <c r="AZ48" s="202"/>
      <c r="BA48" s="202"/>
      <c r="BB48" s="202"/>
      <c r="BC48" s="202"/>
      <c r="BD48" s="202"/>
      <c r="BE48" s="202"/>
      <c r="BF48" s="202"/>
      <c r="BG48" s="202"/>
      <c r="BH48" s="202"/>
      <c r="BI48" s="202"/>
      <c r="BJ48" s="202"/>
      <c r="BK48" s="202"/>
      <c r="BL48" s="202"/>
      <c r="BM48" s="202"/>
      <c r="BN48" s="202"/>
      <c r="BO48" s="202"/>
      <c r="BP48" s="202"/>
      <c r="BQ48" s="202"/>
      <c r="BR48" s="202"/>
      <c r="BS48" s="202"/>
      <c r="BT48" s="202"/>
      <c r="BU48" s="202"/>
      <c r="BV48" s="202"/>
      <c r="BW48" s="202"/>
      <c r="BX48" s="202"/>
      <c r="BY48" s="202"/>
      <c r="BZ48" s="202"/>
      <c r="CA48" s="202"/>
      <c r="CB48" s="202"/>
      <c r="CC48" s="202"/>
      <c r="CD48" s="202"/>
      <c r="CE48" s="202"/>
      <c r="CF48" s="202"/>
      <c r="CG48" s="202"/>
      <c r="CH48" s="202"/>
      <c r="CI48" s="202"/>
      <c r="CJ48" s="202"/>
      <c r="CK48" s="202"/>
      <c r="CL48" s="202"/>
      <c r="CM48" s="202"/>
      <c r="CN48" s="202"/>
      <c r="CO48" s="202"/>
      <c r="CP48" s="202"/>
      <c r="CQ48" s="202"/>
      <c r="CR48" s="202"/>
      <c r="CS48" s="202"/>
      <c r="CT48" s="202"/>
      <c r="CU48" s="202"/>
      <c r="CV48" s="202"/>
      <c r="CW48" s="202"/>
      <c r="CX48" s="202"/>
      <c r="CY48" s="202"/>
      <c r="CZ48" s="202"/>
      <c r="DA48" s="202"/>
      <c r="DB48" s="202"/>
      <c r="DC48" s="202"/>
      <c r="DD48" s="202"/>
      <c r="DE48" s="202"/>
      <c r="DF48" s="202">
        <v>2</v>
      </c>
    </row>
    <row r="49" spans="1:110">
      <c r="A49" s="205" t="s">
        <v>2065</v>
      </c>
      <c r="B49" s="202"/>
      <c r="C49" s="202"/>
      <c r="D49" s="202"/>
      <c r="E49" s="202"/>
      <c r="F49" s="202"/>
      <c r="G49" s="202"/>
      <c r="H49" s="202"/>
      <c r="I49" s="202"/>
      <c r="J49" s="202"/>
      <c r="K49" s="202"/>
      <c r="L49" s="202"/>
      <c r="M49" s="202"/>
      <c r="N49" s="202"/>
      <c r="O49" s="202"/>
      <c r="P49" s="202"/>
      <c r="Q49" s="202"/>
      <c r="R49" s="202"/>
      <c r="S49" s="202"/>
      <c r="T49" s="202"/>
      <c r="U49" s="202"/>
      <c r="V49" s="202"/>
      <c r="W49" s="202"/>
      <c r="X49" s="202"/>
      <c r="Y49" s="202"/>
      <c r="Z49" s="202"/>
      <c r="AA49" s="202"/>
      <c r="AB49" s="202"/>
      <c r="AC49" s="202"/>
      <c r="AD49" s="202"/>
      <c r="AE49" s="202"/>
      <c r="AF49" s="202"/>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2"/>
      <c r="BH49" s="202"/>
      <c r="BI49" s="202"/>
      <c r="BJ49" s="202"/>
      <c r="BK49" s="202"/>
      <c r="BL49" s="202"/>
      <c r="BM49" s="202"/>
      <c r="BN49" s="202"/>
      <c r="BO49" s="202"/>
      <c r="BP49" s="202"/>
      <c r="BQ49" s="202"/>
      <c r="BR49" s="202"/>
      <c r="BS49" s="202"/>
      <c r="BT49" s="202"/>
      <c r="BU49" s="202"/>
      <c r="BV49" s="202"/>
      <c r="BW49" s="202"/>
      <c r="BX49" s="202"/>
      <c r="BY49" s="202"/>
      <c r="BZ49" s="202"/>
      <c r="CA49" s="202"/>
      <c r="CB49" s="202"/>
      <c r="CC49" s="202"/>
      <c r="CD49" s="202"/>
      <c r="CE49" s="202"/>
      <c r="CF49" s="202"/>
      <c r="CG49" s="202"/>
      <c r="CH49" s="202"/>
      <c r="CI49" s="202"/>
      <c r="CJ49" s="202"/>
      <c r="CK49" s="202"/>
      <c r="CL49" s="202"/>
      <c r="CM49" s="202"/>
      <c r="CN49" s="202"/>
      <c r="CO49" s="202"/>
      <c r="CP49" s="202"/>
      <c r="CQ49" s="202"/>
      <c r="CR49" s="202"/>
      <c r="CS49" s="202"/>
      <c r="CT49" s="202">
        <v>9</v>
      </c>
      <c r="CU49" s="202"/>
      <c r="CV49" s="202"/>
      <c r="CW49" s="202"/>
      <c r="CX49" s="202"/>
      <c r="CY49" s="202"/>
      <c r="CZ49" s="202"/>
      <c r="DA49" s="202"/>
      <c r="DB49" s="202"/>
      <c r="DC49" s="202"/>
      <c r="DD49" s="202"/>
      <c r="DE49" s="202"/>
      <c r="DF49" s="202">
        <v>9</v>
      </c>
    </row>
    <row r="50" spans="1:110">
      <c r="A50" s="205" t="s">
        <v>2057</v>
      </c>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c r="AD50" s="202"/>
      <c r="AE50" s="202"/>
      <c r="AF50" s="202"/>
      <c r="AG50" s="202"/>
      <c r="AH50" s="202"/>
      <c r="AI50" s="202"/>
      <c r="AJ50" s="202"/>
      <c r="AK50" s="202"/>
      <c r="AL50" s="202"/>
      <c r="AM50" s="202"/>
      <c r="AN50" s="202"/>
      <c r="AO50" s="202"/>
      <c r="AP50" s="202"/>
      <c r="AQ50" s="202"/>
      <c r="AR50" s="202"/>
      <c r="AS50" s="202"/>
      <c r="AT50" s="202"/>
      <c r="AU50" s="202"/>
      <c r="AV50" s="202"/>
      <c r="AW50" s="202"/>
      <c r="AX50" s="202"/>
      <c r="AY50" s="202"/>
      <c r="AZ50" s="202"/>
      <c r="BA50" s="202"/>
      <c r="BB50" s="202"/>
      <c r="BC50" s="202"/>
      <c r="BD50" s="202"/>
      <c r="BE50" s="202"/>
      <c r="BF50" s="202"/>
      <c r="BG50" s="202"/>
      <c r="BH50" s="202"/>
      <c r="BI50" s="202"/>
      <c r="BJ50" s="202"/>
      <c r="BK50" s="202"/>
      <c r="BL50" s="202"/>
      <c r="BM50" s="202"/>
      <c r="BN50" s="202"/>
      <c r="BO50" s="202"/>
      <c r="BP50" s="202"/>
      <c r="BQ50" s="202"/>
      <c r="BR50" s="202"/>
      <c r="BS50" s="202"/>
      <c r="BT50" s="202"/>
      <c r="BU50" s="202"/>
      <c r="BV50" s="202"/>
      <c r="BW50" s="202"/>
      <c r="BX50" s="202"/>
      <c r="BY50" s="202"/>
      <c r="BZ50" s="202"/>
      <c r="CA50" s="202"/>
      <c r="CB50" s="202"/>
      <c r="CC50" s="202"/>
      <c r="CD50" s="202"/>
      <c r="CE50" s="202"/>
      <c r="CF50" s="202"/>
      <c r="CG50" s="202"/>
      <c r="CH50" s="202"/>
      <c r="CI50" s="202"/>
      <c r="CJ50" s="202"/>
      <c r="CK50" s="202"/>
      <c r="CL50" s="202"/>
      <c r="CM50" s="202"/>
      <c r="CN50" s="202"/>
      <c r="CO50" s="202"/>
      <c r="CP50" s="202"/>
      <c r="CQ50" s="202"/>
      <c r="CR50" s="202"/>
      <c r="CS50" s="202"/>
      <c r="CT50" s="202"/>
      <c r="CU50" s="202"/>
      <c r="CV50" s="202"/>
      <c r="CW50" s="202"/>
      <c r="CX50" s="202"/>
      <c r="CY50" s="202"/>
      <c r="CZ50" s="202"/>
      <c r="DA50" s="202">
        <v>8</v>
      </c>
      <c r="DB50" s="202"/>
      <c r="DC50" s="202"/>
      <c r="DD50" s="202"/>
      <c r="DE50" s="202"/>
      <c r="DF50" s="202">
        <v>8</v>
      </c>
    </row>
    <row r="51" spans="1:110">
      <c r="A51" s="205" t="s">
        <v>2084</v>
      </c>
      <c r="B51" s="202"/>
      <c r="C51" s="202"/>
      <c r="D51" s="202"/>
      <c r="E51" s="202"/>
      <c r="F51" s="202"/>
      <c r="G51" s="202"/>
      <c r="H51" s="202"/>
      <c r="I51" s="202"/>
      <c r="J51" s="202"/>
      <c r="K51" s="202"/>
      <c r="L51" s="202"/>
      <c r="M51" s="202"/>
      <c r="N51" s="202"/>
      <c r="O51" s="202"/>
      <c r="P51" s="202"/>
      <c r="Q51" s="202"/>
      <c r="R51" s="202"/>
      <c r="S51" s="202"/>
      <c r="T51" s="202"/>
      <c r="U51" s="202"/>
      <c r="V51" s="202"/>
      <c r="W51" s="202"/>
      <c r="X51" s="202"/>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2"/>
      <c r="AU51" s="202"/>
      <c r="AV51" s="202"/>
      <c r="AW51" s="202"/>
      <c r="AX51" s="202"/>
      <c r="AY51" s="202"/>
      <c r="AZ51" s="202"/>
      <c r="BA51" s="202"/>
      <c r="BB51" s="202"/>
      <c r="BC51" s="202"/>
      <c r="BD51" s="202"/>
      <c r="BE51" s="202"/>
      <c r="BF51" s="202"/>
      <c r="BG51" s="202"/>
      <c r="BH51" s="202"/>
      <c r="BI51" s="202"/>
      <c r="BJ51" s="202"/>
      <c r="BK51" s="202"/>
      <c r="BL51" s="202"/>
      <c r="BM51" s="202"/>
      <c r="BN51" s="202"/>
      <c r="BO51" s="202"/>
      <c r="BP51" s="202"/>
      <c r="BQ51" s="202"/>
      <c r="BR51" s="202"/>
      <c r="BS51" s="202"/>
      <c r="BT51" s="202"/>
      <c r="BU51" s="202"/>
      <c r="BV51" s="202">
        <v>5</v>
      </c>
      <c r="BW51" s="202"/>
      <c r="BX51" s="202"/>
      <c r="BY51" s="202"/>
      <c r="BZ51" s="202"/>
      <c r="CA51" s="202"/>
      <c r="CB51" s="202"/>
      <c r="CC51" s="202"/>
      <c r="CD51" s="202"/>
      <c r="CE51" s="202"/>
      <c r="CF51" s="202"/>
      <c r="CG51" s="202"/>
      <c r="CH51" s="202"/>
      <c r="CI51" s="202"/>
      <c r="CJ51" s="202"/>
      <c r="CK51" s="202"/>
      <c r="CL51" s="202"/>
      <c r="CM51" s="202"/>
      <c r="CN51" s="202"/>
      <c r="CO51" s="202"/>
      <c r="CP51" s="202"/>
      <c r="CQ51" s="202"/>
      <c r="CR51" s="202"/>
      <c r="CS51" s="202"/>
      <c r="CT51" s="202"/>
      <c r="CU51" s="202"/>
      <c r="CV51" s="202"/>
      <c r="CW51" s="202"/>
      <c r="CX51" s="202"/>
      <c r="CY51" s="202"/>
      <c r="CZ51" s="202"/>
      <c r="DA51" s="202"/>
      <c r="DB51" s="202"/>
      <c r="DC51" s="202"/>
      <c r="DD51" s="202"/>
      <c r="DE51" s="202"/>
      <c r="DF51" s="202">
        <v>5</v>
      </c>
    </row>
    <row r="52" spans="1:110">
      <c r="A52" s="205" t="s">
        <v>2078</v>
      </c>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c r="AA52" s="202"/>
      <c r="AB52" s="202"/>
      <c r="AC52" s="202"/>
      <c r="AD52" s="202"/>
      <c r="AE52" s="202"/>
      <c r="AF52" s="202"/>
      <c r="AG52" s="202"/>
      <c r="AH52" s="202"/>
      <c r="AI52" s="202"/>
      <c r="AJ52" s="202"/>
      <c r="AK52" s="202"/>
      <c r="AL52" s="202"/>
      <c r="AM52" s="202"/>
      <c r="AN52" s="202"/>
      <c r="AO52" s="202"/>
      <c r="AP52" s="202"/>
      <c r="AQ52" s="202"/>
      <c r="AR52" s="202"/>
      <c r="AS52" s="202"/>
      <c r="AT52" s="202"/>
      <c r="AU52" s="202"/>
      <c r="AV52" s="202"/>
      <c r="AW52" s="202"/>
      <c r="AX52" s="202"/>
      <c r="AY52" s="202"/>
      <c r="AZ52" s="202"/>
      <c r="BA52" s="202"/>
      <c r="BB52" s="202"/>
      <c r="BC52" s="202"/>
      <c r="BD52" s="202"/>
      <c r="BE52" s="202"/>
      <c r="BF52" s="202"/>
      <c r="BG52" s="202"/>
      <c r="BH52" s="202"/>
      <c r="BI52" s="202"/>
      <c r="BJ52" s="202"/>
      <c r="BK52" s="202"/>
      <c r="BL52" s="202"/>
      <c r="BM52" s="202"/>
      <c r="BN52" s="202"/>
      <c r="BO52" s="202"/>
      <c r="BP52" s="202"/>
      <c r="BQ52" s="202"/>
      <c r="BR52" s="202"/>
      <c r="BS52" s="202"/>
      <c r="BT52" s="202"/>
      <c r="BU52" s="202"/>
      <c r="BV52" s="202"/>
      <c r="BW52" s="202"/>
      <c r="BX52" s="202"/>
      <c r="BY52" s="202"/>
      <c r="BZ52" s="202"/>
      <c r="CA52" s="202"/>
      <c r="CB52" s="202"/>
      <c r="CC52" s="202"/>
      <c r="CD52" s="202"/>
      <c r="CE52" s="202"/>
      <c r="CF52" s="202"/>
      <c r="CG52" s="202">
        <v>2</v>
      </c>
      <c r="CH52" s="202"/>
      <c r="CI52" s="202"/>
      <c r="CJ52" s="202"/>
      <c r="CK52" s="202"/>
      <c r="CL52" s="202"/>
      <c r="CM52" s="202"/>
      <c r="CN52" s="202"/>
      <c r="CO52" s="202"/>
      <c r="CP52" s="202"/>
      <c r="CQ52" s="202"/>
      <c r="CR52" s="202"/>
      <c r="CS52" s="202"/>
      <c r="CT52" s="202"/>
      <c r="CU52" s="202"/>
      <c r="CV52" s="202"/>
      <c r="CW52" s="202"/>
      <c r="CX52" s="202"/>
      <c r="CY52" s="202"/>
      <c r="CZ52" s="202"/>
      <c r="DA52" s="202"/>
      <c r="DB52" s="202"/>
      <c r="DC52" s="202"/>
      <c r="DD52" s="202"/>
      <c r="DE52" s="202"/>
      <c r="DF52" s="202">
        <v>2</v>
      </c>
    </row>
    <row r="53" spans="1:110">
      <c r="A53" s="205" t="s">
        <v>2077</v>
      </c>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c r="AA53" s="202"/>
      <c r="AB53" s="202"/>
      <c r="AC53" s="202"/>
      <c r="AD53" s="202"/>
      <c r="AE53" s="202"/>
      <c r="AF53" s="202"/>
      <c r="AG53" s="202"/>
      <c r="AH53" s="202"/>
      <c r="AI53" s="202"/>
      <c r="AJ53" s="202"/>
      <c r="AK53" s="202"/>
      <c r="AL53" s="202"/>
      <c r="AM53" s="202"/>
      <c r="AN53" s="202"/>
      <c r="AO53" s="202"/>
      <c r="AP53" s="202"/>
      <c r="AQ53" s="202"/>
      <c r="AR53" s="202"/>
      <c r="AS53" s="202"/>
      <c r="AT53" s="202"/>
      <c r="AU53" s="202"/>
      <c r="AV53" s="202"/>
      <c r="AW53" s="202"/>
      <c r="AX53" s="202"/>
      <c r="AY53" s="202"/>
      <c r="AZ53" s="202"/>
      <c r="BA53" s="202"/>
      <c r="BB53" s="202"/>
      <c r="BC53" s="202"/>
      <c r="BD53" s="202"/>
      <c r="BE53" s="202"/>
      <c r="BF53" s="202"/>
      <c r="BG53" s="202"/>
      <c r="BH53" s="202"/>
      <c r="BI53" s="202"/>
      <c r="BJ53" s="202"/>
      <c r="BK53" s="202"/>
      <c r="BL53" s="202">
        <v>5</v>
      </c>
      <c r="BM53" s="202"/>
      <c r="BN53" s="202"/>
      <c r="BO53" s="202"/>
      <c r="BP53" s="202"/>
      <c r="BQ53" s="202"/>
      <c r="BR53" s="202"/>
      <c r="BS53" s="202"/>
      <c r="BT53" s="202"/>
      <c r="BU53" s="202"/>
      <c r="BV53" s="202"/>
      <c r="BW53" s="202"/>
      <c r="BX53" s="202"/>
      <c r="BY53" s="202"/>
      <c r="BZ53" s="202"/>
      <c r="CA53" s="202"/>
      <c r="CB53" s="202"/>
      <c r="CC53" s="202"/>
      <c r="CD53" s="202"/>
      <c r="CE53" s="202"/>
      <c r="CF53" s="202"/>
      <c r="CG53" s="202"/>
      <c r="CH53" s="202"/>
      <c r="CI53" s="202"/>
      <c r="CJ53" s="202"/>
      <c r="CK53" s="202"/>
      <c r="CL53" s="202"/>
      <c r="CM53" s="202"/>
      <c r="CN53" s="202"/>
      <c r="CO53" s="202"/>
      <c r="CP53" s="202"/>
      <c r="CQ53" s="202"/>
      <c r="CR53" s="202"/>
      <c r="CS53" s="202"/>
      <c r="CT53" s="202"/>
      <c r="CU53" s="202"/>
      <c r="CV53" s="202"/>
      <c r="CW53" s="202"/>
      <c r="CX53" s="202"/>
      <c r="CY53" s="202"/>
      <c r="CZ53" s="202"/>
      <c r="DA53" s="202"/>
      <c r="DB53" s="202"/>
      <c r="DC53" s="202"/>
      <c r="DD53" s="202"/>
      <c r="DE53" s="202"/>
      <c r="DF53" s="202">
        <v>5</v>
      </c>
    </row>
    <row r="54" spans="1:110">
      <c r="A54" s="205" t="s">
        <v>3399</v>
      </c>
      <c r="B54" s="202"/>
      <c r="C54" s="202"/>
      <c r="D54" s="202"/>
      <c r="E54" s="202">
        <v>4</v>
      </c>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202"/>
      <c r="BE54" s="202"/>
      <c r="BF54" s="202"/>
      <c r="BG54" s="202"/>
      <c r="BH54" s="202"/>
      <c r="BI54" s="202"/>
      <c r="BJ54" s="202"/>
      <c r="BK54" s="202"/>
      <c r="BL54" s="202"/>
      <c r="BM54" s="202"/>
      <c r="BN54" s="202"/>
      <c r="BO54" s="202"/>
      <c r="BP54" s="202"/>
      <c r="BQ54" s="202"/>
      <c r="BR54" s="202"/>
      <c r="BS54" s="202"/>
      <c r="BT54" s="202"/>
      <c r="BU54" s="202"/>
      <c r="BV54" s="202"/>
      <c r="BW54" s="202"/>
      <c r="BX54" s="202"/>
      <c r="BY54" s="202"/>
      <c r="BZ54" s="202"/>
      <c r="CA54" s="202"/>
      <c r="CB54" s="202"/>
      <c r="CC54" s="202"/>
      <c r="CD54" s="202"/>
      <c r="CE54" s="202"/>
      <c r="CF54" s="202"/>
      <c r="CG54" s="202"/>
      <c r="CH54" s="202"/>
      <c r="CI54" s="202"/>
      <c r="CJ54" s="202"/>
      <c r="CK54" s="202"/>
      <c r="CL54" s="202"/>
      <c r="CM54" s="202"/>
      <c r="CN54" s="202"/>
      <c r="CO54" s="202"/>
      <c r="CP54" s="202"/>
      <c r="CQ54" s="202"/>
      <c r="CR54" s="202"/>
      <c r="CS54" s="202"/>
      <c r="CT54" s="202"/>
      <c r="CU54" s="202"/>
      <c r="CV54" s="202"/>
      <c r="CW54" s="202"/>
      <c r="CX54" s="202"/>
      <c r="CY54" s="202"/>
      <c r="CZ54" s="202"/>
      <c r="DA54" s="202"/>
      <c r="DB54" s="202"/>
      <c r="DC54" s="202"/>
      <c r="DD54" s="202"/>
      <c r="DE54" s="202"/>
      <c r="DF54" s="202">
        <v>4</v>
      </c>
    </row>
    <row r="55" spans="1:110">
      <c r="A55" s="205" t="s">
        <v>2068</v>
      </c>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c r="BO55" s="202"/>
      <c r="BP55" s="202"/>
      <c r="BQ55" s="202"/>
      <c r="BR55" s="202"/>
      <c r="BS55" s="202"/>
      <c r="BT55" s="202"/>
      <c r="BU55" s="202"/>
      <c r="BV55" s="202"/>
      <c r="BW55" s="202"/>
      <c r="BX55" s="202"/>
      <c r="BY55" s="202"/>
      <c r="BZ55" s="202"/>
      <c r="CA55" s="202"/>
      <c r="CB55" s="202"/>
      <c r="CC55" s="202">
        <v>2</v>
      </c>
      <c r="CD55" s="202"/>
      <c r="CE55" s="202"/>
      <c r="CF55" s="202"/>
      <c r="CG55" s="202"/>
      <c r="CH55" s="202"/>
      <c r="CI55" s="202"/>
      <c r="CJ55" s="202"/>
      <c r="CK55" s="202"/>
      <c r="CL55" s="202"/>
      <c r="CM55" s="202"/>
      <c r="CN55" s="202"/>
      <c r="CO55" s="202"/>
      <c r="CP55" s="202"/>
      <c r="CQ55" s="202"/>
      <c r="CR55" s="202"/>
      <c r="CS55" s="202"/>
      <c r="CT55" s="202"/>
      <c r="CU55" s="202"/>
      <c r="CV55" s="202"/>
      <c r="CW55" s="202"/>
      <c r="CX55" s="202"/>
      <c r="CY55" s="202"/>
      <c r="CZ55" s="202"/>
      <c r="DA55" s="202"/>
      <c r="DB55" s="202"/>
      <c r="DC55" s="202"/>
      <c r="DD55" s="202"/>
      <c r="DE55" s="202"/>
      <c r="DF55" s="202">
        <v>2</v>
      </c>
    </row>
    <row r="56" spans="1:110">
      <c r="A56" s="205" t="s">
        <v>2086</v>
      </c>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c r="AA56" s="202"/>
      <c r="AB56" s="202"/>
      <c r="AC56" s="202"/>
      <c r="AD56" s="202"/>
      <c r="AE56" s="202"/>
      <c r="AF56" s="202"/>
      <c r="AG56" s="202"/>
      <c r="AH56" s="202"/>
      <c r="AI56" s="202"/>
      <c r="AJ56" s="202"/>
      <c r="AK56" s="202"/>
      <c r="AL56" s="202"/>
      <c r="AM56" s="202"/>
      <c r="AN56" s="202"/>
      <c r="AO56" s="202"/>
      <c r="AP56" s="202"/>
      <c r="AQ56" s="202"/>
      <c r="AR56" s="202"/>
      <c r="AS56" s="202"/>
      <c r="AT56" s="202"/>
      <c r="AU56" s="202"/>
      <c r="AV56" s="202"/>
      <c r="AW56" s="202"/>
      <c r="AX56" s="202"/>
      <c r="AY56" s="202"/>
      <c r="AZ56" s="202"/>
      <c r="BA56" s="202"/>
      <c r="BB56" s="202"/>
      <c r="BC56" s="202"/>
      <c r="BD56" s="202"/>
      <c r="BE56" s="202"/>
      <c r="BF56" s="202"/>
      <c r="BG56" s="202"/>
      <c r="BH56" s="202"/>
      <c r="BI56" s="202"/>
      <c r="BJ56" s="202"/>
      <c r="BK56" s="202"/>
      <c r="BL56" s="202"/>
      <c r="BM56" s="202"/>
      <c r="BN56" s="202"/>
      <c r="BO56" s="202"/>
      <c r="BP56" s="202"/>
      <c r="BQ56" s="202"/>
      <c r="BR56" s="202"/>
      <c r="BS56" s="202"/>
      <c r="BT56" s="202"/>
      <c r="BU56" s="202"/>
      <c r="BV56" s="202"/>
      <c r="BW56" s="202"/>
      <c r="BX56" s="202"/>
      <c r="BY56" s="202">
        <v>5</v>
      </c>
      <c r="BZ56" s="202"/>
      <c r="CA56" s="202"/>
      <c r="CB56" s="202"/>
      <c r="CC56" s="202"/>
      <c r="CD56" s="202"/>
      <c r="CE56" s="202"/>
      <c r="CF56" s="202"/>
      <c r="CG56" s="202"/>
      <c r="CH56" s="202"/>
      <c r="CI56" s="202"/>
      <c r="CJ56" s="202"/>
      <c r="CK56" s="202"/>
      <c r="CL56" s="202"/>
      <c r="CM56" s="202"/>
      <c r="CN56" s="202"/>
      <c r="CO56" s="202"/>
      <c r="CP56" s="202"/>
      <c r="CQ56" s="202"/>
      <c r="CR56" s="202"/>
      <c r="CS56" s="202"/>
      <c r="CT56" s="202"/>
      <c r="CU56" s="202"/>
      <c r="CV56" s="202"/>
      <c r="CW56" s="202"/>
      <c r="CX56" s="202"/>
      <c r="CY56" s="202"/>
      <c r="CZ56" s="202"/>
      <c r="DA56" s="202"/>
      <c r="DB56" s="202"/>
      <c r="DC56" s="202"/>
      <c r="DD56" s="202"/>
      <c r="DE56" s="202"/>
      <c r="DF56" s="202">
        <v>5</v>
      </c>
    </row>
    <row r="57" spans="1:110">
      <c r="A57" s="205" t="s">
        <v>2087</v>
      </c>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c r="AA57" s="202"/>
      <c r="AB57" s="202"/>
      <c r="AC57" s="202"/>
      <c r="AD57" s="202"/>
      <c r="AE57" s="202"/>
      <c r="AF57" s="202"/>
      <c r="AG57" s="202"/>
      <c r="AH57" s="202"/>
      <c r="AI57" s="202"/>
      <c r="AJ57" s="202"/>
      <c r="AK57" s="202"/>
      <c r="AL57" s="202"/>
      <c r="AM57" s="202"/>
      <c r="AN57" s="202"/>
      <c r="AO57" s="202"/>
      <c r="AP57" s="202"/>
      <c r="AQ57" s="202"/>
      <c r="AR57" s="202"/>
      <c r="AS57" s="202"/>
      <c r="AT57" s="202"/>
      <c r="AU57" s="202"/>
      <c r="AV57" s="202"/>
      <c r="AW57" s="202"/>
      <c r="AX57" s="202"/>
      <c r="AY57" s="202"/>
      <c r="AZ57" s="202"/>
      <c r="BA57" s="202"/>
      <c r="BB57" s="202"/>
      <c r="BC57" s="202"/>
      <c r="BD57" s="202"/>
      <c r="BE57" s="202"/>
      <c r="BF57" s="202"/>
      <c r="BG57" s="202"/>
      <c r="BH57" s="202"/>
      <c r="BI57" s="202"/>
      <c r="BJ57" s="202"/>
      <c r="BK57" s="202"/>
      <c r="BL57" s="202"/>
      <c r="BM57" s="202"/>
      <c r="BN57" s="202"/>
      <c r="BO57" s="202"/>
      <c r="BP57" s="202"/>
      <c r="BQ57" s="202"/>
      <c r="BR57" s="202"/>
      <c r="BS57" s="202"/>
      <c r="BT57" s="202"/>
      <c r="BU57" s="202"/>
      <c r="BV57" s="202"/>
      <c r="BW57" s="202"/>
      <c r="BX57" s="202"/>
      <c r="BY57" s="202"/>
      <c r="BZ57" s="202"/>
      <c r="CA57" s="202"/>
      <c r="CB57" s="202"/>
      <c r="CC57" s="202"/>
      <c r="CD57" s="202">
        <v>4</v>
      </c>
      <c r="CE57" s="202"/>
      <c r="CF57" s="202"/>
      <c r="CG57" s="202"/>
      <c r="CH57" s="202"/>
      <c r="CI57" s="202"/>
      <c r="CJ57" s="202"/>
      <c r="CK57" s="202"/>
      <c r="CL57" s="202"/>
      <c r="CM57" s="202"/>
      <c r="CN57" s="202"/>
      <c r="CO57" s="202"/>
      <c r="CP57" s="202"/>
      <c r="CQ57" s="202"/>
      <c r="CR57" s="202"/>
      <c r="CS57" s="202"/>
      <c r="CT57" s="202"/>
      <c r="CU57" s="202"/>
      <c r="CV57" s="202"/>
      <c r="CW57" s="202"/>
      <c r="CX57" s="202"/>
      <c r="CY57" s="202"/>
      <c r="CZ57" s="202"/>
      <c r="DA57" s="202"/>
      <c r="DB57" s="202"/>
      <c r="DC57" s="202"/>
      <c r="DD57" s="202"/>
      <c r="DE57" s="202"/>
      <c r="DF57" s="202">
        <v>4</v>
      </c>
    </row>
    <row r="58" spans="1:110">
      <c r="A58" s="205" t="s">
        <v>2060</v>
      </c>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c r="AA58" s="202"/>
      <c r="AB58" s="202"/>
      <c r="AC58" s="202"/>
      <c r="AD58" s="202"/>
      <c r="AE58" s="202">
        <v>1</v>
      </c>
      <c r="AF58" s="202"/>
      <c r="AG58" s="202"/>
      <c r="AH58" s="202"/>
      <c r="AI58" s="202"/>
      <c r="AJ58" s="202"/>
      <c r="AK58" s="202"/>
      <c r="AL58" s="202"/>
      <c r="AM58" s="202"/>
      <c r="AN58" s="202"/>
      <c r="AO58" s="202"/>
      <c r="AP58" s="202"/>
      <c r="AQ58" s="202"/>
      <c r="AR58" s="202"/>
      <c r="AS58" s="202"/>
      <c r="AT58" s="202"/>
      <c r="AU58" s="202"/>
      <c r="AV58" s="202"/>
      <c r="AW58" s="202"/>
      <c r="AX58" s="202"/>
      <c r="AY58" s="202"/>
      <c r="AZ58" s="202"/>
      <c r="BA58" s="202"/>
      <c r="BB58" s="202"/>
      <c r="BC58" s="202"/>
      <c r="BD58" s="202"/>
      <c r="BE58" s="202"/>
      <c r="BF58" s="202"/>
      <c r="BG58" s="202"/>
      <c r="BH58" s="202"/>
      <c r="BI58" s="202"/>
      <c r="BJ58" s="202"/>
      <c r="BK58" s="202"/>
      <c r="BL58" s="202"/>
      <c r="BM58" s="202"/>
      <c r="BN58" s="202"/>
      <c r="BO58" s="202"/>
      <c r="BP58" s="202"/>
      <c r="BQ58" s="202"/>
      <c r="BR58" s="202"/>
      <c r="BS58" s="202"/>
      <c r="BT58" s="202"/>
      <c r="BU58" s="202"/>
      <c r="BV58" s="202"/>
      <c r="BW58" s="202"/>
      <c r="BX58" s="202"/>
      <c r="BY58" s="202"/>
      <c r="BZ58" s="202"/>
      <c r="CA58" s="202"/>
      <c r="CB58" s="202"/>
      <c r="CC58" s="202"/>
      <c r="CD58" s="202"/>
      <c r="CE58" s="202"/>
      <c r="CF58" s="202"/>
      <c r="CG58" s="202"/>
      <c r="CH58" s="202"/>
      <c r="CI58" s="202"/>
      <c r="CJ58" s="202"/>
      <c r="CK58" s="202"/>
      <c r="CL58" s="202"/>
      <c r="CM58" s="202"/>
      <c r="CN58" s="202"/>
      <c r="CO58" s="202"/>
      <c r="CP58" s="202"/>
      <c r="CQ58" s="202"/>
      <c r="CR58" s="202"/>
      <c r="CS58" s="202"/>
      <c r="CT58" s="202"/>
      <c r="CU58" s="202"/>
      <c r="CV58" s="202"/>
      <c r="CW58" s="202"/>
      <c r="CX58" s="202"/>
      <c r="CY58" s="202"/>
      <c r="CZ58" s="202"/>
      <c r="DA58" s="202"/>
      <c r="DB58" s="202"/>
      <c r="DC58" s="202"/>
      <c r="DD58" s="202"/>
      <c r="DE58" s="202"/>
      <c r="DF58" s="202">
        <v>1</v>
      </c>
    </row>
    <row r="59" spans="1:110">
      <c r="A59" s="205" t="s">
        <v>2081</v>
      </c>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2"/>
      <c r="AV59" s="202"/>
      <c r="AW59" s="202"/>
      <c r="AX59" s="202"/>
      <c r="AY59" s="202"/>
      <c r="AZ59" s="202"/>
      <c r="BA59" s="202"/>
      <c r="BB59" s="202"/>
      <c r="BC59" s="202"/>
      <c r="BD59" s="202"/>
      <c r="BE59" s="202"/>
      <c r="BF59" s="202"/>
      <c r="BG59" s="202"/>
      <c r="BH59" s="202"/>
      <c r="BI59" s="202"/>
      <c r="BJ59" s="202"/>
      <c r="BK59" s="202"/>
      <c r="BL59" s="202"/>
      <c r="BM59" s="202"/>
      <c r="BN59" s="202"/>
      <c r="BO59" s="202"/>
      <c r="BP59" s="202"/>
      <c r="BQ59" s="202"/>
      <c r="BR59" s="202"/>
      <c r="BS59" s="202"/>
      <c r="BT59" s="202"/>
      <c r="BU59" s="202"/>
      <c r="BV59" s="202"/>
      <c r="BW59" s="202"/>
      <c r="BX59" s="202"/>
      <c r="BY59" s="202"/>
      <c r="BZ59" s="202"/>
      <c r="CA59" s="202"/>
      <c r="CB59" s="202"/>
      <c r="CC59" s="202"/>
      <c r="CD59" s="202"/>
      <c r="CE59" s="202"/>
      <c r="CF59" s="202"/>
      <c r="CG59" s="202"/>
      <c r="CH59" s="202"/>
      <c r="CI59" s="202"/>
      <c r="CJ59" s="202"/>
      <c r="CK59" s="202"/>
      <c r="CL59" s="202"/>
      <c r="CM59" s="202"/>
      <c r="CN59" s="202"/>
      <c r="CO59" s="202"/>
      <c r="CP59" s="202"/>
      <c r="CQ59" s="202"/>
      <c r="CR59" s="202"/>
      <c r="CS59" s="202"/>
      <c r="CT59" s="202"/>
      <c r="CU59" s="202">
        <v>4</v>
      </c>
      <c r="CV59" s="202"/>
      <c r="CW59" s="202"/>
      <c r="CX59" s="202"/>
      <c r="CY59" s="202"/>
      <c r="CZ59" s="202"/>
      <c r="DA59" s="202"/>
      <c r="DB59" s="202"/>
      <c r="DC59" s="202"/>
      <c r="DD59" s="202"/>
      <c r="DE59" s="202"/>
      <c r="DF59" s="202">
        <v>4</v>
      </c>
    </row>
    <row r="60" spans="1:110">
      <c r="A60" s="205" t="s">
        <v>2083</v>
      </c>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2"/>
      <c r="AU60" s="202"/>
      <c r="AV60" s="202"/>
      <c r="AW60" s="202"/>
      <c r="AX60" s="202"/>
      <c r="AY60" s="202"/>
      <c r="AZ60" s="202"/>
      <c r="BA60" s="202"/>
      <c r="BB60" s="202"/>
      <c r="BC60" s="202"/>
      <c r="BD60" s="202"/>
      <c r="BE60" s="202"/>
      <c r="BF60" s="202"/>
      <c r="BG60" s="202"/>
      <c r="BH60" s="202"/>
      <c r="BI60" s="202"/>
      <c r="BJ60" s="202"/>
      <c r="BK60" s="202"/>
      <c r="BL60" s="202"/>
      <c r="BM60" s="202"/>
      <c r="BN60" s="202"/>
      <c r="BO60" s="202"/>
      <c r="BP60" s="202"/>
      <c r="BQ60" s="202"/>
      <c r="BR60" s="202"/>
      <c r="BS60" s="202">
        <v>4</v>
      </c>
      <c r="BT60" s="202"/>
      <c r="BU60" s="202"/>
      <c r="BV60" s="202"/>
      <c r="BW60" s="202"/>
      <c r="BX60" s="202"/>
      <c r="BY60" s="202"/>
      <c r="BZ60" s="202"/>
      <c r="CA60" s="202"/>
      <c r="CB60" s="202"/>
      <c r="CC60" s="202"/>
      <c r="CD60" s="202"/>
      <c r="CE60" s="202"/>
      <c r="CF60" s="202"/>
      <c r="CG60" s="202"/>
      <c r="CH60" s="202"/>
      <c r="CI60" s="202"/>
      <c r="CJ60" s="202"/>
      <c r="CK60" s="202"/>
      <c r="CL60" s="202"/>
      <c r="CM60" s="202"/>
      <c r="CN60" s="202"/>
      <c r="CO60" s="202"/>
      <c r="CP60" s="202"/>
      <c r="CQ60" s="202"/>
      <c r="CR60" s="202"/>
      <c r="CS60" s="202"/>
      <c r="CT60" s="202"/>
      <c r="CU60" s="202"/>
      <c r="CV60" s="202"/>
      <c r="CW60" s="202"/>
      <c r="CX60" s="202"/>
      <c r="CY60" s="202"/>
      <c r="CZ60" s="202"/>
      <c r="DA60" s="202"/>
      <c r="DB60" s="202"/>
      <c r="DC60" s="202"/>
      <c r="DD60" s="202"/>
      <c r="DE60" s="202"/>
      <c r="DF60" s="202">
        <v>4</v>
      </c>
    </row>
    <row r="61" spans="1:110">
      <c r="A61" s="205" t="s">
        <v>2054</v>
      </c>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c r="AA61" s="202"/>
      <c r="AB61" s="202"/>
      <c r="AC61" s="202"/>
      <c r="AD61" s="202"/>
      <c r="AE61" s="202"/>
      <c r="AF61" s="202"/>
      <c r="AG61" s="202"/>
      <c r="AH61" s="202"/>
      <c r="AI61" s="202"/>
      <c r="AJ61" s="202"/>
      <c r="AK61" s="202"/>
      <c r="AL61" s="202"/>
      <c r="AM61" s="202"/>
      <c r="AN61" s="202"/>
      <c r="AO61" s="202"/>
      <c r="AP61" s="202"/>
      <c r="AQ61" s="202"/>
      <c r="AR61" s="202"/>
      <c r="AS61" s="202"/>
      <c r="AT61" s="202"/>
      <c r="AU61" s="202"/>
      <c r="AV61" s="202"/>
      <c r="AW61" s="202"/>
      <c r="AX61" s="202"/>
      <c r="AY61" s="202"/>
      <c r="AZ61" s="202"/>
      <c r="BA61" s="202"/>
      <c r="BB61" s="202"/>
      <c r="BC61" s="202"/>
      <c r="BD61" s="202"/>
      <c r="BE61" s="202"/>
      <c r="BF61" s="202"/>
      <c r="BG61" s="202"/>
      <c r="BH61" s="202"/>
      <c r="BI61" s="202"/>
      <c r="BJ61" s="202"/>
      <c r="BK61" s="202"/>
      <c r="BL61" s="202"/>
      <c r="BM61" s="202"/>
      <c r="BN61" s="202"/>
      <c r="BO61" s="202"/>
      <c r="BP61" s="202"/>
      <c r="BQ61" s="202"/>
      <c r="BR61" s="202"/>
      <c r="BS61" s="202"/>
      <c r="BT61" s="202"/>
      <c r="BU61" s="202"/>
      <c r="BV61" s="202"/>
      <c r="BW61" s="202"/>
      <c r="BX61" s="202"/>
      <c r="BY61" s="202"/>
      <c r="BZ61" s="202"/>
      <c r="CA61" s="202"/>
      <c r="CB61" s="202"/>
      <c r="CC61" s="202"/>
      <c r="CD61" s="202"/>
      <c r="CE61" s="202"/>
      <c r="CF61" s="202"/>
      <c r="CG61" s="202"/>
      <c r="CH61" s="202"/>
      <c r="CI61" s="202"/>
      <c r="CJ61" s="202"/>
      <c r="CK61" s="202"/>
      <c r="CL61" s="202"/>
      <c r="CM61" s="202"/>
      <c r="CN61" s="202"/>
      <c r="CO61" s="202"/>
      <c r="CP61" s="202"/>
      <c r="CQ61" s="202"/>
      <c r="CR61" s="202"/>
      <c r="CS61" s="202"/>
      <c r="CT61" s="202"/>
      <c r="CU61" s="202"/>
      <c r="CV61" s="202"/>
      <c r="CW61" s="202"/>
      <c r="CX61" s="202"/>
      <c r="CY61" s="202"/>
      <c r="CZ61" s="202"/>
      <c r="DA61" s="202"/>
      <c r="DB61" s="202"/>
      <c r="DC61" s="202"/>
      <c r="DD61" s="202"/>
      <c r="DE61" s="202">
        <v>2</v>
      </c>
      <c r="DF61" s="202">
        <v>2</v>
      </c>
    </row>
    <row r="62" spans="1:110">
      <c r="A62" s="205" t="s">
        <v>2070</v>
      </c>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c r="AA62" s="202"/>
      <c r="AB62" s="202"/>
      <c r="AC62" s="202"/>
      <c r="AD62" s="202"/>
      <c r="AE62" s="202"/>
      <c r="AF62" s="202"/>
      <c r="AG62" s="202"/>
      <c r="AH62" s="202"/>
      <c r="AI62" s="202"/>
      <c r="AJ62" s="202"/>
      <c r="AK62" s="202"/>
      <c r="AL62" s="202"/>
      <c r="AM62" s="202"/>
      <c r="AN62" s="202"/>
      <c r="AO62" s="202"/>
      <c r="AP62" s="202"/>
      <c r="AQ62" s="202"/>
      <c r="AR62" s="202"/>
      <c r="AS62" s="202"/>
      <c r="AT62" s="202"/>
      <c r="AU62" s="202"/>
      <c r="AV62" s="202"/>
      <c r="AW62" s="202"/>
      <c r="AX62" s="202"/>
      <c r="AY62" s="202"/>
      <c r="AZ62" s="202"/>
      <c r="BA62" s="202"/>
      <c r="BB62" s="202"/>
      <c r="BC62" s="202"/>
      <c r="BD62" s="202"/>
      <c r="BE62" s="202"/>
      <c r="BF62" s="202"/>
      <c r="BG62" s="202"/>
      <c r="BH62" s="202"/>
      <c r="BI62" s="202"/>
      <c r="BJ62" s="202"/>
      <c r="BK62" s="202"/>
      <c r="BL62" s="202"/>
      <c r="BM62" s="202"/>
      <c r="BN62" s="202"/>
      <c r="BO62" s="202"/>
      <c r="BP62" s="202"/>
      <c r="BQ62" s="202"/>
      <c r="BR62" s="202"/>
      <c r="BS62" s="202"/>
      <c r="BT62" s="202">
        <v>4</v>
      </c>
      <c r="BU62" s="202"/>
      <c r="BV62" s="202"/>
      <c r="BW62" s="202"/>
      <c r="BX62" s="202"/>
      <c r="BY62" s="202"/>
      <c r="BZ62" s="202"/>
      <c r="CA62" s="202"/>
      <c r="CB62" s="202"/>
      <c r="CC62" s="202"/>
      <c r="CD62" s="202"/>
      <c r="CE62" s="202"/>
      <c r="CF62" s="202"/>
      <c r="CG62" s="202"/>
      <c r="CH62" s="202"/>
      <c r="CI62" s="202"/>
      <c r="CJ62" s="202"/>
      <c r="CK62" s="202"/>
      <c r="CL62" s="202"/>
      <c r="CM62" s="202"/>
      <c r="CN62" s="202"/>
      <c r="CO62" s="202"/>
      <c r="CP62" s="202"/>
      <c r="CQ62" s="202"/>
      <c r="CR62" s="202"/>
      <c r="CS62" s="202"/>
      <c r="CT62" s="202"/>
      <c r="CU62" s="202"/>
      <c r="CV62" s="202"/>
      <c r="CW62" s="202"/>
      <c r="CX62" s="202"/>
      <c r="CY62" s="202"/>
      <c r="CZ62" s="202"/>
      <c r="DA62" s="202"/>
      <c r="DB62" s="202"/>
      <c r="DC62" s="202"/>
      <c r="DD62" s="202"/>
      <c r="DE62" s="202"/>
      <c r="DF62" s="202">
        <v>4</v>
      </c>
    </row>
    <row r="63" spans="1:110">
      <c r="A63" s="205" t="s">
        <v>2071</v>
      </c>
      <c r="B63" s="202"/>
      <c r="C63" s="202"/>
      <c r="D63" s="202">
        <v>4</v>
      </c>
      <c r="E63" s="202"/>
      <c r="F63" s="202"/>
      <c r="G63" s="202"/>
      <c r="H63" s="202"/>
      <c r="I63" s="202"/>
      <c r="J63" s="202"/>
      <c r="K63" s="202"/>
      <c r="L63" s="202"/>
      <c r="M63" s="202"/>
      <c r="N63" s="202"/>
      <c r="O63" s="202"/>
      <c r="P63" s="202"/>
      <c r="Q63" s="202"/>
      <c r="R63" s="202"/>
      <c r="S63" s="202"/>
      <c r="T63" s="202"/>
      <c r="U63" s="202"/>
      <c r="V63" s="202"/>
      <c r="W63" s="202"/>
      <c r="X63" s="202"/>
      <c r="Y63" s="202"/>
      <c r="Z63" s="202"/>
      <c r="AA63" s="202"/>
      <c r="AB63" s="202"/>
      <c r="AC63" s="202"/>
      <c r="AD63" s="202"/>
      <c r="AE63" s="202"/>
      <c r="AF63" s="202"/>
      <c r="AG63" s="202"/>
      <c r="AH63" s="202"/>
      <c r="AI63" s="202"/>
      <c r="AJ63" s="202"/>
      <c r="AK63" s="202"/>
      <c r="AL63" s="202"/>
      <c r="AM63" s="202"/>
      <c r="AN63" s="202"/>
      <c r="AO63" s="202"/>
      <c r="AP63" s="202"/>
      <c r="AQ63" s="202"/>
      <c r="AR63" s="202"/>
      <c r="AS63" s="202"/>
      <c r="AT63" s="202"/>
      <c r="AU63" s="202"/>
      <c r="AV63" s="202"/>
      <c r="AW63" s="202"/>
      <c r="AX63" s="202"/>
      <c r="AY63" s="202"/>
      <c r="AZ63" s="202"/>
      <c r="BA63" s="202"/>
      <c r="BB63" s="202"/>
      <c r="BC63" s="202"/>
      <c r="BD63" s="202"/>
      <c r="BE63" s="202"/>
      <c r="BF63" s="202"/>
      <c r="BG63" s="202"/>
      <c r="BH63" s="202"/>
      <c r="BI63" s="202"/>
      <c r="BJ63" s="202"/>
      <c r="BK63" s="202"/>
      <c r="BL63" s="202"/>
      <c r="BM63" s="202"/>
      <c r="BN63" s="202"/>
      <c r="BO63" s="202"/>
      <c r="BP63" s="202"/>
      <c r="BQ63" s="202"/>
      <c r="BR63" s="202"/>
      <c r="BS63" s="202"/>
      <c r="BT63" s="202"/>
      <c r="BU63" s="202"/>
      <c r="BV63" s="202"/>
      <c r="BW63" s="202"/>
      <c r="BX63" s="202"/>
      <c r="BY63" s="202"/>
      <c r="BZ63" s="202"/>
      <c r="CA63" s="202"/>
      <c r="CB63" s="202"/>
      <c r="CC63" s="202"/>
      <c r="CD63" s="202"/>
      <c r="CE63" s="202"/>
      <c r="CF63" s="202"/>
      <c r="CG63" s="202"/>
      <c r="CH63" s="202"/>
      <c r="CI63" s="202"/>
      <c r="CJ63" s="202"/>
      <c r="CK63" s="202"/>
      <c r="CL63" s="202"/>
      <c r="CM63" s="202"/>
      <c r="CN63" s="202"/>
      <c r="CO63" s="202"/>
      <c r="CP63" s="202"/>
      <c r="CQ63" s="202"/>
      <c r="CR63" s="202"/>
      <c r="CS63" s="202"/>
      <c r="CT63" s="202"/>
      <c r="CU63" s="202"/>
      <c r="CV63" s="202"/>
      <c r="CW63" s="202"/>
      <c r="CX63" s="202"/>
      <c r="CY63" s="202"/>
      <c r="CZ63" s="202"/>
      <c r="DA63" s="202"/>
      <c r="DB63" s="202"/>
      <c r="DC63" s="202"/>
      <c r="DD63" s="202"/>
      <c r="DE63" s="202"/>
      <c r="DF63" s="202">
        <v>4</v>
      </c>
    </row>
    <row r="64" spans="1:110">
      <c r="A64" s="205" t="s">
        <v>3400</v>
      </c>
      <c r="B64" s="202"/>
      <c r="C64" s="202"/>
      <c r="D64" s="202"/>
      <c r="E64" s="202"/>
      <c r="F64" s="202"/>
      <c r="G64" s="202"/>
      <c r="H64" s="202"/>
      <c r="I64" s="202"/>
      <c r="J64" s="202"/>
      <c r="K64" s="202"/>
      <c r="L64" s="202"/>
      <c r="M64" s="202"/>
      <c r="N64" s="202"/>
      <c r="O64" s="202"/>
      <c r="P64" s="202"/>
      <c r="Q64" s="202"/>
      <c r="R64" s="202"/>
      <c r="S64" s="202"/>
      <c r="T64" s="202"/>
      <c r="U64" s="202"/>
      <c r="V64" s="202"/>
      <c r="W64" s="202"/>
      <c r="X64" s="202"/>
      <c r="Y64" s="202"/>
      <c r="Z64" s="202"/>
      <c r="AA64" s="202"/>
      <c r="AB64" s="202"/>
      <c r="AC64" s="202"/>
      <c r="AD64" s="202"/>
      <c r="AE64" s="202"/>
      <c r="AF64" s="202"/>
      <c r="AG64" s="202"/>
      <c r="AH64" s="202"/>
      <c r="AI64" s="202"/>
      <c r="AJ64" s="202"/>
      <c r="AK64" s="202"/>
      <c r="AL64" s="202"/>
      <c r="AM64" s="202"/>
      <c r="AN64" s="202"/>
      <c r="AO64" s="202"/>
      <c r="AP64" s="202"/>
      <c r="AQ64" s="202"/>
      <c r="AR64" s="202"/>
      <c r="AS64" s="202"/>
      <c r="AT64" s="202"/>
      <c r="AU64" s="202"/>
      <c r="AV64" s="202"/>
      <c r="AW64" s="202"/>
      <c r="AX64" s="202"/>
      <c r="AY64" s="202"/>
      <c r="AZ64" s="202"/>
      <c r="BA64" s="202"/>
      <c r="BB64" s="202"/>
      <c r="BC64" s="202"/>
      <c r="BD64" s="202"/>
      <c r="BE64" s="202"/>
      <c r="BF64" s="202"/>
      <c r="BG64" s="202"/>
      <c r="BH64" s="202"/>
      <c r="BI64" s="202"/>
      <c r="BJ64" s="202"/>
      <c r="BK64" s="202"/>
      <c r="BL64" s="202"/>
      <c r="BM64" s="202"/>
      <c r="BN64" s="202"/>
      <c r="BO64" s="202"/>
      <c r="BP64" s="202"/>
      <c r="BQ64" s="202"/>
      <c r="BR64" s="202"/>
      <c r="BS64" s="202"/>
      <c r="BT64" s="202"/>
      <c r="BU64" s="202"/>
      <c r="BV64" s="202"/>
      <c r="BW64" s="202"/>
      <c r="BX64" s="202"/>
      <c r="BY64" s="202"/>
      <c r="BZ64" s="202"/>
      <c r="CA64" s="202"/>
      <c r="CB64" s="202"/>
      <c r="CC64" s="202"/>
      <c r="CD64" s="202"/>
      <c r="CE64" s="202"/>
      <c r="CF64" s="202"/>
      <c r="CG64" s="202"/>
      <c r="CH64" s="202"/>
      <c r="CI64" s="202"/>
      <c r="CJ64" s="202"/>
      <c r="CK64" s="202"/>
      <c r="CL64" s="202"/>
      <c r="CM64" s="202">
        <v>4</v>
      </c>
      <c r="CN64" s="202"/>
      <c r="CO64" s="202"/>
      <c r="CP64" s="202"/>
      <c r="CQ64" s="202"/>
      <c r="CR64" s="202"/>
      <c r="CS64" s="202"/>
      <c r="CT64" s="202"/>
      <c r="CU64" s="202"/>
      <c r="CV64" s="202"/>
      <c r="CW64" s="202"/>
      <c r="CX64" s="202"/>
      <c r="CY64" s="202"/>
      <c r="CZ64" s="202"/>
      <c r="DA64" s="202"/>
      <c r="DB64" s="202"/>
      <c r="DC64" s="202"/>
      <c r="DD64" s="202"/>
      <c r="DE64" s="202"/>
      <c r="DF64" s="202">
        <v>4</v>
      </c>
    </row>
    <row r="65" spans="1:110">
      <c r="A65" s="205" t="s">
        <v>2069</v>
      </c>
      <c r="B65" s="202"/>
      <c r="C65" s="202"/>
      <c r="D65" s="202"/>
      <c r="E65" s="202"/>
      <c r="F65" s="202"/>
      <c r="G65" s="202"/>
      <c r="H65" s="202"/>
      <c r="I65" s="202"/>
      <c r="J65" s="202"/>
      <c r="K65" s="202"/>
      <c r="L65" s="202"/>
      <c r="M65" s="202"/>
      <c r="N65" s="202"/>
      <c r="O65" s="202"/>
      <c r="P65" s="202"/>
      <c r="Q65" s="202"/>
      <c r="R65" s="202"/>
      <c r="S65" s="202"/>
      <c r="T65" s="202"/>
      <c r="U65" s="202"/>
      <c r="V65" s="202"/>
      <c r="W65" s="202"/>
      <c r="X65" s="202"/>
      <c r="Y65" s="202"/>
      <c r="Z65" s="202"/>
      <c r="AA65" s="202"/>
      <c r="AB65" s="202"/>
      <c r="AC65" s="202"/>
      <c r="AD65" s="202"/>
      <c r="AE65" s="202"/>
      <c r="AF65" s="202"/>
      <c r="AG65" s="202"/>
      <c r="AH65" s="202"/>
      <c r="AI65" s="202"/>
      <c r="AJ65" s="202"/>
      <c r="AK65" s="202"/>
      <c r="AL65" s="202"/>
      <c r="AM65" s="202"/>
      <c r="AN65" s="202"/>
      <c r="AO65" s="202"/>
      <c r="AP65" s="202"/>
      <c r="AQ65" s="202"/>
      <c r="AR65" s="202"/>
      <c r="AS65" s="202"/>
      <c r="AT65" s="202"/>
      <c r="AU65" s="202"/>
      <c r="AV65" s="202"/>
      <c r="AW65" s="202"/>
      <c r="AX65" s="202"/>
      <c r="AY65" s="202"/>
      <c r="AZ65" s="202"/>
      <c r="BA65" s="202"/>
      <c r="BB65" s="202"/>
      <c r="BC65" s="202"/>
      <c r="BD65" s="202"/>
      <c r="BE65" s="202"/>
      <c r="BF65" s="202"/>
      <c r="BG65" s="202"/>
      <c r="BH65" s="202"/>
      <c r="BI65" s="202"/>
      <c r="BJ65" s="202"/>
      <c r="BK65" s="202"/>
      <c r="BL65" s="202"/>
      <c r="BM65" s="202"/>
      <c r="BN65" s="202"/>
      <c r="BO65" s="202"/>
      <c r="BP65" s="202"/>
      <c r="BQ65" s="202"/>
      <c r="BR65" s="202"/>
      <c r="BS65" s="202"/>
      <c r="BT65" s="202"/>
      <c r="BU65" s="202"/>
      <c r="BV65" s="202"/>
      <c r="BW65" s="202"/>
      <c r="BX65" s="202"/>
      <c r="BY65" s="202"/>
      <c r="BZ65" s="202"/>
      <c r="CA65" s="202"/>
      <c r="CB65" s="202"/>
      <c r="CC65" s="202"/>
      <c r="CD65" s="202"/>
      <c r="CE65" s="202"/>
      <c r="CF65" s="202"/>
      <c r="CG65" s="202"/>
      <c r="CH65" s="202"/>
      <c r="CI65" s="202"/>
      <c r="CJ65" s="202"/>
      <c r="CK65" s="202"/>
      <c r="CL65" s="202"/>
      <c r="CM65" s="202"/>
      <c r="CN65" s="202"/>
      <c r="CO65" s="202"/>
      <c r="CP65" s="202"/>
      <c r="CQ65" s="202"/>
      <c r="CR65" s="202">
        <v>5</v>
      </c>
      <c r="CS65" s="202"/>
      <c r="CT65" s="202"/>
      <c r="CU65" s="202"/>
      <c r="CV65" s="202"/>
      <c r="CW65" s="202"/>
      <c r="CX65" s="202"/>
      <c r="CY65" s="202"/>
      <c r="CZ65" s="202"/>
      <c r="DA65" s="202"/>
      <c r="DB65" s="202"/>
      <c r="DC65" s="202"/>
      <c r="DD65" s="202"/>
      <c r="DE65" s="202"/>
      <c r="DF65" s="202">
        <v>5</v>
      </c>
    </row>
    <row r="66" spans="1:110">
      <c r="A66" s="205" t="s">
        <v>3105</v>
      </c>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c r="AA66" s="202"/>
      <c r="AB66" s="202"/>
      <c r="AC66" s="202"/>
      <c r="AD66" s="202"/>
      <c r="AE66" s="202"/>
      <c r="AF66" s="202"/>
      <c r="AG66" s="202"/>
      <c r="AH66" s="202"/>
      <c r="AI66" s="202"/>
      <c r="AJ66" s="202"/>
      <c r="AK66" s="202"/>
      <c r="AL66" s="202"/>
      <c r="AM66" s="202"/>
      <c r="AN66" s="202"/>
      <c r="AO66" s="202">
        <v>1</v>
      </c>
      <c r="AP66" s="202"/>
      <c r="AQ66" s="202"/>
      <c r="AR66" s="202"/>
      <c r="AS66" s="202"/>
      <c r="AT66" s="202"/>
      <c r="AU66" s="202"/>
      <c r="AV66" s="202"/>
      <c r="AW66" s="202"/>
      <c r="AX66" s="202"/>
      <c r="AY66" s="202"/>
      <c r="AZ66" s="202"/>
      <c r="BA66" s="202"/>
      <c r="BB66" s="202"/>
      <c r="BC66" s="202"/>
      <c r="BD66" s="202"/>
      <c r="BE66" s="202"/>
      <c r="BF66" s="202"/>
      <c r="BG66" s="202"/>
      <c r="BH66" s="202"/>
      <c r="BI66" s="202"/>
      <c r="BJ66" s="202"/>
      <c r="BK66" s="202"/>
      <c r="BL66" s="202"/>
      <c r="BM66" s="202"/>
      <c r="BN66" s="202"/>
      <c r="BO66" s="202"/>
      <c r="BP66" s="202"/>
      <c r="BQ66" s="202"/>
      <c r="BR66" s="202"/>
      <c r="BS66" s="202"/>
      <c r="BT66" s="202"/>
      <c r="BU66" s="202"/>
      <c r="BV66" s="202"/>
      <c r="BW66" s="202"/>
      <c r="BX66" s="202"/>
      <c r="BY66" s="202"/>
      <c r="BZ66" s="202"/>
      <c r="CA66" s="202"/>
      <c r="CB66" s="202"/>
      <c r="CC66" s="202"/>
      <c r="CD66" s="202"/>
      <c r="CE66" s="202"/>
      <c r="CF66" s="202"/>
      <c r="CG66" s="202"/>
      <c r="CH66" s="202"/>
      <c r="CI66" s="202"/>
      <c r="CJ66" s="202"/>
      <c r="CK66" s="202"/>
      <c r="CL66" s="202"/>
      <c r="CM66" s="202"/>
      <c r="CN66" s="202"/>
      <c r="CO66" s="202"/>
      <c r="CP66" s="202"/>
      <c r="CQ66" s="202"/>
      <c r="CR66" s="202"/>
      <c r="CS66" s="202"/>
      <c r="CT66" s="202"/>
      <c r="CU66" s="202"/>
      <c r="CV66" s="202"/>
      <c r="CW66" s="202"/>
      <c r="CX66" s="202"/>
      <c r="CY66" s="202"/>
      <c r="CZ66" s="202"/>
      <c r="DA66" s="202"/>
      <c r="DB66" s="202"/>
      <c r="DC66" s="202"/>
      <c r="DD66" s="202"/>
      <c r="DE66" s="202"/>
      <c r="DF66" s="202">
        <v>1</v>
      </c>
    </row>
    <row r="67" spans="1:110">
      <c r="A67" s="205" t="s">
        <v>2334</v>
      </c>
      <c r="B67" s="202"/>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c r="AA67" s="202"/>
      <c r="AB67" s="202"/>
      <c r="AC67" s="202"/>
      <c r="AD67" s="202"/>
      <c r="AE67" s="202"/>
      <c r="AF67" s="202"/>
      <c r="AG67" s="202"/>
      <c r="AH67" s="202"/>
      <c r="AI67" s="202"/>
      <c r="AJ67" s="202"/>
      <c r="AK67" s="202"/>
      <c r="AL67" s="202"/>
      <c r="AM67" s="202"/>
      <c r="AN67" s="202"/>
      <c r="AO67" s="202"/>
      <c r="AP67" s="202"/>
      <c r="AQ67" s="202"/>
      <c r="AR67" s="202"/>
      <c r="AS67" s="202"/>
      <c r="AT67" s="202"/>
      <c r="AU67" s="202"/>
      <c r="AV67" s="202"/>
      <c r="AW67" s="202"/>
      <c r="AX67" s="202"/>
      <c r="AY67" s="202"/>
      <c r="AZ67" s="202"/>
      <c r="BA67" s="202"/>
      <c r="BB67" s="202"/>
      <c r="BC67" s="202"/>
      <c r="BD67" s="202"/>
      <c r="BE67" s="202"/>
      <c r="BF67" s="202"/>
      <c r="BG67" s="202"/>
      <c r="BH67" s="202"/>
      <c r="BI67" s="202"/>
      <c r="BJ67" s="202"/>
      <c r="BK67" s="202"/>
      <c r="BL67" s="202"/>
      <c r="BM67" s="202"/>
      <c r="BN67" s="202"/>
      <c r="BO67" s="202"/>
      <c r="BP67" s="202"/>
      <c r="BQ67" s="202"/>
      <c r="BR67" s="202"/>
      <c r="BS67" s="202"/>
      <c r="BT67" s="202"/>
      <c r="BU67" s="202"/>
      <c r="BV67" s="202"/>
      <c r="BW67" s="202"/>
      <c r="BX67" s="202"/>
      <c r="BY67" s="202"/>
      <c r="BZ67" s="202"/>
      <c r="CA67" s="202"/>
      <c r="CB67" s="202"/>
      <c r="CC67" s="202"/>
      <c r="CD67" s="202"/>
      <c r="CE67" s="202"/>
      <c r="CF67" s="202"/>
      <c r="CG67" s="202"/>
      <c r="CH67" s="202"/>
      <c r="CI67" s="202"/>
      <c r="CJ67" s="202"/>
      <c r="CK67" s="202"/>
      <c r="CL67" s="202"/>
      <c r="CM67" s="202"/>
      <c r="CN67" s="202"/>
      <c r="CO67" s="202"/>
      <c r="CP67" s="202"/>
      <c r="CQ67" s="202"/>
      <c r="CR67" s="202"/>
      <c r="CS67" s="202"/>
      <c r="CT67" s="202"/>
      <c r="CU67" s="202"/>
      <c r="CV67" s="202"/>
      <c r="CW67" s="202"/>
      <c r="CX67" s="202"/>
      <c r="CY67" s="202"/>
      <c r="CZ67" s="202"/>
      <c r="DA67" s="202"/>
      <c r="DB67" s="202"/>
      <c r="DC67" s="202"/>
      <c r="DD67" s="202"/>
      <c r="DE67" s="202">
        <v>4</v>
      </c>
      <c r="DF67" s="202">
        <v>4</v>
      </c>
    </row>
    <row r="68" spans="1:110">
      <c r="A68" s="205" t="s">
        <v>2061</v>
      </c>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c r="AA68" s="202"/>
      <c r="AB68" s="202"/>
      <c r="AC68" s="202"/>
      <c r="AD68" s="202"/>
      <c r="AE68" s="202"/>
      <c r="AF68" s="202"/>
      <c r="AG68" s="202"/>
      <c r="AH68" s="202"/>
      <c r="AI68" s="202"/>
      <c r="AJ68" s="202"/>
      <c r="AK68" s="202"/>
      <c r="AL68" s="202"/>
      <c r="AM68" s="202"/>
      <c r="AN68" s="202"/>
      <c r="AO68" s="202"/>
      <c r="AP68" s="202"/>
      <c r="AQ68" s="202"/>
      <c r="AR68" s="202"/>
      <c r="AS68" s="202"/>
      <c r="AT68" s="202"/>
      <c r="AU68" s="202"/>
      <c r="AV68" s="202"/>
      <c r="AW68" s="202"/>
      <c r="AX68" s="202"/>
      <c r="AY68" s="202"/>
      <c r="AZ68" s="202"/>
      <c r="BA68" s="202"/>
      <c r="BB68" s="202"/>
      <c r="BC68" s="202"/>
      <c r="BD68" s="202"/>
      <c r="BE68" s="202"/>
      <c r="BF68" s="202"/>
      <c r="BG68" s="202"/>
      <c r="BH68" s="202"/>
      <c r="BI68" s="202"/>
      <c r="BJ68" s="202">
        <v>2</v>
      </c>
      <c r="BK68" s="202"/>
      <c r="BL68" s="202"/>
      <c r="BM68" s="202"/>
      <c r="BN68" s="202"/>
      <c r="BO68" s="202"/>
      <c r="BP68" s="202"/>
      <c r="BQ68" s="202"/>
      <c r="BR68" s="202"/>
      <c r="BS68" s="202"/>
      <c r="BT68" s="202"/>
      <c r="BU68" s="202"/>
      <c r="BV68" s="202"/>
      <c r="BW68" s="202"/>
      <c r="BX68" s="202"/>
      <c r="BY68" s="202"/>
      <c r="BZ68" s="202"/>
      <c r="CA68" s="202"/>
      <c r="CB68" s="202"/>
      <c r="CC68" s="202"/>
      <c r="CD68" s="202"/>
      <c r="CE68" s="202"/>
      <c r="CF68" s="202"/>
      <c r="CG68" s="202"/>
      <c r="CH68" s="202"/>
      <c r="CI68" s="202"/>
      <c r="CJ68" s="202"/>
      <c r="CK68" s="202"/>
      <c r="CL68" s="202"/>
      <c r="CM68" s="202"/>
      <c r="CN68" s="202"/>
      <c r="CO68" s="202"/>
      <c r="CP68" s="202"/>
      <c r="CQ68" s="202"/>
      <c r="CR68" s="202"/>
      <c r="CS68" s="202"/>
      <c r="CT68" s="202"/>
      <c r="CU68" s="202"/>
      <c r="CV68" s="202"/>
      <c r="CW68" s="202"/>
      <c r="CX68" s="202"/>
      <c r="CY68" s="202"/>
      <c r="CZ68" s="202"/>
      <c r="DA68" s="202"/>
      <c r="DB68" s="202"/>
      <c r="DC68" s="202"/>
      <c r="DD68" s="202"/>
      <c r="DE68" s="202"/>
      <c r="DF68" s="202">
        <v>2</v>
      </c>
    </row>
    <row r="69" spans="1:110">
      <c r="A69" s="205" t="s">
        <v>3097</v>
      </c>
      <c r="B69" s="202"/>
      <c r="C69" s="202"/>
      <c r="D69" s="202"/>
      <c r="E69" s="202"/>
      <c r="F69" s="202"/>
      <c r="G69" s="202"/>
      <c r="H69" s="202"/>
      <c r="I69" s="202"/>
      <c r="J69" s="202"/>
      <c r="K69" s="202"/>
      <c r="L69" s="202"/>
      <c r="M69" s="202"/>
      <c r="N69" s="202"/>
      <c r="O69" s="202"/>
      <c r="P69" s="202"/>
      <c r="Q69" s="202"/>
      <c r="R69" s="202"/>
      <c r="S69" s="202"/>
      <c r="T69" s="202"/>
      <c r="U69" s="202"/>
      <c r="V69" s="202"/>
      <c r="W69" s="202"/>
      <c r="X69" s="202"/>
      <c r="Y69" s="202"/>
      <c r="Z69" s="202"/>
      <c r="AA69" s="202"/>
      <c r="AB69" s="202"/>
      <c r="AC69" s="202"/>
      <c r="AD69" s="202"/>
      <c r="AE69" s="202"/>
      <c r="AF69" s="202"/>
      <c r="AG69" s="202"/>
      <c r="AH69" s="202"/>
      <c r="AI69" s="202"/>
      <c r="AJ69" s="202"/>
      <c r="AK69" s="202"/>
      <c r="AL69" s="202"/>
      <c r="AM69" s="202"/>
      <c r="AN69" s="202"/>
      <c r="AO69" s="202"/>
      <c r="AP69" s="202"/>
      <c r="AQ69" s="202"/>
      <c r="AR69" s="202"/>
      <c r="AS69" s="202"/>
      <c r="AT69" s="202"/>
      <c r="AU69" s="202"/>
      <c r="AV69" s="202"/>
      <c r="AW69" s="202"/>
      <c r="AX69" s="202"/>
      <c r="AY69" s="202"/>
      <c r="AZ69" s="202"/>
      <c r="BA69" s="202"/>
      <c r="BB69" s="202"/>
      <c r="BC69" s="202"/>
      <c r="BD69" s="202"/>
      <c r="BE69" s="202"/>
      <c r="BF69" s="202"/>
      <c r="BG69" s="202"/>
      <c r="BH69" s="202"/>
      <c r="BI69" s="202"/>
      <c r="BJ69" s="202"/>
      <c r="BK69" s="202"/>
      <c r="BL69" s="202"/>
      <c r="BM69" s="202"/>
      <c r="BN69" s="202"/>
      <c r="BO69" s="202"/>
      <c r="BP69" s="202"/>
      <c r="BQ69" s="202"/>
      <c r="BR69" s="202"/>
      <c r="BS69" s="202"/>
      <c r="BT69" s="202"/>
      <c r="BU69" s="202"/>
      <c r="BV69" s="202"/>
      <c r="BW69" s="202"/>
      <c r="BX69" s="202"/>
      <c r="BY69" s="202"/>
      <c r="BZ69" s="202"/>
      <c r="CA69" s="202"/>
      <c r="CB69" s="202"/>
      <c r="CC69" s="202"/>
      <c r="CD69" s="202"/>
      <c r="CE69" s="202"/>
      <c r="CF69" s="202"/>
      <c r="CG69" s="202"/>
      <c r="CH69" s="202"/>
      <c r="CI69" s="202"/>
      <c r="CJ69" s="202"/>
      <c r="CK69" s="202"/>
      <c r="CL69" s="202"/>
      <c r="CM69" s="202"/>
      <c r="CN69" s="202"/>
      <c r="CO69" s="202"/>
      <c r="CP69" s="202"/>
      <c r="CQ69" s="202"/>
      <c r="CR69" s="202"/>
      <c r="CS69" s="202"/>
      <c r="CT69" s="202"/>
      <c r="CU69" s="202"/>
      <c r="CV69" s="202"/>
      <c r="CW69" s="202"/>
      <c r="CX69" s="202"/>
      <c r="CY69" s="202"/>
      <c r="CZ69" s="202"/>
      <c r="DA69" s="202"/>
      <c r="DB69" s="202"/>
      <c r="DC69" s="202"/>
      <c r="DD69" s="202"/>
      <c r="DE69" s="202">
        <v>1</v>
      </c>
      <c r="DF69" s="202">
        <v>1</v>
      </c>
    </row>
    <row r="70" spans="1:110">
      <c r="A70" s="205" t="s">
        <v>2289</v>
      </c>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2"/>
      <c r="AU70" s="202"/>
      <c r="AV70" s="202"/>
      <c r="AW70" s="202"/>
      <c r="AX70" s="202"/>
      <c r="AY70" s="202"/>
      <c r="AZ70" s="202"/>
      <c r="BA70" s="202"/>
      <c r="BB70" s="202"/>
      <c r="BC70" s="202"/>
      <c r="BD70" s="202"/>
      <c r="BE70" s="202"/>
      <c r="BF70" s="202"/>
      <c r="BG70" s="202"/>
      <c r="BH70" s="202"/>
      <c r="BI70" s="202"/>
      <c r="BJ70" s="202"/>
      <c r="BK70" s="202"/>
      <c r="BL70" s="202"/>
      <c r="BM70" s="202"/>
      <c r="BN70" s="202"/>
      <c r="BO70" s="202"/>
      <c r="BP70" s="202"/>
      <c r="BQ70" s="202"/>
      <c r="BR70" s="202"/>
      <c r="BS70" s="202"/>
      <c r="BT70" s="202"/>
      <c r="BU70" s="202"/>
      <c r="BV70" s="202"/>
      <c r="BW70" s="202"/>
      <c r="BX70" s="202"/>
      <c r="BY70" s="202"/>
      <c r="BZ70" s="202"/>
      <c r="CA70" s="202"/>
      <c r="CB70" s="202"/>
      <c r="CC70" s="202"/>
      <c r="CD70" s="202"/>
      <c r="CE70" s="202"/>
      <c r="CF70" s="202"/>
      <c r="CG70" s="202"/>
      <c r="CH70" s="202"/>
      <c r="CI70" s="202"/>
      <c r="CJ70" s="202"/>
      <c r="CK70" s="202"/>
      <c r="CL70" s="202"/>
      <c r="CM70" s="202"/>
      <c r="CN70" s="202"/>
      <c r="CO70" s="202"/>
      <c r="CP70" s="202"/>
      <c r="CQ70" s="202"/>
      <c r="CR70" s="202"/>
      <c r="CS70" s="202"/>
      <c r="CT70" s="202"/>
      <c r="CU70" s="202"/>
      <c r="CV70" s="202"/>
      <c r="CW70" s="202"/>
      <c r="CX70" s="202"/>
      <c r="CY70" s="202"/>
      <c r="CZ70" s="202"/>
      <c r="DA70" s="202"/>
      <c r="DB70" s="202"/>
      <c r="DC70" s="202"/>
      <c r="DD70" s="202"/>
      <c r="DE70" s="202">
        <v>4</v>
      </c>
      <c r="DF70" s="202">
        <v>4</v>
      </c>
    </row>
    <row r="71" spans="1:110">
      <c r="A71" s="205" t="s">
        <v>2669</v>
      </c>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c r="AA71" s="202"/>
      <c r="AB71" s="202"/>
      <c r="AC71" s="202"/>
      <c r="AD71" s="202"/>
      <c r="AE71" s="202"/>
      <c r="AF71" s="202"/>
      <c r="AG71" s="202"/>
      <c r="AH71" s="202"/>
      <c r="AI71" s="202"/>
      <c r="AJ71" s="202"/>
      <c r="AK71" s="202"/>
      <c r="AL71" s="202"/>
      <c r="AM71" s="202"/>
      <c r="AN71" s="202"/>
      <c r="AO71" s="202"/>
      <c r="AP71" s="202"/>
      <c r="AQ71" s="202"/>
      <c r="AR71" s="202"/>
      <c r="AS71" s="202"/>
      <c r="AT71" s="202"/>
      <c r="AU71" s="202"/>
      <c r="AV71" s="202"/>
      <c r="AW71" s="202"/>
      <c r="AX71" s="202"/>
      <c r="AY71" s="202"/>
      <c r="AZ71" s="202"/>
      <c r="BA71" s="202"/>
      <c r="BB71" s="202"/>
      <c r="BC71" s="202"/>
      <c r="BD71" s="202"/>
      <c r="BE71" s="202"/>
      <c r="BF71" s="202"/>
      <c r="BG71" s="202"/>
      <c r="BH71" s="202"/>
      <c r="BI71" s="202"/>
      <c r="BJ71" s="202"/>
      <c r="BK71" s="202"/>
      <c r="BL71" s="202"/>
      <c r="BM71" s="202"/>
      <c r="BN71" s="202"/>
      <c r="BO71" s="202"/>
      <c r="BP71" s="202"/>
      <c r="BQ71" s="202"/>
      <c r="BR71" s="202"/>
      <c r="BS71" s="202"/>
      <c r="BT71" s="202"/>
      <c r="BU71" s="202"/>
      <c r="BV71" s="202"/>
      <c r="BW71" s="202"/>
      <c r="BX71" s="202"/>
      <c r="BY71" s="202"/>
      <c r="BZ71" s="202"/>
      <c r="CA71" s="202"/>
      <c r="CB71" s="202"/>
      <c r="CC71" s="202"/>
      <c r="CD71" s="202"/>
      <c r="CE71" s="202"/>
      <c r="CF71" s="202"/>
      <c r="CG71" s="202"/>
      <c r="CH71" s="202"/>
      <c r="CI71" s="202"/>
      <c r="CJ71" s="202"/>
      <c r="CK71" s="202"/>
      <c r="CL71" s="202"/>
      <c r="CM71" s="202"/>
      <c r="CN71" s="202"/>
      <c r="CO71" s="202"/>
      <c r="CP71" s="202"/>
      <c r="CQ71" s="202"/>
      <c r="CR71" s="202"/>
      <c r="CS71" s="202"/>
      <c r="CT71" s="202"/>
      <c r="CU71" s="202"/>
      <c r="CV71" s="202"/>
      <c r="CW71" s="202"/>
      <c r="CX71" s="202"/>
      <c r="CY71" s="202"/>
      <c r="CZ71" s="202"/>
      <c r="DA71" s="202"/>
      <c r="DB71" s="202"/>
      <c r="DC71" s="202"/>
      <c r="DD71" s="202"/>
      <c r="DE71" s="202">
        <v>7</v>
      </c>
      <c r="DF71" s="202">
        <v>7</v>
      </c>
    </row>
    <row r="72" spans="1:110">
      <c r="A72" s="205" t="s">
        <v>2074</v>
      </c>
      <c r="B72" s="202"/>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c r="AA72" s="202"/>
      <c r="AB72" s="202"/>
      <c r="AC72" s="202"/>
      <c r="AD72" s="202"/>
      <c r="AE72" s="202"/>
      <c r="AF72" s="202"/>
      <c r="AG72" s="202"/>
      <c r="AH72" s="202"/>
      <c r="AI72" s="202"/>
      <c r="AJ72" s="202"/>
      <c r="AK72" s="202"/>
      <c r="AL72" s="202"/>
      <c r="AM72" s="202"/>
      <c r="AN72" s="202"/>
      <c r="AO72" s="202"/>
      <c r="AP72" s="202"/>
      <c r="AQ72" s="202"/>
      <c r="AR72" s="202"/>
      <c r="AS72" s="202"/>
      <c r="AT72" s="202"/>
      <c r="AU72" s="202"/>
      <c r="AV72" s="202"/>
      <c r="AW72" s="202"/>
      <c r="AX72" s="202"/>
      <c r="AY72" s="202"/>
      <c r="AZ72" s="202"/>
      <c r="BA72" s="202"/>
      <c r="BB72" s="202"/>
      <c r="BC72" s="202"/>
      <c r="BD72" s="202"/>
      <c r="BE72" s="202"/>
      <c r="BF72" s="202"/>
      <c r="BG72" s="202"/>
      <c r="BH72" s="202"/>
      <c r="BI72" s="202"/>
      <c r="BJ72" s="202"/>
      <c r="BK72" s="202"/>
      <c r="BL72" s="202"/>
      <c r="BM72" s="202"/>
      <c r="BN72" s="202"/>
      <c r="BO72" s="202"/>
      <c r="BP72" s="202"/>
      <c r="BQ72" s="202">
        <v>2</v>
      </c>
      <c r="BR72" s="202"/>
      <c r="BS72" s="202"/>
      <c r="BT72" s="202"/>
      <c r="BU72" s="202"/>
      <c r="BV72" s="202"/>
      <c r="BW72" s="202"/>
      <c r="BX72" s="202"/>
      <c r="BY72" s="202"/>
      <c r="BZ72" s="202"/>
      <c r="CA72" s="202"/>
      <c r="CB72" s="202"/>
      <c r="CC72" s="202"/>
      <c r="CD72" s="202"/>
      <c r="CE72" s="202"/>
      <c r="CF72" s="202"/>
      <c r="CG72" s="202"/>
      <c r="CH72" s="202"/>
      <c r="CI72" s="202"/>
      <c r="CJ72" s="202"/>
      <c r="CK72" s="202"/>
      <c r="CL72" s="202"/>
      <c r="CM72" s="202"/>
      <c r="CN72" s="202"/>
      <c r="CO72" s="202"/>
      <c r="CP72" s="202"/>
      <c r="CQ72" s="202"/>
      <c r="CR72" s="202"/>
      <c r="CS72" s="202"/>
      <c r="CT72" s="202"/>
      <c r="CU72" s="202"/>
      <c r="CV72" s="202"/>
      <c r="CW72" s="202"/>
      <c r="CX72" s="202"/>
      <c r="CY72" s="202"/>
      <c r="CZ72" s="202"/>
      <c r="DA72" s="202"/>
      <c r="DB72" s="202"/>
      <c r="DC72" s="202"/>
      <c r="DD72" s="202"/>
      <c r="DE72" s="202"/>
      <c r="DF72" s="202">
        <v>2</v>
      </c>
    </row>
    <row r="73" spans="1:110">
      <c r="A73" s="205" t="s">
        <v>2600</v>
      </c>
      <c r="B73" s="202"/>
      <c r="C73" s="202"/>
      <c r="D73" s="202"/>
      <c r="E73" s="202"/>
      <c r="F73" s="202"/>
      <c r="G73" s="202"/>
      <c r="H73" s="202"/>
      <c r="I73" s="202"/>
      <c r="J73" s="202"/>
      <c r="K73" s="202"/>
      <c r="L73" s="202"/>
      <c r="M73" s="202"/>
      <c r="N73" s="202"/>
      <c r="O73" s="202"/>
      <c r="P73" s="202"/>
      <c r="Q73" s="202"/>
      <c r="R73" s="202"/>
      <c r="S73" s="202"/>
      <c r="T73" s="202"/>
      <c r="U73" s="202"/>
      <c r="V73" s="202"/>
      <c r="W73" s="202"/>
      <c r="X73" s="202"/>
      <c r="Y73" s="202"/>
      <c r="Z73" s="202"/>
      <c r="AA73" s="202"/>
      <c r="AB73" s="202"/>
      <c r="AC73" s="202"/>
      <c r="AD73" s="202"/>
      <c r="AE73" s="202"/>
      <c r="AF73" s="202"/>
      <c r="AG73" s="202"/>
      <c r="AH73" s="202"/>
      <c r="AI73" s="202"/>
      <c r="AJ73" s="202"/>
      <c r="AK73" s="202"/>
      <c r="AL73" s="202"/>
      <c r="AM73" s="202"/>
      <c r="AN73" s="202"/>
      <c r="AO73" s="202"/>
      <c r="AP73" s="202"/>
      <c r="AQ73" s="202"/>
      <c r="AR73" s="202"/>
      <c r="AS73" s="202"/>
      <c r="AT73" s="202"/>
      <c r="AU73" s="202"/>
      <c r="AV73" s="202"/>
      <c r="AW73" s="202"/>
      <c r="AX73" s="202"/>
      <c r="AY73" s="202"/>
      <c r="AZ73" s="202"/>
      <c r="BA73" s="202"/>
      <c r="BB73" s="202"/>
      <c r="BC73" s="202"/>
      <c r="BD73" s="202"/>
      <c r="BE73" s="202"/>
      <c r="BF73" s="202"/>
      <c r="BG73" s="202"/>
      <c r="BH73" s="202"/>
      <c r="BI73" s="202"/>
      <c r="BJ73" s="202"/>
      <c r="BK73" s="202"/>
      <c r="BL73" s="202"/>
      <c r="BM73" s="202"/>
      <c r="BN73" s="202"/>
      <c r="BO73" s="202"/>
      <c r="BP73" s="202"/>
      <c r="BQ73" s="202"/>
      <c r="BR73" s="202"/>
      <c r="BS73" s="202"/>
      <c r="BT73" s="202"/>
      <c r="BU73" s="202"/>
      <c r="BV73" s="202"/>
      <c r="BW73" s="202"/>
      <c r="BX73" s="202"/>
      <c r="BY73" s="202"/>
      <c r="BZ73" s="202"/>
      <c r="CA73" s="202"/>
      <c r="CB73" s="202"/>
      <c r="CC73" s="202"/>
      <c r="CD73" s="202"/>
      <c r="CE73" s="202"/>
      <c r="CF73" s="202"/>
      <c r="CG73" s="202"/>
      <c r="CH73" s="202"/>
      <c r="CI73" s="202"/>
      <c r="CJ73" s="202"/>
      <c r="CK73" s="202"/>
      <c r="CL73" s="202"/>
      <c r="CM73" s="202"/>
      <c r="CN73" s="202"/>
      <c r="CO73" s="202"/>
      <c r="CP73" s="202"/>
      <c r="CQ73" s="202"/>
      <c r="CR73" s="202"/>
      <c r="CS73" s="202"/>
      <c r="CT73" s="202"/>
      <c r="CU73" s="202"/>
      <c r="CV73" s="202"/>
      <c r="CW73" s="202"/>
      <c r="CX73" s="202"/>
      <c r="CY73" s="202"/>
      <c r="CZ73" s="202"/>
      <c r="DA73" s="202"/>
      <c r="DB73" s="202"/>
      <c r="DC73" s="202"/>
      <c r="DD73" s="202"/>
      <c r="DE73" s="202">
        <v>5</v>
      </c>
      <c r="DF73" s="202">
        <v>5</v>
      </c>
    </row>
    <row r="74" spans="1:110">
      <c r="A74" s="205" t="s">
        <v>3401</v>
      </c>
      <c r="B74" s="202"/>
      <c r="C74" s="202"/>
      <c r="D74" s="202"/>
      <c r="E74" s="202"/>
      <c r="F74" s="202"/>
      <c r="G74" s="202"/>
      <c r="H74" s="202"/>
      <c r="I74" s="202"/>
      <c r="J74" s="202"/>
      <c r="K74" s="202"/>
      <c r="L74" s="202"/>
      <c r="M74" s="202"/>
      <c r="N74" s="202"/>
      <c r="O74" s="202"/>
      <c r="P74" s="202"/>
      <c r="Q74" s="202"/>
      <c r="R74" s="202"/>
      <c r="S74" s="202"/>
      <c r="T74" s="202"/>
      <c r="U74" s="202"/>
      <c r="V74" s="202"/>
      <c r="W74" s="202"/>
      <c r="X74" s="202"/>
      <c r="Y74" s="202">
        <v>5</v>
      </c>
      <c r="Z74" s="202"/>
      <c r="AA74" s="202"/>
      <c r="AB74" s="202"/>
      <c r="AC74" s="202"/>
      <c r="AD74" s="202"/>
      <c r="AE74" s="202"/>
      <c r="AF74" s="202"/>
      <c r="AG74" s="202"/>
      <c r="AH74" s="202"/>
      <c r="AI74" s="202"/>
      <c r="AJ74" s="202"/>
      <c r="AK74" s="202"/>
      <c r="AL74" s="202"/>
      <c r="AM74" s="202"/>
      <c r="AN74" s="202"/>
      <c r="AO74" s="202"/>
      <c r="AP74" s="202"/>
      <c r="AQ74" s="202"/>
      <c r="AR74" s="202"/>
      <c r="AS74" s="202"/>
      <c r="AT74" s="202"/>
      <c r="AU74" s="202"/>
      <c r="AV74" s="202"/>
      <c r="AW74" s="202"/>
      <c r="AX74" s="202"/>
      <c r="AY74" s="202"/>
      <c r="AZ74" s="202"/>
      <c r="BA74" s="202"/>
      <c r="BB74" s="202"/>
      <c r="BC74" s="202"/>
      <c r="BD74" s="202"/>
      <c r="BE74" s="202"/>
      <c r="BF74" s="202"/>
      <c r="BG74" s="202"/>
      <c r="BH74" s="202"/>
      <c r="BI74" s="202"/>
      <c r="BJ74" s="202"/>
      <c r="BK74" s="202"/>
      <c r="BL74" s="202"/>
      <c r="BM74" s="202"/>
      <c r="BN74" s="202"/>
      <c r="BO74" s="202"/>
      <c r="BP74" s="202"/>
      <c r="BQ74" s="202"/>
      <c r="BR74" s="202"/>
      <c r="BS74" s="202"/>
      <c r="BT74" s="202"/>
      <c r="BU74" s="202"/>
      <c r="BV74" s="202"/>
      <c r="BW74" s="202"/>
      <c r="BX74" s="202"/>
      <c r="BY74" s="202"/>
      <c r="BZ74" s="202"/>
      <c r="CA74" s="202"/>
      <c r="CB74" s="202"/>
      <c r="CC74" s="202"/>
      <c r="CD74" s="202"/>
      <c r="CE74" s="202"/>
      <c r="CF74" s="202"/>
      <c r="CG74" s="202"/>
      <c r="CH74" s="202"/>
      <c r="CI74" s="202"/>
      <c r="CJ74" s="202"/>
      <c r="CK74" s="202"/>
      <c r="CL74" s="202"/>
      <c r="CM74" s="202"/>
      <c r="CN74" s="202"/>
      <c r="CO74" s="202"/>
      <c r="CP74" s="202"/>
      <c r="CQ74" s="202"/>
      <c r="CR74" s="202"/>
      <c r="CS74" s="202"/>
      <c r="CT74" s="202"/>
      <c r="CU74" s="202"/>
      <c r="CV74" s="202"/>
      <c r="CW74" s="202"/>
      <c r="CX74" s="202"/>
      <c r="CY74" s="202"/>
      <c r="CZ74" s="202"/>
      <c r="DA74" s="202"/>
      <c r="DB74" s="202"/>
      <c r="DC74" s="202"/>
      <c r="DD74" s="202"/>
      <c r="DE74" s="202"/>
      <c r="DF74" s="202">
        <v>5</v>
      </c>
    </row>
    <row r="75" spans="1:110">
      <c r="A75" s="205" t="s">
        <v>2282</v>
      </c>
      <c r="B75" s="202"/>
      <c r="C75" s="202"/>
      <c r="D75" s="202"/>
      <c r="E75" s="202"/>
      <c r="F75" s="202"/>
      <c r="G75" s="202"/>
      <c r="H75" s="202"/>
      <c r="I75" s="202"/>
      <c r="J75" s="202"/>
      <c r="K75" s="202"/>
      <c r="L75" s="202"/>
      <c r="M75" s="202"/>
      <c r="N75" s="202"/>
      <c r="O75" s="202"/>
      <c r="P75" s="202">
        <v>1</v>
      </c>
      <c r="Q75" s="202"/>
      <c r="R75" s="202"/>
      <c r="S75" s="202"/>
      <c r="T75" s="202"/>
      <c r="U75" s="202">
        <v>1</v>
      </c>
      <c r="V75" s="202"/>
      <c r="W75" s="202"/>
      <c r="X75" s="202"/>
      <c r="Y75" s="202"/>
      <c r="Z75" s="202"/>
      <c r="AA75" s="202"/>
      <c r="AB75" s="202"/>
      <c r="AC75" s="202"/>
      <c r="AD75" s="202"/>
      <c r="AE75" s="202"/>
      <c r="AF75" s="202"/>
      <c r="AG75" s="202"/>
      <c r="AH75" s="202"/>
      <c r="AI75" s="202"/>
      <c r="AJ75" s="202"/>
      <c r="AK75" s="202"/>
      <c r="AL75" s="202"/>
      <c r="AM75" s="202"/>
      <c r="AN75" s="202"/>
      <c r="AO75" s="202"/>
      <c r="AP75" s="202"/>
      <c r="AQ75" s="202"/>
      <c r="AR75" s="202"/>
      <c r="AS75" s="202"/>
      <c r="AT75" s="202"/>
      <c r="AU75" s="202"/>
      <c r="AV75" s="202"/>
      <c r="AW75" s="202"/>
      <c r="AX75" s="202"/>
      <c r="AY75" s="202"/>
      <c r="AZ75" s="202"/>
      <c r="BA75" s="202"/>
      <c r="BB75" s="202"/>
      <c r="BC75" s="202"/>
      <c r="BD75" s="202"/>
      <c r="BE75" s="202"/>
      <c r="BF75" s="202"/>
      <c r="BG75" s="202"/>
      <c r="BH75" s="202"/>
      <c r="BI75" s="202"/>
      <c r="BJ75" s="202"/>
      <c r="BK75" s="202"/>
      <c r="BL75" s="202"/>
      <c r="BM75" s="202"/>
      <c r="BN75" s="202"/>
      <c r="BO75" s="202"/>
      <c r="BP75" s="202"/>
      <c r="BQ75" s="202"/>
      <c r="BR75" s="202"/>
      <c r="BS75" s="202"/>
      <c r="BT75" s="202"/>
      <c r="BU75" s="202"/>
      <c r="BV75" s="202"/>
      <c r="BW75" s="202"/>
      <c r="BX75" s="202"/>
      <c r="BY75" s="202"/>
      <c r="BZ75" s="202"/>
      <c r="CA75" s="202"/>
      <c r="CB75" s="202"/>
      <c r="CC75" s="202"/>
      <c r="CD75" s="202"/>
      <c r="CE75" s="202"/>
      <c r="CF75" s="202"/>
      <c r="CG75" s="202"/>
      <c r="CH75" s="202"/>
      <c r="CI75" s="202"/>
      <c r="CJ75" s="202"/>
      <c r="CK75" s="202"/>
      <c r="CL75" s="202"/>
      <c r="CM75" s="202"/>
      <c r="CN75" s="202"/>
      <c r="CO75" s="202"/>
      <c r="CP75" s="202"/>
      <c r="CQ75" s="202"/>
      <c r="CR75" s="202"/>
      <c r="CS75" s="202"/>
      <c r="CT75" s="202"/>
      <c r="CU75" s="202"/>
      <c r="CV75" s="202"/>
      <c r="CW75" s="202"/>
      <c r="CX75" s="202"/>
      <c r="CY75" s="202"/>
      <c r="CZ75" s="202"/>
      <c r="DA75" s="202"/>
      <c r="DB75" s="202"/>
      <c r="DC75" s="202"/>
      <c r="DD75" s="202"/>
      <c r="DE75" s="202">
        <v>3</v>
      </c>
      <c r="DF75" s="202">
        <v>5</v>
      </c>
    </row>
    <row r="76" spans="1:110">
      <c r="A76" s="205" t="s">
        <v>2144</v>
      </c>
      <c r="B76" s="202"/>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c r="AA76" s="202"/>
      <c r="AB76" s="202"/>
      <c r="AC76" s="202"/>
      <c r="AD76" s="202"/>
      <c r="AE76" s="202"/>
      <c r="AF76" s="202"/>
      <c r="AG76" s="202"/>
      <c r="AH76" s="202">
        <v>1</v>
      </c>
      <c r="AI76" s="202"/>
      <c r="AJ76" s="202"/>
      <c r="AK76" s="202"/>
      <c r="AL76" s="202"/>
      <c r="AM76" s="202"/>
      <c r="AN76" s="202"/>
      <c r="AO76" s="202"/>
      <c r="AP76" s="202"/>
      <c r="AQ76" s="202"/>
      <c r="AR76" s="202"/>
      <c r="AS76" s="202"/>
      <c r="AT76" s="202"/>
      <c r="AU76" s="202"/>
      <c r="AV76" s="202"/>
      <c r="AW76" s="202"/>
      <c r="AX76" s="202"/>
      <c r="AY76" s="202"/>
      <c r="AZ76" s="202"/>
      <c r="BA76" s="202"/>
      <c r="BB76" s="202"/>
      <c r="BC76" s="202"/>
      <c r="BD76" s="202"/>
      <c r="BE76" s="202"/>
      <c r="BF76" s="202"/>
      <c r="BG76" s="202"/>
      <c r="BH76" s="202"/>
      <c r="BI76" s="202"/>
      <c r="BJ76" s="202"/>
      <c r="BK76" s="202"/>
      <c r="BL76" s="202"/>
      <c r="BM76" s="202"/>
      <c r="BN76" s="202"/>
      <c r="BO76" s="202"/>
      <c r="BP76" s="202"/>
      <c r="BQ76" s="202"/>
      <c r="BR76" s="202"/>
      <c r="BS76" s="202"/>
      <c r="BT76" s="202"/>
      <c r="BU76" s="202"/>
      <c r="BV76" s="202"/>
      <c r="BW76" s="202"/>
      <c r="BX76" s="202"/>
      <c r="BY76" s="202"/>
      <c r="BZ76" s="202"/>
      <c r="CA76" s="202"/>
      <c r="CB76" s="202"/>
      <c r="CC76" s="202"/>
      <c r="CD76" s="202"/>
      <c r="CE76" s="202"/>
      <c r="CF76" s="202"/>
      <c r="CG76" s="202"/>
      <c r="CH76" s="202"/>
      <c r="CI76" s="202"/>
      <c r="CJ76" s="202"/>
      <c r="CK76" s="202"/>
      <c r="CL76" s="202"/>
      <c r="CM76" s="202"/>
      <c r="CN76" s="202"/>
      <c r="CO76" s="202"/>
      <c r="CP76" s="202"/>
      <c r="CQ76" s="202"/>
      <c r="CR76" s="202"/>
      <c r="CS76" s="202"/>
      <c r="CT76" s="202"/>
      <c r="CU76" s="202"/>
      <c r="CV76" s="202"/>
      <c r="CW76" s="202"/>
      <c r="CX76" s="202"/>
      <c r="CY76" s="202"/>
      <c r="CZ76" s="202"/>
      <c r="DA76" s="202"/>
      <c r="DB76" s="202"/>
      <c r="DC76" s="202"/>
      <c r="DD76" s="202"/>
      <c r="DE76" s="202"/>
      <c r="DF76" s="202">
        <v>1</v>
      </c>
    </row>
    <row r="77" spans="1:110">
      <c r="A77" s="205" t="s">
        <v>2788</v>
      </c>
      <c r="B77" s="202"/>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c r="AA77" s="202"/>
      <c r="AB77" s="202"/>
      <c r="AC77" s="202"/>
      <c r="AD77" s="202"/>
      <c r="AE77" s="202"/>
      <c r="AF77" s="202"/>
      <c r="AG77" s="202"/>
      <c r="AH77" s="202"/>
      <c r="AI77" s="202"/>
      <c r="AJ77" s="202"/>
      <c r="AK77" s="202"/>
      <c r="AL77" s="202"/>
      <c r="AM77" s="202"/>
      <c r="AN77" s="202"/>
      <c r="AO77" s="202"/>
      <c r="AP77" s="202"/>
      <c r="AQ77" s="202"/>
      <c r="AR77" s="202"/>
      <c r="AS77" s="202"/>
      <c r="AT77" s="202"/>
      <c r="AU77" s="202"/>
      <c r="AV77" s="202"/>
      <c r="AW77" s="202"/>
      <c r="AX77" s="202"/>
      <c r="AY77" s="202"/>
      <c r="AZ77" s="202"/>
      <c r="BA77" s="202"/>
      <c r="BB77" s="202"/>
      <c r="BC77" s="202"/>
      <c r="BD77" s="202"/>
      <c r="BE77" s="202"/>
      <c r="BF77" s="202"/>
      <c r="BG77" s="202"/>
      <c r="BH77" s="202"/>
      <c r="BI77" s="202"/>
      <c r="BJ77" s="202"/>
      <c r="BK77" s="202"/>
      <c r="BL77" s="202"/>
      <c r="BM77" s="202"/>
      <c r="BN77" s="202"/>
      <c r="BO77" s="202"/>
      <c r="BP77" s="202"/>
      <c r="BQ77" s="202"/>
      <c r="BR77" s="202"/>
      <c r="BS77" s="202"/>
      <c r="BT77" s="202"/>
      <c r="BU77" s="202"/>
      <c r="BV77" s="202"/>
      <c r="BW77" s="202"/>
      <c r="BX77" s="202"/>
      <c r="BY77" s="202"/>
      <c r="BZ77" s="202"/>
      <c r="CA77" s="202"/>
      <c r="CB77" s="202"/>
      <c r="CC77" s="202"/>
      <c r="CD77" s="202"/>
      <c r="CE77" s="202"/>
      <c r="CF77" s="202"/>
      <c r="CG77" s="202"/>
      <c r="CH77" s="202"/>
      <c r="CI77" s="202"/>
      <c r="CJ77" s="202"/>
      <c r="CK77" s="202"/>
      <c r="CL77" s="202"/>
      <c r="CM77" s="202"/>
      <c r="CN77" s="202"/>
      <c r="CO77" s="202"/>
      <c r="CP77" s="202"/>
      <c r="CQ77" s="202"/>
      <c r="CR77" s="202"/>
      <c r="CS77" s="202"/>
      <c r="CT77" s="202"/>
      <c r="CU77" s="202"/>
      <c r="CV77" s="202"/>
      <c r="CW77" s="202"/>
      <c r="CX77" s="202"/>
      <c r="CY77" s="202"/>
      <c r="CZ77" s="202"/>
      <c r="DA77" s="202"/>
      <c r="DB77" s="202"/>
      <c r="DC77" s="202"/>
      <c r="DD77" s="202"/>
      <c r="DE77" s="202">
        <v>2</v>
      </c>
      <c r="DF77" s="202">
        <v>2</v>
      </c>
    </row>
    <row r="78" spans="1:110">
      <c r="A78" s="205" t="s">
        <v>2145</v>
      </c>
      <c r="B78" s="202"/>
      <c r="C78" s="202"/>
      <c r="D78" s="202"/>
      <c r="E78" s="202"/>
      <c r="F78" s="202"/>
      <c r="G78" s="202"/>
      <c r="H78" s="202"/>
      <c r="I78" s="202"/>
      <c r="J78" s="202"/>
      <c r="K78" s="202"/>
      <c r="L78" s="202"/>
      <c r="M78" s="202"/>
      <c r="N78" s="202"/>
      <c r="O78" s="202"/>
      <c r="P78" s="202"/>
      <c r="Q78" s="202"/>
      <c r="R78" s="202"/>
      <c r="S78" s="202"/>
      <c r="T78" s="202"/>
      <c r="U78" s="202"/>
      <c r="V78" s="202"/>
      <c r="W78" s="202"/>
      <c r="X78" s="202"/>
      <c r="Y78" s="202"/>
      <c r="Z78" s="202"/>
      <c r="AA78" s="202"/>
      <c r="AB78" s="202"/>
      <c r="AC78" s="202"/>
      <c r="AD78" s="202"/>
      <c r="AE78" s="202"/>
      <c r="AF78" s="202"/>
      <c r="AG78" s="202"/>
      <c r="AH78" s="202"/>
      <c r="AI78" s="202"/>
      <c r="AJ78" s="202">
        <v>1</v>
      </c>
      <c r="AK78" s="202"/>
      <c r="AL78" s="202"/>
      <c r="AM78" s="202"/>
      <c r="AN78" s="202"/>
      <c r="AO78" s="202"/>
      <c r="AP78" s="202"/>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c r="BO78" s="202"/>
      <c r="BP78" s="202"/>
      <c r="BQ78" s="202"/>
      <c r="BR78" s="202"/>
      <c r="BS78" s="202"/>
      <c r="BT78" s="202"/>
      <c r="BU78" s="202"/>
      <c r="BV78" s="202"/>
      <c r="BW78" s="202"/>
      <c r="BX78" s="202"/>
      <c r="BY78" s="202"/>
      <c r="BZ78" s="202"/>
      <c r="CA78" s="202"/>
      <c r="CB78" s="202"/>
      <c r="CC78" s="202"/>
      <c r="CD78" s="202"/>
      <c r="CE78" s="202"/>
      <c r="CF78" s="202"/>
      <c r="CG78" s="202"/>
      <c r="CH78" s="202"/>
      <c r="CI78" s="202"/>
      <c r="CJ78" s="202"/>
      <c r="CK78" s="202"/>
      <c r="CL78" s="202"/>
      <c r="CM78" s="202"/>
      <c r="CN78" s="202"/>
      <c r="CO78" s="202"/>
      <c r="CP78" s="202"/>
      <c r="CQ78" s="202"/>
      <c r="CR78" s="202"/>
      <c r="CS78" s="202"/>
      <c r="CT78" s="202"/>
      <c r="CU78" s="202"/>
      <c r="CV78" s="202"/>
      <c r="CW78" s="202"/>
      <c r="CX78" s="202"/>
      <c r="CY78" s="202"/>
      <c r="CZ78" s="202"/>
      <c r="DA78" s="202"/>
      <c r="DB78" s="202"/>
      <c r="DC78" s="202"/>
      <c r="DD78" s="202"/>
      <c r="DE78" s="202"/>
      <c r="DF78" s="202">
        <v>1</v>
      </c>
    </row>
    <row r="79" spans="1:110">
      <c r="A79" s="205" t="s">
        <v>2143</v>
      </c>
      <c r="B79" s="202"/>
      <c r="C79" s="202"/>
      <c r="D79" s="202"/>
      <c r="E79" s="202"/>
      <c r="F79" s="202"/>
      <c r="G79" s="202"/>
      <c r="H79" s="202"/>
      <c r="I79" s="202"/>
      <c r="J79" s="202"/>
      <c r="K79" s="202"/>
      <c r="L79" s="202"/>
      <c r="M79" s="202"/>
      <c r="N79" s="202"/>
      <c r="O79" s="202"/>
      <c r="P79" s="202"/>
      <c r="Q79" s="202"/>
      <c r="R79" s="202"/>
      <c r="S79" s="202"/>
      <c r="T79" s="202"/>
      <c r="U79" s="202"/>
      <c r="V79" s="202"/>
      <c r="W79" s="202"/>
      <c r="X79" s="202"/>
      <c r="Y79" s="202"/>
      <c r="Z79" s="202"/>
      <c r="AA79" s="202"/>
      <c r="AB79" s="202"/>
      <c r="AC79" s="202"/>
      <c r="AD79" s="202"/>
      <c r="AE79" s="202"/>
      <c r="AF79" s="202"/>
      <c r="AG79" s="202"/>
      <c r="AH79" s="202"/>
      <c r="AI79" s="202"/>
      <c r="AJ79" s="202"/>
      <c r="AK79" s="202"/>
      <c r="AL79" s="202"/>
      <c r="AM79" s="202"/>
      <c r="AN79" s="202"/>
      <c r="AO79" s="202"/>
      <c r="AP79" s="202"/>
      <c r="AQ79" s="202"/>
      <c r="AR79" s="202"/>
      <c r="AS79" s="202"/>
      <c r="AT79" s="202"/>
      <c r="AU79" s="202"/>
      <c r="AV79" s="202"/>
      <c r="AW79" s="202"/>
      <c r="AX79" s="202">
        <v>6</v>
      </c>
      <c r="AY79" s="202"/>
      <c r="AZ79" s="202"/>
      <c r="BA79" s="202"/>
      <c r="BB79" s="202"/>
      <c r="BC79" s="202"/>
      <c r="BD79" s="202"/>
      <c r="BE79" s="202"/>
      <c r="BF79" s="202"/>
      <c r="BG79" s="202"/>
      <c r="BH79" s="202"/>
      <c r="BI79" s="202"/>
      <c r="BJ79" s="202"/>
      <c r="BK79" s="202"/>
      <c r="BL79" s="202"/>
      <c r="BM79" s="202"/>
      <c r="BN79" s="202"/>
      <c r="BO79" s="202"/>
      <c r="BP79" s="202"/>
      <c r="BQ79" s="202"/>
      <c r="BR79" s="202"/>
      <c r="BS79" s="202"/>
      <c r="BT79" s="202"/>
      <c r="BU79" s="202"/>
      <c r="BV79" s="202"/>
      <c r="BW79" s="202"/>
      <c r="BX79" s="202"/>
      <c r="BY79" s="202"/>
      <c r="BZ79" s="202"/>
      <c r="CA79" s="202"/>
      <c r="CB79" s="202"/>
      <c r="CC79" s="202"/>
      <c r="CD79" s="202"/>
      <c r="CE79" s="202"/>
      <c r="CF79" s="202"/>
      <c r="CG79" s="202"/>
      <c r="CH79" s="202"/>
      <c r="CI79" s="202"/>
      <c r="CJ79" s="202"/>
      <c r="CK79" s="202"/>
      <c r="CL79" s="202"/>
      <c r="CM79" s="202"/>
      <c r="CN79" s="202"/>
      <c r="CO79" s="202"/>
      <c r="CP79" s="202"/>
      <c r="CQ79" s="202"/>
      <c r="CR79" s="202"/>
      <c r="CS79" s="202"/>
      <c r="CT79" s="202"/>
      <c r="CU79" s="202"/>
      <c r="CV79" s="202"/>
      <c r="CW79" s="202"/>
      <c r="CX79" s="202"/>
      <c r="CY79" s="202"/>
      <c r="CZ79" s="202"/>
      <c r="DA79" s="202"/>
      <c r="DB79" s="202"/>
      <c r="DC79" s="202"/>
      <c r="DD79" s="202"/>
      <c r="DE79" s="202"/>
      <c r="DF79" s="202">
        <v>6</v>
      </c>
    </row>
    <row r="80" spans="1:110">
      <c r="A80" s="205" t="s">
        <v>2845</v>
      </c>
      <c r="B80" s="202"/>
      <c r="C80" s="202"/>
      <c r="D80" s="202"/>
      <c r="E80" s="202"/>
      <c r="F80" s="202"/>
      <c r="G80" s="202"/>
      <c r="H80" s="202"/>
      <c r="I80" s="202"/>
      <c r="J80" s="202"/>
      <c r="K80" s="202"/>
      <c r="L80" s="202"/>
      <c r="M80" s="202"/>
      <c r="N80" s="202"/>
      <c r="O80" s="202"/>
      <c r="P80" s="202"/>
      <c r="Q80" s="202"/>
      <c r="R80" s="202"/>
      <c r="S80" s="202"/>
      <c r="T80" s="202"/>
      <c r="U80" s="202"/>
      <c r="V80" s="202"/>
      <c r="W80" s="202"/>
      <c r="X80" s="202"/>
      <c r="Y80" s="202"/>
      <c r="Z80" s="202"/>
      <c r="AA80" s="202"/>
      <c r="AB80" s="202"/>
      <c r="AC80" s="202"/>
      <c r="AD80" s="202"/>
      <c r="AE80" s="202"/>
      <c r="AF80" s="202"/>
      <c r="AG80" s="202"/>
      <c r="AH80" s="202"/>
      <c r="AI80" s="202"/>
      <c r="AJ80" s="202"/>
      <c r="AK80" s="202"/>
      <c r="AL80" s="202"/>
      <c r="AM80" s="202"/>
      <c r="AN80" s="202"/>
      <c r="AO80" s="202"/>
      <c r="AP80" s="202"/>
      <c r="AQ80" s="202"/>
      <c r="AR80" s="202"/>
      <c r="AS80" s="202"/>
      <c r="AT80" s="202"/>
      <c r="AU80" s="202"/>
      <c r="AV80" s="202"/>
      <c r="AW80" s="202"/>
      <c r="AX80" s="202"/>
      <c r="AY80" s="202"/>
      <c r="AZ80" s="202"/>
      <c r="BA80" s="202"/>
      <c r="BB80" s="202"/>
      <c r="BC80" s="202"/>
      <c r="BD80" s="202"/>
      <c r="BE80" s="202"/>
      <c r="BF80" s="202"/>
      <c r="BG80" s="202"/>
      <c r="BH80" s="202"/>
      <c r="BI80" s="202"/>
      <c r="BJ80" s="202"/>
      <c r="BK80" s="202"/>
      <c r="BL80" s="202"/>
      <c r="BM80" s="202"/>
      <c r="BN80" s="202"/>
      <c r="BO80" s="202"/>
      <c r="BP80" s="202"/>
      <c r="BQ80" s="202"/>
      <c r="BR80" s="202"/>
      <c r="BS80" s="202"/>
      <c r="BT80" s="202"/>
      <c r="BU80" s="202">
        <v>4</v>
      </c>
      <c r="BV80" s="202"/>
      <c r="BW80" s="202"/>
      <c r="BX80" s="202"/>
      <c r="BY80" s="202"/>
      <c r="BZ80" s="202"/>
      <c r="CA80" s="202"/>
      <c r="CB80" s="202"/>
      <c r="CC80" s="202"/>
      <c r="CD80" s="202"/>
      <c r="CE80" s="202"/>
      <c r="CF80" s="202"/>
      <c r="CG80" s="202"/>
      <c r="CH80" s="202"/>
      <c r="CI80" s="202"/>
      <c r="CJ80" s="202"/>
      <c r="CK80" s="202"/>
      <c r="CL80" s="202"/>
      <c r="CM80" s="202"/>
      <c r="CN80" s="202"/>
      <c r="CO80" s="202"/>
      <c r="CP80" s="202"/>
      <c r="CQ80" s="202"/>
      <c r="CR80" s="202"/>
      <c r="CS80" s="202"/>
      <c r="CT80" s="202"/>
      <c r="CU80" s="202"/>
      <c r="CV80" s="202"/>
      <c r="CW80" s="202"/>
      <c r="CX80" s="202"/>
      <c r="CY80" s="202"/>
      <c r="CZ80" s="202"/>
      <c r="DA80" s="202"/>
      <c r="DB80" s="202"/>
      <c r="DC80" s="202"/>
      <c r="DD80" s="202"/>
      <c r="DE80" s="202"/>
      <c r="DF80" s="202">
        <v>4</v>
      </c>
    </row>
    <row r="81" spans="1:110">
      <c r="A81" s="205" t="s">
        <v>3402</v>
      </c>
      <c r="B81" s="202"/>
      <c r="C81" s="202"/>
      <c r="D81" s="202"/>
      <c r="E81" s="202"/>
      <c r="F81" s="202"/>
      <c r="G81" s="202"/>
      <c r="H81" s="202"/>
      <c r="I81" s="202"/>
      <c r="J81" s="202"/>
      <c r="K81" s="202"/>
      <c r="L81" s="202"/>
      <c r="M81" s="202"/>
      <c r="N81" s="202"/>
      <c r="O81" s="202"/>
      <c r="P81" s="202"/>
      <c r="Q81" s="202"/>
      <c r="R81" s="202"/>
      <c r="S81" s="202"/>
      <c r="T81" s="202"/>
      <c r="U81" s="202"/>
      <c r="V81" s="202"/>
      <c r="W81" s="202"/>
      <c r="X81" s="202"/>
      <c r="Y81" s="202"/>
      <c r="Z81" s="202"/>
      <c r="AA81" s="202"/>
      <c r="AB81" s="202"/>
      <c r="AC81" s="202"/>
      <c r="AD81" s="202"/>
      <c r="AE81" s="202"/>
      <c r="AF81" s="202"/>
      <c r="AG81" s="202"/>
      <c r="AH81" s="202"/>
      <c r="AI81" s="202"/>
      <c r="AJ81" s="202"/>
      <c r="AK81" s="202"/>
      <c r="AL81" s="202"/>
      <c r="AM81" s="202"/>
      <c r="AN81" s="202"/>
      <c r="AO81" s="202"/>
      <c r="AP81" s="202"/>
      <c r="AQ81" s="202"/>
      <c r="AR81" s="202"/>
      <c r="AS81" s="202"/>
      <c r="AT81" s="202"/>
      <c r="AU81" s="202"/>
      <c r="AV81" s="202"/>
      <c r="AW81" s="202"/>
      <c r="AX81" s="202"/>
      <c r="AY81" s="202"/>
      <c r="AZ81" s="202"/>
      <c r="BA81" s="202"/>
      <c r="BB81" s="202"/>
      <c r="BC81" s="202"/>
      <c r="BD81" s="202"/>
      <c r="BE81" s="202"/>
      <c r="BF81" s="202"/>
      <c r="BG81" s="202"/>
      <c r="BH81" s="202"/>
      <c r="BI81" s="202"/>
      <c r="BJ81" s="202"/>
      <c r="BK81" s="202"/>
      <c r="BL81" s="202"/>
      <c r="BM81" s="202"/>
      <c r="BN81" s="202"/>
      <c r="BO81" s="202"/>
      <c r="BP81" s="202"/>
      <c r="BQ81" s="202"/>
      <c r="BR81" s="202"/>
      <c r="BS81" s="202"/>
      <c r="BT81" s="202"/>
      <c r="BU81" s="202"/>
      <c r="BV81" s="202"/>
      <c r="BW81" s="202"/>
      <c r="BX81" s="202"/>
      <c r="BY81" s="202"/>
      <c r="BZ81" s="202"/>
      <c r="CA81" s="202"/>
      <c r="CB81" s="202"/>
      <c r="CC81" s="202"/>
      <c r="CD81" s="202"/>
      <c r="CE81" s="202"/>
      <c r="CF81" s="202"/>
      <c r="CG81" s="202"/>
      <c r="CH81" s="202"/>
      <c r="CI81" s="202"/>
      <c r="CJ81" s="202"/>
      <c r="CK81" s="202"/>
      <c r="CL81" s="202"/>
      <c r="CM81" s="202"/>
      <c r="CN81" s="202"/>
      <c r="CO81" s="202"/>
      <c r="CP81" s="202"/>
      <c r="CQ81" s="202"/>
      <c r="CR81" s="202"/>
      <c r="CS81" s="202"/>
      <c r="CT81" s="202"/>
      <c r="CU81" s="202"/>
      <c r="CV81" s="202"/>
      <c r="CW81" s="202"/>
      <c r="CX81" s="202"/>
      <c r="CY81" s="202"/>
      <c r="CZ81" s="202"/>
      <c r="DA81" s="202"/>
      <c r="DB81" s="202"/>
      <c r="DC81" s="202"/>
      <c r="DD81" s="202"/>
      <c r="DE81" s="202">
        <v>5</v>
      </c>
      <c r="DF81" s="202">
        <v>5</v>
      </c>
    </row>
    <row r="82" spans="1:110">
      <c r="A82" s="205" t="s">
        <v>2027</v>
      </c>
      <c r="B82" s="202"/>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c r="AA82" s="202"/>
      <c r="AB82" s="202"/>
      <c r="AC82" s="202"/>
      <c r="AD82" s="202"/>
      <c r="AE82" s="202"/>
      <c r="AF82" s="202"/>
      <c r="AG82" s="202"/>
      <c r="AH82" s="202"/>
      <c r="AI82" s="202"/>
      <c r="AJ82" s="202"/>
      <c r="AK82" s="202"/>
      <c r="AL82" s="202"/>
      <c r="AM82" s="202"/>
      <c r="AN82" s="202"/>
      <c r="AO82" s="202"/>
      <c r="AP82" s="202"/>
      <c r="AQ82" s="202"/>
      <c r="AR82" s="202"/>
      <c r="AS82" s="202"/>
      <c r="AT82" s="202"/>
      <c r="AU82" s="202"/>
      <c r="AV82" s="202"/>
      <c r="AW82" s="202"/>
      <c r="AX82" s="202"/>
      <c r="AY82" s="202"/>
      <c r="AZ82" s="202"/>
      <c r="BA82" s="202"/>
      <c r="BB82" s="202"/>
      <c r="BC82" s="202"/>
      <c r="BD82" s="202"/>
      <c r="BE82" s="202"/>
      <c r="BF82" s="202"/>
      <c r="BG82" s="202"/>
      <c r="BH82" s="202"/>
      <c r="BI82" s="202"/>
      <c r="BJ82" s="202"/>
      <c r="BK82" s="202"/>
      <c r="BL82" s="202"/>
      <c r="BM82" s="202"/>
      <c r="BN82" s="202"/>
      <c r="BO82" s="202"/>
      <c r="BP82" s="202"/>
      <c r="BQ82" s="202"/>
      <c r="BR82" s="202"/>
      <c r="BS82" s="202"/>
      <c r="BT82" s="202"/>
      <c r="BU82" s="202"/>
      <c r="BV82" s="202"/>
      <c r="BW82" s="202"/>
      <c r="BX82" s="202"/>
      <c r="BY82" s="202"/>
      <c r="BZ82" s="202"/>
      <c r="CA82" s="202"/>
      <c r="CB82" s="202"/>
      <c r="CC82" s="202"/>
      <c r="CD82" s="202"/>
      <c r="CE82" s="202"/>
      <c r="CF82" s="202"/>
      <c r="CG82" s="202"/>
      <c r="CH82" s="202"/>
      <c r="CI82" s="202"/>
      <c r="CJ82" s="202"/>
      <c r="CK82" s="202"/>
      <c r="CL82" s="202"/>
      <c r="CM82" s="202">
        <v>7</v>
      </c>
      <c r="CN82" s="202"/>
      <c r="CO82" s="202"/>
      <c r="CP82" s="202"/>
      <c r="CQ82" s="202"/>
      <c r="CR82" s="202"/>
      <c r="CS82" s="202"/>
      <c r="CT82" s="202"/>
      <c r="CU82" s="202"/>
      <c r="CV82" s="202"/>
      <c r="CW82" s="202"/>
      <c r="CX82" s="202"/>
      <c r="CY82" s="202"/>
      <c r="CZ82" s="202"/>
      <c r="DA82" s="202"/>
      <c r="DB82" s="202"/>
      <c r="DC82" s="202"/>
      <c r="DD82" s="202"/>
      <c r="DE82" s="202"/>
      <c r="DF82" s="202">
        <v>7</v>
      </c>
    </row>
    <row r="83" spans="1:110">
      <c r="A83" s="205" t="s">
        <v>2116</v>
      </c>
      <c r="B83" s="202"/>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c r="AQ83" s="202"/>
      <c r="AR83" s="202"/>
      <c r="AS83" s="202">
        <v>1</v>
      </c>
      <c r="AT83" s="202"/>
      <c r="AU83" s="202"/>
      <c r="AV83" s="202"/>
      <c r="AW83" s="202"/>
      <c r="AX83" s="202"/>
      <c r="AY83" s="202"/>
      <c r="AZ83" s="202"/>
      <c r="BA83" s="202"/>
      <c r="BB83" s="202"/>
      <c r="BC83" s="202"/>
      <c r="BD83" s="202"/>
      <c r="BE83" s="202"/>
      <c r="BF83" s="202"/>
      <c r="BG83" s="202"/>
      <c r="BH83" s="202"/>
      <c r="BI83" s="202"/>
      <c r="BJ83" s="202"/>
      <c r="BK83" s="202"/>
      <c r="BL83" s="202"/>
      <c r="BM83" s="202"/>
      <c r="BN83" s="202"/>
      <c r="BO83" s="202"/>
      <c r="BP83" s="202"/>
      <c r="BQ83" s="202"/>
      <c r="BR83" s="202"/>
      <c r="BS83" s="202"/>
      <c r="BT83" s="202"/>
      <c r="BU83" s="202"/>
      <c r="BV83" s="202"/>
      <c r="BW83" s="202"/>
      <c r="BX83" s="202"/>
      <c r="BY83" s="202"/>
      <c r="BZ83" s="202"/>
      <c r="CA83" s="202"/>
      <c r="CB83" s="202"/>
      <c r="CC83" s="202"/>
      <c r="CD83" s="202"/>
      <c r="CE83" s="202"/>
      <c r="CF83" s="202"/>
      <c r="CG83" s="202"/>
      <c r="CH83" s="202"/>
      <c r="CI83" s="202"/>
      <c r="CJ83" s="202"/>
      <c r="CK83" s="202"/>
      <c r="CL83" s="202"/>
      <c r="CM83" s="202"/>
      <c r="CN83" s="202"/>
      <c r="CO83" s="202"/>
      <c r="CP83" s="202"/>
      <c r="CQ83" s="202"/>
      <c r="CR83" s="202"/>
      <c r="CS83" s="202"/>
      <c r="CT83" s="202"/>
      <c r="CU83" s="202"/>
      <c r="CV83" s="202"/>
      <c r="CW83" s="202"/>
      <c r="CX83" s="202"/>
      <c r="CY83" s="202"/>
      <c r="CZ83" s="202"/>
      <c r="DA83" s="202"/>
      <c r="DB83" s="202"/>
      <c r="DC83" s="202"/>
      <c r="DD83" s="202"/>
      <c r="DE83" s="202"/>
      <c r="DF83" s="202">
        <v>1</v>
      </c>
    </row>
    <row r="84" spans="1:110">
      <c r="A84" s="205" t="s">
        <v>2115</v>
      </c>
      <c r="B84" s="202"/>
      <c r="C84" s="202"/>
      <c r="D84" s="202"/>
      <c r="E84" s="202"/>
      <c r="F84" s="202"/>
      <c r="G84" s="202"/>
      <c r="H84" s="202"/>
      <c r="I84" s="202"/>
      <c r="J84" s="202"/>
      <c r="K84" s="202"/>
      <c r="L84" s="202"/>
      <c r="M84" s="202"/>
      <c r="N84" s="202"/>
      <c r="O84" s="202"/>
      <c r="P84" s="202"/>
      <c r="Q84" s="202"/>
      <c r="R84" s="202"/>
      <c r="S84" s="202"/>
      <c r="T84" s="202"/>
      <c r="U84" s="202"/>
      <c r="V84" s="202"/>
      <c r="W84" s="202"/>
      <c r="X84" s="202"/>
      <c r="Y84" s="202"/>
      <c r="Z84" s="202"/>
      <c r="AA84" s="202"/>
      <c r="AB84" s="202"/>
      <c r="AC84" s="202"/>
      <c r="AD84" s="202"/>
      <c r="AE84" s="202"/>
      <c r="AF84" s="202"/>
      <c r="AG84" s="202"/>
      <c r="AH84" s="202"/>
      <c r="AI84" s="202"/>
      <c r="AJ84" s="202"/>
      <c r="AK84" s="202">
        <v>1</v>
      </c>
      <c r="AL84" s="202"/>
      <c r="AM84" s="202"/>
      <c r="AN84" s="202"/>
      <c r="AO84" s="202"/>
      <c r="AP84" s="202"/>
      <c r="AQ84" s="202"/>
      <c r="AR84" s="202"/>
      <c r="AS84" s="202"/>
      <c r="AT84" s="202"/>
      <c r="AU84" s="202"/>
      <c r="AV84" s="202"/>
      <c r="AW84" s="202"/>
      <c r="AX84" s="202"/>
      <c r="AY84" s="202"/>
      <c r="AZ84" s="202"/>
      <c r="BA84" s="202"/>
      <c r="BB84" s="202"/>
      <c r="BC84" s="202"/>
      <c r="BD84" s="202"/>
      <c r="BE84" s="202"/>
      <c r="BF84" s="202"/>
      <c r="BG84" s="202"/>
      <c r="BH84" s="202"/>
      <c r="BI84" s="202"/>
      <c r="BJ84" s="202"/>
      <c r="BK84" s="202"/>
      <c r="BL84" s="202"/>
      <c r="BM84" s="202"/>
      <c r="BN84" s="202"/>
      <c r="BO84" s="202"/>
      <c r="BP84" s="202"/>
      <c r="BQ84" s="202"/>
      <c r="BR84" s="202"/>
      <c r="BS84" s="202"/>
      <c r="BT84" s="202"/>
      <c r="BU84" s="202"/>
      <c r="BV84" s="202"/>
      <c r="BW84" s="202"/>
      <c r="BX84" s="202"/>
      <c r="BY84" s="202"/>
      <c r="BZ84" s="202"/>
      <c r="CA84" s="202"/>
      <c r="CB84" s="202"/>
      <c r="CC84" s="202"/>
      <c r="CD84" s="202"/>
      <c r="CE84" s="202"/>
      <c r="CF84" s="202"/>
      <c r="CG84" s="202"/>
      <c r="CH84" s="202"/>
      <c r="CI84" s="202"/>
      <c r="CJ84" s="202"/>
      <c r="CK84" s="202"/>
      <c r="CL84" s="202"/>
      <c r="CM84" s="202"/>
      <c r="CN84" s="202"/>
      <c r="CO84" s="202"/>
      <c r="CP84" s="202"/>
      <c r="CQ84" s="202"/>
      <c r="CR84" s="202"/>
      <c r="CS84" s="202"/>
      <c r="CT84" s="202"/>
      <c r="CU84" s="202"/>
      <c r="CV84" s="202"/>
      <c r="CW84" s="202"/>
      <c r="CX84" s="202"/>
      <c r="CY84" s="202"/>
      <c r="CZ84" s="202"/>
      <c r="DA84" s="202"/>
      <c r="DB84" s="202"/>
      <c r="DC84" s="202"/>
      <c r="DD84" s="202"/>
      <c r="DE84" s="202"/>
      <c r="DF84" s="202">
        <v>1</v>
      </c>
    </row>
    <row r="85" spans="1:110">
      <c r="A85" s="205" t="s">
        <v>2136</v>
      </c>
      <c r="B85" s="202"/>
      <c r="C85" s="202"/>
      <c r="D85" s="202"/>
      <c r="E85" s="202"/>
      <c r="F85" s="202"/>
      <c r="G85" s="202"/>
      <c r="H85" s="202"/>
      <c r="I85" s="202"/>
      <c r="J85" s="202"/>
      <c r="K85" s="202"/>
      <c r="L85" s="202"/>
      <c r="M85" s="202"/>
      <c r="N85" s="202"/>
      <c r="O85" s="202"/>
      <c r="P85" s="202"/>
      <c r="Q85" s="202"/>
      <c r="R85" s="202"/>
      <c r="S85" s="202"/>
      <c r="T85" s="202"/>
      <c r="U85" s="202"/>
      <c r="V85" s="202"/>
      <c r="W85" s="202"/>
      <c r="X85" s="202"/>
      <c r="Y85" s="202"/>
      <c r="Z85" s="202"/>
      <c r="AA85" s="202"/>
      <c r="AB85" s="202"/>
      <c r="AC85" s="202"/>
      <c r="AD85" s="202"/>
      <c r="AE85" s="202"/>
      <c r="AF85" s="202"/>
      <c r="AG85" s="202"/>
      <c r="AH85" s="202"/>
      <c r="AI85" s="202"/>
      <c r="AJ85" s="202"/>
      <c r="AK85" s="202"/>
      <c r="AL85" s="202"/>
      <c r="AM85" s="202"/>
      <c r="AN85" s="202"/>
      <c r="AO85" s="202"/>
      <c r="AP85" s="202"/>
      <c r="AQ85" s="202"/>
      <c r="AR85" s="202"/>
      <c r="AS85" s="202"/>
      <c r="AT85" s="202"/>
      <c r="AU85" s="202"/>
      <c r="AV85" s="202"/>
      <c r="AW85" s="202">
        <v>8</v>
      </c>
      <c r="AX85" s="202"/>
      <c r="AY85" s="202"/>
      <c r="AZ85" s="202"/>
      <c r="BA85" s="202"/>
      <c r="BB85" s="202"/>
      <c r="BC85" s="202"/>
      <c r="BD85" s="202"/>
      <c r="BE85" s="202"/>
      <c r="BF85" s="202"/>
      <c r="BG85" s="202"/>
      <c r="BH85" s="202"/>
      <c r="BI85" s="202"/>
      <c r="BJ85" s="202"/>
      <c r="BK85" s="202"/>
      <c r="BL85" s="202"/>
      <c r="BM85" s="202"/>
      <c r="BN85" s="202"/>
      <c r="BO85" s="202"/>
      <c r="BP85" s="202"/>
      <c r="BQ85" s="202"/>
      <c r="BR85" s="202"/>
      <c r="BS85" s="202"/>
      <c r="BT85" s="202"/>
      <c r="BU85" s="202"/>
      <c r="BV85" s="202"/>
      <c r="BW85" s="202"/>
      <c r="BX85" s="202"/>
      <c r="BY85" s="202"/>
      <c r="BZ85" s="202"/>
      <c r="CA85" s="202"/>
      <c r="CB85" s="202"/>
      <c r="CC85" s="202"/>
      <c r="CD85" s="202"/>
      <c r="CE85" s="202"/>
      <c r="CF85" s="202"/>
      <c r="CG85" s="202"/>
      <c r="CH85" s="202"/>
      <c r="CI85" s="202"/>
      <c r="CJ85" s="202"/>
      <c r="CK85" s="202"/>
      <c r="CL85" s="202"/>
      <c r="CM85" s="202"/>
      <c r="CN85" s="202"/>
      <c r="CO85" s="202"/>
      <c r="CP85" s="202"/>
      <c r="CQ85" s="202"/>
      <c r="CR85" s="202"/>
      <c r="CS85" s="202"/>
      <c r="CT85" s="202"/>
      <c r="CU85" s="202"/>
      <c r="CV85" s="202"/>
      <c r="CW85" s="202"/>
      <c r="CX85" s="202"/>
      <c r="CY85" s="202"/>
      <c r="CZ85" s="202"/>
      <c r="DA85" s="202"/>
      <c r="DB85" s="202"/>
      <c r="DC85" s="202"/>
      <c r="DD85" s="202"/>
      <c r="DE85" s="202"/>
      <c r="DF85" s="202">
        <v>8</v>
      </c>
    </row>
    <row r="86" spans="1:110">
      <c r="A86" s="205" t="s">
        <v>3403</v>
      </c>
      <c r="B86" s="202"/>
      <c r="C86" s="202"/>
      <c r="D86" s="202"/>
      <c r="E86" s="202"/>
      <c r="F86" s="202"/>
      <c r="G86" s="202"/>
      <c r="H86" s="202"/>
      <c r="I86" s="202"/>
      <c r="J86" s="202"/>
      <c r="K86" s="202"/>
      <c r="L86" s="202"/>
      <c r="M86" s="202"/>
      <c r="N86" s="202"/>
      <c r="O86" s="202">
        <v>2</v>
      </c>
      <c r="P86" s="202"/>
      <c r="Q86" s="202"/>
      <c r="R86" s="202"/>
      <c r="S86" s="202"/>
      <c r="T86" s="202"/>
      <c r="U86" s="202"/>
      <c r="V86" s="202"/>
      <c r="W86" s="202"/>
      <c r="X86" s="202"/>
      <c r="Y86" s="202"/>
      <c r="Z86" s="202"/>
      <c r="AA86" s="202"/>
      <c r="AB86" s="202"/>
      <c r="AC86" s="202"/>
      <c r="AD86" s="202"/>
      <c r="AE86" s="202"/>
      <c r="AF86" s="202"/>
      <c r="AG86" s="202"/>
      <c r="AH86" s="202"/>
      <c r="AI86" s="202"/>
      <c r="AJ86" s="202"/>
      <c r="AK86" s="202"/>
      <c r="AL86" s="202"/>
      <c r="AM86" s="202"/>
      <c r="AN86" s="202"/>
      <c r="AO86" s="202"/>
      <c r="AP86" s="202"/>
      <c r="AQ86" s="202"/>
      <c r="AR86" s="202"/>
      <c r="AS86" s="202"/>
      <c r="AT86" s="202"/>
      <c r="AU86" s="202"/>
      <c r="AV86" s="202"/>
      <c r="AW86" s="202"/>
      <c r="AX86" s="202"/>
      <c r="AY86" s="202"/>
      <c r="AZ86" s="202"/>
      <c r="BA86" s="202"/>
      <c r="BB86" s="202"/>
      <c r="BC86" s="202"/>
      <c r="BD86" s="202"/>
      <c r="BE86" s="202"/>
      <c r="BF86" s="202"/>
      <c r="BG86" s="202"/>
      <c r="BH86" s="202"/>
      <c r="BI86" s="202"/>
      <c r="BJ86" s="202"/>
      <c r="BK86" s="202"/>
      <c r="BL86" s="202"/>
      <c r="BM86" s="202"/>
      <c r="BN86" s="202"/>
      <c r="BO86" s="202"/>
      <c r="BP86" s="202"/>
      <c r="BQ86" s="202"/>
      <c r="BR86" s="202"/>
      <c r="BS86" s="202"/>
      <c r="BT86" s="202"/>
      <c r="BU86" s="202"/>
      <c r="BV86" s="202"/>
      <c r="BW86" s="202"/>
      <c r="BX86" s="202"/>
      <c r="BY86" s="202"/>
      <c r="BZ86" s="202"/>
      <c r="CA86" s="202"/>
      <c r="CB86" s="202"/>
      <c r="CC86" s="202"/>
      <c r="CD86" s="202"/>
      <c r="CE86" s="202"/>
      <c r="CF86" s="202"/>
      <c r="CG86" s="202"/>
      <c r="CH86" s="202"/>
      <c r="CI86" s="202"/>
      <c r="CJ86" s="202"/>
      <c r="CK86" s="202"/>
      <c r="CL86" s="202"/>
      <c r="CM86" s="202"/>
      <c r="CN86" s="202"/>
      <c r="CO86" s="202"/>
      <c r="CP86" s="202"/>
      <c r="CQ86" s="202"/>
      <c r="CR86" s="202"/>
      <c r="CS86" s="202"/>
      <c r="CT86" s="202"/>
      <c r="CU86" s="202"/>
      <c r="CV86" s="202"/>
      <c r="CW86" s="202"/>
      <c r="CX86" s="202"/>
      <c r="CY86" s="202"/>
      <c r="CZ86" s="202"/>
      <c r="DA86" s="202"/>
      <c r="DB86" s="202"/>
      <c r="DC86" s="202"/>
      <c r="DD86" s="202"/>
      <c r="DE86" s="202">
        <v>3</v>
      </c>
      <c r="DF86" s="202">
        <v>5</v>
      </c>
    </row>
    <row r="87" spans="1:110">
      <c r="A87" s="205" t="s">
        <v>3404</v>
      </c>
      <c r="B87" s="202"/>
      <c r="C87" s="202"/>
      <c r="D87" s="202"/>
      <c r="E87" s="202"/>
      <c r="F87" s="202"/>
      <c r="G87" s="202">
        <v>5</v>
      </c>
      <c r="H87" s="202"/>
      <c r="I87" s="202"/>
      <c r="J87" s="202"/>
      <c r="K87" s="202"/>
      <c r="L87" s="202"/>
      <c r="M87" s="202"/>
      <c r="N87" s="202"/>
      <c r="O87" s="202"/>
      <c r="P87" s="202"/>
      <c r="Q87" s="202"/>
      <c r="R87" s="202"/>
      <c r="S87" s="202"/>
      <c r="T87" s="202"/>
      <c r="U87" s="202"/>
      <c r="V87" s="202"/>
      <c r="W87" s="202"/>
      <c r="X87" s="202"/>
      <c r="Y87" s="202"/>
      <c r="Z87" s="202"/>
      <c r="AA87" s="202"/>
      <c r="AB87" s="202"/>
      <c r="AC87" s="202"/>
      <c r="AD87" s="202"/>
      <c r="AE87" s="202"/>
      <c r="AF87" s="202"/>
      <c r="AG87" s="202"/>
      <c r="AH87" s="202"/>
      <c r="AI87" s="202"/>
      <c r="AJ87" s="202"/>
      <c r="AK87" s="202"/>
      <c r="AL87" s="202"/>
      <c r="AM87" s="202"/>
      <c r="AN87" s="202"/>
      <c r="AO87" s="202"/>
      <c r="AP87" s="202"/>
      <c r="AQ87" s="202"/>
      <c r="AR87" s="202"/>
      <c r="AS87" s="202"/>
      <c r="AT87" s="202"/>
      <c r="AU87" s="202"/>
      <c r="AV87" s="202"/>
      <c r="AW87" s="202"/>
      <c r="AX87" s="202"/>
      <c r="AY87" s="202"/>
      <c r="AZ87" s="202"/>
      <c r="BA87" s="202"/>
      <c r="BB87" s="202"/>
      <c r="BC87" s="202"/>
      <c r="BD87" s="202"/>
      <c r="BE87" s="202"/>
      <c r="BF87" s="202"/>
      <c r="BG87" s="202"/>
      <c r="BH87" s="202"/>
      <c r="BI87" s="202"/>
      <c r="BJ87" s="202"/>
      <c r="BK87" s="202"/>
      <c r="BL87" s="202"/>
      <c r="BM87" s="202"/>
      <c r="BN87" s="202"/>
      <c r="BO87" s="202"/>
      <c r="BP87" s="202"/>
      <c r="BQ87" s="202"/>
      <c r="BR87" s="202"/>
      <c r="BS87" s="202"/>
      <c r="BT87" s="202"/>
      <c r="BU87" s="202"/>
      <c r="BV87" s="202"/>
      <c r="BW87" s="202"/>
      <c r="BX87" s="202"/>
      <c r="BY87" s="202"/>
      <c r="BZ87" s="202"/>
      <c r="CA87" s="202"/>
      <c r="CB87" s="202"/>
      <c r="CC87" s="202"/>
      <c r="CD87" s="202"/>
      <c r="CE87" s="202"/>
      <c r="CF87" s="202"/>
      <c r="CG87" s="202"/>
      <c r="CH87" s="202"/>
      <c r="CI87" s="202"/>
      <c r="CJ87" s="202"/>
      <c r="CK87" s="202"/>
      <c r="CL87" s="202"/>
      <c r="CM87" s="202"/>
      <c r="CN87" s="202"/>
      <c r="CO87" s="202"/>
      <c r="CP87" s="202"/>
      <c r="CQ87" s="202"/>
      <c r="CR87" s="202"/>
      <c r="CS87" s="202"/>
      <c r="CT87" s="202"/>
      <c r="CU87" s="202"/>
      <c r="CV87" s="202"/>
      <c r="CW87" s="202"/>
      <c r="CX87" s="202"/>
      <c r="CY87" s="202"/>
      <c r="CZ87" s="202"/>
      <c r="DA87" s="202"/>
      <c r="DB87" s="202"/>
      <c r="DC87" s="202"/>
      <c r="DD87" s="202"/>
      <c r="DE87" s="202"/>
      <c r="DF87" s="202">
        <v>5</v>
      </c>
    </row>
    <row r="88" spans="1:110">
      <c r="A88" s="205" t="s">
        <v>2986</v>
      </c>
      <c r="B88" s="202"/>
      <c r="C88" s="202"/>
      <c r="D88" s="202"/>
      <c r="E88" s="202"/>
      <c r="F88" s="202"/>
      <c r="G88" s="202"/>
      <c r="H88" s="202"/>
      <c r="I88" s="202"/>
      <c r="J88" s="202"/>
      <c r="K88" s="202"/>
      <c r="L88" s="202"/>
      <c r="M88" s="202"/>
      <c r="N88" s="202"/>
      <c r="O88" s="202"/>
      <c r="P88" s="202"/>
      <c r="Q88" s="202"/>
      <c r="R88" s="202"/>
      <c r="S88" s="202"/>
      <c r="T88" s="202"/>
      <c r="U88" s="202"/>
      <c r="V88" s="202"/>
      <c r="W88" s="202"/>
      <c r="X88" s="202"/>
      <c r="Y88" s="202"/>
      <c r="Z88" s="202">
        <v>1</v>
      </c>
      <c r="AA88" s="202"/>
      <c r="AB88" s="202"/>
      <c r="AC88" s="202"/>
      <c r="AD88" s="202"/>
      <c r="AE88" s="202"/>
      <c r="AF88" s="202"/>
      <c r="AG88" s="202"/>
      <c r="AH88" s="202"/>
      <c r="AI88" s="202"/>
      <c r="AJ88" s="202"/>
      <c r="AK88" s="202"/>
      <c r="AL88" s="202"/>
      <c r="AM88" s="202"/>
      <c r="AN88" s="202"/>
      <c r="AO88" s="202"/>
      <c r="AP88" s="202"/>
      <c r="AQ88" s="202"/>
      <c r="AR88" s="202"/>
      <c r="AS88" s="202"/>
      <c r="AT88" s="202"/>
      <c r="AU88" s="202"/>
      <c r="AV88" s="202"/>
      <c r="AW88" s="202"/>
      <c r="AX88" s="202"/>
      <c r="AY88" s="202"/>
      <c r="AZ88" s="202">
        <v>3</v>
      </c>
      <c r="BA88" s="202"/>
      <c r="BB88" s="202"/>
      <c r="BC88" s="202"/>
      <c r="BD88" s="202"/>
      <c r="BE88" s="202"/>
      <c r="BF88" s="202"/>
      <c r="BG88" s="202"/>
      <c r="BH88" s="202"/>
      <c r="BI88" s="202"/>
      <c r="BJ88" s="202"/>
      <c r="BK88" s="202"/>
      <c r="BL88" s="202"/>
      <c r="BM88" s="202"/>
      <c r="BN88" s="202"/>
      <c r="BO88" s="202"/>
      <c r="BP88" s="202"/>
      <c r="BQ88" s="202"/>
      <c r="BR88" s="202"/>
      <c r="BS88" s="202"/>
      <c r="BT88" s="202"/>
      <c r="BU88" s="202"/>
      <c r="BV88" s="202"/>
      <c r="BW88" s="202"/>
      <c r="BX88" s="202"/>
      <c r="BY88" s="202"/>
      <c r="BZ88" s="202"/>
      <c r="CA88" s="202"/>
      <c r="CB88" s="202"/>
      <c r="CC88" s="202"/>
      <c r="CD88" s="202"/>
      <c r="CE88" s="202"/>
      <c r="CF88" s="202"/>
      <c r="CG88" s="202"/>
      <c r="CH88" s="202"/>
      <c r="CI88" s="202"/>
      <c r="CJ88" s="202"/>
      <c r="CK88" s="202"/>
      <c r="CL88" s="202"/>
      <c r="CM88" s="202"/>
      <c r="CN88" s="202"/>
      <c r="CO88" s="202"/>
      <c r="CP88" s="202"/>
      <c r="CQ88" s="202"/>
      <c r="CR88" s="202"/>
      <c r="CS88" s="202"/>
      <c r="CT88" s="202"/>
      <c r="CU88" s="202"/>
      <c r="CV88" s="202"/>
      <c r="CW88" s="202"/>
      <c r="CX88" s="202"/>
      <c r="CY88" s="202"/>
      <c r="CZ88" s="202"/>
      <c r="DA88" s="202"/>
      <c r="DB88" s="202"/>
      <c r="DC88" s="202"/>
      <c r="DD88" s="202"/>
      <c r="DE88" s="202">
        <v>1</v>
      </c>
      <c r="DF88" s="202">
        <v>5</v>
      </c>
    </row>
    <row r="89" spans="1:110">
      <c r="A89" s="205" t="s">
        <v>2658</v>
      </c>
      <c r="B89" s="202"/>
      <c r="C89" s="202"/>
      <c r="D89" s="202"/>
      <c r="E89" s="202"/>
      <c r="F89" s="202"/>
      <c r="G89" s="202"/>
      <c r="H89" s="202"/>
      <c r="I89" s="202"/>
      <c r="J89" s="202"/>
      <c r="K89" s="202"/>
      <c r="L89" s="202"/>
      <c r="M89" s="202"/>
      <c r="N89" s="202"/>
      <c r="O89" s="202"/>
      <c r="P89" s="202"/>
      <c r="Q89" s="202"/>
      <c r="R89" s="202"/>
      <c r="S89" s="202"/>
      <c r="T89" s="202"/>
      <c r="U89" s="202"/>
      <c r="V89" s="202"/>
      <c r="W89" s="202"/>
      <c r="X89" s="202"/>
      <c r="Y89" s="202"/>
      <c r="Z89" s="202"/>
      <c r="AA89" s="202"/>
      <c r="AB89" s="202"/>
      <c r="AC89" s="202"/>
      <c r="AD89" s="202"/>
      <c r="AE89" s="202"/>
      <c r="AF89" s="202"/>
      <c r="AG89" s="202"/>
      <c r="AH89" s="202"/>
      <c r="AI89" s="202"/>
      <c r="AJ89" s="202"/>
      <c r="AK89" s="202"/>
      <c r="AL89" s="202"/>
      <c r="AM89" s="202"/>
      <c r="AN89" s="202"/>
      <c r="AO89" s="202"/>
      <c r="AP89" s="202"/>
      <c r="AQ89" s="202"/>
      <c r="AR89" s="202"/>
      <c r="AS89" s="202"/>
      <c r="AT89" s="202"/>
      <c r="AU89" s="202"/>
      <c r="AV89" s="202"/>
      <c r="AW89" s="202"/>
      <c r="AX89" s="202"/>
      <c r="AY89" s="202"/>
      <c r="AZ89" s="202"/>
      <c r="BA89" s="202"/>
      <c r="BB89" s="202"/>
      <c r="BC89" s="202"/>
      <c r="BD89" s="202"/>
      <c r="BE89" s="202"/>
      <c r="BF89" s="202"/>
      <c r="BG89" s="202"/>
      <c r="BH89" s="202"/>
      <c r="BI89" s="202"/>
      <c r="BJ89" s="202"/>
      <c r="BK89" s="202"/>
      <c r="BL89" s="202"/>
      <c r="BM89" s="202"/>
      <c r="BN89" s="202"/>
      <c r="BO89" s="202"/>
      <c r="BP89" s="202"/>
      <c r="BQ89" s="202"/>
      <c r="BR89" s="202"/>
      <c r="BS89" s="202"/>
      <c r="BT89" s="202"/>
      <c r="BU89" s="202"/>
      <c r="BV89" s="202"/>
      <c r="BW89" s="202"/>
      <c r="BX89" s="202"/>
      <c r="BY89" s="202"/>
      <c r="BZ89" s="202"/>
      <c r="CA89" s="202"/>
      <c r="CB89" s="202"/>
      <c r="CC89" s="202"/>
      <c r="CD89" s="202"/>
      <c r="CE89" s="202"/>
      <c r="CF89" s="202"/>
      <c r="CG89" s="202"/>
      <c r="CH89" s="202"/>
      <c r="CI89" s="202"/>
      <c r="CJ89" s="202"/>
      <c r="CK89" s="202"/>
      <c r="CL89" s="202"/>
      <c r="CM89" s="202"/>
      <c r="CN89" s="202"/>
      <c r="CO89" s="202"/>
      <c r="CP89" s="202"/>
      <c r="CQ89" s="202"/>
      <c r="CR89" s="202"/>
      <c r="CS89" s="202"/>
      <c r="CT89" s="202"/>
      <c r="CU89" s="202"/>
      <c r="CV89" s="202"/>
      <c r="CW89" s="202"/>
      <c r="CX89" s="202"/>
      <c r="CY89" s="202"/>
      <c r="CZ89" s="202"/>
      <c r="DA89" s="202"/>
      <c r="DB89" s="202"/>
      <c r="DC89" s="202"/>
      <c r="DD89" s="202"/>
      <c r="DE89" s="202">
        <v>5</v>
      </c>
      <c r="DF89" s="202">
        <v>5</v>
      </c>
    </row>
    <row r="90" spans="1:110">
      <c r="A90" s="205" t="s">
        <v>2132</v>
      </c>
      <c r="B90" s="202"/>
      <c r="C90" s="202"/>
      <c r="D90" s="202"/>
      <c r="E90" s="202"/>
      <c r="F90" s="202"/>
      <c r="G90" s="202"/>
      <c r="H90" s="202"/>
      <c r="I90" s="202"/>
      <c r="J90" s="202"/>
      <c r="K90" s="202"/>
      <c r="L90" s="202"/>
      <c r="M90" s="202"/>
      <c r="N90" s="202"/>
      <c r="O90" s="202"/>
      <c r="P90" s="202"/>
      <c r="Q90" s="202"/>
      <c r="R90" s="202"/>
      <c r="S90" s="202"/>
      <c r="T90" s="202"/>
      <c r="U90" s="202"/>
      <c r="V90" s="202"/>
      <c r="W90" s="202"/>
      <c r="X90" s="202"/>
      <c r="Y90" s="202"/>
      <c r="Z90" s="202"/>
      <c r="AA90" s="202"/>
      <c r="AB90" s="202"/>
      <c r="AC90" s="202">
        <v>5</v>
      </c>
      <c r="AD90" s="202"/>
      <c r="AE90" s="202"/>
      <c r="AF90" s="202"/>
      <c r="AG90" s="202"/>
      <c r="AH90" s="202"/>
      <c r="AI90" s="202"/>
      <c r="AJ90" s="202"/>
      <c r="AK90" s="202"/>
      <c r="AL90" s="202"/>
      <c r="AM90" s="202"/>
      <c r="AN90" s="202"/>
      <c r="AO90" s="202"/>
      <c r="AP90" s="202"/>
      <c r="AQ90" s="202"/>
      <c r="AR90" s="202"/>
      <c r="AS90" s="202"/>
      <c r="AT90" s="202"/>
      <c r="AU90" s="202"/>
      <c r="AV90" s="202"/>
      <c r="AW90" s="202"/>
      <c r="AX90" s="202"/>
      <c r="AY90" s="202"/>
      <c r="AZ90" s="202"/>
      <c r="BA90" s="202"/>
      <c r="BB90" s="202"/>
      <c r="BC90" s="202"/>
      <c r="BD90" s="202"/>
      <c r="BE90" s="202"/>
      <c r="BF90" s="202"/>
      <c r="BG90" s="202"/>
      <c r="BH90" s="202"/>
      <c r="BI90" s="202"/>
      <c r="BJ90" s="202"/>
      <c r="BK90" s="202"/>
      <c r="BL90" s="202"/>
      <c r="BM90" s="202"/>
      <c r="BN90" s="202"/>
      <c r="BO90" s="202"/>
      <c r="BP90" s="202"/>
      <c r="BQ90" s="202"/>
      <c r="BR90" s="202"/>
      <c r="BS90" s="202"/>
      <c r="BT90" s="202"/>
      <c r="BU90" s="202"/>
      <c r="BV90" s="202"/>
      <c r="BW90" s="202"/>
      <c r="BX90" s="202"/>
      <c r="BY90" s="202"/>
      <c r="BZ90" s="202"/>
      <c r="CA90" s="202"/>
      <c r="CB90" s="202"/>
      <c r="CC90" s="202"/>
      <c r="CD90" s="202"/>
      <c r="CE90" s="202"/>
      <c r="CF90" s="202"/>
      <c r="CG90" s="202"/>
      <c r="CH90" s="202"/>
      <c r="CI90" s="202"/>
      <c r="CJ90" s="202"/>
      <c r="CK90" s="202"/>
      <c r="CL90" s="202"/>
      <c r="CM90" s="202"/>
      <c r="CN90" s="202"/>
      <c r="CO90" s="202"/>
      <c r="CP90" s="202"/>
      <c r="CQ90" s="202"/>
      <c r="CR90" s="202"/>
      <c r="CS90" s="202"/>
      <c r="CT90" s="202"/>
      <c r="CU90" s="202"/>
      <c r="CV90" s="202"/>
      <c r="CW90" s="202"/>
      <c r="CX90" s="202"/>
      <c r="CY90" s="202"/>
      <c r="CZ90" s="202"/>
      <c r="DA90" s="202"/>
      <c r="DB90" s="202"/>
      <c r="DC90" s="202"/>
      <c r="DD90" s="202"/>
      <c r="DE90" s="202"/>
      <c r="DF90" s="202">
        <v>5</v>
      </c>
    </row>
    <row r="91" spans="1:110">
      <c r="A91" s="205" t="s">
        <v>3405</v>
      </c>
      <c r="B91" s="202"/>
      <c r="C91" s="202"/>
      <c r="D91" s="202"/>
      <c r="E91" s="202"/>
      <c r="F91" s="202"/>
      <c r="G91" s="202">
        <v>1</v>
      </c>
      <c r="H91" s="202"/>
      <c r="I91" s="202"/>
      <c r="J91" s="202">
        <v>2</v>
      </c>
      <c r="K91" s="202"/>
      <c r="L91" s="202"/>
      <c r="M91" s="202"/>
      <c r="N91" s="202"/>
      <c r="O91" s="202"/>
      <c r="P91" s="202"/>
      <c r="Q91" s="202"/>
      <c r="R91" s="202"/>
      <c r="S91" s="202"/>
      <c r="T91" s="202"/>
      <c r="U91" s="202"/>
      <c r="V91" s="202"/>
      <c r="W91" s="202"/>
      <c r="X91" s="202"/>
      <c r="Y91" s="202"/>
      <c r="Z91" s="202"/>
      <c r="AA91" s="202"/>
      <c r="AB91" s="202"/>
      <c r="AC91" s="202"/>
      <c r="AD91" s="202"/>
      <c r="AE91" s="202"/>
      <c r="AF91" s="202"/>
      <c r="AG91" s="202"/>
      <c r="AH91" s="202"/>
      <c r="AI91" s="202"/>
      <c r="AJ91" s="202"/>
      <c r="AK91" s="202"/>
      <c r="AL91" s="202"/>
      <c r="AM91" s="202"/>
      <c r="AN91" s="202"/>
      <c r="AO91" s="202"/>
      <c r="AP91" s="202"/>
      <c r="AQ91" s="202"/>
      <c r="AR91" s="202"/>
      <c r="AS91" s="202"/>
      <c r="AT91" s="202"/>
      <c r="AU91" s="202"/>
      <c r="AV91" s="202"/>
      <c r="AW91" s="202"/>
      <c r="AX91" s="202"/>
      <c r="AY91" s="202"/>
      <c r="AZ91" s="202"/>
      <c r="BA91" s="202"/>
      <c r="BB91" s="202"/>
      <c r="BC91" s="202"/>
      <c r="BD91" s="202"/>
      <c r="BE91" s="202"/>
      <c r="BF91" s="202"/>
      <c r="BG91" s="202"/>
      <c r="BH91" s="202"/>
      <c r="BI91" s="202"/>
      <c r="BJ91" s="202"/>
      <c r="BK91" s="202"/>
      <c r="BL91" s="202"/>
      <c r="BM91" s="202"/>
      <c r="BN91" s="202"/>
      <c r="BO91" s="202"/>
      <c r="BP91" s="202"/>
      <c r="BQ91" s="202"/>
      <c r="BR91" s="202"/>
      <c r="BS91" s="202"/>
      <c r="BT91" s="202"/>
      <c r="BU91" s="202"/>
      <c r="BV91" s="202"/>
      <c r="BW91" s="202"/>
      <c r="BX91" s="202"/>
      <c r="BY91" s="202"/>
      <c r="BZ91" s="202"/>
      <c r="CA91" s="202"/>
      <c r="CB91" s="202"/>
      <c r="CC91" s="202"/>
      <c r="CD91" s="202"/>
      <c r="CE91" s="202"/>
      <c r="CF91" s="202"/>
      <c r="CG91" s="202"/>
      <c r="CH91" s="202"/>
      <c r="CI91" s="202"/>
      <c r="CJ91" s="202"/>
      <c r="CK91" s="202"/>
      <c r="CL91" s="202"/>
      <c r="CM91" s="202"/>
      <c r="CN91" s="202"/>
      <c r="CO91" s="202"/>
      <c r="CP91" s="202"/>
      <c r="CQ91" s="202"/>
      <c r="CR91" s="202"/>
      <c r="CS91" s="202"/>
      <c r="CT91" s="202"/>
      <c r="CU91" s="202"/>
      <c r="CV91" s="202"/>
      <c r="CW91" s="202"/>
      <c r="CX91" s="202"/>
      <c r="CY91" s="202"/>
      <c r="CZ91" s="202"/>
      <c r="DA91" s="202"/>
      <c r="DB91" s="202"/>
      <c r="DC91" s="202"/>
      <c r="DD91" s="202"/>
      <c r="DE91" s="202">
        <v>1</v>
      </c>
      <c r="DF91" s="202">
        <v>4</v>
      </c>
    </row>
    <row r="92" spans="1:110">
      <c r="A92" s="205" t="s">
        <v>3406</v>
      </c>
      <c r="B92" s="202"/>
      <c r="C92" s="202"/>
      <c r="D92" s="202"/>
      <c r="E92" s="202"/>
      <c r="F92" s="202"/>
      <c r="G92" s="202"/>
      <c r="H92" s="202">
        <v>1</v>
      </c>
      <c r="I92" s="202">
        <v>1</v>
      </c>
      <c r="J92" s="202">
        <v>2</v>
      </c>
      <c r="K92" s="202"/>
      <c r="L92" s="202"/>
      <c r="M92" s="202"/>
      <c r="N92" s="202"/>
      <c r="O92" s="202"/>
      <c r="P92" s="202"/>
      <c r="Q92" s="202"/>
      <c r="R92" s="202"/>
      <c r="S92" s="202"/>
      <c r="T92" s="202"/>
      <c r="U92" s="202"/>
      <c r="V92" s="202"/>
      <c r="W92" s="202"/>
      <c r="X92" s="202"/>
      <c r="Y92" s="202"/>
      <c r="Z92" s="202"/>
      <c r="AA92" s="202"/>
      <c r="AB92" s="202"/>
      <c r="AC92" s="202"/>
      <c r="AD92" s="202"/>
      <c r="AE92" s="202"/>
      <c r="AF92" s="202"/>
      <c r="AG92" s="202"/>
      <c r="AH92" s="202"/>
      <c r="AI92" s="202"/>
      <c r="AJ92" s="202"/>
      <c r="AK92" s="202"/>
      <c r="AL92" s="202"/>
      <c r="AM92" s="202"/>
      <c r="AN92" s="202"/>
      <c r="AO92" s="202"/>
      <c r="AP92" s="202"/>
      <c r="AQ92" s="202"/>
      <c r="AR92" s="202"/>
      <c r="AS92" s="202"/>
      <c r="AT92" s="202"/>
      <c r="AU92" s="202"/>
      <c r="AV92" s="202"/>
      <c r="AW92" s="202"/>
      <c r="AX92" s="202"/>
      <c r="AY92" s="202"/>
      <c r="AZ92" s="202"/>
      <c r="BA92" s="202"/>
      <c r="BB92" s="202"/>
      <c r="BC92" s="202"/>
      <c r="BD92" s="202"/>
      <c r="BE92" s="202"/>
      <c r="BF92" s="202"/>
      <c r="BG92" s="202"/>
      <c r="BH92" s="202"/>
      <c r="BI92" s="202"/>
      <c r="BJ92" s="202"/>
      <c r="BK92" s="202"/>
      <c r="BL92" s="202"/>
      <c r="BM92" s="202"/>
      <c r="BN92" s="202"/>
      <c r="BO92" s="202"/>
      <c r="BP92" s="202"/>
      <c r="BQ92" s="202"/>
      <c r="BR92" s="202"/>
      <c r="BS92" s="202"/>
      <c r="BT92" s="202"/>
      <c r="BU92" s="202"/>
      <c r="BV92" s="202"/>
      <c r="BW92" s="202"/>
      <c r="BX92" s="202"/>
      <c r="BY92" s="202"/>
      <c r="BZ92" s="202"/>
      <c r="CA92" s="202"/>
      <c r="CB92" s="202"/>
      <c r="CC92" s="202"/>
      <c r="CD92" s="202"/>
      <c r="CE92" s="202"/>
      <c r="CF92" s="202"/>
      <c r="CG92" s="202"/>
      <c r="CH92" s="202"/>
      <c r="CI92" s="202"/>
      <c r="CJ92" s="202"/>
      <c r="CK92" s="202"/>
      <c r="CL92" s="202"/>
      <c r="CM92" s="202"/>
      <c r="CN92" s="202"/>
      <c r="CO92" s="202"/>
      <c r="CP92" s="202"/>
      <c r="CQ92" s="202"/>
      <c r="CR92" s="202"/>
      <c r="CS92" s="202"/>
      <c r="CT92" s="202"/>
      <c r="CU92" s="202"/>
      <c r="CV92" s="202"/>
      <c r="CW92" s="202"/>
      <c r="CX92" s="202"/>
      <c r="CY92" s="202"/>
      <c r="CZ92" s="202"/>
      <c r="DA92" s="202"/>
      <c r="DB92" s="202"/>
      <c r="DC92" s="202"/>
      <c r="DD92" s="202"/>
      <c r="DE92" s="202"/>
      <c r="DF92" s="202">
        <v>4</v>
      </c>
    </row>
    <row r="93" spans="1:110">
      <c r="A93" s="205" t="s">
        <v>3407</v>
      </c>
      <c r="B93" s="202"/>
      <c r="C93" s="202"/>
      <c r="D93" s="202"/>
      <c r="E93" s="202"/>
      <c r="F93" s="202"/>
      <c r="G93" s="202"/>
      <c r="H93" s="202"/>
      <c r="I93" s="202">
        <v>3</v>
      </c>
      <c r="J93" s="202">
        <v>1</v>
      </c>
      <c r="K93" s="202"/>
      <c r="L93" s="202"/>
      <c r="M93" s="202"/>
      <c r="N93" s="202"/>
      <c r="O93" s="202"/>
      <c r="P93" s="202"/>
      <c r="Q93" s="202"/>
      <c r="R93" s="202"/>
      <c r="S93" s="202"/>
      <c r="T93" s="202"/>
      <c r="U93" s="202"/>
      <c r="V93" s="202"/>
      <c r="W93" s="202"/>
      <c r="X93" s="202"/>
      <c r="Y93" s="202"/>
      <c r="Z93" s="202"/>
      <c r="AA93" s="202"/>
      <c r="AB93" s="202"/>
      <c r="AC93" s="202"/>
      <c r="AD93" s="202"/>
      <c r="AE93" s="202"/>
      <c r="AF93" s="202"/>
      <c r="AG93" s="202"/>
      <c r="AH93" s="202"/>
      <c r="AI93" s="202"/>
      <c r="AJ93" s="202"/>
      <c r="AK93" s="202"/>
      <c r="AL93" s="202"/>
      <c r="AM93" s="202"/>
      <c r="AN93" s="202"/>
      <c r="AO93" s="202"/>
      <c r="AP93" s="202"/>
      <c r="AQ93" s="202"/>
      <c r="AR93" s="202"/>
      <c r="AS93" s="202"/>
      <c r="AT93" s="202"/>
      <c r="AU93" s="202"/>
      <c r="AV93" s="202"/>
      <c r="AW93" s="202"/>
      <c r="AX93" s="202"/>
      <c r="AY93" s="202"/>
      <c r="AZ93" s="202"/>
      <c r="BA93" s="202"/>
      <c r="BB93" s="202"/>
      <c r="BC93" s="202"/>
      <c r="BD93" s="202"/>
      <c r="BE93" s="202"/>
      <c r="BF93" s="202"/>
      <c r="BG93" s="202"/>
      <c r="BH93" s="202"/>
      <c r="BI93" s="202"/>
      <c r="BJ93" s="202"/>
      <c r="BK93" s="202"/>
      <c r="BL93" s="202"/>
      <c r="BM93" s="202"/>
      <c r="BN93" s="202"/>
      <c r="BO93" s="202"/>
      <c r="BP93" s="202"/>
      <c r="BQ93" s="202"/>
      <c r="BR93" s="202"/>
      <c r="BS93" s="202"/>
      <c r="BT93" s="202"/>
      <c r="BU93" s="202"/>
      <c r="BV93" s="202"/>
      <c r="BW93" s="202"/>
      <c r="BX93" s="202"/>
      <c r="BY93" s="202"/>
      <c r="BZ93" s="202"/>
      <c r="CA93" s="202"/>
      <c r="CB93" s="202"/>
      <c r="CC93" s="202"/>
      <c r="CD93" s="202"/>
      <c r="CE93" s="202"/>
      <c r="CF93" s="202"/>
      <c r="CG93" s="202"/>
      <c r="CH93" s="202"/>
      <c r="CI93" s="202"/>
      <c r="CJ93" s="202"/>
      <c r="CK93" s="202"/>
      <c r="CL93" s="202"/>
      <c r="CM93" s="202"/>
      <c r="CN93" s="202"/>
      <c r="CO93" s="202"/>
      <c r="CP93" s="202"/>
      <c r="CQ93" s="202"/>
      <c r="CR93" s="202"/>
      <c r="CS93" s="202"/>
      <c r="CT93" s="202"/>
      <c r="CU93" s="202"/>
      <c r="CV93" s="202"/>
      <c r="CW93" s="202"/>
      <c r="CX93" s="202"/>
      <c r="CY93" s="202"/>
      <c r="CZ93" s="202"/>
      <c r="DA93" s="202"/>
      <c r="DB93" s="202"/>
      <c r="DC93" s="202"/>
      <c r="DD93" s="202"/>
      <c r="DE93" s="202">
        <v>1</v>
      </c>
      <c r="DF93" s="202">
        <v>5</v>
      </c>
    </row>
    <row r="94" spans="1:110">
      <c r="A94" s="205" t="s">
        <v>2128</v>
      </c>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c r="AA94" s="202"/>
      <c r="AB94" s="202"/>
      <c r="AC94" s="202"/>
      <c r="AD94" s="202"/>
      <c r="AE94" s="202"/>
      <c r="AF94" s="202"/>
      <c r="AG94" s="202"/>
      <c r="AH94" s="202"/>
      <c r="AI94" s="202"/>
      <c r="AJ94" s="202"/>
      <c r="AK94" s="202"/>
      <c r="AL94" s="202"/>
      <c r="AM94" s="202"/>
      <c r="AN94" s="202"/>
      <c r="AO94" s="202"/>
      <c r="AP94" s="202"/>
      <c r="AQ94" s="202"/>
      <c r="AR94" s="202"/>
      <c r="AS94" s="202"/>
      <c r="AT94" s="202"/>
      <c r="AU94" s="202"/>
      <c r="AV94" s="202"/>
      <c r="AW94" s="202"/>
      <c r="AX94" s="202"/>
      <c r="AY94" s="202"/>
      <c r="AZ94" s="202"/>
      <c r="BA94" s="202"/>
      <c r="BB94" s="202"/>
      <c r="BC94" s="202"/>
      <c r="BD94" s="202"/>
      <c r="BE94" s="202"/>
      <c r="BF94" s="202">
        <v>2</v>
      </c>
      <c r="BG94" s="202"/>
      <c r="BH94" s="202"/>
      <c r="BI94" s="202"/>
      <c r="BJ94" s="202"/>
      <c r="BK94" s="202"/>
      <c r="BL94" s="202"/>
      <c r="BM94" s="202"/>
      <c r="BN94" s="202"/>
      <c r="BO94" s="202"/>
      <c r="BP94" s="202"/>
      <c r="BQ94" s="202"/>
      <c r="BR94" s="202"/>
      <c r="BS94" s="202"/>
      <c r="BT94" s="202"/>
      <c r="BU94" s="202"/>
      <c r="BV94" s="202"/>
      <c r="BW94" s="202"/>
      <c r="BX94" s="202"/>
      <c r="BY94" s="202"/>
      <c r="BZ94" s="202"/>
      <c r="CA94" s="202"/>
      <c r="CB94" s="202"/>
      <c r="CC94" s="202"/>
      <c r="CD94" s="202"/>
      <c r="CE94" s="202"/>
      <c r="CF94" s="202"/>
      <c r="CG94" s="202"/>
      <c r="CH94" s="202"/>
      <c r="CI94" s="202"/>
      <c r="CJ94" s="202"/>
      <c r="CK94" s="202"/>
      <c r="CL94" s="202"/>
      <c r="CM94" s="202"/>
      <c r="CN94" s="202"/>
      <c r="CO94" s="202"/>
      <c r="CP94" s="202"/>
      <c r="CQ94" s="202"/>
      <c r="CR94" s="202"/>
      <c r="CS94" s="202"/>
      <c r="CT94" s="202"/>
      <c r="CU94" s="202"/>
      <c r="CV94" s="202"/>
      <c r="CW94" s="202"/>
      <c r="CX94" s="202"/>
      <c r="CY94" s="202"/>
      <c r="CZ94" s="202"/>
      <c r="DA94" s="202"/>
      <c r="DB94" s="202"/>
      <c r="DC94" s="202"/>
      <c r="DD94" s="202"/>
      <c r="DE94" s="202"/>
      <c r="DF94" s="202">
        <v>2</v>
      </c>
    </row>
    <row r="95" spans="1:110">
      <c r="A95" s="205" t="s">
        <v>3408</v>
      </c>
      <c r="B95" s="202"/>
      <c r="C95" s="202"/>
      <c r="D95" s="202"/>
      <c r="E95" s="202"/>
      <c r="F95" s="202"/>
      <c r="G95" s="202"/>
      <c r="H95" s="202">
        <v>4</v>
      </c>
      <c r="I95" s="202"/>
      <c r="J95" s="202"/>
      <c r="K95" s="202"/>
      <c r="L95" s="202"/>
      <c r="M95" s="202"/>
      <c r="N95" s="202"/>
      <c r="O95" s="202"/>
      <c r="P95" s="202"/>
      <c r="Q95" s="202"/>
      <c r="R95" s="202"/>
      <c r="S95" s="202"/>
      <c r="T95" s="202"/>
      <c r="U95" s="202"/>
      <c r="V95" s="202"/>
      <c r="W95" s="202"/>
      <c r="X95" s="202"/>
      <c r="Y95" s="202"/>
      <c r="Z95" s="202"/>
      <c r="AA95" s="202"/>
      <c r="AB95" s="202"/>
      <c r="AC95" s="202"/>
      <c r="AD95" s="202"/>
      <c r="AE95" s="202"/>
      <c r="AF95" s="202"/>
      <c r="AG95" s="202"/>
      <c r="AH95" s="202"/>
      <c r="AI95" s="202"/>
      <c r="AJ95" s="202"/>
      <c r="AK95" s="202"/>
      <c r="AL95" s="202"/>
      <c r="AM95" s="202"/>
      <c r="AN95" s="202"/>
      <c r="AO95" s="202"/>
      <c r="AP95" s="202"/>
      <c r="AQ95" s="202"/>
      <c r="AR95" s="202"/>
      <c r="AS95" s="202"/>
      <c r="AT95" s="202"/>
      <c r="AU95" s="202"/>
      <c r="AV95" s="202"/>
      <c r="AW95" s="202"/>
      <c r="AX95" s="202"/>
      <c r="AY95" s="202"/>
      <c r="AZ95" s="202"/>
      <c r="BA95" s="202"/>
      <c r="BB95" s="202"/>
      <c r="BC95" s="202"/>
      <c r="BD95" s="202"/>
      <c r="BE95" s="202"/>
      <c r="BF95" s="202"/>
      <c r="BG95" s="202"/>
      <c r="BH95" s="202"/>
      <c r="BI95" s="202"/>
      <c r="BJ95" s="202"/>
      <c r="BK95" s="202"/>
      <c r="BL95" s="202"/>
      <c r="BM95" s="202"/>
      <c r="BN95" s="202"/>
      <c r="BO95" s="202"/>
      <c r="BP95" s="202"/>
      <c r="BQ95" s="202"/>
      <c r="BR95" s="202"/>
      <c r="BS95" s="202"/>
      <c r="BT95" s="202"/>
      <c r="BU95" s="202"/>
      <c r="BV95" s="202"/>
      <c r="BW95" s="202"/>
      <c r="BX95" s="202"/>
      <c r="BY95" s="202"/>
      <c r="BZ95" s="202"/>
      <c r="CA95" s="202"/>
      <c r="CB95" s="202"/>
      <c r="CC95" s="202"/>
      <c r="CD95" s="202"/>
      <c r="CE95" s="202"/>
      <c r="CF95" s="202"/>
      <c r="CG95" s="202"/>
      <c r="CH95" s="202"/>
      <c r="CI95" s="202"/>
      <c r="CJ95" s="202"/>
      <c r="CK95" s="202"/>
      <c r="CL95" s="202"/>
      <c r="CM95" s="202"/>
      <c r="CN95" s="202"/>
      <c r="CO95" s="202"/>
      <c r="CP95" s="202"/>
      <c r="CQ95" s="202"/>
      <c r="CR95" s="202"/>
      <c r="CS95" s="202"/>
      <c r="CT95" s="202"/>
      <c r="CU95" s="202"/>
      <c r="CV95" s="202"/>
      <c r="CW95" s="202"/>
      <c r="CX95" s="202"/>
      <c r="CY95" s="202"/>
      <c r="CZ95" s="202"/>
      <c r="DA95" s="202"/>
      <c r="DB95" s="202"/>
      <c r="DC95" s="202"/>
      <c r="DD95" s="202"/>
      <c r="DE95" s="202"/>
      <c r="DF95" s="202">
        <v>4</v>
      </c>
    </row>
    <row r="96" spans="1:110">
      <c r="A96" s="205" t="s">
        <v>2135</v>
      </c>
      <c r="B96" s="202"/>
      <c r="C96" s="202"/>
      <c r="D96" s="202"/>
      <c r="E96" s="202"/>
      <c r="F96" s="202"/>
      <c r="G96" s="202"/>
      <c r="H96" s="202"/>
      <c r="I96" s="202"/>
      <c r="J96" s="202"/>
      <c r="K96" s="202"/>
      <c r="L96" s="202"/>
      <c r="M96" s="202"/>
      <c r="N96" s="202"/>
      <c r="O96" s="202"/>
      <c r="P96" s="202"/>
      <c r="Q96" s="202"/>
      <c r="R96" s="202"/>
      <c r="S96" s="202"/>
      <c r="T96" s="202"/>
      <c r="U96" s="202"/>
      <c r="V96" s="202"/>
      <c r="W96" s="202"/>
      <c r="X96" s="202"/>
      <c r="Y96" s="202"/>
      <c r="Z96" s="202"/>
      <c r="AA96" s="202"/>
      <c r="AB96" s="202"/>
      <c r="AC96" s="202"/>
      <c r="AD96" s="202"/>
      <c r="AE96" s="202"/>
      <c r="AF96" s="202"/>
      <c r="AG96" s="202"/>
      <c r="AH96" s="202"/>
      <c r="AI96" s="202"/>
      <c r="AJ96" s="202"/>
      <c r="AK96" s="202"/>
      <c r="AL96" s="202"/>
      <c r="AM96" s="202"/>
      <c r="AN96" s="202"/>
      <c r="AO96" s="202"/>
      <c r="AP96" s="202"/>
      <c r="AQ96" s="202"/>
      <c r="AR96" s="202"/>
      <c r="AS96" s="202"/>
      <c r="AT96" s="202"/>
      <c r="AU96" s="202"/>
      <c r="AV96" s="202"/>
      <c r="AW96" s="202"/>
      <c r="AX96" s="202"/>
      <c r="AY96" s="202"/>
      <c r="AZ96" s="202"/>
      <c r="BA96" s="202"/>
      <c r="BB96" s="202"/>
      <c r="BC96" s="202">
        <v>1</v>
      </c>
      <c r="BD96" s="202"/>
      <c r="BE96" s="202"/>
      <c r="BF96" s="202"/>
      <c r="BG96" s="202"/>
      <c r="BH96" s="202"/>
      <c r="BI96" s="202"/>
      <c r="BJ96" s="202"/>
      <c r="BK96" s="202"/>
      <c r="BL96" s="202"/>
      <c r="BM96" s="202"/>
      <c r="BN96" s="202"/>
      <c r="BO96" s="202"/>
      <c r="BP96" s="202"/>
      <c r="BQ96" s="202"/>
      <c r="BR96" s="202"/>
      <c r="BS96" s="202"/>
      <c r="BT96" s="202"/>
      <c r="BU96" s="202"/>
      <c r="BV96" s="202"/>
      <c r="BW96" s="202"/>
      <c r="BX96" s="202"/>
      <c r="BY96" s="202"/>
      <c r="BZ96" s="202"/>
      <c r="CA96" s="202"/>
      <c r="CB96" s="202"/>
      <c r="CC96" s="202"/>
      <c r="CD96" s="202"/>
      <c r="CE96" s="202"/>
      <c r="CF96" s="202"/>
      <c r="CG96" s="202"/>
      <c r="CH96" s="202"/>
      <c r="CI96" s="202"/>
      <c r="CJ96" s="202"/>
      <c r="CK96" s="202"/>
      <c r="CL96" s="202"/>
      <c r="CM96" s="202"/>
      <c r="CN96" s="202"/>
      <c r="CO96" s="202"/>
      <c r="CP96" s="202"/>
      <c r="CQ96" s="202"/>
      <c r="CR96" s="202"/>
      <c r="CS96" s="202"/>
      <c r="CT96" s="202"/>
      <c r="CU96" s="202"/>
      <c r="CV96" s="202"/>
      <c r="CW96" s="202"/>
      <c r="CX96" s="202"/>
      <c r="CY96" s="202"/>
      <c r="CZ96" s="202"/>
      <c r="DA96" s="202"/>
      <c r="DB96" s="202"/>
      <c r="DC96" s="202"/>
      <c r="DD96" s="202"/>
      <c r="DE96" s="202"/>
      <c r="DF96" s="202">
        <v>1</v>
      </c>
    </row>
    <row r="97" spans="1:110">
      <c r="A97" s="205" t="s">
        <v>3409</v>
      </c>
      <c r="B97" s="202"/>
      <c r="C97" s="202"/>
      <c r="D97" s="202"/>
      <c r="E97" s="202"/>
      <c r="F97" s="202"/>
      <c r="G97" s="202"/>
      <c r="H97" s="202"/>
      <c r="I97" s="202"/>
      <c r="J97" s="202"/>
      <c r="K97" s="202"/>
      <c r="L97" s="202"/>
      <c r="M97" s="202"/>
      <c r="N97" s="202"/>
      <c r="O97" s="202"/>
      <c r="P97" s="202"/>
      <c r="Q97" s="202"/>
      <c r="R97" s="202"/>
      <c r="S97" s="202"/>
      <c r="T97" s="202"/>
      <c r="U97" s="202"/>
      <c r="V97" s="202"/>
      <c r="W97" s="202"/>
      <c r="X97" s="202"/>
      <c r="Y97" s="202"/>
      <c r="Z97" s="202"/>
      <c r="AA97" s="202"/>
      <c r="AB97" s="202"/>
      <c r="AC97" s="202"/>
      <c r="AD97" s="202"/>
      <c r="AE97" s="202"/>
      <c r="AF97" s="202"/>
      <c r="AG97" s="202"/>
      <c r="AH97" s="202"/>
      <c r="AI97" s="202"/>
      <c r="AJ97" s="202"/>
      <c r="AK97" s="202"/>
      <c r="AL97" s="202"/>
      <c r="AM97" s="202"/>
      <c r="AN97" s="202"/>
      <c r="AO97" s="202"/>
      <c r="AP97" s="202"/>
      <c r="AQ97" s="202"/>
      <c r="AR97" s="202"/>
      <c r="AS97" s="202"/>
      <c r="AT97" s="202"/>
      <c r="AU97" s="202"/>
      <c r="AV97" s="202"/>
      <c r="AW97" s="202"/>
      <c r="AX97" s="202"/>
      <c r="AY97" s="202"/>
      <c r="AZ97" s="202"/>
      <c r="BA97" s="202"/>
      <c r="BB97" s="202"/>
      <c r="BC97" s="202"/>
      <c r="BD97" s="202"/>
      <c r="BE97" s="202"/>
      <c r="BF97" s="202"/>
      <c r="BG97" s="202"/>
      <c r="BH97" s="202"/>
      <c r="BI97" s="202"/>
      <c r="BJ97" s="202"/>
      <c r="BK97" s="202"/>
      <c r="BL97" s="202"/>
      <c r="BM97" s="202"/>
      <c r="BN97" s="202"/>
      <c r="BO97" s="202"/>
      <c r="BP97" s="202"/>
      <c r="BQ97" s="202"/>
      <c r="BR97" s="202"/>
      <c r="BS97" s="202"/>
      <c r="BT97" s="202"/>
      <c r="BU97" s="202"/>
      <c r="BV97" s="202"/>
      <c r="BW97" s="202"/>
      <c r="BX97" s="202"/>
      <c r="BY97" s="202"/>
      <c r="BZ97" s="202"/>
      <c r="CA97" s="202"/>
      <c r="CB97" s="202"/>
      <c r="CC97" s="202"/>
      <c r="CD97" s="202"/>
      <c r="CE97" s="202"/>
      <c r="CF97" s="202"/>
      <c r="CG97" s="202"/>
      <c r="CH97" s="202"/>
      <c r="CI97" s="202"/>
      <c r="CJ97" s="202"/>
      <c r="CK97" s="202"/>
      <c r="CL97" s="202"/>
      <c r="CM97" s="202"/>
      <c r="CN97" s="202"/>
      <c r="CO97" s="202"/>
      <c r="CP97" s="202"/>
      <c r="CQ97" s="202"/>
      <c r="CR97" s="202"/>
      <c r="CS97" s="202"/>
      <c r="CT97" s="202"/>
      <c r="CU97" s="202"/>
      <c r="CV97" s="202"/>
      <c r="CW97" s="202"/>
      <c r="CX97" s="202"/>
      <c r="CY97" s="202"/>
      <c r="CZ97" s="202"/>
      <c r="DA97" s="202"/>
      <c r="DB97" s="202"/>
      <c r="DC97" s="202"/>
      <c r="DD97" s="202"/>
      <c r="DE97" s="202">
        <v>4</v>
      </c>
      <c r="DF97" s="202">
        <v>4</v>
      </c>
    </row>
    <row r="98" spans="1:110">
      <c r="A98" s="205" t="s">
        <v>3410</v>
      </c>
      <c r="B98" s="202"/>
      <c r="C98" s="202"/>
      <c r="D98" s="202"/>
      <c r="E98" s="202"/>
      <c r="F98" s="202"/>
      <c r="G98" s="202"/>
      <c r="H98" s="202"/>
      <c r="I98" s="202"/>
      <c r="J98" s="202"/>
      <c r="K98" s="202"/>
      <c r="L98" s="202"/>
      <c r="M98" s="202"/>
      <c r="N98" s="202"/>
      <c r="O98" s="202"/>
      <c r="P98" s="202"/>
      <c r="Q98" s="202"/>
      <c r="R98" s="202"/>
      <c r="S98" s="202">
        <v>4</v>
      </c>
      <c r="T98" s="202"/>
      <c r="U98" s="202"/>
      <c r="V98" s="202"/>
      <c r="W98" s="202"/>
      <c r="X98" s="202"/>
      <c r="Y98" s="202"/>
      <c r="Z98" s="202"/>
      <c r="AA98" s="202"/>
      <c r="AB98" s="202"/>
      <c r="AC98" s="202"/>
      <c r="AD98" s="202"/>
      <c r="AE98" s="202"/>
      <c r="AF98" s="202"/>
      <c r="AG98" s="202"/>
      <c r="AH98" s="202"/>
      <c r="AI98" s="202"/>
      <c r="AJ98" s="202"/>
      <c r="AK98" s="202"/>
      <c r="AL98" s="202"/>
      <c r="AM98" s="202"/>
      <c r="AN98" s="202"/>
      <c r="AO98" s="202"/>
      <c r="AP98" s="202"/>
      <c r="AQ98" s="202"/>
      <c r="AR98" s="202"/>
      <c r="AS98" s="202"/>
      <c r="AT98" s="202"/>
      <c r="AU98" s="202"/>
      <c r="AV98" s="202"/>
      <c r="AW98" s="202"/>
      <c r="AX98" s="202"/>
      <c r="AY98" s="202"/>
      <c r="AZ98" s="202"/>
      <c r="BA98" s="202"/>
      <c r="BB98" s="202"/>
      <c r="BC98" s="202"/>
      <c r="BD98" s="202"/>
      <c r="BE98" s="202"/>
      <c r="BF98" s="202"/>
      <c r="BG98" s="202"/>
      <c r="BH98" s="202"/>
      <c r="BI98" s="202"/>
      <c r="BJ98" s="202"/>
      <c r="BK98" s="202"/>
      <c r="BL98" s="202"/>
      <c r="BM98" s="202"/>
      <c r="BN98" s="202"/>
      <c r="BO98" s="202"/>
      <c r="BP98" s="202"/>
      <c r="BQ98" s="202"/>
      <c r="BR98" s="202"/>
      <c r="BS98" s="202"/>
      <c r="BT98" s="202"/>
      <c r="BU98" s="202"/>
      <c r="BV98" s="202"/>
      <c r="BW98" s="202"/>
      <c r="BX98" s="202"/>
      <c r="BY98" s="202"/>
      <c r="BZ98" s="202"/>
      <c r="CA98" s="202"/>
      <c r="CB98" s="202"/>
      <c r="CC98" s="202"/>
      <c r="CD98" s="202"/>
      <c r="CE98" s="202"/>
      <c r="CF98" s="202"/>
      <c r="CG98" s="202"/>
      <c r="CH98" s="202"/>
      <c r="CI98" s="202"/>
      <c r="CJ98" s="202"/>
      <c r="CK98" s="202"/>
      <c r="CL98" s="202"/>
      <c r="CM98" s="202"/>
      <c r="CN98" s="202"/>
      <c r="CO98" s="202"/>
      <c r="CP98" s="202"/>
      <c r="CQ98" s="202"/>
      <c r="CR98" s="202"/>
      <c r="CS98" s="202"/>
      <c r="CT98" s="202"/>
      <c r="CU98" s="202"/>
      <c r="CV98" s="202"/>
      <c r="CW98" s="202"/>
      <c r="CX98" s="202"/>
      <c r="CY98" s="202"/>
      <c r="CZ98" s="202"/>
      <c r="DA98" s="202"/>
      <c r="DB98" s="202"/>
      <c r="DC98" s="202"/>
      <c r="DD98" s="202"/>
      <c r="DE98" s="202"/>
      <c r="DF98" s="202">
        <v>4</v>
      </c>
    </row>
    <row r="99" spans="1:110">
      <c r="A99" s="205" t="s">
        <v>3411</v>
      </c>
      <c r="B99" s="202"/>
      <c r="C99" s="202"/>
      <c r="D99" s="202"/>
      <c r="E99" s="202"/>
      <c r="F99" s="202"/>
      <c r="G99" s="202"/>
      <c r="H99" s="202"/>
      <c r="I99" s="202"/>
      <c r="J99" s="202"/>
      <c r="K99" s="202"/>
      <c r="L99" s="202"/>
      <c r="M99" s="202"/>
      <c r="N99" s="202"/>
      <c r="O99" s="202"/>
      <c r="P99" s="202"/>
      <c r="Q99" s="202"/>
      <c r="R99" s="202"/>
      <c r="S99" s="202"/>
      <c r="T99" s="202"/>
      <c r="U99" s="202"/>
      <c r="V99" s="202"/>
      <c r="W99" s="202"/>
      <c r="X99" s="202"/>
      <c r="Y99" s="202"/>
      <c r="Z99" s="202"/>
      <c r="AA99" s="202"/>
      <c r="AB99" s="202"/>
      <c r="AC99" s="202"/>
      <c r="AD99" s="202"/>
      <c r="AE99" s="202"/>
      <c r="AF99" s="202"/>
      <c r="AG99" s="202"/>
      <c r="AH99" s="202"/>
      <c r="AI99" s="202"/>
      <c r="AJ99" s="202"/>
      <c r="AK99" s="202"/>
      <c r="AL99" s="202"/>
      <c r="AM99" s="202"/>
      <c r="AN99" s="202"/>
      <c r="AO99" s="202"/>
      <c r="AP99" s="202"/>
      <c r="AQ99" s="202"/>
      <c r="AR99" s="202"/>
      <c r="AS99" s="202"/>
      <c r="AT99" s="202"/>
      <c r="AU99" s="202"/>
      <c r="AV99" s="202"/>
      <c r="AW99" s="202"/>
      <c r="AX99" s="202"/>
      <c r="AY99" s="202"/>
      <c r="AZ99" s="202"/>
      <c r="BA99" s="202"/>
      <c r="BB99" s="202"/>
      <c r="BC99" s="202"/>
      <c r="BD99" s="202"/>
      <c r="BE99" s="202"/>
      <c r="BF99" s="202"/>
      <c r="BG99" s="202"/>
      <c r="BH99" s="202"/>
      <c r="BI99" s="202"/>
      <c r="BJ99" s="202"/>
      <c r="BK99" s="202"/>
      <c r="BL99" s="202"/>
      <c r="BM99" s="202"/>
      <c r="BN99" s="202"/>
      <c r="BO99" s="202"/>
      <c r="BP99" s="202"/>
      <c r="BQ99" s="202"/>
      <c r="BR99" s="202"/>
      <c r="BS99" s="202"/>
      <c r="BT99" s="202"/>
      <c r="BU99" s="202"/>
      <c r="BV99" s="202"/>
      <c r="BW99" s="202"/>
      <c r="BX99" s="202"/>
      <c r="BY99" s="202"/>
      <c r="BZ99" s="202"/>
      <c r="CA99" s="202"/>
      <c r="CB99" s="202"/>
      <c r="CC99" s="202"/>
      <c r="CD99" s="202"/>
      <c r="CE99" s="202"/>
      <c r="CF99" s="202"/>
      <c r="CG99" s="202"/>
      <c r="CH99" s="202"/>
      <c r="CI99" s="202"/>
      <c r="CJ99" s="202"/>
      <c r="CK99" s="202"/>
      <c r="CL99" s="202"/>
      <c r="CM99" s="202"/>
      <c r="CN99" s="202"/>
      <c r="CO99" s="202"/>
      <c r="CP99" s="202"/>
      <c r="CQ99" s="202"/>
      <c r="CR99" s="202"/>
      <c r="CS99" s="202"/>
      <c r="CT99" s="202"/>
      <c r="CU99" s="202"/>
      <c r="CV99" s="202"/>
      <c r="CW99" s="202"/>
      <c r="CX99" s="202"/>
      <c r="CY99" s="202"/>
      <c r="CZ99" s="202"/>
      <c r="DA99" s="202"/>
      <c r="DB99" s="202"/>
      <c r="DC99" s="202">
        <v>5</v>
      </c>
      <c r="DD99" s="202"/>
      <c r="DE99" s="202"/>
      <c r="DF99" s="202">
        <v>5</v>
      </c>
    </row>
    <row r="100" spans="1:110">
      <c r="A100" s="205" t="s">
        <v>2131</v>
      </c>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c r="Y100" s="202"/>
      <c r="Z100" s="202"/>
      <c r="AA100" s="202"/>
      <c r="AB100" s="202"/>
      <c r="AC100" s="202"/>
      <c r="AD100" s="202"/>
      <c r="AE100" s="202"/>
      <c r="AF100" s="202"/>
      <c r="AG100" s="202"/>
      <c r="AH100" s="202"/>
      <c r="AI100" s="202"/>
      <c r="AJ100" s="202"/>
      <c r="AK100" s="202"/>
      <c r="AL100" s="202"/>
      <c r="AM100" s="202"/>
      <c r="AN100" s="202"/>
      <c r="AO100" s="202"/>
      <c r="AP100" s="202"/>
      <c r="AQ100" s="202"/>
      <c r="AR100" s="202"/>
      <c r="AS100" s="202"/>
      <c r="AT100" s="202"/>
      <c r="AU100" s="202"/>
      <c r="AV100" s="202"/>
      <c r="AW100" s="202"/>
      <c r="AX100" s="202"/>
      <c r="AY100" s="202"/>
      <c r="AZ100" s="202"/>
      <c r="BA100" s="202"/>
      <c r="BB100" s="202"/>
      <c r="BC100" s="202"/>
      <c r="BD100" s="202"/>
      <c r="BE100" s="202"/>
      <c r="BF100" s="202"/>
      <c r="BG100" s="202"/>
      <c r="BH100" s="202"/>
      <c r="BI100" s="202"/>
      <c r="BJ100" s="202"/>
      <c r="BK100" s="202"/>
      <c r="BL100" s="202"/>
      <c r="BM100" s="202"/>
      <c r="BN100" s="202"/>
      <c r="BO100" s="202"/>
      <c r="BP100" s="202"/>
      <c r="BQ100" s="202"/>
      <c r="BR100" s="202"/>
      <c r="BS100" s="202"/>
      <c r="BT100" s="202"/>
      <c r="BU100" s="202"/>
      <c r="BV100" s="202"/>
      <c r="BW100" s="202"/>
      <c r="BX100" s="202"/>
      <c r="BY100" s="202"/>
      <c r="BZ100" s="202"/>
      <c r="CA100" s="202"/>
      <c r="CB100" s="202"/>
      <c r="CC100" s="202"/>
      <c r="CD100" s="202"/>
      <c r="CE100" s="202"/>
      <c r="CF100" s="202"/>
      <c r="CG100" s="202"/>
      <c r="CH100" s="202">
        <v>3</v>
      </c>
      <c r="CI100" s="202"/>
      <c r="CJ100" s="202"/>
      <c r="CK100" s="202"/>
      <c r="CL100" s="202"/>
      <c r="CM100" s="202"/>
      <c r="CN100" s="202"/>
      <c r="CO100" s="202"/>
      <c r="CP100" s="202"/>
      <c r="CQ100" s="202"/>
      <c r="CR100" s="202"/>
      <c r="CS100" s="202"/>
      <c r="CT100" s="202"/>
      <c r="CU100" s="202"/>
      <c r="CV100" s="202"/>
      <c r="CW100" s="202"/>
      <c r="CX100" s="202"/>
      <c r="CY100" s="202"/>
      <c r="CZ100" s="202"/>
      <c r="DA100" s="202"/>
      <c r="DB100" s="202"/>
      <c r="DC100" s="202"/>
      <c r="DD100" s="202"/>
      <c r="DE100" s="202"/>
      <c r="DF100" s="202">
        <v>3</v>
      </c>
    </row>
    <row r="101" spans="1:110">
      <c r="A101" s="205" t="s">
        <v>2117</v>
      </c>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c r="Y101" s="202"/>
      <c r="Z101" s="202"/>
      <c r="AA101" s="202"/>
      <c r="AB101" s="202"/>
      <c r="AC101" s="202"/>
      <c r="AD101" s="202"/>
      <c r="AE101" s="202"/>
      <c r="AF101" s="202"/>
      <c r="AG101" s="202"/>
      <c r="AH101" s="202"/>
      <c r="AI101" s="202"/>
      <c r="AJ101" s="202"/>
      <c r="AK101" s="202"/>
      <c r="AL101" s="202"/>
      <c r="AM101" s="202"/>
      <c r="AN101" s="202"/>
      <c r="AO101" s="202"/>
      <c r="AP101" s="202"/>
      <c r="AQ101" s="202"/>
      <c r="AR101" s="202"/>
      <c r="AS101" s="202"/>
      <c r="AT101" s="202"/>
      <c r="AU101" s="202"/>
      <c r="AV101" s="202">
        <v>1</v>
      </c>
      <c r="AW101" s="202"/>
      <c r="AX101" s="202"/>
      <c r="AY101" s="202"/>
      <c r="AZ101" s="202"/>
      <c r="BA101" s="202"/>
      <c r="BB101" s="202"/>
      <c r="BC101" s="202"/>
      <c r="BD101" s="202"/>
      <c r="BE101" s="202"/>
      <c r="BF101" s="202"/>
      <c r="BG101" s="202"/>
      <c r="BH101" s="202"/>
      <c r="BI101" s="202"/>
      <c r="BJ101" s="202"/>
      <c r="BK101" s="202"/>
      <c r="BL101" s="202"/>
      <c r="BM101" s="202"/>
      <c r="BN101" s="202"/>
      <c r="BO101" s="202"/>
      <c r="BP101" s="202"/>
      <c r="BQ101" s="202"/>
      <c r="BR101" s="202"/>
      <c r="BS101" s="202"/>
      <c r="BT101" s="202"/>
      <c r="BU101" s="202"/>
      <c r="BV101" s="202"/>
      <c r="BW101" s="202"/>
      <c r="BX101" s="202"/>
      <c r="BY101" s="202"/>
      <c r="BZ101" s="202"/>
      <c r="CA101" s="202"/>
      <c r="CB101" s="202"/>
      <c r="CC101" s="202"/>
      <c r="CD101" s="202"/>
      <c r="CE101" s="202"/>
      <c r="CF101" s="202"/>
      <c r="CG101" s="202"/>
      <c r="CH101" s="202"/>
      <c r="CI101" s="202"/>
      <c r="CJ101" s="202"/>
      <c r="CK101" s="202"/>
      <c r="CL101" s="202"/>
      <c r="CM101" s="202"/>
      <c r="CN101" s="202"/>
      <c r="CO101" s="202"/>
      <c r="CP101" s="202"/>
      <c r="CQ101" s="202"/>
      <c r="CR101" s="202"/>
      <c r="CS101" s="202"/>
      <c r="CT101" s="202"/>
      <c r="CU101" s="202"/>
      <c r="CV101" s="202"/>
      <c r="CW101" s="202"/>
      <c r="CX101" s="202"/>
      <c r="CY101" s="202"/>
      <c r="CZ101" s="202"/>
      <c r="DA101" s="202"/>
      <c r="DB101" s="202"/>
      <c r="DC101" s="202"/>
      <c r="DD101" s="202"/>
      <c r="DE101" s="202"/>
      <c r="DF101" s="202">
        <v>1</v>
      </c>
    </row>
    <row r="102" spans="1:110">
      <c r="A102" s="205" t="s">
        <v>2126</v>
      </c>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v>3</v>
      </c>
      <c r="Y102" s="202"/>
      <c r="Z102" s="202"/>
      <c r="AA102" s="202"/>
      <c r="AB102" s="202"/>
      <c r="AC102" s="202"/>
      <c r="AD102" s="202"/>
      <c r="AE102" s="202"/>
      <c r="AF102" s="202"/>
      <c r="AG102" s="202"/>
      <c r="AH102" s="202"/>
      <c r="AI102" s="202"/>
      <c r="AJ102" s="202"/>
      <c r="AK102" s="202"/>
      <c r="AL102" s="202"/>
      <c r="AM102" s="202"/>
      <c r="AN102" s="202"/>
      <c r="AO102" s="202"/>
      <c r="AP102" s="202"/>
      <c r="AQ102" s="202"/>
      <c r="AR102" s="202"/>
      <c r="AS102" s="202"/>
      <c r="AT102" s="202"/>
      <c r="AU102" s="202"/>
      <c r="AV102" s="202"/>
      <c r="AW102" s="202"/>
      <c r="AX102" s="202"/>
      <c r="AY102" s="202"/>
      <c r="AZ102" s="202"/>
      <c r="BA102" s="202"/>
      <c r="BB102" s="202"/>
      <c r="BC102" s="202"/>
      <c r="BD102" s="202"/>
      <c r="BE102" s="202"/>
      <c r="BF102" s="202"/>
      <c r="BG102" s="202"/>
      <c r="BH102" s="202"/>
      <c r="BI102" s="202"/>
      <c r="BJ102" s="202"/>
      <c r="BK102" s="202"/>
      <c r="BL102" s="202"/>
      <c r="BM102" s="202"/>
      <c r="BN102" s="202"/>
      <c r="BO102" s="202"/>
      <c r="BP102" s="202"/>
      <c r="BQ102" s="202"/>
      <c r="BR102" s="202"/>
      <c r="BS102" s="202"/>
      <c r="BT102" s="202"/>
      <c r="BU102" s="202"/>
      <c r="BV102" s="202"/>
      <c r="BW102" s="202"/>
      <c r="BX102" s="202"/>
      <c r="BY102" s="202"/>
      <c r="BZ102" s="202"/>
      <c r="CA102" s="202"/>
      <c r="CB102" s="202"/>
      <c r="CC102" s="202"/>
      <c r="CD102" s="202"/>
      <c r="CE102" s="202"/>
      <c r="CF102" s="202"/>
      <c r="CG102" s="202"/>
      <c r="CH102" s="202"/>
      <c r="CI102" s="202"/>
      <c r="CJ102" s="202"/>
      <c r="CK102" s="202"/>
      <c r="CL102" s="202"/>
      <c r="CM102" s="202"/>
      <c r="CN102" s="202"/>
      <c r="CO102" s="202"/>
      <c r="CP102" s="202"/>
      <c r="CQ102" s="202"/>
      <c r="CR102" s="202"/>
      <c r="CS102" s="202"/>
      <c r="CT102" s="202"/>
      <c r="CU102" s="202"/>
      <c r="CV102" s="202"/>
      <c r="CW102" s="202"/>
      <c r="CX102" s="202"/>
      <c r="CY102" s="202"/>
      <c r="CZ102" s="202"/>
      <c r="DA102" s="202"/>
      <c r="DB102" s="202"/>
      <c r="DC102" s="202"/>
      <c r="DD102" s="202"/>
      <c r="DE102" s="202"/>
      <c r="DF102" s="202">
        <v>3</v>
      </c>
    </row>
    <row r="103" spans="1:110">
      <c r="A103" s="205" t="s">
        <v>2125</v>
      </c>
      <c r="B103" s="202"/>
      <c r="C103" s="202"/>
      <c r="D103" s="202"/>
      <c r="E103" s="202"/>
      <c r="F103" s="202"/>
      <c r="G103" s="202"/>
      <c r="H103" s="202"/>
      <c r="I103" s="202"/>
      <c r="J103" s="202"/>
      <c r="K103" s="202"/>
      <c r="L103" s="202"/>
      <c r="M103" s="202"/>
      <c r="N103" s="202"/>
      <c r="O103" s="202"/>
      <c r="P103" s="202"/>
      <c r="Q103" s="202"/>
      <c r="R103" s="202">
        <v>4</v>
      </c>
      <c r="S103" s="202"/>
      <c r="T103" s="202"/>
      <c r="U103" s="202"/>
      <c r="V103" s="202"/>
      <c r="W103" s="202"/>
      <c r="X103" s="202"/>
      <c r="Y103" s="202"/>
      <c r="Z103" s="202"/>
      <c r="AA103" s="202"/>
      <c r="AB103" s="202"/>
      <c r="AC103" s="202"/>
      <c r="AD103" s="202"/>
      <c r="AE103" s="202"/>
      <c r="AF103" s="202"/>
      <c r="AG103" s="202"/>
      <c r="AH103" s="202"/>
      <c r="AI103" s="202"/>
      <c r="AJ103" s="202"/>
      <c r="AK103" s="202"/>
      <c r="AL103" s="202"/>
      <c r="AM103" s="202"/>
      <c r="AN103" s="202"/>
      <c r="AO103" s="202"/>
      <c r="AP103" s="202"/>
      <c r="AQ103" s="202"/>
      <c r="AR103" s="202"/>
      <c r="AS103" s="202"/>
      <c r="AT103" s="202"/>
      <c r="AU103" s="202"/>
      <c r="AV103" s="202"/>
      <c r="AW103" s="202"/>
      <c r="AX103" s="202"/>
      <c r="AY103" s="202"/>
      <c r="AZ103" s="202"/>
      <c r="BA103" s="202"/>
      <c r="BB103" s="202"/>
      <c r="BC103" s="202"/>
      <c r="BD103" s="202"/>
      <c r="BE103" s="202"/>
      <c r="BF103" s="202"/>
      <c r="BG103" s="202"/>
      <c r="BH103" s="202"/>
      <c r="BI103" s="202"/>
      <c r="BJ103" s="202"/>
      <c r="BK103" s="202"/>
      <c r="BL103" s="202"/>
      <c r="BM103" s="202"/>
      <c r="BN103" s="202"/>
      <c r="BO103" s="202"/>
      <c r="BP103" s="202"/>
      <c r="BQ103" s="202"/>
      <c r="BR103" s="202"/>
      <c r="BS103" s="202"/>
      <c r="BT103" s="202"/>
      <c r="BU103" s="202"/>
      <c r="BV103" s="202"/>
      <c r="BW103" s="202"/>
      <c r="BX103" s="202"/>
      <c r="BY103" s="202"/>
      <c r="BZ103" s="202"/>
      <c r="CA103" s="202"/>
      <c r="CB103" s="202"/>
      <c r="CC103" s="202"/>
      <c r="CD103" s="202"/>
      <c r="CE103" s="202"/>
      <c r="CF103" s="202"/>
      <c r="CG103" s="202"/>
      <c r="CH103" s="202"/>
      <c r="CI103" s="202"/>
      <c r="CJ103" s="202"/>
      <c r="CK103" s="202"/>
      <c r="CL103" s="202"/>
      <c r="CM103" s="202"/>
      <c r="CN103" s="202"/>
      <c r="CO103" s="202"/>
      <c r="CP103" s="202"/>
      <c r="CQ103" s="202"/>
      <c r="CR103" s="202"/>
      <c r="CS103" s="202"/>
      <c r="CT103" s="202"/>
      <c r="CU103" s="202"/>
      <c r="CV103" s="202"/>
      <c r="CW103" s="202"/>
      <c r="CX103" s="202"/>
      <c r="CY103" s="202"/>
      <c r="CZ103" s="202"/>
      <c r="DA103" s="202"/>
      <c r="DB103" s="202"/>
      <c r="DC103" s="202"/>
      <c r="DD103" s="202"/>
      <c r="DE103" s="202"/>
      <c r="DF103" s="202">
        <v>4</v>
      </c>
    </row>
    <row r="104" spans="1:110">
      <c r="A104" s="205" t="s">
        <v>2249</v>
      </c>
      <c r="B104" s="202"/>
      <c r="C104" s="202"/>
      <c r="D104" s="202"/>
      <c r="E104" s="202"/>
      <c r="F104" s="202"/>
      <c r="G104" s="202"/>
      <c r="H104" s="202"/>
      <c r="I104" s="202"/>
      <c r="J104" s="202"/>
      <c r="K104" s="202"/>
      <c r="L104" s="202"/>
      <c r="M104" s="202"/>
      <c r="N104" s="202"/>
      <c r="O104" s="202">
        <v>2</v>
      </c>
      <c r="P104" s="202"/>
      <c r="Q104" s="202"/>
      <c r="R104" s="202"/>
      <c r="S104" s="202"/>
      <c r="T104" s="202"/>
      <c r="U104" s="202"/>
      <c r="V104" s="202"/>
      <c r="W104" s="202"/>
      <c r="X104" s="202"/>
      <c r="Y104" s="202"/>
      <c r="Z104" s="202"/>
      <c r="AA104" s="202"/>
      <c r="AB104" s="202"/>
      <c r="AC104" s="202"/>
      <c r="AD104" s="202"/>
      <c r="AE104" s="202"/>
      <c r="AF104" s="202"/>
      <c r="AG104" s="202"/>
      <c r="AH104" s="202"/>
      <c r="AI104" s="202"/>
      <c r="AJ104" s="202"/>
      <c r="AK104" s="202"/>
      <c r="AL104" s="202"/>
      <c r="AM104" s="202"/>
      <c r="AN104" s="202"/>
      <c r="AO104" s="202"/>
      <c r="AP104" s="202"/>
      <c r="AQ104" s="202"/>
      <c r="AR104" s="202"/>
      <c r="AS104" s="202"/>
      <c r="AT104" s="202"/>
      <c r="AU104" s="202"/>
      <c r="AV104" s="202"/>
      <c r="AW104" s="202"/>
      <c r="AX104" s="202"/>
      <c r="AY104" s="202"/>
      <c r="AZ104" s="202"/>
      <c r="BA104" s="202"/>
      <c r="BB104" s="202"/>
      <c r="BC104" s="202"/>
      <c r="BD104" s="202"/>
      <c r="BE104" s="202"/>
      <c r="BF104" s="202"/>
      <c r="BG104" s="202"/>
      <c r="BH104" s="202"/>
      <c r="BI104" s="202"/>
      <c r="BJ104" s="202"/>
      <c r="BK104" s="202"/>
      <c r="BL104" s="202"/>
      <c r="BM104" s="202"/>
      <c r="BN104" s="202"/>
      <c r="BO104" s="202"/>
      <c r="BP104" s="202"/>
      <c r="BQ104" s="202"/>
      <c r="BR104" s="202"/>
      <c r="BS104" s="202"/>
      <c r="BT104" s="202"/>
      <c r="BU104" s="202"/>
      <c r="BV104" s="202"/>
      <c r="BW104" s="202"/>
      <c r="BX104" s="202"/>
      <c r="BY104" s="202"/>
      <c r="BZ104" s="202"/>
      <c r="CA104" s="202"/>
      <c r="CB104" s="202"/>
      <c r="CC104" s="202"/>
      <c r="CD104" s="202"/>
      <c r="CE104" s="202"/>
      <c r="CF104" s="202"/>
      <c r="CG104" s="202"/>
      <c r="CH104" s="202"/>
      <c r="CI104" s="202"/>
      <c r="CJ104" s="202"/>
      <c r="CK104" s="202"/>
      <c r="CL104" s="202"/>
      <c r="CM104" s="202"/>
      <c r="CN104" s="202"/>
      <c r="CO104" s="202"/>
      <c r="CP104" s="202"/>
      <c r="CQ104" s="202"/>
      <c r="CR104" s="202"/>
      <c r="CS104" s="202"/>
      <c r="CT104" s="202"/>
      <c r="CU104" s="202"/>
      <c r="CV104" s="202"/>
      <c r="CW104" s="202"/>
      <c r="CX104" s="202"/>
      <c r="CY104" s="202"/>
      <c r="CZ104" s="202"/>
      <c r="DA104" s="202"/>
      <c r="DB104" s="202"/>
      <c r="DC104" s="202"/>
      <c r="DD104" s="202"/>
      <c r="DE104" s="202">
        <v>3</v>
      </c>
      <c r="DF104" s="202">
        <v>5</v>
      </c>
    </row>
    <row r="105" spans="1:110">
      <c r="A105" s="205" t="s">
        <v>2124</v>
      </c>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v>2</v>
      </c>
      <c r="X105" s="202"/>
      <c r="Y105" s="202"/>
      <c r="Z105" s="202"/>
      <c r="AA105" s="202"/>
      <c r="AB105" s="202"/>
      <c r="AC105" s="202"/>
      <c r="AD105" s="202"/>
      <c r="AE105" s="202"/>
      <c r="AF105" s="202"/>
      <c r="AG105" s="202"/>
      <c r="AH105" s="202"/>
      <c r="AI105" s="202"/>
      <c r="AJ105" s="202"/>
      <c r="AK105" s="202"/>
      <c r="AL105" s="202"/>
      <c r="AM105" s="202"/>
      <c r="AN105" s="202"/>
      <c r="AO105" s="202"/>
      <c r="AP105" s="202"/>
      <c r="AQ105" s="202"/>
      <c r="AR105" s="202"/>
      <c r="AS105" s="202"/>
      <c r="AT105" s="202"/>
      <c r="AU105" s="202"/>
      <c r="AV105" s="202"/>
      <c r="AW105" s="202"/>
      <c r="AX105" s="202"/>
      <c r="AY105" s="202"/>
      <c r="AZ105" s="202"/>
      <c r="BA105" s="202"/>
      <c r="BB105" s="202"/>
      <c r="BC105" s="202"/>
      <c r="BD105" s="202"/>
      <c r="BE105" s="202"/>
      <c r="BF105" s="202"/>
      <c r="BG105" s="202"/>
      <c r="BH105" s="202"/>
      <c r="BI105" s="202"/>
      <c r="BJ105" s="202"/>
      <c r="BK105" s="202"/>
      <c r="BL105" s="202"/>
      <c r="BM105" s="202"/>
      <c r="BN105" s="202"/>
      <c r="BO105" s="202"/>
      <c r="BP105" s="202"/>
      <c r="BQ105" s="202"/>
      <c r="BR105" s="202"/>
      <c r="BS105" s="202"/>
      <c r="BT105" s="202"/>
      <c r="BU105" s="202"/>
      <c r="BV105" s="202"/>
      <c r="BW105" s="202"/>
      <c r="BX105" s="202"/>
      <c r="BY105" s="202"/>
      <c r="BZ105" s="202"/>
      <c r="CA105" s="202"/>
      <c r="CB105" s="202"/>
      <c r="CC105" s="202"/>
      <c r="CD105" s="202"/>
      <c r="CE105" s="202"/>
      <c r="CF105" s="202"/>
      <c r="CG105" s="202"/>
      <c r="CH105" s="202"/>
      <c r="CI105" s="202"/>
      <c r="CJ105" s="202"/>
      <c r="CK105" s="202"/>
      <c r="CL105" s="202"/>
      <c r="CM105" s="202"/>
      <c r="CN105" s="202"/>
      <c r="CO105" s="202"/>
      <c r="CP105" s="202"/>
      <c r="CQ105" s="202"/>
      <c r="CR105" s="202"/>
      <c r="CS105" s="202"/>
      <c r="CT105" s="202"/>
      <c r="CU105" s="202"/>
      <c r="CV105" s="202"/>
      <c r="CW105" s="202"/>
      <c r="CX105" s="202"/>
      <c r="CY105" s="202"/>
      <c r="CZ105" s="202"/>
      <c r="DA105" s="202"/>
      <c r="DB105" s="202"/>
      <c r="DC105" s="202"/>
      <c r="DD105" s="202"/>
      <c r="DE105" s="202"/>
      <c r="DF105" s="202">
        <v>2</v>
      </c>
    </row>
    <row r="106" spans="1:110">
      <c r="A106" s="205" t="s">
        <v>2122</v>
      </c>
      <c r="B106" s="202"/>
      <c r="C106" s="202"/>
      <c r="D106" s="202"/>
      <c r="E106" s="202"/>
      <c r="F106" s="202"/>
      <c r="G106" s="202"/>
      <c r="H106" s="202"/>
      <c r="I106" s="202"/>
      <c r="J106" s="202"/>
      <c r="K106" s="202"/>
      <c r="L106" s="202"/>
      <c r="M106" s="202"/>
      <c r="N106" s="202"/>
      <c r="O106" s="202"/>
      <c r="P106" s="202"/>
      <c r="Q106" s="202"/>
      <c r="R106" s="202"/>
      <c r="S106" s="202"/>
      <c r="T106" s="202"/>
      <c r="U106" s="202"/>
      <c r="V106" s="202">
        <v>2</v>
      </c>
      <c r="W106" s="202"/>
      <c r="X106" s="202"/>
      <c r="Y106" s="202"/>
      <c r="Z106" s="202"/>
      <c r="AA106" s="202"/>
      <c r="AB106" s="202"/>
      <c r="AC106" s="202"/>
      <c r="AD106" s="202"/>
      <c r="AE106" s="202"/>
      <c r="AF106" s="202"/>
      <c r="AG106" s="202"/>
      <c r="AH106" s="202"/>
      <c r="AI106" s="202"/>
      <c r="AJ106" s="202"/>
      <c r="AK106" s="202"/>
      <c r="AL106" s="202"/>
      <c r="AM106" s="202"/>
      <c r="AN106" s="202"/>
      <c r="AO106" s="202"/>
      <c r="AP106" s="202"/>
      <c r="AQ106" s="202"/>
      <c r="AR106" s="202"/>
      <c r="AS106" s="202"/>
      <c r="AT106" s="202"/>
      <c r="AU106" s="202"/>
      <c r="AV106" s="202"/>
      <c r="AW106" s="202"/>
      <c r="AX106" s="202"/>
      <c r="AY106" s="202"/>
      <c r="AZ106" s="202"/>
      <c r="BA106" s="202"/>
      <c r="BB106" s="202"/>
      <c r="BC106" s="202"/>
      <c r="BD106" s="202"/>
      <c r="BE106" s="202"/>
      <c r="BF106" s="202"/>
      <c r="BG106" s="202"/>
      <c r="BH106" s="202"/>
      <c r="BI106" s="202"/>
      <c r="BJ106" s="202"/>
      <c r="BK106" s="202"/>
      <c r="BL106" s="202"/>
      <c r="BM106" s="202"/>
      <c r="BN106" s="202"/>
      <c r="BO106" s="202"/>
      <c r="BP106" s="202"/>
      <c r="BQ106" s="202"/>
      <c r="BR106" s="202"/>
      <c r="BS106" s="202"/>
      <c r="BT106" s="202"/>
      <c r="BU106" s="202"/>
      <c r="BV106" s="202"/>
      <c r="BW106" s="202"/>
      <c r="BX106" s="202"/>
      <c r="BY106" s="202"/>
      <c r="BZ106" s="202"/>
      <c r="CA106" s="202"/>
      <c r="CB106" s="202"/>
      <c r="CC106" s="202"/>
      <c r="CD106" s="202"/>
      <c r="CE106" s="202"/>
      <c r="CF106" s="202"/>
      <c r="CG106" s="202"/>
      <c r="CH106" s="202"/>
      <c r="CI106" s="202"/>
      <c r="CJ106" s="202"/>
      <c r="CK106" s="202"/>
      <c r="CL106" s="202"/>
      <c r="CM106" s="202"/>
      <c r="CN106" s="202"/>
      <c r="CO106" s="202"/>
      <c r="CP106" s="202"/>
      <c r="CQ106" s="202"/>
      <c r="CR106" s="202"/>
      <c r="CS106" s="202"/>
      <c r="CT106" s="202"/>
      <c r="CU106" s="202"/>
      <c r="CV106" s="202"/>
      <c r="CW106" s="202"/>
      <c r="CX106" s="202"/>
      <c r="CY106" s="202"/>
      <c r="CZ106" s="202"/>
      <c r="DA106" s="202"/>
      <c r="DB106" s="202"/>
      <c r="DC106" s="202"/>
      <c r="DD106" s="202"/>
      <c r="DE106" s="202"/>
      <c r="DF106" s="202">
        <v>2</v>
      </c>
    </row>
    <row r="107" spans="1:110">
      <c r="A107" s="205" t="s">
        <v>2114</v>
      </c>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c r="Y107" s="202"/>
      <c r="Z107" s="202"/>
      <c r="AA107" s="202"/>
      <c r="AB107" s="202"/>
      <c r="AC107" s="202"/>
      <c r="AD107" s="202"/>
      <c r="AE107" s="202"/>
      <c r="AF107" s="202"/>
      <c r="AG107" s="202"/>
      <c r="AH107" s="202"/>
      <c r="AI107" s="202"/>
      <c r="AJ107" s="202"/>
      <c r="AK107" s="202"/>
      <c r="AL107" s="202"/>
      <c r="AM107" s="202"/>
      <c r="AN107" s="202"/>
      <c r="AO107" s="202"/>
      <c r="AP107" s="202"/>
      <c r="AQ107" s="202"/>
      <c r="AR107" s="202"/>
      <c r="AS107" s="202"/>
      <c r="AT107" s="202"/>
      <c r="AU107" s="202"/>
      <c r="AV107" s="202"/>
      <c r="AW107" s="202"/>
      <c r="AX107" s="202"/>
      <c r="AY107" s="202"/>
      <c r="AZ107" s="202"/>
      <c r="BA107" s="202"/>
      <c r="BB107" s="202"/>
      <c r="BC107" s="202"/>
      <c r="BD107" s="202"/>
      <c r="BE107" s="202">
        <v>1</v>
      </c>
      <c r="BF107" s="202"/>
      <c r="BG107" s="202"/>
      <c r="BH107" s="202"/>
      <c r="BI107" s="202"/>
      <c r="BJ107" s="202"/>
      <c r="BK107" s="202"/>
      <c r="BL107" s="202"/>
      <c r="BM107" s="202"/>
      <c r="BN107" s="202"/>
      <c r="BO107" s="202"/>
      <c r="BP107" s="202"/>
      <c r="BQ107" s="202"/>
      <c r="BR107" s="202"/>
      <c r="BS107" s="202"/>
      <c r="BT107" s="202"/>
      <c r="BU107" s="202"/>
      <c r="BV107" s="202"/>
      <c r="BW107" s="202"/>
      <c r="BX107" s="202"/>
      <c r="BY107" s="202"/>
      <c r="BZ107" s="202"/>
      <c r="CA107" s="202"/>
      <c r="CB107" s="202"/>
      <c r="CC107" s="202"/>
      <c r="CD107" s="202"/>
      <c r="CE107" s="202"/>
      <c r="CF107" s="202"/>
      <c r="CG107" s="202"/>
      <c r="CH107" s="202"/>
      <c r="CI107" s="202"/>
      <c r="CJ107" s="202"/>
      <c r="CK107" s="202"/>
      <c r="CL107" s="202"/>
      <c r="CM107" s="202"/>
      <c r="CN107" s="202"/>
      <c r="CO107" s="202"/>
      <c r="CP107" s="202"/>
      <c r="CQ107" s="202"/>
      <c r="CR107" s="202"/>
      <c r="CS107" s="202"/>
      <c r="CT107" s="202"/>
      <c r="CU107" s="202"/>
      <c r="CV107" s="202"/>
      <c r="CW107" s="202"/>
      <c r="CX107" s="202"/>
      <c r="CY107" s="202"/>
      <c r="CZ107" s="202"/>
      <c r="DA107" s="202"/>
      <c r="DB107" s="202"/>
      <c r="DC107" s="202"/>
      <c r="DD107" s="202"/>
      <c r="DE107" s="202"/>
      <c r="DF107" s="202">
        <v>1</v>
      </c>
    </row>
    <row r="108" spans="1:110">
      <c r="A108" s="205" t="s">
        <v>3412</v>
      </c>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c r="Y108" s="202"/>
      <c r="Z108" s="202"/>
      <c r="AA108" s="202"/>
      <c r="AB108" s="202"/>
      <c r="AC108" s="202"/>
      <c r="AD108" s="202"/>
      <c r="AE108" s="202"/>
      <c r="AF108" s="202"/>
      <c r="AG108" s="202"/>
      <c r="AH108" s="202"/>
      <c r="AI108" s="202"/>
      <c r="AJ108" s="202"/>
      <c r="AK108" s="202"/>
      <c r="AL108" s="202"/>
      <c r="AM108" s="202"/>
      <c r="AN108" s="202"/>
      <c r="AO108" s="202"/>
      <c r="AP108" s="202"/>
      <c r="AQ108" s="202"/>
      <c r="AR108" s="202"/>
      <c r="AS108" s="202"/>
      <c r="AT108" s="202"/>
      <c r="AU108" s="202"/>
      <c r="AV108" s="202"/>
      <c r="AW108" s="202"/>
      <c r="AX108" s="202"/>
      <c r="AY108" s="202"/>
      <c r="AZ108" s="202"/>
      <c r="BA108" s="202"/>
      <c r="BB108" s="202"/>
      <c r="BC108" s="202"/>
      <c r="BD108" s="202"/>
      <c r="BE108" s="202"/>
      <c r="BF108" s="202"/>
      <c r="BG108" s="202"/>
      <c r="BH108" s="202"/>
      <c r="BI108" s="202"/>
      <c r="BJ108" s="202"/>
      <c r="BK108" s="202"/>
      <c r="BL108" s="202"/>
      <c r="BM108" s="202"/>
      <c r="BN108" s="202"/>
      <c r="BO108" s="202"/>
      <c r="BP108" s="202"/>
      <c r="BQ108" s="202"/>
      <c r="BR108" s="202"/>
      <c r="BS108" s="202"/>
      <c r="BT108" s="202"/>
      <c r="BU108" s="202"/>
      <c r="BV108" s="202"/>
      <c r="BW108" s="202"/>
      <c r="BX108" s="202"/>
      <c r="BY108" s="202"/>
      <c r="BZ108" s="202"/>
      <c r="CA108" s="202"/>
      <c r="CB108" s="202"/>
      <c r="CC108" s="202"/>
      <c r="CD108" s="202"/>
      <c r="CE108" s="202"/>
      <c r="CF108" s="202"/>
      <c r="CG108" s="202"/>
      <c r="CH108" s="202"/>
      <c r="CI108" s="202"/>
      <c r="CJ108" s="202"/>
      <c r="CK108" s="202"/>
      <c r="CL108" s="202"/>
      <c r="CM108" s="202"/>
      <c r="CN108" s="202"/>
      <c r="CO108" s="202"/>
      <c r="CP108" s="202"/>
      <c r="CQ108" s="202"/>
      <c r="CR108" s="202"/>
      <c r="CS108" s="202"/>
      <c r="CT108" s="202"/>
      <c r="CU108" s="202"/>
      <c r="CV108" s="202"/>
      <c r="CW108" s="202"/>
      <c r="CX108" s="202"/>
      <c r="CY108" s="202"/>
      <c r="CZ108" s="202"/>
      <c r="DA108" s="202"/>
      <c r="DB108" s="202"/>
      <c r="DC108" s="202"/>
      <c r="DD108" s="202"/>
      <c r="DE108" s="202">
        <v>5</v>
      </c>
      <c r="DF108" s="202">
        <v>5</v>
      </c>
    </row>
    <row r="109" spans="1:110">
      <c r="A109" s="205" t="s">
        <v>2166</v>
      </c>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c r="Y109" s="202"/>
      <c r="Z109" s="202"/>
      <c r="AA109" s="202"/>
      <c r="AB109" s="202"/>
      <c r="AC109" s="202"/>
      <c r="AD109" s="202"/>
      <c r="AE109" s="202"/>
      <c r="AF109" s="202"/>
      <c r="AG109" s="202"/>
      <c r="AH109" s="202"/>
      <c r="AI109" s="202"/>
      <c r="AJ109" s="202"/>
      <c r="AK109" s="202"/>
      <c r="AL109" s="202"/>
      <c r="AM109" s="202"/>
      <c r="AN109" s="202"/>
      <c r="AO109" s="202"/>
      <c r="AP109" s="202"/>
      <c r="AQ109" s="202"/>
      <c r="AR109" s="202"/>
      <c r="AS109" s="202"/>
      <c r="AT109" s="202"/>
      <c r="AU109" s="202"/>
      <c r="AV109" s="202"/>
      <c r="AW109" s="202"/>
      <c r="AX109" s="202"/>
      <c r="AY109" s="202"/>
      <c r="AZ109" s="202"/>
      <c r="BA109" s="202"/>
      <c r="BB109" s="202"/>
      <c r="BC109" s="202"/>
      <c r="BD109" s="202"/>
      <c r="BE109" s="202"/>
      <c r="BF109" s="202"/>
      <c r="BG109" s="202"/>
      <c r="BH109" s="202"/>
      <c r="BI109" s="202"/>
      <c r="BJ109" s="202"/>
      <c r="BK109" s="202"/>
      <c r="BL109" s="202"/>
      <c r="BM109" s="202"/>
      <c r="BN109" s="202"/>
      <c r="BO109" s="202"/>
      <c r="BP109" s="202"/>
      <c r="BQ109" s="202"/>
      <c r="BR109" s="202">
        <v>3</v>
      </c>
      <c r="BS109" s="202"/>
      <c r="BT109" s="202"/>
      <c r="BU109" s="202"/>
      <c r="BV109" s="202"/>
      <c r="BW109" s="202"/>
      <c r="BX109" s="202"/>
      <c r="BY109" s="202"/>
      <c r="BZ109" s="202"/>
      <c r="CA109" s="202"/>
      <c r="CB109" s="202"/>
      <c r="CC109" s="202"/>
      <c r="CD109" s="202"/>
      <c r="CE109" s="202"/>
      <c r="CF109" s="202"/>
      <c r="CG109" s="202"/>
      <c r="CH109" s="202"/>
      <c r="CI109" s="202"/>
      <c r="CJ109" s="202"/>
      <c r="CK109" s="202"/>
      <c r="CL109" s="202"/>
      <c r="CM109" s="202"/>
      <c r="CN109" s="202"/>
      <c r="CO109" s="202"/>
      <c r="CP109" s="202"/>
      <c r="CQ109" s="202"/>
      <c r="CR109" s="202"/>
      <c r="CS109" s="202"/>
      <c r="CT109" s="202"/>
      <c r="CU109" s="202"/>
      <c r="CV109" s="202"/>
      <c r="CW109" s="202"/>
      <c r="CX109" s="202"/>
      <c r="CY109" s="202"/>
      <c r="CZ109" s="202"/>
      <c r="DA109" s="202"/>
      <c r="DB109" s="202"/>
      <c r="DC109" s="202"/>
      <c r="DD109" s="202"/>
      <c r="DE109" s="202"/>
      <c r="DF109" s="202">
        <v>3</v>
      </c>
    </row>
    <row r="110" spans="1:110">
      <c r="A110" s="205" t="s">
        <v>2104</v>
      </c>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c r="Y110" s="202"/>
      <c r="Z110" s="202"/>
      <c r="AA110" s="202"/>
      <c r="AB110" s="202"/>
      <c r="AC110" s="202"/>
      <c r="AD110" s="202"/>
      <c r="AE110" s="202"/>
      <c r="AF110" s="202"/>
      <c r="AG110" s="202"/>
      <c r="AH110" s="202"/>
      <c r="AI110" s="202"/>
      <c r="AJ110" s="202"/>
      <c r="AK110" s="202"/>
      <c r="AL110" s="202"/>
      <c r="AM110" s="202"/>
      <c r="AN110" s="202"/>
      <c r="AO110" s="202"/>
      <c r="AP110" s="202"/>
      <c r="AQ110" s="202"/>
      <c r="AR110" s="202"/>
      <c r="AS110" s="202"/>
      <c r="AT110" s="202"/>
      <c r="AU110" s="202">
        <v>1</v>
      </c>
      <c r="AV110" s="202"/>
      <c r="AW110" s="202"/>
      <c r="AX110" s="202"/>
      <c r="AY110" s="202"/>
      <c r="AZ110" s="202"/>
      <c r="BA110" s="202"/>
      <c r="BB110" s="202"/>
      <c r="BC110" s="202"/>
      <c r="BD110" s="202"/>
      <c r="BE110" s="202"/>
      <c r="BF110" s="202"/>
      <c r="BG110" s="202"/>
      <c r="BH110" s="202"/>
      <c r="BI110" s="202"/>
      <c r="BJ110" s="202"/>
      <c r="BK110" s="202"/>
      <c r="BL110" s="202"/>
      <c r="BM110" s="202"/>
      <c r="BN110" s="202"/>
      <c r="BO110" s="202"/>
      <c r="BP110" s="202"/>
      <c r="BQ110" s="202"/>
      <c r="BR110" s="202"/>
      <c r="BS110" s="202"/>
      <c r="BT110" s="202"/>
      <c r="BU110" s="202"/>
      <c r="BV110" s="202"/>
      <c r="BW110" s="202"/>
      <c r="BX110" s="202"/>
      <c r="BY110" s="202"/>
      <c r="BZ110" s="202"/>
      <c r="CA110" s="202"/>
      <c r="CB110" s="202"/>
      <c r="CC110" s="202"/>
      <c r="CD110" s="202"/>
      <c r="CE110" s="202"/>
      <c r="CF110" s="202"/>
      <c r="CG110" s="202"/>
      <c r="CH110" s="202"/>
      <c r="CI110" s="202"/>
      <c r="CJ110" s="202"/>
      <c r="CK110" s="202"/>
      <c r="CL110" s="202"/>
      <c r="CM110" s="202"/>
      <c r="CN110" s="202"/>
      <c r="CO110" s="202"/>
      <c r="CP110" s="202"/>
      <c r="CQ110" s="202"/>
      <c r="CR110" s="202"/>
      <c r="CS110" s="202"/>
      <c r="CT110" s="202"/>
      <c r="CU110" s="202"/>
      <c r="CV110" s="202"/>
      <c r="CW110" s="202"/>
      <c r="CX110" s="202"/>
      <c r="CY110" s="202"/>
      <c r="CZ110" s="202"/>
      <c r="DA110" s="202"/>
      <c r="DB110" s="202"/>
      <c r="DC110" s="202"/>
      <c r="DD110" s="202"/>
      <c r="DE110" s="202"/>
      <c r="DF110" s="202">
        <v>1</v>
      </c>
    </row>
    <row r="111" spans="1:110">
      <c r="A111" s="205" t="s">
        <v>2101</v>
      </c>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c r="Y111" s="202"/>
      <c r="Z111" s="202"/>
      <c r="AA111" s="202"/>
      <c r="AB111" s="202"/>
      <c r="AC111" s="202"/>
      <c r="AD111" s="202"/>
      <c r="AE111" s="202"/>
      <c r="AF111" s="202"/>
      <c r="AG111" s="202">
        <v>1</v>
      </c>
      <c r="AH111" s="202"/>
      <c r="AI111" s="202"/>
      <c r="AJ111" s="202"/>
      <c r="AK111" s="202"/>
      <c r="AL111" s="202"/>
      <c r="AM111" s="202"/>
      <c r="AN111" s="202"/>
      <c r="AO111" s="202"/>
      <c r="AP111" s="202"/>
      <c r="AQ111" s="202"/>
      <c r="AR111" s="202"/>
      <c r="AS111" s="202"/>
      <c r="AT111" s="202"/>
      <c r="AU111" s="202"/>
      <c r="AV111" s="202"/>
      <c r="AW111" s="202"/>
      <c r="AX111" s="202"/>
      <c r="AY111" s="202"/>
      <c r="AZ111" s="202"/>
      <c r="BA111" s="202"/>
      <c r="BB111" s="202"/>
      <c r="BC111" s="202"/>
      <c r="BD111" s="202"/>
      <c r="BE111" s="202"/>
      <c r="BF111" s="202"/>
      <c r="BG111" s="202"/>
      <c r="BH111" s="202"/>
      <c r="BI111" s="202"/>
      <c r="BJ111" s="202"/>
      <c r="BK111" s="202"/>
      <c r="BL111" s="202"/>
      <c r="BM111" s="202"/>
      <c r="BN111" s="202"/>
      <c r="BO111" s="202"/>
      <c r="BP111" s="202"/>
      <c r="BQ111" s="202"/>
      <c r="BR111" s="202"/>
      <c r="BS111" s="202"/>
      <c r="BT111" s="202"/>
      <c r="BU111" s="202"/>
      <c r="BV111" s="202"/>
      <c r="BW111" s="202"/>
      <c r="BX111" s="202"/>
      <c r="BY111" s="202"/>
      <c r="BZ111" s="202"/>
      <c r="CA111" s="202"/>
      <c r="CB111" s="202"/>
      <c r="CC111" s="202"/>
      <c r="CD111" s="202"/>
      <c r="CE111" s="202"/>
      <c r="CF111" s="202"/>
      <c r="CG111" s="202"/>
      <c r="CH111" s="202"/>
      <c r="CI111" s="202"/>
      <c r="CJ111" s="202"/>
      <c r="CK111" s="202"/>
      <c r="CL111" s="202"/>
      <c r="CM111" s="202"/>
      <c r="CN111" s="202"/>
      <c r="CO111" s="202"/>
      <c r="CP111" s="202"/>
      <c r="CQ111" s="202"/>
      <c r="CR111" s="202"/>
      <c r="CS111" s="202"/>
      <c r="CT111" s="202"/>
      <c r="CU111" s="202"/>
      <c r="CV111" s="202"/>
      <c r="CW111" s="202"/>
      <c r="CX111" s="202"/>
      <c r="CY111" s="202"/>
      <c r="CZ111" s="202"/>
      <c r="DA111" s="202"/>
      <c r="DB111" s="202"/>
      <c r="DC111" s="202"/>
      <c r="DD111" s="202"/>
      <c r="DE111" s="202"/>
      <c r="DF111" s="202">
        <v>1</v>
      </c>
    </row>
    <row r="112" spans="1:110">
      <c r="A112" s="205" t="s">
        <v>2100</v>
      </c>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c r="Y112" s="202"/>
      <c r="Z112" s="202"/>
      <c r="AA112" s="202"/>
      <c r="AB112" s="202"/>
      <c r="AC112" s="202"/>
      <c r="AD112" s="202"/>
      <c r="AE112" s="202"/>
      <c r="AF112" s="202"/>
      <c r="AG112" s="202"/>
      <c r="AH112" s="202"/>
      <c r="AI112" s="202"/>
      <c r="AJ112" s="202"/>
      <c r="AK112" s="202"/>
      <c r="AL112" s="202"/>
      <c r="AM112" s="202"/>
      <c r="AN112" s="202"/>
      <c r="AO112" s="202"/>
      <c r="AP112" s="202"/>
      <c r="AQ112" s="202"/>
      <c r="AR112" s="202"/>
      <c r="AS112" s="202"/>
      <c r="AT112" s="202"/>
      <c r="AU112" s="202"/>
      <c r="AV112" s="202"/>
      <c r="AW112" s="202"/>
      <c r="AX112" s="202"/>
      <c r="AY112" s="202"/>
      <c r="AZ112" s="202"/>
      <c r="BA112" s="202"/>
      <c r="BB112" s="202"/>
      <c r="BC112" s="202"/>
      <c r="BD112" s="202"/>
      <c r="BE112" s="202"/>
      <c r="BF112" s="202"/>
      <c r="BG112" s="202"/>
      <c r="BH112" s="202"/>
      <c r="BI112" s="202"/>
      <c r="BJ112" s="202"/>
      <c r="BK112" s="202"/>
      <c r="BL112" s="202"/>
      <c r="BM112" s="202"/>
      <c r="BN112" s="202"/>
      <c r="BO112" s="202"/>
      <c r="BP112" s="202"/>
      <c r="BQ112" s="202"/>
      <c r="BR112" s="202"/>
      <c r="BS112" s="202"/>
      <c r="BT112" s="202"/>
      <c r="BU112" s="202"/>
      <c r="BV112" s="202"/>
      <c r="BW112" s="202"/>
      <c r="BX112" s="202"/>
      <c r="BY112" s="202"/>
      <c r="BZ112" s="202"/>
      <c r="CA112" s="202"/>
      <c r="CB112" s="202"/>
      <c r="CC112" s="202"/>
      <c r="CD112" s="202"/>
      <c r="CE112" s="202"/>
      <c r="CF112" s="202">
        <v>3</v>
      </c>
      <c r="CG112" s="202"/>
      <c r="CH112" s="202"/>
      <c r="CI112" s="202"/>
      <c r="CJ112" s="202"/>
      <c r="CK112" s="202"/>
      <c r="CL112" s="202"/>
      <c r="CM112" s="202"/>
      <c r="CN112" s="202"/>
      <c r="CO112" s="202"/>
      <c r="CP112" s="202"/>
      <c r="CQ112" s="202"/>
      <c r="CR112" s="202"/>
      <c r="CS112" s="202"/>
      <c r="CT112" s="202"/>
      <c r="CU112" s="202"/>
      <c r="CV112" s="202"/>
      <c r="CW112" s="202"/>
      <c r="CX112" s="202"/>
      <c r="CY112" s="202"/>
      <c r="CZ112" s="202"/>
      <c r="DA112" s="202"/>
      <c r="DB112" s="202"/>
      <c r="DC112" s="202"/>
      <c r="DD112" s="202"/>
      <c r="DE112" s="202"/>
      <c r="DF112" s="202">
        <v>3</v>
      </c>
    </row>
    <row r="113" spans="1:110">
      <c r="A113" s="205" t="s">
        <v>3096</v>
      </c>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c r="Y113" s="202"/>
      <c r="Z113" s="202"/>
      <c r="AA113" s="202"/>
      <c r="AB113" s="202"/>
      <c r="AC113" s="202"/>
      <c r="AD113" s="202"/>
      <c r="AE113" s="202"/>
      <c r="AF113" s="202"/>
      <c r="AG113" s="202"/>
      <c r="AH113" s="202"/>
      <c r="AI113" s="202"/>
      <c r="AJ113" s="202"/>
      <c r="AK113" s="202"/>
      <c r="AL113" s="202"/>
      <c r="AM113" s="202"/>
      <c r="AN113" s="202"/>
      <c r="AO113" s="202"/>
      <c r="AP113" s="202"/>
      <c r="AQ113" s="202"/>
      <c r="AR113" s="202"/>
      <c r="AS113" s="202"/>
      <c r="AT113" s="202"/>
      <c r="AU113" s="202"/>
      <c r="AV113" s="202"/>
      <c r="AW113" s="202"/>
      <c r="AX113" s="202"/>
      <c r="AY113" s="202"/>
      <c r="AZ113" s="202"/>
      <c r="BA113" s="202"/>
      <c r="BB113" s="202"/>
      <c r="BC113" s="202"/>
      <c r="BD113" s="202"/>
      <c r="BE113" s="202"/>
      <c r="BF113" s="202"/>
      <c r="BG113" s="202"/>
      <c r="BH113" s="202"/>
      <c r="BI113" s="202"/>
      <c r="BJ113" s="202"/>
      <c r="BK113" s="202"/>
      <c r="BL113" s="202"/>
      <c r="BM113" s="202"/>
      <c r="BN113" s="202"/>
      <c r="BO113" s="202"/>
      <c r="BP113" s="202"/>
      <c r="BQ113" s="202"/>
      <c r="BR113" s="202"/>
      <c r="BS113" s="202"/>
      <c r="BT113" s="202"/>
      <c r="BU113" s="202"/>
      <c r="BV113" s="202"/>
      <c r="BW113" s="202"/>
      <c r="BX113" s="202"/>
      <c r="BY113" s="202"/>
      <c r="BZ113" s="202"/>
      <c r="CA113" s="202"/>
      <c r="CB113" s="202"/>
      <c r="CC113" s="202"/>
      <c r="CD113" s="202"/>
      <c r="CE113" s="202"/>
      <c r="CF113" s="202"/>
      <c r="CG113" s="202"/>
      <c r="CH113" s="202"/>
      <c r="CI113" s="202"/>
      <c r="CJ113" s="202"/>
      <c r="CK113" s="202"/>
      <c r="CL113" s="202"/>
      <c r="CM113" s="202"/>
      <c r="CN113" s="202"/>
      <c r="CO113" s="202"/>
      <c r="CP113" s="202"/>
      <c r="CQ113" s="202"/>
      <c r="CR113" s="202"/>
      <c r="CS113" s="202"/>
      <c r="CT113" s="202"/>
      <c r="CU113" s="202"/>
      <c r="CV113" s="202"/>
      <c r="CW113" s="202"/>
      <c r="CX113" s="202"/>
      <c r="CY113" s="202"/>
      <c r="CZ113" s="202"/>
      <c r="DA113" s="202"/>
      <c r="DB113" s="202"/>
      <c r="DC113" s="202"/>
      <c r="DD113" s="202"/>
      <c r="DE113" s="202">
        <v>1</v>
      </c>
      <c r="DF113" s="202">
        <v>1</v>
      </c>
    </row>
    <row r="114" spans="1:110">
      <c r="A114" s="205" t="s">
        <v>2106</v>
      </c>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c r="AA114" s="202"/>
      <c r="AB114" s="202"/>
      <c r="AC114" s="202"/>
      <c r="AD114" s="202"/>
      <c r="AE114" s="202"/>
      <c r="AF114" s="202"/>
      <c r="AG114" s="202"/>
      <c r="AH114" s="202"/>
      <c r="AI114" s="202"/>
      <c r="AJ114" s="202"/>
      <c r="AK114" s="202"/>
      <c r="AL114" s="202"/>
      <c r="AM114" s="202"/>
      <c r="AN114" s="202"/>
      <c r="AO114" s="202"/>
      <c r="AP114" s="202"/>
      <c r="AQ114" s="202"/>
      <c r="AR114" s="202"/>
      <c r="AS114" s="202"/>
      <c r="AT114" s="202"/>
      <c r="AU114" s="202"/>
      <c r="AV114" s="202"/>
      <c r="AW114" s="202"/>
      <c r="AX114" s="202"/>
      <c r="AY114" s="202"/>
      <c r="AZ114" s="202"/>
      <c r="BA114" s="202"/>
      <c r="BB114" s="202"/>
      <c r="BC114" s="202"/>
      <c r="BD114" s="202"/>
      <c r="BE114" s="202"/>
      <c r="BF114" s="202"/>
      <c r="BG114" s="202"/>
      <c r="BH114" s="202"/>
      <c r="BI114" s="202"/>
      <c r="BJ114" s="202"/>
      <c r="BK114" s="202"/>
      <c r="BL114" s="202"/>
      <c r="BM114" s="202"/>
      <c r="BN114" s="202"/>
      <c r="BO114" s="202"/>
      <c r="BP114" s="202"/>
      <c r="BQ114" s="202"/>
      <c r="BR114" s="202"/>
      <c r="BS114" s="202"/>
      <c r="BT114" s="202"/>
      <c r="BU114" s="202"/>
      <c r="BV114" s="202"/>
      <c r="BW114" s="202"/>
      <c r="BX114" s="202"/>
      <c r="BY114" s="202"/>
      <c r="BZ114" s="202"/>
      <c r="CA114" s="202"/>
      <c r="CB114" s="202"/>
      <c r="CC114" s="202"/>
      <c r="CD114" s="202"/>
      <c r="CE114" s="202"/>
      <c r="CF114" s="202"/>
      <c r="CG114" s="202"/>
      <c r="CH114" s="202"/>
      <c r="CI114" s="202"/>
      <c r="CJ114" s="202"/>
      <c r="CK114" s="202"/>
      <c r="CL114" s="202"/>
      <c r="CM114" s="202"/>
      <c r="CN114" s="202"/>
      <c r="CO114" s="202"/>
      <c r="CP114" s="202"/>
      <c r="CQ114" s="202">
        <v>10</v>
      </c>
      <c r="CR114" s="202"/>
      <c r="CS114" s="202"/>
      <c r="CT114" s="202"/>
      <c r="CU114" s="202"/>
      <c r="CV114" s="202"/>
      <c r="CW114" s="202"/>
      <c r="CX114" s="202"/>
      <c r="CY114" s="202"/>
      <c r="CZ114" s="202"/>
      <c r="DA114" s="202"/>
      <c r="DB114" s="202"/>
      <c r="DC114" s="202"/>
      <c r="DD114" s="202"/>
      <c r="DE114" s="202"/>
      <c r="DF114" s="202">
        <v>10</v>
      </c>
    </row>
    <row r="115" spans="1:110">
      <c r="A115" s="205" t="s">
        <v>2102</v>
      </c>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c r="Y115" s="202"/>
      <c r="Z115" s="202"/>
      <c r="AA115" s="202"/>
      <c r="AB115" s="202"/>
      <c r="AC115" s="202"/>
      <c r="AD115" s="202"/>
      <c r="AE115" s="202"/>
      <c r="AF115" s="202"/>
      <c r="AG115" s="202"/>
      <c r="AH115" s="202"/>
      <c r="AI115" s="202"/>
      <c r="AJ115" s="202"/>
      <c r="AK115" s="202"/>
      <c r="AL115" s="202"/>
      <c r="AM115" s="202"/>
      <c r="AN115" s="202"/>
      <c r="AO115" s="202"/>
      <c r="AP115" s="202"/>
      <c r="AQ115" s="202"/>
      <c r="AR115" s="202"/>
      <c r="AS115" s="202"/>
      <c r="AT115" s="202"/>
      <c r="AU115" s="202"/>
      <c r="AV115" s="202"/>
      <c r="AW115" s="202"/>
      <c r="AX115" s="202"/>
      <c r="AY115" s="202"/>
      <c r="AZ115" s="202"/>
      <c r="BA115" s="202"/>
      <c r="BB115" s="202">
        <v>1</v>
      </c>
      <c r="BC115" s="202"/>
      <c r="BD115" s="202"/>
      <c r="BE115" s="202"/>
      <c r="BF115" s="202"/>
      <c r="BG115" s="202"/>
      <c r="BH115" s="202"/>
      <c r="BI115" s="202"/>
      <c r="BJ115" s="202"/>
      <c r="BK115" s="202"/>
      <c r="BL115" s="202"/>
      <c r="BM115" s="202"/>
      <c r="BN115" s="202"/>
      <c r="BO115" s="202"/>
      <c r="BP115" s="202"/>
      <c r="BQ115" s="202"/>
      <c r="BR115" s="202"/>
      <c r="BS115" s="202"/>
      <c r="BT115" s="202"/>
      <c r="BU115" s="202"/>
      <c r="BV115" s="202"/>
      <c r="BW115" s="202"/>
      <c r="BX115" s="202"/>
      <c r="BY115" s="202"/>
      <c r="BZ115" s="202"/>
      <c r="CA115" s="202"/>
      <c r="CB115" s="202"/>
      <c r="CC115" s="202"/>
      <c r="CD115" s="202"/>
      <c r="CE115" s="202"/>
      <c r="CF115" s="202"/>
      <c r="CG115" s="202"/>
      <c r="CH115" s="202"/>
      <c r="CI115" s="202"/>
      <c r="CJ115" s="202"/>
      <c r="CK115" s="202"/>
      <c r="CL115" s="202"/>
      <c r="CM115" s="202"/>
      <c r="CN115" s="202"/>
      <c r="CO115" s="202"/>
      <c r="CP115" s="202"/>
      <c r="CQ115" s="202"/>
      <c r="CR115" s="202"/>
      <c r="CS115" s="202"/>
      <c r="CT115" s="202"/>
      <c r="CU115" s="202"/>
      <c r="CV115" s="202"/>
      <c r="CW115" s="202"/>
      <c r="CX115" s="202"/>
      <c r="CY115" s="202"/>
      <c r="CZ115" s="202"/>
      <c r="DA115" s="202"/>
      <c r="DB115" s="202"/>
      <c r="DC115" s="202"/>
      <c r="DD115" s="202"/>
      <c r="DE115" s="202"/>
      <c r="DF115" s="202">
        <v>1</v>
      </c>
    </row>
    <row r="116" spans="1:110">
      <c r="A116" s="205" t="s">
        <v>2108</v>
      </c>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c r="AQ116" s="202"/>
      <c r="AR116" s="202"/>
      <c r="AS116" s="202"/>
      <c r="AT116" s="202"/>
      <c r="AU116" s="202"/>
      <c r="AV116" s="202"/>
      <c r="AW116" s="202"/>
      <c r="AX116" s="202"/>
      <c r="AY116" s="202"/>
      <c r="AZ116" s="202"/>
      <c r="BA116" s="202"/>
      <c r="BB116" s="202"/>
      <c r="BC116" s="202"/>
      <c r="BD116" s="202"/>
      <c r="BE116" s="202"/>
      <c r="BF116" s="202"/>
      <c r="BG116" s="202"/>
      <c r="BH116" s="202"/>
      <c r="BI116" s="202"/>
      <c r="BJ116" s="202"/>
      <c r="BK116" s="202"/>
      <c r="BL116" s="202"/>
      <c r="BM116" s="202"/>
      <c r="BN116" s="202"/>
      <c r="BO116" s="202"/>
      <c r="BP116" s="202"/>
      <c r="BQ116" s="202"/>
      <c r="BR116" s="202"/>
      <c r="BS116" s="202"/>
      <c r="BT116" s="202"/>
      <c r="BU116" s="202"/>
      <c r="BV116" s="202"/>
      <c r="BW116" s="202"/>
      <c r="BX116" s="202"/>
      <c r="BY116" s="202"/>
      <c r="BZ116" s="202"/>
      <c r="CA116" s="202"/>
      <c r="CB116" s="202"/>
      <c r="CC116" s="202"/>
      <c r="CD116" s="202"/>
      <c r="CE116" s="202"/>
      <c r="CF116" s="202"/>
      <c r="CG116" s="202"/>
      <c r="CH116" s="202"/>
      <c r="CI116" s="202">
        <v>5</v>
      </c>
      <c r="CJ116" s="202"/>
      <c r="CK116" s="202"/>
      <c r="CL116" s="202"/>
      <c r="CM116" s="202"/>
      <c r="CN116" s="202"/>
      <c r="CO116" s="202"/>
      <c r="CP116" s="202"/>
      <c r="CQ116" s="202"/>
      <c r="CR116" s="202"/>
      <c r="CS116" s="202"/>
      <c r="CT116" s="202"/>
      <c r="CU116" s="202"/>
      <c r="CV116" s="202"/>
      <c r="CW116" s="202"/>
      <c r="CX116" s="202"/>
      <c r="CY116" s="202"/>
      <c r="CZ116" s="202"/>
      <c r="DA116" s="202"/>
      <c r="DB116" s="202"/>
      <c r="DC116" s="202"/>
      <c r="DD116" s="202"/>
      <c r="DE116" s="202"/>
      <c r="DF116" s="202">
        <v>5</v>
      </c>
    </row>
    <row r="117" spans="1:110">
      <c r="A117" s="205" t="s">
        <v>2105</v>
      </c>
      <c r="B117" s="202"/>
      <c r="C117" s="202"/>
      <c r="D117" s="202"/>
      <c r="E117" s="202"/>
      <c r="F117" s="202"/>
      <c r="G117" s="202"/>
      <c r="H117" s="202"/>
      <c r="I117" s="202"/>
      <c r="J117" s="202"/>
      <c r="K117" s="202">
        <v>4</v>
      </c>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c r="AQ117" s="202"/>
      <c r="AR117" s="202"/>
      <c r="AS117" s="202"/>
      <c r="AT117" s="202"/>
      <c r="AU117" s="202"/>
      <c r="AV117" s="202"/>
      <c r="AW117" s="202"/>
      <c r="AX117" s="202"/>
      <c r="AY117" s="202"/>
      <c r="AZ117" s="202"/>
      <c r="BA117" s="202"/>
      <c r="BB117" s="202"/>
      <c r="BC117" s="202"/>
      <c r="BD117" s="202"/>
      <c r="BE117" s="202"/>
      <c r="BF117" s="202"/>
      <c r="BG117" s="202"/>
      <c r="BH117" s="202"/>
      <c r="BI117" s="202"/>
      <c r="BJ117" s="202"/>
      <c r="BK117" s="202"/>
      <c r="BL117" s="202"/>
      <c r="BM117" s="202"/>
      <c r="BN117" s="202"/>
      <c r="BO117" s="202"/>
      <c r="BP117" s="202"/>
      <c r="BQ117" s="202"/>
      <c r="BR117" s="202"/>
      <c r="BS117" s="202"/>
      <c r="BT117" s="202"/>
      <c r="BU117" s="202"/>
      <c r="BV117" s="202"/>
      <c r="BW117" s="202"/>
      <c r="BX117" s="202"/>
      <c r="BY117" s="202"/>
      <c r="BZ117" s="202"/>
      <c r="CA117" s="202"/>
      <c r="CB117" s="202"/>
      <c r="CC117" s="202"/>
      <c r="CD117" s="202"/>
      <c r="CE117" s="202"/>
      <c r="CF117" s="202"/>
      <c r="CG117" s="202"/>
      <c r="CH117" s="202"/>
      <c r="CI117" s="202"/>
      <c r="CJ117" s="202"/>
      <c r="CK117" s="202"/>
      <c r="CL117" s="202"/>
      <c r="CM117" s="202"/>
      <c r="CN117" s="202"/>
      <c r="CO117" s="202"/>
      <c r="CP117" s="202"/>
      <c r="CQ117" s="202"/>
      <c r="CR117" s="202"/>
      <c r="CS117" s="202"/>
      <c r="CT117" s="202"/>
      <c r="CU117" s="202"/>
      <c r="CV117" s="202"/>
      <c r="CW117" s="202"/>
      <c r="CX117" s="202"/>
      <c r="CY117" s="202"/>
      <c r="CZ117" s="202"/>
      <c r="DA117" s="202"/>
      <c r="DB117" s="202"/>
      <c r="DC117" s="202"/>
      <c r="DD117" s="202"/>
      <c r="DE117" s="202"/>
      <c r="DF117" s="202">
        <v>4</v>
      </c>
    </row>
    <row r="118" spans="1:110">
      <c r="A118" s="205" t="s">
        <v>2103</v>
      </c>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c r="AA118" s="202"/>
      <c r="AB118" s="202">
        <v>5</v>
      </c>
      <c r="AC118" s="202"/>
      <c r="AD118" s="202"/>
      <c r="AE118" s="202"/>
      <c r="AF118" s="202"/>
      <c r="AG118" s="202"/>
      <c r="AH118" s="202"/>
      <c r="AI118" s="202"/>
      <c r="AJ118" s="202"/>
      <c r="AK118" s="202"/>
      <c r="AL118" s="202"/>
      <c r="AM118" s="202"/>
      <c r="AN118" s="202"/>
      <c r="AO118" s="202"/>
      <c r="AP118" s="202"/>
      <c r="AQ118" s="202"/>
      <c r="AR118" s="202"/>
      <c r="AS118" s="202"/>
      <c r="AT118" s="202"/>
      <c r="AU118" s="202"/>
      <c r="AV118" s="202"/>
      <c r="AW118" s="202"/>
      <c r="AX118" s="202"/>
      <c r="AY118" s="202"/>
      <c r="AZ118" s="202"/>
      <c r="BA118" s="202"/>
      <c r="BB118" s="202"/>
      <c r="BC118" s="202"/>
      <c r="BD118" s="202"/>
      <c r="BE118" s="202"/>
      <c r="BF118" s="202"/>
      <c r="BG118" s="202"/>
      <c r="BH118" s="202"/>
      <c r="BI118" s="202"/>
      <c r="BJ118" s="202"/>
      <c r="BK118" s="202"/>
      <c r="BL118" s="202"/>
      <c r="BM118" s="202"/>
      <c r="BN118" s="202"/>
      <c r="BO118" s="202"/>
      <c r="BP118" s="202"/>
      <c r="BQ118" s="202"/>
      <c r="BR118" s="202"/>
      <c r="BS118" s="202"/>
      <c r="BT118" s="202"/>
      <c r="BU118" s="202"/>
      <c r="BV118" s="202"/>
      <c r="BW118" s="202"/>
      <c r="BX118" s="202"/>
      <c r="BY118" s="202"/>
      <c r="BZ118" s="202"/>
      <c r="CA118" s="202"/>
      <c r="CB118" s="202"/>
      <c r="CC118" s="202"/>
      <c r="CD118" s="202"/>
      <c r="CE118" s="202"/>
      <c r="CF118" s="202"/>
      <c r="CG118" s="202"/>
      <c r="CH118" s="202"/>
      <c r="CI118" s="202"/>
      <c r="CJ118" s="202"/>
      <c r="CK118" s="202"/>
      <c r="CL118" s="202"/>
      <c r="CM118" s="202"/>
      <c r="CN118" s="202"/>
      <c r="CO118" s="202"/>
      <c r="CP118" s="202"/>
      <c r="CQ118" s="202"/>
      <c r="CR118" s="202"/>
      <c r="CS118" s="202"/>
      <c r="CT118" s="202"/>
      <c r="CU118" s="202"/>
      <c r="CV118" s="202"/>
      <c r="CW118" s="202"/>
      <c r="CX118" s="202"/>
      <c r="CY118" s="202"/>
      <c r="CZ118" s="202"/>
      <c r="DA118" s="202"/>
      <c r="DB118" s="202"/>
      <c r="DC118" s="202"/>
      <c r="DD118" s="202"/>
      <c r="DE118" s="202"/>
      <c r="DF118" s="202">
        <v>5</v>
      </c>
    </row>
    <row r="119" spans="1:110">
      <c r="A119" s="205" t="s">
        <v>2157</v>
      </c>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c r="Y119" s="202"/>
      <c r="Z119" s="202"/>
      <c r="AA119" s="202"/>
      <c r="AB119" s="202"/>
      <c r="AC119" s="202"/>
      <c r="AD119" s="202"/>
      <c r="AE119" s="202"/>
      <c r="AF119" s="202"/>
      <c r="AG119" s="202"/>
      <c r="AH119" s="202"/>
      <c r="AI119" s="202"/>
      <c r="AJ119" s="202"/>
      <c r="AK119" s="202"/>
      <c r="AL119" s="202"/>
      <c r="AM119" s="202"/>
      <c r="AN119" s="202"/>
      <c r="AO119" s="202"/>
      <c r="AP119" s="202"/>
      <c r="AQ119" s="202"/>
      <c r="AR119" s="202"/>
      <c r="AS119" s="202"/>
      <c r="AT119" s="202"/>
      <c r="AU119" s="202"/>
      <c r="AV119" s="202"/>
      <c r="AW119" s="202"/>
      <c r="AX119" s="202"/>
      <c r="AY119" s="202"/>
      <c r="AZ119" s="202"/>
      <c r="BA119" s="202"/>
      <c r="BB119" s="202"/>
      <c r="BC119" s="202"/>
      <c r="BD119" s="202"/>
      <c r="BE119" s="202"/>
      <c r="BF119" s="202"/>
      <c r="BG119" s="202"/>
      <c r="BH119" s="202"/>
      <c r="BI119" s="202"/>
      <c r="BJ119" s="202"/>
      <c r="BK119" s="202"/>
      <c r="BL119" s="202"/>
      <c r="BM119" s="202"/>
      <c r="BN119" s="202">
        <v>1</v>
      </c>
      <c r="BO119" s="202"/>
      <c r="BP119" s="202"/>
      <c r="BQ119" s="202"/>
      <c r="BR119" s="202"/>
      <c r="BS119" s="202"/>
      <c r="BT119" s="202"/>
      <c r="BU119" s="202"/>
      <c r="BV119" s="202"/>
      <c r="BW119" s="202"/>
      <c r="BX119" s="202"/>
      <c r="BY119" s="202"/>
      <c r="BZ119" s="202"/>
      <c r="CA119" s="202"/>
      <c r="CB119" s="202"/>
      <c r="CC119" s="202"/>
      <c r="CD119" s="202"/>
      <c r="CE119" s="202"/>
      <c r="CF119" s="202"/>
      <c r="CG119" s="202"/>
      <c r="CH119" s="202"/>
      <c r="CI119" s="202"/>
      <c r="CJ119" s="202"/>
      <c r="CK119" s="202"/>
      <c r="CL119" s="202"/>
      <c r="CM119" s="202"/>
      <c r="CN119" s="202"/>
      <c r="CO119" s="202"/>
      <c r="CP119" s="202"/>
      <c r="CQ119" s="202"/>
      <c r="CR119" s="202"/>
      <c r="CS119" s="202"/>
      <c r="CT119" s="202"/>
      <c r="CU119" s="202"/>
      <c r="CV119" s="202"/>
      <c r="CW119" s="202"/>
      <c r="CX119" s="202"/>
      <c r="CY119" s="202"/>
      <c r="CZ119" s="202"/>
      <c r="DA119" s="202"/>
      <c r="DB119" s="202"/>
      <c r="DC119" s="202"/>
      <c r="DD119" s="202"/>
      <c r="DE119" s="202"/>
      <c r="DF119" s="202">
        <v>1</v>
      </c>
    </row>
    <row r="120" spans="1:110">
      <c r="A120" s="205" t="s">
        <v>2140</v>
      </c>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c r="AQ120" s="202"/>
      <c r="AR120" s="202"/>
      <c r="AS120" s="202"/>
      <c r="AT120" s="202"/>
      <c r="AU120" s="202"/>
      <c r="AV120" s="202"/>
      <c r="AW120" s="202"/>
      <c r="AX120" s="202"/>
      <c r="AY120" s="202"/>
      <c r="AZ120" s="202"/>
      <c r="BA120" s="202">
        <v>4</v>
      </c>
      <c r="BB120" s="202"/>
      <c r="BC120" s="202"/>
      <c r="BD120" s="202"/>
      <c r="BE120" s="202"/>
      <c r="BF120" s="202"/>
      <c r="BG120" s="202"/>
      <c r="BH120" s="202"/>
      <c r="BI120" s="202"/>
      <c r="BJ120" s="202"/>
      <c r="BK120" s="202"/>
      <c r="BL120" s="202"/>
      <c r="BM120" s="202"/>
      <c r="BN120" s="202"/>
      <c r="BO120" s="202"/>
      <c r="BP120" s="202"/>
      <c r="BQ120" s="202"/>
      <c r="BR120" s="202"/>
      <c r="BS120" s="202"/>
      <c r="BT120" s="202"/>
      <c r="BU120" s="202"/>
      <c r="BV120" s="202"/>
      <c r="BW120" s="202"/>
      <c r="BX120" s="202"/>
      <c r="BY120" s="202"/>
      <c r="BZ120" s="202"/>
      <c r="CA120" s="202"/>
      <c r="CB120" s="202"/>
      <c r="CC120" s="202"/>
      <c r="CD120" s="202"/>
      <c r="CE120" s="202"/>
      <c r="CF120" s="202"/>
      <c r="CG120" s="202"/>
      <c r="CH120" s="202"/>
      <c r="CI120" s="202"/>
      <c r="CJ120" s="202"/>
      <c r="CK120" s="202"/>
      <c r="CL120" s="202"/>
      <c r="CM120" s="202"/>
      <c r="CN120" s="202"/>
      <c r="CO120" s="202"/>
      <c r="CP120" s="202"/>
      <c r="CQ120" s="202"/>
      <c r="CR120" s="202"/>
      <c r="CS120" s="202"/>
      <c r="CT120" s="202"/>
      <c r="CU120" s="202"/>
      <c r="CV120" s="202"/>
      <c r="CW120" s="202"/>
      <c r="CX120" s="202"/>
      <c r="CY120" s="202"/>
      <c r="CZ120" s="202"/>
      <c r="DA120" s="202"/>
      <c r="DB120" s="202"/>
      <c r="DC120" s="202"/>
      <c r="DD120" s="202"/>
      <c r="DE120" s="202"/>
      <c r="DF120" s="202">
        <v>4</v>
      </c>
    </row>
    <row r="121" spans="1:110">
      <c r="A121" s="205" t="s">
        <v>2169</v>
      </c>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c r="AQ121" s="202"/>
      <c r="AR121" s="202"/>
      <c r="AS121" s="202"/>
      <c r="AT121" s="202"/>
      <c r="AU121" s="202"/>
      <c r="AV121" s="202"/>
      <c r="AW121" s="202"/>
      <c r="AX121" s="202"/>
      <c r="AY121" s="202"/>
      <c r="AZ121" s="202"/>
      <c r="BA121" s="202"/>
      <c r="BB121" s="202"/>
      <c r="BC121" s="202"/>
      <c r="BD121" s="202"/>
      <c r="BE121" s="202"/>
      <c r="BF121" s="202"/>
      <c r="BG121" s="202"/>
      <c r="BH121" s="202"/>
      <c r="BI121" s="202"/>
      <c r="BJ121" s="202"/>
      <c r="BK121" s="202"/>
      <c r="BL121" s="202"/>
      <c r="BM121" s="202"/>
      <c r="BN121" s="202"/>
      <c r="BO121" s="202"/>
      <c r="BP121" s="202"/>
      <c r="BQ121" s="202"/>
      <c r="BR121" s="202"/>
      <c r="BS121" s="202"/>
      <c r="BT121" s="202"/>
      <c r="BU121" s="202"/>
      <c r="BV121" s="202"/>
      <c r="BW121" s="202">
        <v>5</v>
      </c>
      <c r="BX121" s="202"/>
      <c r="BY121" s="202"/>
      <c r="BZ121" s="202"/>
      <c r="CA121" s="202"/>
      <c r="CB121" s="202"/>
      <c r="CC121" s="202"/>
      <c r="CD121" s="202"/>
      <c r="CE121" s="202"/>
      <c r="CF121" s="202"/>
      <c r="CG121" s="202"/>
      <c r="CH121" s="202"/>
      <c r="CI121" s="202"/>
      <c r="CJ121" s="202"/>
      <c r="CK121" s="202"/>
      <c r="CL121" s="202"/>
      <c r="CM121" s="202"/>
      <c r="CN121" s="202"/>
      <c r="CO121" s="202"/>
      <c r="CP121" s="202"/>
      <c r="CQ121" s="202"/>
      <c r="CR121" s="202"/>
      <c r="CS121" s="202"/>
      <c r="CT121" s="202"/>
      <c r="CU121" s="202"/>
      <c r="CV121" s="202"/>
      <c r="CW121" s="202"/>
      <c r="CX121" s="202"/>
      <c r="CY121" s="202"/>
      <c r="CZ121" s="202"/>
      <c r="DA121" s="202"/>
      <c r="DB121" s="202"/>
      <c r="DC121" s="202"/>
      <c r="DD121" s="202"/>
      <c r="DE121" s="202"/>
      <c r="DF121" s="202">
        <v>5</v>
      </c>
    </row>
    <row r="122" spans="1:110">
      <c r="A122" s="205" t="s">
        <v>3124</v>
      </c>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c r="AQ122" s="202"/>
      <c r="AR122" s="202"/>
      <c r="AS122" s="202"/>
      <c r="AT122" s="202"/>
      <c r="AU122" s="202"/>
      <c r="AV122" s="202"/>
      <c r="AW122" s="202"/>
      <c r="AX122" s="202"/>
      <c r="AY122" s="202"/>
      <c r="AZ122" s="202"/>
      <c r="BA122" s="202"/>
      <c r="BB122" s="202"/>
      <c r="BC122" s="202"/>
      <c r="BD122" s="202"/>
      <c r="BE122" s="202"/>
      <c r="BF122" s="202"/>
      <c r="BG122" s="202"/>
      <c r="BH122" s="202"/>
      <c r="BI122" s="202"/>
      <c r="BJ122" s="202"/>
      <c r="BK122" s="202"/>
      <c r="BL122" s="202"/>
      <c r="BM122" s="202"/>
      <c r="BN122" s="202"/>
      <c r="BO122" s="202"/>
      <c r="BP122" s="202"/>
      <c r="BQ122" s="202"/>
      <c r="BR122" s="202"/>
      <c r="BS122" s="202"/>
      <c r="BT122" s="202"/>
      <c r="BU122" s="202"/>
      <c r="BV122" s="202"/>
      <c r="BW122" s="202"/>
      <c r="BX122" s="202"/>
      <c r="BY122" s="202"/>
      <c r="BZ122" s="202"/>
      <c r="CA122" s="202"/>
      <c r="CB122" s="202"/>
      <c r="CC122" s="202"/>
      <c r="CD122" s="202"/>
      <c r="CE122" s="202"/>
      <c r="CF122" s="202"/>
      <c r="CG122" s="202"/>
      <c r="CH122" s="202"/>
      <c r="CI122" s="202"/>
      <c r="CJ122" s="202"/>
      <c r="CK122" s="202"/>
      <c r="CL122" s="202"/>
      <c r="CM122" s="202"/>
      <c r="CN122" s="202"/>
      <c r="CO122" s="202"/>
      <c r="CP122" s="202"/>
      <c r="CQ122" s="202"/>
      <c r="CR122" s="202"/>
      <c r="CS122" s="202"/>
      <c r="CT122" s="202"/>
      <c r="CU122" s="202"/>
      <c r="CV122" s="202"/>
      <c r="CW122" s="202"/>
      <c r="CX122" s="202"/>
      <c r="CY122" s="202"/>
      <c r="CZ122" s="202"/>
      <c r="DA122" s="202"/>
      <c r="DB122" s="202"/>
      <c r="DC122" s="202"/>
      <c r="DD122" s="202"/>
      <c r="DE122" s="202">
        <v>2</v>
      </c>
      <c r="DF122" s="202">
        <v>2</v>
      </c>
    </row>
    <row r="123" spans="1:110">
      <c r="A123" s="205" t="s">
        <v>2036</v>
      </c>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c r="Y123" s="202"/>
      <c r="Z123" s="202"/>
      <c r="AA123" s="202"/>
      <c r="AB123" s="202"/>
      <c r="AC123" s="202"/>
      <c r="AD123" s="202"/>
      <c r="AE123" s="202"/>
      <c r="AF123" s="202"/>
      <c r="AG123" s="202"/>
      <c r="AH123" s="202"/>
      <c r="AI123" s="202"/>
      <c r="AJ123" s="202"/>
      <c r="AK123" s="202"/>
      <c r="AL123" s="202"/>
      <c r="AM123" s="202"/>
      <c r="AN123" s="202"/>
      <c r="AO123" s="202"/>
      <c r="AP123" s="202"/>
      <c r="AQ123" s="202"/>
      <c r="AR123" s="202"/>
      <c r="AS123" s="202"/>
      <c r="AT123" s="202"/>
      <c r="AU123" s="202"/>
      <c r="AV123" s="202"/>
      <c r="AW123" s="202"/>
      <c r="AX123" s="202"/>
      <c r="AY123" s="202"/>
      <c r="AZ123" s="202"/>
      <c r="BA123" s="202"/>
      <c r="BB123" s="202"/>
      <c r="BC123" s="202"/>
      <c r="BD123" s="202"/>
      <c r="BE123" s="202"/>
      <c r="BF123" s="202"/>
      <c r="BG123" s="202"/>
      <c r="BH123" s="202"/>
      <c r="BI123" s="202"/>
      <c r="BJ123" s="202"/>
      <c r="BK123" s="202"/>
      <c r="BL123" s="202"/>
      <c r="BM123" s="202"/>
      <c r="BN123" s="202"/>
      <c r="BO123" s="202"/>
      <c r="BP123" s="202"/>
      <c r="BQ123" s="202"/>
      <c r="BR123" s="202"/>
      <c r="BS123" s="202"/>
      <c r="BT123" s="202"/>
      <c r="BU123" s="202"/>
      <c r="BV123" s="202"/>
      <c r="BW123" s="202"/>
      <c r="BX123" s="202"/>
      <c r="BY123" s="202"/>
      <c r="BZ123" s="202"/>
      <c r="CA123" s="202"/>
      <c r="CB123" s="202"/>
      <c r="CC123" s="202"/>
      <c r="CD123" s="202"/>
      <c r="CE123" s="202"/>
      <c r="CF123" s="202"/>
      <c r="CG123" s="202"/>
      <c r="CH123" s="202"/>
      <c r="CI123" s="202"/>
      <c r="CJ123" s="202"/>
      <c r="CK123" s="202"/>
      <c r="CL123" s="202"/>
      <c r="CM123" s="202"/>
      <c r="CN123" s="202"/>
      <c r="CO123" s="202"/>
      <c r="CP123" s="202"/>
      <c r="CQ123" s="202"/>
      <c r="CR123" s="202"/>
      <c r="CS123" s="202"/>
      <c r="CT123" s="202"/>
      <c r="CU123" s="202"/>
      <c r="CV123" s="202"/>
      <c r="CW123" s="202"/>
      <c r="CX123" s="202">
        <v>1</v>
      </c>
      <c r="CY123" s="202"/>
      <c r="CZ123" s="202"/>
      <c r="DA123" s="202"/>
      <c r="DB123" s="202"/>
      <c r="DC123" s="202"/>
      <c r="DD123" s="202"/>
      <c r="DE123" s="202"/>
      <c r="DF123" s="202">
        <v>1</v>
      </c>
    </row>
    <row r="124" spans="1:110">
      <c r="A124" s="205" t="s">
        <v>2029</v>
      </c>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c r="Y124" s="202"/>
      <c r="Z124" s="202">
        <v>5</v>
      </c>
      <c r="AA124" s="202"/>
      <c r="AB124" s="202"/>
      <c r="AC124" s="202"/>
      <c r="AD124" s="202"/>
      <c r="AE124" s="202"/>
      <c r="AF124" s="202"/>
      <c r="AG124" s="202"/>
      <c r="AH124" s="202"/>
      <c r="AI124" s="202"/>
      <c r="AJ124" s="202"/>
      <c r="AK124" s="202"/>
      <c r="AL124" s="202"/>
      <c r="AM124" s="202"/>
      <c r="AN124" s="202"/>
      <c r="AO124" s="202"/>
      <c r="AP124" s="202"/>
      <c r="AQ124" s="202"/>
      <c r="AR124" s="202"/>
      <c r="AS124" s="202"/>
      <c r="AT124" s="202"/>
      <c r="AU124" s="202"/>
      <c r="AV124" s="202"/>
      <c r="AW124" s="202"/>
      <c r="AX124" s="202"/>
      <c r="AY124" s="202"/>
      <c r="AZ124" s="202"/>
      <c r="BA124" s="202"/>
      <c r="BB124" s="202"/>
      <c r="BC124" s="202"/>
      <c r="BD124" s="202"/>
      <c r="BE124" s="202"/>
      <c r="BF124" s="202"/>
      <c r="BG124" s="202"/>
      <c r="BH124" s="202"/>
      <c r="BI124" s="202"/>
      <c r="BJ124" s="202"/>
      <c r="BK124" s="202"/>
      <c r="BL124" s="202"/>
      <c r="BM124" s="202"/>
      <c r="BN124" s="202"/>
      <c r="BO124" s="202"/>
      <c r="BP124" s="202"/>
      <c r="BQ124" s="202"/>
      <c r="BR124" s="202"/>
      <c r="BS124" s="202"/>
      <c r="BT124" s="202"/>
      <c r="BU124" s="202"/>
      <c r="BV124" s="202"/>
      <c r="BW124" s="202"/>
      <c r="BX124" s="202"/>
      <c r="BY124" s="202"/>
      <c r="BZ124" s="202"/>
      <c r="CA124" s="202"/>
      <c r="CB124" s="202"/>
      <c r="CC124" s="202"/>
      <c r="CD124" s="202"/>
      <c r="CE124" s="202"/>
      <c r="CF124" s="202"/>
      <c r="CG124" s="202"/>
      <c r="CH124" s="202"/>
      <c r="CI124" s="202"/>
      <c r="CJ124" s="202"/>
      <c r="CK124" s="202"/>
      <c r="CL124" s="202"/>
      <c r="CM124" s="202"/>
      <c r="CN124" s="202"/>
      <c r="CO124" s="202"/>
      <c r="CP124" s="202"/>
      <c r="CQ124" s="202"/>
      <c r="CR124" s="202"/>
      <c r="CS124" s="202"/>
      <c r="CT124" s="202"/>
      <c r="CU124" s="202"/>
      <c r="CV124" s="202"/>
      <c r="CW124" s="202"/>
      <c r="CX124" s="202"/>
      <c r="CY124" s="202"/>
      <c r="CZ124" s="202"/>
      <c r="DA124" s="202"/>
      <c r="DB124" s="202"/>
      <c r="DC124" s="202"/>
      <c r="DD124" s="202"/>
      <c r="DE124" s="202"/>
      <c r="DF124" s="202">
        <v>5</v>
      </c>
    </row>
    <row r="125" spans="1:110">
      <c r="A125" s="205" t="s">
        <v>2052</v>
      </c>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c r="Y125" s="202"/>
      <c r="Z125" s="202"/>
      <c r="AA125" s="202"/>
      <c r="AB125" s="202"/>
      <c r="AC125" s="202"/>
      <c r="AD125" s="202">
        <v>1</v>
      </c>
      <c r="AE125" s="202"/>
      <c r="AF125" s="202"/>
      <c r="AG125" s="202"/>
      <c r="AH125" s="202"/>
      <c r="AI125" s="202"/>
      <c r="AJ125" s="202"/>
      <c r="AK125" s="202"/>
      <c r="AL125" s="202"/>
      <c r="AM125" s="202"/>
      <c r="AN125" s="202"/>
      <c r="AO125" s="202"/>
      <c r="AP125" s="202"/>
      <c r="AQ125" s="202"/>
      <c r="AR125" s="202"/>
      <c r="AS125" s="202"/>
      <c r="AT125" s="202"/>
      <c r="AU125" s="202"/>
      <c r="AV125" s="202"/>
      <c r="AW125" s="202"/>
      <c r="AX125" s="202"/>
      <c r="AY125" s="202"/>
      <c r="AZ125" s="202"/>
      <c r="BA125" s="202"/>
      <c r="BB125" s="202"/>
      <c r="BC125" s="202"/>
      <c r="BD125" s="202"/>
      <c r="BE125" s="202"/>
      <c r="BF125" s="202"/>
      <c r="BG125" s="202"/>
      <c r="BH125" s="202"/>
      <c r="BI125" s="202"/>
      <c r="BJ125" s="202"/>
      <c r="BK125" s="202"/>
      <c r="BL125" s="202"/>
      <c r="BM125" s="202"/>
      <c r="BN125" s="202"/>
      <c r="BO125" s="202"/>
      <c r="BP125" s="202"/>
      <c r="BQ125" s="202"/>
      <c r="BR125" s="202"/>
      <c r="BS125" s="202"/>
      <c r="BT125" s="202"/>
      <c r="BU125" s="202"/>
      <c r="BV125" s="202"/>
      <c r="BW125" s="202"/>
      <c r="BX125" s="202"/>
      <c r="BY125" s="202"/>
      <c r="BZ125" s="202"/>
      <c r="CA125" s="202"/>
      <c r="CB125" s="202"/>
      <c r="CC125" s="202"/>
      <c r="CD125" s="202"/>
      <c r="CE125" s="202"/>
      <c r="CF125" s="202"/>
      <c r="CG125" s="202"/>
      <c r="CH125" s="202"/>
      <c r="CI125" s="202"/>
      <c r="CJ125" s="202"/>
      <c r="CK125" s="202"/>
      <c r="CL125" s="202"/>
      <c r="CM125" s="202"/>
      <c r="CN125" s="202"/>
      <c r="CO125" s="202"/>
      <c r="CP125" s="202"/>
      <c r="CQ125" s="202"/>
      <c r="CR125" s="202"/>
      <c r="CS125" s="202"/>
      <c r="CT125" s="202"/>
      <c r="CU125" s="202"/>
      <c r="CV125" s="202"/>
      <c r="CW125" s="202"/>
      <c r="CX125" s="202"/>
      <c r="CY125" s="202"/>
      <c r="CZ125" s="202"/>
      <c r="DA125" s="202"/>
      <c r="DB125" s="202"/>
      <c r="DC125" s="202"/>
      <c r="DD125" s="202"/>
      <c r="DE125" s="202"/>
      <c r="DF125" s="202">
        <v>1</v>
      </c>
    </row>
    <row r="126" spans="1:110">
      <c r="A126" s="205" t="s">
        <v>2147</v>
      </c>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c r="AQ126" s="202"/>
      <c r="AR126" s="202"/>
      <c r="AS126" s="202"/>
      <c r="AT126" s="202"/>
      <c r="AU126" s="202"/>
      <c r="AV126" s="202"/>
      <c r="AW126" s="202"/>
      <c r="AX126" s="202"/>
      <c r="AY126" s="202"/>
      <c r="AZ126" s="202"/>
      <c r="BA126" s="202"/>
      <c r="BB126" s="202"/>
      <c r="BC126" s="202"/>
      <c r="BD126" s="202"/>
      <c r="BE126" s="202"/>
      <c r="BF126" s="202"/>
      <c r="BG126" s="202"/>
      <c r="BH126" s="202"/>
      <c r="BI126" s="202"/>
      <c r="BJ126" s="202"/>
      <c r="BK126" s="202"/>
      <c r="BL126" s="202"/>
      <c r="BM126" s="202"/>
      <c r="BN126" s="202"/>
      <c r="BO126" s="202"/>
      <c r="BP126" s="202"/>
      <c r="BQ126" s="202"/>
      <c r="BR126" s="202"/>
      <c r="BS126" s="202"/>
      <c r="BT126" s="202"/>
      <c r="BU126" s="202"/>
      <c r="BV126" s="202"/>
      <c r="BW126" s="202"/>
      <c r="BX126" s="202"/>
      <c r="BY126" s="202"/>
      <c r="BZ126" s="202"/>
      <c r="CA126" s="202">
        <v>5</v>
      </c>
      <c r="CB126" s="202"/>
      <c r="CC126" s="202"/>
      <c r="CD126" s="202"/>
      <c r="CE126" s="202"/>
      <c r="CF126" s="202"/>
      <c r="CG126" s="202"/>
      <c r="CH126" s="202"/>
      <c r="CI126" s="202"/>
      <c r="CJ126" s="202"/>
      <c r="CK126" s="202"/>
      <c r="CL126" s="202"/>
      <c r="CM126" s="202"/>
      <c r="CN126" s="202"/>
      <c r="CO126" s="202"/>
      <c r="CP126" s="202"/>
      <c r="CQ126" s="202"/>
      <c r="CR126" s="202"/>
      <c r="CS126" s="202"/>
      <c r="CT126" s="202"/>
      <c r="CU126" s="202"/>
      <c r="CV126" s="202"/>
      <c r="CW126" s="202"/>
      <c r="CX126" s="202"/>
      <c r="CY126" s="202"/>
      <c r="CZ126" s="202"/>
      <c r="DA126" s="202"/>
      <c r="DB126" s="202"/>
      <c r="DC126" s="202"/>
      <c r="DD126" s="202"/>
      <c r="DE126" s="202"/>
      <c r="DF126" s="202">
        <v>5</v>
      </c>
    </row>
    <row r="127" spans="1:110">
      <c r="A127" s="205" t="s">
        <v>2141</v>
      </c>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c r="AQ127" s="202"/>
      <c r="AR127" s="202"/>
      <c r="AS127" s="202"/>
      <c r="AT127" s="202"/>
      <c r="AU127" s="202"/>
      <c r="AV127" s="202"/>
      <c r="AW127" s="202"/>
      <c r="AX127" s="202"/>
      <c r="AY127" s="202"/>
      <c r="AZ127" s="202"/>
      <c r="BA127" s="202"/>
      <c r="BB127" s="202"/>
      <c r="BC127" s="202"/>
      <c r="BD127" s="202"/>
      <c r="BE127" s="202"/>
      <c r="BF127" s="202"/>
      <c r="BG127" s="202"/>
      <c r="BH127" s="202"/>
      <c r="BI127" s="202"/>
      <c r="BJ127" s="202"/>
      <c r="BK127" s="202"/>
      <c r="BL127" s="202"/>
      <c r="BM127" s="202"/>
      <c r="BN127" s="202"/>
      <c r="BO127" s="202"/>
      <c r="BP127" s="202"/>
      <c r="BQ127" s="202"/>
      <c r="BR127" s="202"/>
      <c r="BS127" s="202"/>
      <c r="BT127" s="202"/>
      <c r="BU127" s="202"/>
      <c r="BV127" s="202"/>
      <c r="BW127" s="202"/>
      <c r="BX127" s="202"/>
      <c r="BY127" s="202"/>
      <c r="BZ127" s="202"/>
      <c r="CA127" s="202"/>
      <c r="CB127" s="202"/>
      <c r="CC127" s="202"/>
      <c r="CD127" s="202"/>
      <c r="CE127" s="202"/>
      <c r="CF127" s="202"/>
      <c r="CG127" s="202"/>
      <c r="CH127" s="202"/>
      <c r="CI127" s="202"/>
      <c r="CJ127" s="202"/>
      <c r="CK127" s="202"/>
      <c r="CL127" s="202">
        <v>4</v>
      </c>
      <c r="CM127" s="202"/>
      <c r="CN127" s="202"/>
      <c r="CO127" s="202"/>
      <c r="CP127" s="202"/>
      <c r="CQ127" s="202"/>
      <c r="CR127" s="202"/>
      <c r="CS127" s="202"/>
      <c r="CT127" s="202"/>
      <c r="CU127" s="202"/>
      <c r="CV127" s="202"/>
      <c r="CW127" s="202"/>
      <c r="CX127" s="202"/>
      <c r="CY127" s="202"/>
      <c r="CZ127" s="202"/>
      <c r="DA127" s="202"/>
      <c r="DB127" s="202"/>
      <c r="DC127" s="202"/>
      <c r="DD127" s="202"/>
      <c r="DE127" s="202"/>
      <c r="DF127" s="202">
        <v>4</v>
      </c>
    </row>
    <row r="128" spans="1:110">
      <c r="A128" s="205" t="s">
        <v>2042</v>
      </c>
      <c r="B128" s="202"/>
      <c r="C128" s="202"/>
      <c r="D128" s="202"/>
      <c r="E128" s="202"/>
      <c r="F128" s="202"/>
      <c r="G128" s="202"/>
      <c r="H128" s="202"/>
      <c r="I128" s="202"/>
      <c r="J128" s="202">
        <v>4</v>
      </c>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c r="AQ128" s="202"/>
      <c r="AR128" s="202"/>
      <c r="AS128" s="202"/>
      <c r="AT128" s="202"/>
      <c r="AU128" s="202"/>
      <c r="AV128" s="202"/>
      <c r="AW128" s="202"/>
      <c r="AX128" s="202"/>
      <c r="AY128" s="202"/>
      <c r="AZ128" s="202"/>
      <c r="BA128" s="202"/>
      <c r="BB128" s="202"/>
      <c r="BC128" s="202"/>
      <c r="BD128" s="202"/>
      <c r="BE128" s="202"/>
      <c r="BF128" s="202"/>
      <c r="BG128" s="202"/>
      <c r="BH128" s="202"/>
      <c r="BI128" s="202"/>
      <c r="BJ128" s="202"/>
      <c r="BK128" s="202"/>
      <c r="BL128" s="202"/>
      <c r="BM128" s="202"/>
      <c r="BN128" s="202"/>
      <c r="BO128" s="202"/>
      <c r="BP128" s="202"/>
      <c r="BQ128" s="202"/>
      <c r="BR128" s="202"/>
      <c r="BS128" s="202"/>
      <c r="BT128" s="202"/>
      <c r="BU128" s="202"/>
      <c r="BV128" s="202"/>
      <c r="BW128" s="202"/>
      <c r="BX128" s="202"/>
      <c r="BY128" s="202"/>
      <c r="BZ128" s="202"/>
      <c r="CA128" s="202"/>
      <c r="CB128" s="202"/>
      <c r="CC128" s="202"/>
      <c r="CD128" s="202"/>
      <c r="CE128" s="202"/>
      <c r="CF128" s="202"/>
      <c r="CG128" s="202"/>
      <c r="CH128" s="202"/>
      <c r="CI128" s="202"/>
      <c r="CJ128" s="202"/>
      <c r="CK128" s="202"/>
      <c r="CL128" s="202"/>
      <c r="CM128" s="202"/>
      <c r="CN128" s="202"/>
      <c r="CO128" s="202"/>
      <c r="CP128" s="202"/>
      <c r="CQ128" s="202"/>
      <c r="CR128" s="202"/>
      <c r="CS128" s="202"/>
      <c r="CT128" s="202"/>
      <c r="CU128" s="202"/>
      <c r="CV128" s="202"/>
      <c r="CW128" s="202"/>
      <c r="CX128" s="202"/>
      <c r="CY128" s="202"/>
      <c r="CZ128" s="202"/>
      <c r="DA128" s="202"/>
      <c r="DB128" s="202"/>
      <c r="DC128" s="202"/>
      <c r="DD128" s="202"/>
      <c r="DE128" s="202"/>
      <c r="DF128" s="202">
        <v>4</v>
      </c>
    </row>
    <row r="129" spans="1:110">
      <c r="A129" s="205" t="s">
        <v>2040</v>
      </c>
      <c r="B129" s="202"/>
      <c r="C129" s="202"/>
      <c r="D129" s="202"/>
      <c r="E129" s="202"/>
      <c r="F129" s="202"/>
      <c r="G129" s="202"/>
      <c r="H129" s="202"/>
      <c r="I129" s="202"/>
      <c r="J129" s="202"/>
      <c r="K129" s="202"/>
      <c r="L129" s="202"/>
      <c r="M129" s="202"/>
      <c r="N129" s="202"/>
      <c r="O129" s="202"/>
      <c r="P129" s="202">
        <v>5</v>
      </c>
      <c r="Q129" s="202"/>
      <c r="R129" s="202"/>
      <c r="S129" s="202"/>
      <c r="T129" s="202"/>
      <c r="U129" s="202"/>
      <c r="V129" s="202"/>
      <c r="W129" s="202"/>
      <c r="X129" s="202"/>
      <c r="Y129" s="202"/>
      <c r="Z129" s="202"/>
      <c r="AA129" s="202"/>
      <c r="AB129" s="202"/>
      <c r="AC129" s="202"/>
      <c r="AD129" s="202"/>
      <c r="AE129" s="202"/>
      <c r="AF129" s="202"/>
      <c r="AG129" s="202"/>
      <c r="AH129" s="202"/>
      <c r="AI129" s="202"/>
      <c r="AJ129" s="202"/>
      <c r="AK129" s="202"/>
      <c r="AL129" s="202"/>
      <c r="AM129" s="202"/>
      <c r="AN129" s="202"/>
      <c r="AO129" s="202"/>
      <c r="AP129" s="202"/>
      <c r="AQ129" s="202"/>
      <c r="AR129" s="202"/>
      <c r="AS129" s="202"/>
      <c r="AT129" s="202"/>
      <c r="AU129" s="202"/>
      <c r="AV129" s="202"/>
      <c r="AW129" s="202"/>
      <c r="AX129" s="202"/>
      <c r="AY129" s="202"/>
      <c r="AZ129" s="202"/>
      <c r="BA129" s="202"/>
      <c r="BB129" s="202"/>
      <c r="BC129" s="202"/>
      <c r="BD129" s="202"/>
      <c r="BE129" s="202"/>
      <c r="BF129" s="202"/>
      <c r="BG129" s="202"/>
      <c r="BH129" s="202"/>
      <c r="BI129" s="202"/>
      <c r="BJ129" s="202"/>
      <c r="BK129" s="202"/>
      <c r="BL129" s="202"/>
      <c r="BM129" s="202"/>
      <c r="BN129" s="202"/>
      <c r="BO129" s="202"/>
      <c r="BP129" s="202"/>
      <c r="BQ129" s="202"/>
      <c r="BR129" s="202"/>
      <c r="BS129" s="202"/>
      <c r="BT129" s="202"/>
      <c r="BU129" s="202"/>
      <c r="BV129" s="202"/>
      <c r="BW129" s="202"/>
      <c r="BX129" s="202"/>
      <c r="BY129" s="202"/>
      <c r="BZ129" s="202"/>
      <c r="CA129" s="202"/>
      <c r="CB129" s="202"/>
      <c r="CC129" s="202"/>
      <c r="CD129" s="202"/>
      <c r="CE129" s="202"/>
      <c r="CF129" s="202"/>
      <c r="CG129" s="202"/>
      <c r="CH129" s="202"/>
      <c r="CI129" s="202"/>
      <c r="CJ129" s="202"/>
      <c r="CK129" s="202"/>
      <c r="CL129" s="202"/>
      <c r="CM129" s="202"/>
      <c r="CN129" s="202"/>
      <c r="CO129" s="202"/>
      <c r="CP129" s="202"/>
      <c r="CQ129" s="202"/>
      <c r="CR129" s="202"/>
      <c r="CS129" s="202"/>
      <c r="CT129" s="202"/>
      <c r="CU129" s="202"/>
      <c r="CV129" s="202"/>
      <c r="CW129" s="202"/>
      <c r="CX129" s="202"/>
      <c r="CY129" s="202"/>
      <c r="CZ129" s="202"/>
      <c r="DA129" s="202"/>
      <c r="DB129" s="202"/>
      <c r="DC129" s="202"/>
      <c r="DD129" s="202"/>
      <c r="DE129" s="202"/>
      <c r="DF129" s="202">
        <v>5</v>
      </c>
    </row>
    <row r="130" spans="1:110">
      <c r="A130" s="205" t="s">
        <v>3413</v>
      </c>
      <c r="B130" s="202"/>
      <c r="C130" s="202"/>
      <c r="D130" s="202"/>
      <c r="E130" s="202"/>
      <c r="F130" s="202"/>
      <c r="G130" s="202"/>
      <c r="H130" s="202"/>
      <c r="I130" s="202"/>
      <c r="J130" s="202"/>
      <c r="K130" s="202"/>
      <c r="L130" s="202"/>
      <c r="M130" s="202"/>
      <c r="N130" s="202"/>
      <c r="O130" s="202">
        <v>4</v>
      </c>
      <c r="P130" s="202"/>
      <c r="Q130" s="202"/>
      <c r="R130" s="202"/>
      <c r="S130" s="202"/>
      <c r="T130" s="202"/>
      <c r="U130" s="202"/>
      <c r="V130" s="202"/>
      <c r="W130" s="202"/>
      <c r="X130" s="202"/>
      <c r="Y130" s="202"/>
      <c r="Z130" s="202"/>
      <c r="AA130" s="202"/>
      <c r="AB130" s="202"/>
      <c r="AC130" s="202"/>
      <c r="AD130" s="202"/>
      <c r="AE130" s="202"/>
      <c r="AF130" s="202"/>
      <c r="AG130" s="202"/>
      <c r="AH130" s="202"/>
      <c r="AI130" s="202"/>
      <c r="AJ130" s="202"/>
      <c r="AK130" s="202"/>
      <c r="AL130" s="202"/>
      <c r="AM130" s="202"/>
      <c r="AN130" s="202"/>
      <c r="AO130" s="202"/>
      <c r="AP130" s="202"/>
      <c r="AQ130" s="202"/>
      <c r="AR130" s="202"/>
      <c r="AS130" s="202"/>
      <c r="AT130" s="202"/>
      <c r="AU130" s="202"/>
      <c r="AV130" s="202"/>
      <c r="AW130" s="202"/>
      <c r="AX130" s="202"/>
      <c r="AY130" s="202"/>
      <c r="AZ130" s="202"/>
      <c r="BA130" s="202"/>
      <c r="BB130" s="202"/>
      <c r="BC130" s="202"/>
      <c r="BD130" s="202"/>
      <c r="BE130" s="202"/>
      <c r="BF130" s="202"/>
      <c r="BG130" s="202"/>
      <c r="BH130" s="202"/>
      <c r="BI130" s="202"/>
      <c r="BJ130" s="202"/>
      <c r="BK130" s="202"/>
      <c r="BL130" s="202"/>
      <c r="BM130" s="202"/>
      <c r="BN130" s="202"/>
      <c r="BO130" s="202"/>
      <c r="BP130" s="202"/>
      <c r="BQ130" s="202"/>
      <c r="BR130" s="202"/>
      <c r="BS130" s="202"/>
      <c r="BT130" s="202"/>
      <c r="BU130" s="202"/>
      <c r="BV130" s="202"/>
      <c r="BW130" s="202"/>
      <c r="BX130" s="202"/>
      <c r="BY130" s="202"/>
      <c r="BZ130" s="202"/>
      <c r="CA130" s="202">
        <v>1</v>
      </c>
      <c r="CB130" s="202"/>
      <c r="CC130" s="202"/>
      <c r="CD130" s="202"/>
      <c r="CE130" s="202"/>
      <c r="CF130" s="202"/>
      <c r="CG130" s="202"/>
      <c r="CH130" s="202"/>
      <c r="CI130" s="202"/>
      <c r="CJ130" s="202"/>
      <c r="CK130" s="202"/>
      <c r="CL130" s="202"/>
      <c r="CM130" s="202"/>
      <c r="CN130" s="202"/>
      <c r="CO130" s="202"/>
      <c r="CP130" s="202"/>
      <c r="CQ130" s="202"/>
      <c r="CR130" s="202"/>
      <c r="CS130" s="202"/>
      <c r="CT130" s="202"/>
      <c r="CU130" s="202"/>
      <c r="CV130" s="202"/>
      <c r="CW130" s="202"/>
      <c r="CX130" s="202"/>
      <c r="CY130" s="202"/>
      <c r="CZ130" s="202"/>
      <c r="DA130" s="202"/>
      <c r="DB130" s="202"/>
      <c r="DC130" s="202"/>
      <c r="DD130" s="202"/>
      <c r="DE130" s="202"/>
      <c r="DF130" s="202">
        <v>5</v>
      </c>
    </row>
    <row r="131" spans="1:110">
      <c r="A131" s="205" t="s">
        <v>2244</v>
      </c>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c r="AA131" s="202"/>
      <c r="AB131" s="202"/>
      <c r="AC131" s="202"/>
      <c r="AD131" s="202"/>
      <c r="AE131" s="202"/>
      <c r="AF131" s="202"/>
      <c r="AG131" s="202"/>
      <c r="AH131" s="202"/>
      <c r="AI131" s="202"/>
      <c r="AJ131" s="202"/>
      <c r="AK131" s="202"/>
      <c r="AL131" s="202"/>
      <c r="AM131" s="202"/>
      <c r="AN131" s="202"/>
      <c r="AO131" s="202"/>
      <c r="AP131" s="202"/>
      <c r="AQ131" s="202"/>
      <c r="AR131" s="202"/>
      <c r="AS131" s="202"/>
      <c r="AT131" s="202"/>
      <c r="AU131" s="202"/>
      <c r="AV131" s="202"/>
      <c r="AW131" s="202"/>
      <c r="AX131" s="202"/>
      <c r="AY131" s="202"/>
      <c r="AZ131" s="202"/>
      <c r="BA131" s="202"/>
      <c r="BB131" s="202"/>
      <c r="BC131" s="202"/>
      <c r="BD131" s="202"/>
      <c r="BE131" s="202"/>
      <c r="BF131" s="202"/>
      <c r="BG131" s="202"/>
      <c r="BH131" s="202"/>
      <c r="BI131" s="202"/>
      <c r="BJ131" s="202"/>
      <c r="BK131" s="202"/>
      <c r="BL131" s="202"/>
      <c r="BM131" s="202"/>
      <c r="BN131" s="202"/>
      <c r="BO131" s="202"/>
      <c r="BP131" s="202"/>
      <c r="BQ131" s="202"/>
      <c r="BR131" s="202"/>
      <c r="BS131" s="202"/>
      <c r="BT131" s="202"/>
      <c r="BU131" s="202"/>
      <c r="BV131" s="202"/>
      <c r="BW131" s="202"/>
      <c r="BX131" s="202"/>
      <c r="BY131" s="202"/>
      <c r="BZ131" s="202"/>
      <c r="CA131" s="202"/>
      <c r="CB131" s="202"/>
      <c r="CC131" s="202"/>
      <c r="CD131" s="202"/>
      <c r="CE131" s="202"/>
      <c r="CF131" s="202"/>
      <c r="CG131" s="202"/>
      <c r="CH131" s="202"/>
      <c r="CI131" s="202"/>
      <c r="CJ131" s="202"/>
      <c r="CK131" s="202"/>
      <c r="CL131" s="202"/>
      <c r="CM131" s="202"/>
      <c r="CN131" s="202"/>
      <c r="CO131" s="202"/>
      <c r="CP131" s="202"/>
      <c r="CQ131" s="202"/>
      <c r="CR131" s="202"/>
      <c r="CS131" s="202"/>
      <c r="CT131" s="202"/>
      <c r="CU131" s="202"/>
      <c r="CV131" s="202"/>
      <c r="CW131" s="202"/>
      <c r="CX131" s="202"/>
      <c r="CY131" s="202"/>
      <c r="CZ131" s="202"/>
      <c r="DA131" s="202"/>
      <c r="DB131" s="202"/>
      <c r="DC131" s="202"/>
      <c r="DD131" s="202"/>
      <c r="DE131" s="202">
        <v>2</v>
      </c>
      <c r="DF131" s="202">
        <v>2</v>
      </c>
    </row>
    <row r="132" spans="1:110">
      <c r="A132" s="205" t="s">
        <v>2041</v>
      </c>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c r="AQ132" s="202"/>
      <c r="AR132" s="202"/>
      <c r="AS132" s="202"/>
      <c r="AT132" s="202"/>
      <c r="AU132" s="202"/>
      <c r="AV132" s="202"/>
      <c r="AW132" s="202"/>
      <c r="AX132" s="202"/>
      <c r="AY132" s="202"/>
      <c r="AZ132" s="202">
        <v>5</v>
      </c>
      <c r="BA132" s="202"/>
      <c r="BB132" s="202"/>
      <c r="BC132" s="202"/>
      <c r="BD132" s="202"/>
      <c r="BE132" s="202"/>
      <c r="BF132" s="202"/>
      <c r="BG132" s="202"/>
      <c r="BH132" s="202"/>
      <c r="BI132" s="202"/>
      <c r="BJ132" s="202"/>
      <c r="BK132" s="202"/>
      <c r="BL132" s="202"/>
      <c r="BM132" s="202"/>
      <c r="BN132" s="202"/>
      <c r="BO132" s="202"/>
      <c r="BP132" s="202"/>
      <c r="BQ132" s="202"/>
      <c r="BR132" s="202"/>
      <c r="BS132" s="202"/>
      <c r="BT132" s="202"/>
      <c r="BU132" s="202"/>
      <c r="BV132" s="202"/>
      <c r="BW132" s="202"/>
      <c r="BX132" s="202"/>
      <c r="BY132" s="202"/>
      <c r="BZ132" s="202"/>
      <c r="CA132" s="202"/>
      <c r="CB132" s="202"/>
      <c r="CC132" s="202"/>
      <c r="CD132" s="202"/>
      <c r="CE132" s="202"/>
      <c r="CF132" s="202"/>
      <c r="CG132" s="202"/>
      <c r="CH132" s="202"/>
      <c r="CI132" s="202"/>
      <c r="CJ132" s="202"/>
      <c r="CK132" s="202"/>
      <c r="CL132" s="202"/>
      <c r="CM132" s="202"/>
      <c r="CN132" s="202"/>
      <c r="CO132" s="202"/>
      <c r="CP132" s="202"/>
      <c r="CQ132" s="202"/>
      <c r="CR132" s="202"/>
      <c r="CS132" s="202"/>
      <c r="CT132" s="202"/>
      <c r="CU132" s="202"/>
      <c r="CV132" s="202"/>
      <c r="CW132" s="202"/>
      <c r="CX132" s="202"/>
      <c r="CY132" s="202"/>
      <c r="CZ132" s="202"/>
      <c r="DA132" s="202"/>
      <c r="DB132" s="202"/>
      <c r="DC132" s="202"/>
      <c r="DD132" s="202"/>
      <c r="DE132" s="202"/>
      <c r="DF132" s="202">
        <v>5</v>
      </c>
    </row>
    <row r="133" spans="1:110">
      <c r="A133" s="205" t="s">
        <v>2158</v>
      </c>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c r="Y133" s="202"/>
      <c r="Z133" s="202"/>
      <c r="AA133" s="202"/>
      <c r="AB133" s="202"/>
      <c r="AC133" s="202"/>
      <c r="AD133" s="202"/>
      <c r="AE133" s="202"/>
      <c r="AF133" s="202"/>
      <c r="AG133" s="202"/>
      <c r="AH133" s="202"/>
      <c r="AI133" s="202"/>
      <c r="AJ133" s="202"/>
      <c r="AK133" s="202"/>
      <c r="AL133" s="202"/>
      <c r="AM133" s="202"/>
      <c r="AN133" s="202"/>
      <c r="AO133" s="202"/>
      <c r="AP133" s="202"/>
      <c r="AQ133" s="202"/>
      <c r="AR133" s="202"/>
      <c r="AS133" s="202"/>
      <c r="AT133" s="202"/>
      <c r="AU133" s="202"/>
      <c r="AV133" s="202"/>
      <c r="AW133" s="202"/>
      <c r="AX133" s="202"/>
      <c r="AY133" s="202"/>
      <c r="AZ133" s="202"/>
      <c r="BA133" s="202"/>
      <c r="BB133" s="202"/>
      <c r="BC133" s="202"/>
      <c r="BD133" s="202"/>
      <c r="BE133" s="202"/>
      <c r="BF133" s="202"/>
      <c r="BG133" s="202"/>
      <c r="BH133" s="202"/>
      <c r="BI133" s="202"/>
      <c r="BJ133" s="202"/>
      <c r="BK133" s="202"/>
      <c r="BL133" s="202"/>
      <c r="BM133" s="202"/>
      <c r="BN133" s="202"/>
      <c r="BO133" s="202"/>
      <c r="BP133" s="202"/>
      <c r="BQ133" s="202"/>
      <c r="BR133" s="202"/>
      <c r="BS133" s="202"/>
      <c r="BT133" s="202"/>
      <c r="BU133" s="202"/>
      <c r="BV133" s="202"/>
      <c r="BW133" s="202"/>
      <c r="BX133" s="202"/>
      <c r="BY133" s="202"/>
      <c r="BZ133" s="202"/>
      <c r="CA133" s="202"/>
      <c r="CB133" s="202"/>
      <c r="CC133" s="202"/>
      <c r="CD133" s="202"/>
      <c r="CE133" s="202"/>
      <c r="CF133" s="202"/>
      <c r="CG133" s="202"/>
      <c r="CH133" s="202"/>
      <c r="CI133" s="202"/>
      <c r="CJ133" s="202"/>
      <c r="CK133" s="202"/>
      <c r="CL133" s="202"/>
      <c r="CM133" s="202"/>
      <c r="CN133" s="202"/>
      <c r="CO133" s="202"/>
      <c r="CP133" s="202"/>
      <c r="CQ133" s="202"/>
      <c r="CR133" s="202"/>
      <c r="CS133" s="202"/>
      <c r="CT133" s="202"/>
      <c r="CU133" s="202"/>
      <c r="CV133" s="202"/>
      <c r="CW133" s="202"/>
      <c r="CX133" s="202"/>
      <c r="CY133" s="202">
        <v>4</v>
      </c>
      <c r="CZ133" s="202"/>
      <c r="DA133" s="202"/>
      <c r="DB133" s="202"/>
      <c r="DC133" s="202"/>
      <c r="DD133" s="202"/>
      <c r="DE133" s="202"/>
      <c r="DF133" s="202">
        <v>4</v>
      </c>
    </row>
    <row r="134" spans="1:110">
      <c r="A134" s="205" t="s">
        <v>2159</v>
      </c>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c r="Y134" s="202"/>
      <c r="Z134" s="202"/>
      <c r="AA134" s="202"/>
      <c r="AB134" s="202"/>
      <c r="AC134" s="202"/>
      <c r="AD134" s="202"/>
      <c r="AE134" s="202"/>
      <c r="AF134" s="202"/>
      <c r="AG134" s="202"/>
      <c r="AH134" s="202"/>
      <c r="AI134" s="202"/>
      <c r="AJ134" s="202"/>
      <c r="AK134" s="202"/>
      <c r="AL134" s="202"/>
      <c r="AM134" s="202"/>
      <c r="AN134" s="202"/>
      <c r="AO134" s="202"/>
      <c r="AP134" s="202"/>
      <c r="AQ134" s="202"/>
      <c r="AR134" s="202"/>
      <c r="AS134" s="202"/>
      <c r="AT134" s="202"/>
      <c r="AU134" s="202"/>
      <c r="AV134" s="202"/>
      <c r="AW134" s="202"/>
      <c r="AX134" s="202"/>
      <c r="AY134" s="202"/>
      <c r="AZ134" s="202"/>
      <c r="BA134" s="202"/>
      <c r="BB134" s="202"/>
      <c r="BC134" s="202"/>
      <c r="BD134" s="202"/>
      <c r="BE134" s="202"/>
      <c r="BF134" s="202"/>
      <c r="BG134" s="202"/>
      <c r="BH134" s="202"/>
      <c r="BI134" s="202"/>
      <c r="BJ134" s="202"/>
      <c r="BK134" s="202"/>
      <c r="BL134" s="202"/>
      <c r="BM134" s="202"/>
      <c r="BN134" s="202"/>
      <c r="BO134" s="202"/>
      <c r="BP134" s="202"/>
      <c r="BQ134" s="202"/>
      <c r="BR134" s="202"/>
      <c r="BS134" s="202"/>
      <c r="BT134" s="202"/>
      <c r="BU134" s="202"/>
      <c r="BV134" s="202"/>
      <c r="BW134" s="202"/>
      <c r="BX134" s="202"/>
      <c r="BY134" s="202"/>
      <c r="BZ134" s="202"/>
      <c r="CA134" s="202"/>
      <c r="CB134" s="202"/>
      <c r="CC134" s="202"/>
      <c r="CD134" s="202"/>
      <c r="CE134" s="202"/>
      <c r="CF134" s="202"/>
      <c r="CG134" s="202"/>
      <c r="CH134" s="202"/>
      <c r="CI134" s="202"/>
      <c r="CJ134" s="202"/>
      <c r="CK134" s="202"/>
      <c r="CL134" s="202"/>
      <c r="CM134" s="202"/>
      <c r="CN134" s="202"/>
      <c r="CO134" s="202"/>
      <c r="CP134" s="202"/>
      <c r="CQ134" s="202"/>
      <c r="CR134" s="202"/>
      <c r="CS134" s="202">
        <v>4</v>
      </c>
      <c r="CT134" s="202"/>
      <c r="CU134" s="202"/>
      <c r="CV134" s="202"/>
      <c r="CW134" s="202"/>
      <c r="CX134" s="202"/>
      <c r="CY134" s="202"/>
      <c r="CZ134" s="202"/>
      <c r="DA134" s="202"/>
      <c r="DB134" s="202"/>
      <c r="DC134" s="202"/>
      <c r="DD134" s="202"/>
      <c r="DE134" s="202"/>
      <c r="DF134" s="202">
        <v>4</v>
      </c>
    </row>
    <row r="135" spans="1:110">
      <c r="A135" s="205" t="s">
        <v>2026</v>
      </c>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c r="AA135" s="202"/>
      <c r="AB135" s="202"/>
      <c r="AC135" s="202"/>
      <c r="AD135" s="202"/>
      <c r="AE135" s="202"/>
      <c r="AF135" s="202"/>
      <c r="AG135" s="202"/>
      <c r="AH135" s="202"/>
      <c r="AI135" s="202"/>
      <c r="AJ135" s="202"/>
      <c r="AK135" s="202"/>
      <c r="AL135" s="202"/>
      <c r="AM135" s="202"/>
      <c r="AN135" s="202"/>
      <c r="AO135" s="202"/>
      <c r="AP135" s="202"/>
      <c r="AQ135" s="202">
        <v>2</v>
      </c>
      <c r="AR135" s="202"/>
      <c r="AS135" s="202"/>
      <c r="AT135" s="202"/>
      <c r="AU135" s="202"/>
      <c r="AV135" s="202"/>
      <c r="AW135" s="202"/>
      <c r="AX135" s="202"/>
      <c r="AY135" s="202"/>
      <c r="AZ135" s="202"/>
      <c r="BA135" s="202"/>
      <c r="BB135" s="202"/>
      <c r="BC135" s="202"/>
      <c r="BD135" s="202"/>
      <c r="BE135" s="202"/>
      <c r="BF135" s="202"/>
      <c r="BG135" s="202"/>
      <c r="BH135" s="202"/>
      <c r="BI135" s="202"/>
      <c r="BJ135" s="202"/>
      <c r="BK135" s="202"/>
      <c r="BL135" s="202"/>
      <c r="BM135" s="202"/>
      <c r="BN135" s="202"/>
      <c r="BO135" s="202"/>
      <c r="BP135" s="202"/>
      <c r="BQ135" s="202"/>
      <c r="BR135" s="202"/>
      <c r="BS135" s="202"/>
      <c r="BT135" s="202"/>
      <c r="BU135" s="202"/>
      <c r="BV135" s="202"/>
      <c r="BW135" s="202"/>
      <c r="BX135" s="202"/>
      <c r="BY135" s="202"/>
      <c r="BZ135" s="202"/>
      <c r="CA135" s="202"/>
      <c r="CB135" s="202"/>
      <c r="CC135" s="202"/>
      <c r="CD135" s="202"/>
      <c r="CE135" s="202"/>
      <c r="CF135" s="202"/>
      <c r="CG135" s="202"/>
      <c r="CH135" s="202"/>
      <c r="CI135" s="202"/>
      <c r="CJ135" s="202"/>
      <c r="CK135" s="202"/>
      <c r="CL135" s="202"/>
      <c r="CM135" s="202"/>
      <c r="CN135" s="202"/>
      <c r="CO135" s="202"/>
      <c r="CP135" s="202"/>
      <c r="CQ135" s="202"/>
      <c r="CR135" s="202"/>
      <c r="CS135" s="202"/>
      <c r="CT135" s="202"/>
      <c r="CU135" s="202"/>
      <c r="CV135" s="202"/>
      <c r="CW135" s="202"/>
      <c r="CX135" s="202"/>
      <c r="CY135" s="202"/>
      <c r="CZ135" s="202"/>
      <c r="DA135" s="202"/>
      <c r="DB135" s="202"/>
      <c r="DC135" s="202"/>
      <c r="DD135" s="202"/>
      <c r="DE135" s="202"/>
      <c r="DF135" s="202">
        <v>2</v>
      </c>
    </row>
    <row r="136" spans="1:110">
      <c r="A136" s="205" t="s">
        <v>2025</v>
      </c>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c r="AA136" s="202"/>
      <c r="AB136" s="202"/>
      <c r="AC136" s="202"/>
      <c r="AD136" s="202"/>
      <c r="AE136" s="202"/>
      <c r="AF136" s="202"/>
      <c r="AG136" s="202"/>
      <c r="AH136" s="202"/>
      <c r="AI136" s="202"/>
      <c r="AJ136" s="202"/>
      <c r="AK136" s="202"/>
      <c r="AL136" s="202"/>
      <c r="AM136" s="202"/>
      <c r="AN136" s="202"/>
      <c r="AO136" s="202"/>
      <c r="AP136" s="202">
        <v>1</v>
      </c>
      <c r="AQ136" s="202"/>
      <c r="AR136" s="202"/>
      <c r="AS136" s="202"/>
      <c r="AT136" s="202"/>
      <c r="AU136" s="202"/>
      <c r="AV136" s="202"/>
      <c r="AW136" s="202"/>
      <c r="AX136" s="202"/>
      <c r="AY136" s="202"/>
      <c r="AZ136" s="202"/>
      <c r="BA136" s="202"/>
      <c r="BB136" s="202"/>
      <c r="BC136" s="202"/>
      <c r="BD136" s="202"/>
      <c r="BE136" s="202"/>
      <c r="BF136" s="202"/>
      <c r="BG136" s="202"/>
      <c r="BH136" s="202"/>
      <c r="BI136" s="202"/>
      <c r="BJ136" s="202"/>
      <c r="BK136" s="202"/>
      <c r="BL136" s="202"/>
      <c r="BM136" s="202"/>
      <c r="BN136" s="202"/>
      <c r="BO136" s="202"/>
      <c r="BP136" s="202"/>
      <c r="BQ136" s="202"/>
      <c r="BR136" s="202"/>
      <c r="BS136" s="202"/>
      <c r="BT136" s="202"/>
      <c r="BU136" s="202"/>
      <c r="BV136" s="202"/>
      <c r="BW136" s="202"/>
      <c r="BX136" s="202"/>
      <c r="BY136" s="202"/>
      <c r="BZ136" s="202"/>
      <c r="CA136" s="202"/>
      <c r="CB136" s="202"/>
      <c r="CC136" s="202"/>
      <c r="CD136" s="202"/>
      <c r="CE136" s="202"/>
      <c r="CF136" s="202"/>
      <c r="CG136" s="202"/>
      <c r="CH136" s="202"/>
      <c r="CI136" s="202"/>
      <c r="CJ136" s="202"/>
      <c r="CK136" s="202"/>
      <c r="CL136" s="202"/>
      <c r="CM136" s="202"/>
      <c r="CN136" s="202"/>
      <c r="CO136" s="202"/>
      <c r="CP136" s="202"/>
      <c r="CQ136" s="202"/>
      <c r="CR136" s="202"/>
      <c r="CS136" s="202"/>
      <c r="CT136" s="202"/>
      <c r="CU136" s="202"/>
      <c r="CV136" s="202"/>
      <c r="CW136" s="202"/>
      <c r="CX136" s="202"/>
      <c r="CY136" s="202"/>
      <c r="CZ136" s="202"/>
      <c r="DA136" s="202"/>
      <c r="DB136" s="202"/>
      <c r="DC136" s="202"/>
      <c r="DD136" s="202"/>
      <c r="DE136" s="202"/>
      <c r="DF136" s="202">
        <v>1</v>
      </c>
    </row>
    <row r="137" spans="1:110">
      <c r="A137" s="205" t="s">
        <v>2033</v>
      </c>
      <c r="B137" s="202"/>
      <c r="C137" s="202"/>
      <c r="D137" s="202"/>
      <c r="E137" s="202"/>
      <c r="F137" s="202"/>
      <c r="G137" s="202"/>
      <c r="H137" s="202"/>
      <c r="I137" s="202"/>
      <c r="J137" s="202"/>
      <c r="K137" s="202"/>
      <c r="L137" s="202"/>
      <c r="M137" s="202"/>
      <c r="N137" s="202"/>
      <c r="O137" s="202"/>
      <c r="P137" s="202"/>
      <c r="Q137" s="202">
        <v>4</v>
      </c>
      <c r="R137" s="202"/>
      <c r="S137" s="202"/>
      <c r="T137" s="202"/>
      <c r="U137" s="202"/>
      <c r="V137" s="202"/>
      <c r="W137" s="202"/>
      <c r="X137" s="202"/>
      <c r="Y137" s="202"/>
      <c r="Z137" s="202"/>
      <c r="AA137" s="202"/>
      <c r="AB137" s="202"/>
      <c r="AC137" s="202"/>
      <c r="AD137" s="202"/>
      <c r="AE137" s="202"/>
      <c r="AF137" s="202"/>
      <c r="AG137" s="202"/>
      <c r="AH137" s="202"/>
      <c r="AI137" s="202"/>
      <c r="AJ137" s="202"/>
      <c r="AK137" s="202"/>
      <c r="AL137" s="202"/>
      <c r="AM137" s="202"/>
      <c r="AN137" s="202"/>
      <c r="AO137" s="202"/>
      <c r="AP137" s="202"/>
      <c r="AQ137" s="202"/>
      <c r="AR137" s="202"/>
      <c r="AS137" s="202"/>
      <c r="AT137" s="202"/>
      <c r="AU137" s="202"/>
      <c r="AV137" s="202"/>
      <c r="AW137" s="202"/>
      <c r="AX137" s="202"/>
      <c r="AY137" s="202"/>
      <c r="AZ137" s="202"/>
      <c r="BA137" s="202"/>
      <c r="BB137" s="202"/>
      <c r="BC137" s="202"/>
      <c r="BD137" s="202"/>
      <c r="BE137" s="202"/>
      <c r="BF137" s="202"/>
      <c r="BG137" s="202"/>
      <c r="BH137" s="202"/>
      <c r="BI137" s="202"/>
      <c r="BJ137" s="202"/>
      <c r="BK137" s="202"/>
      <c r="BL137" s="202"/>
      <c r="BM137" s="202"/>
      <c r="BN137" s="202"/>
      <c r="BO137" s="202"/>
      <c r="BP137" s="202"/>
      <c r="BQ137" s="202"/>
      <c r="BR137" s="202"/>
      <c r="BS137" s="202"/>
      <c r="BT137" s="202"/>
      <c r="BU137" s="202"/>
      <c r="BV137" s="202"/>
      <c r="BW137" s="202"/>
      <c r="BX137" s="202"/>
      <c r="BY137" s="202"/>
      <c r="BZ137" s="202"/>
      <c r="CA137" s="202"/>
      <c r="CB137" s="202"/>
      <c r="CC137" s="202"/>
      <c r="CD137" s="202"/>
      <c r="CE137" s="202"/>
      <c r="CF137" s="202"/>
      <c r="CG137" s="202"/>
      <c r="CH137" s="202"/>
      <c r="CI137" s="202"/>
      <c r="CJ137" s="202"/>
      <c r="CK137" s="202"/>
      <c r="CL137" s="202"/>
      <c r="CM137" s="202"/>
      <c r="CN137" s="202"/>
      <c r="CO137" s="202"/>
      <c r="CP137" s="202"/>
      <c r="CQ137" s="202"/>
      <c r="CR137" s="202"/>
      <c r="CS137" s="202"/>
      <c r="CT137" s="202"/>
      <c r="CU137" s="202"/>
      <c r="CV137" s="202"/>
      <c r="CW137" s="202"/>
      <c r="CX137" s="202"/>
      <c r="CY137" s="202"/>
      <c r="CZ137" s="202"/>
      <c r="DA137" s="202"/>
      <c r="DB137" s="202"/>
      <c r="DC137" s="202"/>
      <c r="DD137" s="202"/>
      <c r="DE137" s="202"/>
      <c r="DF137" s="202">
        <v>4</v>
      </c>
    </row>
    <row r="138" spans="1:110">
      <c r="A138" s="205" t="s">
        <v>2032</v>
      </c>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c r="AA138" s="202"/>
      <c r="AB138" s="202"/>
      <c r="AC138" s="202"/>
      <c r="AD138" s="202"/>
      <c r="AE138" s="202"/>
      <c r="AF138" s="202"/>
      <c r="AG138" s="202"/>
      <c r="AH138" s="202"/>
      <c r="AI138" s="202"/>
      <c r="AJ138" s="202"/>
      <c r="AK138" s="202"/>
      <c r="AL138" s="202"/>
      <c r="AM138" s="202"/>
      <c r="AN138" s="202"/>
      <c r="AO138" s="202"/>
      <c r="AP138" s="202"/>
      <c r="AQ138" s="202"/>
      <c r="AR138" s="202"/>
      <c r="AS138" s="202"/>
      <c r="AT138" s="202"/>
      <c r="AU138" s="202"/>
      <c r="AV138" s="202"/>
      <c r="AW138" s="202"/>
      <c r="AX138" s="202"/>
      <c r="AY138" s="202"/>
      <c r="AZ138" s="202"/>
      <c r="BA138" s="202"/>
      <c r="BB138" s="202"/>
      <c r="BC138" s="202"/>
      <c r="BD138" s="202"/>
      <c r="BE138" s="202"/>
      <c r="BF138" s="202"/>
      <c r="BG138" s="202"/>
      <c r="BH138" s="202"/>
      <c r="BI138" s="202"/>
      <c r="BJ138" s="202"/>
      <c r="BK138" s="202"/>
      <c r="BL138" s="202"/>
      <c r="BM138" s="202"/>
      <c r="BN138" s="202"/>
      <c r="BO138" s="202"/>
      <c r="BP138" s="202"/>
      <c r="BQ138" s="202"/>
      <c r="BR138" s="202"/>
      <c r="BS138" s="202"/>
      <c r="BT138" s="202"/>
      <c r="BU138" s="202"/>
      <c r="BV138" s="202"/>
      <c r="BW138" s="202"/>
      <c r="BX138" s="202"/>
      <c r="BY138" s="202"/>
      <c r="BZ138" s="202"/>
      <c r="CA138" s="202"/>
      <c r="CB138" s="202"/>
      <c r="CC138" s="202"/>
      <c r="CD138" s="202"/>
      <c r="CE138" s="202"/>
      <c r="CF138" s="202"/>
      <c r="CG138" s="202"/>
      <c r="CH138" s="202"/>
      <c r="CI138" s="202"/>
      <c r="CJ138" s="202"/>
      <c r="CK138" s="202">
        <v>4</v>
      </c>
      <c r="CL138" s="202"/>
      <c r="CM138" s="202"/>
      <c r="CN138" s="202"/>
      <c r="CO138" s="202"/>
      <c r="CP138" s="202"/>
      <c r="CQ138" s="202"/>
      <c r="CR138" s="202"/>
      <c r="CS138" s="202"/>
      <c r="CT138" s="202"/>
      <c r="CU138" s="202"/>
      <c r="CV138" s="202"/>
      <c r="CW138" s="202"/>
      <c r="CX138" s="202"/>
      <c r="CY138" s="202"/>
      <c r="CZ138" s="202"/>
      <c r="DA138" s="202"/>
      <c r="DB138" s="202"/>
      <c r="DC138" s="202"/>
      <c r="DD138" s="202"/>
      <c r="DE138" s="202"/>
      <c r="DF138" s="202">
        <v>4</v>
      </c>
    </row>
    <row r="139" spans="1:110">
      <c r="A139" s="205" t="s">
        <v>2030</v>
      </c>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c r="AA139" s="202"/>
      <c r="AB139" s="202"/>
      <c r="AC139" s="202"/>
      <c r="AD139" s="202"/>
      <c r="AE139" s="202"/>
      <c r="AF139" s="202"/>
      <c r="AG139" s="202"/>
      <c r="AH139" s="202"/>
      <c r="AI139" s="202"/>
      <c r="AJ139" s="202"/>
      <c r="AK139" s="202"/>
      <c r="AL139" s="202"/>
      <c r="AM139" s="202"/>
      <c r="AN139" s="202"/>
      <c r="AO139" s="202"/>
      <c r="AP139" s="202"/>
      <c r="AQ139" s="202"/>
      <c r="AR139" s="202"/>
      <c r="AS139" s="202"/>
      <c r="AT139" s="202"/>
      <c r="AU139" s="202"/>
      <c r="AV139" s="202"/>
      <c r="AW139" s="202"/>
      <c r="AX139" s="202"/>
      <c r="AY139" s="202"/>
      <c r="AZ139" s="202"/>
      <c r="BA139" s="202"/>
      <c r="BB139" s="202"/>
      <c r="BC139" s="202"/>
      <c r="BD139" s="202"/>
      <c r="BE139" s="202"/>
      <c r="BF139" s="202"/>
      <c r="BG139" s="202"/>
      <c r="BH139" s="202"/>
      <c r="BI139" s="202"/>
      <c r="BJ139" s="202"/>
      <c r="BK139" s="202"/>
      <c r="BL139" s="202"/>
      <c r="BM139" s="202"/>
      <c r="BN139" s="202"/>
      <c r="BO139" s="202"/>
      <c r="BP139" s="202"/>
      <c r="BQ139" s="202"/>
      <c r="BR139" s="202"/>
      <c r="BS139" s="202"/>
      <c r="BT139" s="202"/>
      <c r="BU139" s="202"/>
      <c r="BV139" s="202"/>
      <c r="BW139" s="202"/>
      <c r="BX139" s="202"/>
      <c r="BY139" s="202"/>
      <c r="BZ139" s="202"/>
      <c r="CA139" s="202"/>
      <c r="CB139" s="202"/>
      <c r="CC139" s="202"/>
      <c r="CD139" s="202"/>
      <c r="CE139" s="202">
        <v>2</v>
      </c>
      <c r="CF139" s="202"/>
      <c r="CG139" s="202"/>
      <c r="CH139" s="202"/>
      <c r="CI139" s="202"/>
      <c r="CJ139" s="202"/>
      <c r="CK139" s="202"/>
      <c r="CL139" s="202"/>
      <c r="CM139" s="202"/>
      <c r="CN139" s="202"/>
      <c r="CO139" s="202"/>
      <c r="CP139" s="202"/>
      <c r="CQ139" s="202"/>
      <c r="CR139" s="202"/>
      <c r="CS139" s="202"/>
      <c r="CT139" s="202"/>
      <c r="CU139" s="202"/>
      <c r="CV139" s="202"/>
      <c r="CW139" s="202"/>
      <c r="CX139" s="202"/>
      <c r="CY139" s="202"/>
      <c r="CZ139" s="202"/>
      <c r="DA139" s="202"/>
      <c r="DB139" s="202"/>
      <c r="DC139" s="202"/>
      <c r="DD139" s="202"/>
      <c r="DE139" s="202"/>
      <c r="DF139" s="202">
        <v>2</v>
      </c>
    </row>
    <row r="140" spans="1:110">
      <c r="A140" s="205" t="s">
        <v>3414</v>
      </c>
      <c r="B140" s="202"/>
      <c r="C140" s="202"/>
      <c r="D140" s="202"/>
      <c r="E140" s="202"/>
      <c r="F140" s="202"/>
      <c r="G140" s="202"/>
      <c r="H140" s="202"/>
      <c r="I140" s="202"/>
      <c r="J140" s="202"/>
      <c r="K140" s="202"/>
      <c r="L140" s="202"/>
      <c r="M140" s="202"/>
      <c r="N140" s="202"/>
      <c r="O140" s="202"/>
      <c r="P140" s="202"/>
      <c r="Q140" s="202"/>
      <c r="R140" s="202"/>
      <c r="S140" s="202"/>
      <c r="T140" s="202">
        <v>4</v>
      </c>
      <c r="U140" s="202"/>
      <c r="V140" s="202"/>
      <c r="W140" s="202"/>
      <c r="X140" s="202"/>
      <c r="Y140" s="202"/>
      <c r="Z140" s="202"/>
      <c r="AA140" s="202"/>
      <c r="AB140" s="202"/>
      <c r="AC140" s="202"/>
      <c r="AD140" s="202"/>
      <c r="AE140" s="202"/>
      <c r="AF140" s="202"/>
      <c r="AG140" s="202"/>
      <c r="AH140" s="202"/>
      <c r="AI140" s="202"/>
      <c r="AJ140" s="202"/>
      <c r="AK140" s="202"/>
      <c r="AL140" s="202"/>
      <c r="AM140" s="202"/>
      <c r="AN140" s="202"/>
      <c r="AO140" s="202"/>
      <c r="AP140" s="202"/>
      <c r="AQ140" s="202"/>
      <c r="AR140" s="202"/>
      <c r="AS140" s="202"/>
      <c r="AT140" s="202"/>
      <c r="AU140" s="202"/>
      <c r="AV140" s="202"/>
      <c r="AW140" s="202"/>
      <c r="AX140" s="202"/>
      <c r="AY140" s="202"/>
      <c r="AZ140" s="202"/>
      <c r="BA140" s="202"/>
      <c r="BB140" s="202"/>
      <c r="BC140" s="202"/>
      <c r="BD140" s="202"/>
      <c r="BE140" s="202"/>
      <c r="BF140" s="202"/>
      <c r="BG140" s="202"/>
      <c r="BH140" s="202"/>
      <c r="BI140" s="202"/>
      <c r="BJ140" s="202"/>
      <c r="BK140" s="202"/>
      <c r="BL140" s="202"/>
      <c r="BM140" s="202"/>
      <c r="BN140" s="202"/>
      <c r="BO140" s="202"/>
      <c r="BP140" s="202"/>
      <c r="BQ140" s="202"/>
      <c r="BR140" s="202"/>
      <c r="BS140" s="202"/>
      <c r="BT140" s="202"/>
      <c r="BU140" s="202"/>
      <c r="BV140" s="202"/>
      <c r="BW140" s="202"/>
      <c r="BX140" s="202"/>
      <c r="BY140" s="202"/>
      <c r="BZ140" s="202"/>
      <c r="CA140" s="202"/>
      <c r="CB140" s="202"/>
      <c r="CC140" s="202"/>
      <c r="CD140" s="202"/>
      <c r="CE140" s="202"/>
      <c r="CF140" s="202"/>
      <c r="CG140" s="202"/>
      <c r="CH140" s="202"/>
      <c r="CI140" s="202"/>
      <c r="CJ140" s="202"/>
      <c r="CK140" s="202"/>
      <c r="CL140" s="202"/>
      <c r="CM140" s="202"/>
      <c r="CN140" s="202"/>
      <c r="CO140" s="202"/>
      <c r="CP140" s="202"/>
      <c r="CQ140" s="202"/>
      <c r="CR140" s="202"/>
      <c r="CS140" s="202"/>
      <c r="CT140" s="202"/>
      <c r="CU140" s="202"/>
      <c r="CV140" s="202"/>
      <c r="CW140" s="202"/>
      <c r="CX140" s="202"/>
      <c r="CY140" s="202"/>
      <c r="CZ140" s="202"/>
      <c r="DA140" s="202"/>
      <c r="DB140" s="202"/>
      <c r="DC140" s="202"/>
      <c r="DD140" s="202"/>
      <c r="DE140" s="202"/>
      <c r="DF140" s="202">
        <v>4</v>
      </c>
    </row>
    <row r="141" spans="1:110">
      <c r="A141" s="205" t="s">
        <v>2093</v>
      </c>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c r="AA141" s="202"/>
      <c r="AB141" s="202"/>
      <c r="AC141" s="202"/>
      <c r="AD141" s="202"/>
      <c r="AE141" s="202"/>
      <c r="AF141" s="202"/>
      <c r="AG141" s="202"/>
      <c r="AH141" s="202"/>
      <c r="AI141" s="202"/>
      <c r="AJ141" s="202"/>
      <c r="AK141" s="202"/>
      <c r="AL141" s="202"/>
      <c r="AM141" s="202"/>
      <c r="AN141" s="202"/>
      <c r="AO141" s="202"/>
      <c r="AP141" s="202"/>
      <c r="AQ141" s="202"/>
      <c r="AR141" s="202">
        <v>1</v>
      </c>
      <c r="AS141" s="202"/>
      <c r="AT141" s="202"/>
      <c r="AU141" s="202"/>
      <c r="AV141" s="202"/>
      <c r="AW141" s="202"/>
      <c r="AX141" s="202"/>
      <c r="AY141" s="202"/>
      <c r="AZ141" s="202"/>
      <c r="BA141" s="202"/>
      <c r="BB141" s="202"/>
      <c r="BC141" s="202"/>
      <c r="BD141" s="202"/>
      <c r="BE141" s="202"/>
      <c r="BF141" s="202"/>
      <c r="BG141" s="202"/>
      <c r="BH141" s="202"/>
      <c r="BI141" s="202"/>
      <c r="BJ141" s="202"/>
      <c r="BK141" s="202"/>
      <c r="BL141" s="202"/>
      <c r="BM141" s="202"/>
      <c r="BN141" s="202"/>
      <c r="BO141" s="202"/>
      <c r="BP141" s="202"/>
      <c r="BQ141" s="202"/>
      <c r="BR141" s="202"/>
      <c r="BS141" s="202"/>
      <c r="BT141" s="202"/>
      <c r="BU141" s="202"/>
      <c r="BV141" s="202"/>
      <c r="BW141" s="202"/>
      <c r="BX141" s="202"/>
      <c r="BY141" s="202"/>
      <c r="BZ141" s="202"/>
      <c r="CA141" s="202"/>
      <c r="CB141" s="202"/>
      <c r="CC141" s="202"/>
      <c r="CD141" s="202"/>
      <c r="CE141" s="202"/>
      <c r="CF141" s="202"/>
      <c r="CG141" s="202"/>
      <c r="CH141" s="202"/>
      <c r="CI141" s="202"/>
      <c r="CJ141" s="202"/>
      <c r="CK141" s="202"/>
      <c r="CL141" s="202"/>
      <c r="CM141" s="202"/>
      <c r="CN141" s="202"/>
      <c r="CO141" s="202"/>
      <c r="CP141" s="202"/>
      <c r="CQ141" s="202"/>
      <c r="CR141" s="202"/>
      <c r="CS141" s="202"/>
      <c r="CT141" s="202"/>
      <c r="CU141" s="202"/>
      <c r="CV141" s="202"/>
      <c r="CW141" s="202"/>
      <c r="CX141" s="202"/>
      <c r="CY141" s="202"/>
      <c r="CZ141" s="202"/>
      <c r="DA141" s="202"/>
      <c r="DB141" s="202"/>
      <c r="DC141" s="202"/>
      <c r="DD141" s="202"/>
      <c r="DE141" s="202"/>
      <c r="DF141" s="202">
        <v>1</v>
      </c>
    </row>
    <row r="142" spans="1:110">
      <c r="A142" s="205" t="s">
        <v>2095</v>
      </c>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c r="AA142" s="202"/>
      <c r="AB142" s="202"/>
      <c r="AC142" s="202"/>
      <c r="AD142" s="202"/>
      <c r="AE142" s="202"/>
      <c r="AF142" s="202"/>
      <c r="AG142" s="202"/>
      <c r="AH142" s="202"/>
      <c r="AI142" s="202"/>
      <c r="AJ142" s="202"/>
      <c r="AK142" s="202"/>
      <c r="AL142" s="202"/>
      <c r="AM142" s="202"/>
      <c r="AN142" s="202"/>
      <c r="AO142" s="202"/>
      <c r="AP142" s="202"/>
      <c r="AQ142" s="202"/>
      <c r="AR142" s="202"/>
      <c r="AS142" s="202"/>
      <c r="AT142" s="202"/>
      <c r="AU142" s="202"/>
      <c r="AV142" s="202"/>
      <c r="AW142" s="202"/>
      <c r="AX142" s="202"/>
      <c r="AY142" s="202"/>
      <c r="AZ142" s="202"/>
      <c r="BA142" s="202"/>
      <c r="BB142" s="202"/>
      <c r="BC142" s="202"/>
      <c r="BD142" s="202"/>
      <c r="BE142" s="202"/>
      <c r="BF142" s="202"/>
      <c r="BG142" s="202"/>
      <c r="BH142" s="202"/>
      <c r="BI142" s="202"/>
      <c r="BJ142" s="202"/>
      <c r="BK142" s="202"/>
      <c r="BL142" s="202"/>
      <c r="BM142" s="202"/>
      <c r="BN142" s="202"/>
      <c r="BO142" s="202"/>
      <c r="BP142" s="202"/>
      <c r="BQ142" s="202"/>
      <c r="BR142" s="202"/>
      <c r="BS142" s="202"/>
      <c r="BT142" s="202"/>
      <c r="BU142" s="202"/>
      <c r="BV142" s="202"/>
      <c r="BW142" s="202"/>
      <c r="BX142" s="202"/>
      <c r="BY142" s="202"/>
      <c r="BZ142" s="202"/>
      <c r="CA142" s="202"/>
      <c r="CB142" s="202">
        <v>5</v>
      </c>
      <c r="CC142" s="202"/>
      <c r="CD142" s="202"/>
      <c r="CE142" s="202"/>
      <c r="CF142" s="202"/>
      <c r="CG142" s="202"/>
      <c r="CH142" s="202"/>
      <c r="CI142" s="202"/>
      <c r="CJ142" s="202"/>
      <c r="CK142" s="202"/>
      <c r="CL142" s="202"/>
      <c r="CM142" s="202"/>
      <c r="CN142" s="202"/>
      <c r="CO142" s="202"/>
      <c r="CP142" s="202"/>
      <c r="CQ142" s="202"/>
      <c r="CR142" s="202"/>
      <c r="CS142" s="202"/>
      <c r="CT142" s="202"/>
      <c r="CU142" s="202"/>
      <c r="CV142" s="202"/>
      <c r="CW142" s="202"/>
      <c r="CX142" s="202"/>
      <c r="CY142" s="202"/>
      <c r="CZ142" s="202"/>
      <c r="DA142" s="202"/>
      <c r="DB142" s="202"/>
      <c r="DC142" s="202"/>
      <c r="DD142" s="202"/>
      <c r="DE142" s="202"/>
      <c r="DF142" s="202">
        <v>5</v>
      </c>
    </row>
    <row r="143" spans="1:110">
      <c r="A143" s="205" t="s">
        <v>2092</v>
      </c>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c r="AA143" s="202"/>
      <c r="AB143" s="202"/>
      <c r="AC143" s="202"/>
      <c r="AD143" s="202"/>
      <c r="AE143" s="202"/>
      <c r="AF143" s="202"/>
      <c r="AG143" s="202"/>
      <c r="AH143" s="202"/>
      <c r="AI143" s="202"/>
      <c r="AJ143" s="202"/>
      <c r="AK143" s="202"/>
      <c r="AL143" s="202"/>
      <c r="AM143" s="202"/>
      <c r="AN143" s="202"/>
      <c r="AO143" s="202"/>
      <c r="AP143" s="202"/>
      <c r="AQ143" s="202"/>
      <c r="AR143" s="202"/>
      <c r="AS143" s="202"/>
      <c r="AT143" s="202"/>
      <c r="AU143" s="202"/>
      <c r="AV143" s="202"/>
      <c r="AW143" s="202"/>
      <c r="AX143" s="202"/>
      <c r="AY143" s="202"/>
      <c r="AZ143" s="202"/>
      <c r="BA143" s="202"/>
      <c r="BB143" s="202"/>
      <c r="BC143" s="202"/>
      <c r="BD143" s="202"/>
      <c r="BE143" s="202"/>
      <c r="BF143" s="202"/>
      <c r="BG143" s="202"/>
      <c r="BH143" s="202"/>
      <c r="BI143" s="202"/>
      <c r="BJ143" s="202"/>
      <c r="BK143" s="202"/>
      <c r="BL143" s="202"/>
      <c r="BM143" s="202"/>
      <c r="BN143" s="202"/>
      <c r="BO143" s="202"/>
      <c r="BP143" s="202"/>
      <c r="BQ143" s="202"/>
      <c r="BR143" s="202"/>
      <c r="BS143" s="202"/>
      <c r="BT143" s="202"/>
      <c r="BU143" s="202"/>
      <c r="BV143" s="202"/>
      <c r="BW143" s="202"/>
      <c r="BX143" s="202"/>
      <c r="BY143" s="202"/>
      <c r="BZ143" s="202"/>
      <c r="CA143" s="202"/>
      <c r="CB143" s="202"/>
      <c r="CC143" s="202"/>
      <c r="CD143" s="202"/>
      <c r="CE143" s="202"/>
      <c r="CF143" s="202"/>
      <c r="CG143" s="202"/>
      <c r="CH143" s="202"/>
      <c r="CI143" s="202"/>
      <c r="CJ143" s="202"/>
      <c r="CK143" s="202"/>
      <c r="CL143" s="202"/>
      <c r="CM143" s="202"/>
      <c r="CN143" s="202"/>
      <c r="CO143" s="202"/>
      <c r="CP143" s="202"/>
      <c r="CQ143" s="202"/>
      <c r="CR143" s="202"/>
      <c r="CS143" s="202"/>
      <c r="CT143" s="202"/>
      <c r="CU143" s="202"/>
      <c r="CV143" s="202"/>
      <c r="CW143" s="202"/>
      <c r="CX143" s="202"/>
      <c r="CY143" s="202"/>
      <c r="CZ143" s="202">
        <v>2</v>
      </c>
      <c r="DA143" s="202"/>
      <c r="DB143" s="202"/>
      <c r="DC143" s="202"/>
      <c r="DD143" s="202"/>
      <c r="DE143" s="202"/>
      <c r="DF143" s="202">
        <v>2</v>
      </c>
    </row>
    <row r="144" spans="1:110">
      <c r="A144" s="205" t="s">
        <v>3140</v>
      </c>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c r="AA144" s="202"/>
      <c r="AB144" s="202"/>
      <c r="AC144" s="202"/>
      <c r="AD144" s="202"/>
      <c r="AE144" s="202"/>
      <c r="AF144" s="202"/>
      <c r="AG144" s="202"/>
      <c r="AH144" s="202"/>
      <c r="AI144" s="202"/>
      <c r="AJ144" s="202"/>
      <c r="AK144" s="202"/>
      <c r="AL144" s="202"/>
      <c r="AM144" s="202"/>
      <c r="AN144" s="202"/>
      <c r="AO144" s="202"/>
      <c r="AP144" s="202"/>
      <c r="AQ144" s="202"/>
      <c r="AR144" s="202"/>
      <c r="AS144" s="202"/>
      <c r="AT144" s="202"/>
      <c r="AU144" s="202"/>
      <c r="AV144" s="202"/>
      <c r="AW144" s="202"/>
      <c r="AX144" s="202"/>
      <c r="AY144" s="202"/>
      <c r="AZ144" s="202"/>
      <c r="BA144" s="202"/>
      <c r="BB144" s="202"/>
      <c r="BC144" s="202"/>
      <c r="BD144" s="202"/>
      <c r="BE144" s="202"/>
      <c r="BF144" s="202"/>
      <c r="BG144" s="202"/>
      <c r="BH144" s="202"/>
      <c r="BI144" s="202"/>
      <c r="BJ144" s="202"/>
      <c r="BK144" s="202"/>
      <c r="BL144" s="202"/>
      <c r="BM144" s="202"/>
      <c r="BN144" s="202"/>
      <c r="BO144" s="202"/>
      <c r="BP144" s="202"/>
      <c r="BQ144" s="202"/>
      <c r="BR144" s="202"/>
      <c r="BS144" s="202"/>
      <c r="BT144" s="202"/>
      <c r="BU144" s="202"/>
      <c r="BV144" s="202"/>
      <c r="BW144" s="202"/>
      <c r="BX144" s="202"/>
      <c r="BY144" s="202"/>
      <c r="BZ144" s="202"/>
      <c r="CA144" s="202"/>
      <c r="CB144" s="202"/>
      <c r="CC144" s="202"/>
      <c r="CD144" s="202"/>
      <c r="CE144" s="202"/>
      <c r="CF144" s="202"/>
      <c r="CG144" s="202"/>
      <c r="CH144" s="202"/>
      <c r="CI144" s="202"/>
      <c r="CJ144" s="202"/>
      <c r="CK144" s="202"/>
      <c r="CL144" s="202"/>
      <c r="CM144" s="202"/>
      <c r="CN144" s="202"/>
      <c r="CO144" s="202"/>
      <c r="CP144" s="202"/>
      <c r="CQ144" s="202"/>
      <c r="CR144" s="202"/>
      <c r="CS144" s="202"/>
      <c r="CT144" s="202"/>
      <c r="CU144" s="202"/>
      <c r="CV144" s="202"/>
      <c r="CW144" s="202"/>
      <c r="CX144" s="202"/>
      <c r="CY144" s="202"/>
      <c r="CZ144" s="202"/>
      <c r="DA144" s="202"/>
      <c r="DB144" s="202"/>
      <c r="DC144" s="202"/>
      <c r="DD144" s="202"/>
      <c r="DE144" s="202">
        <v>2</v>
      </c>
      <c r="DF144" s="202">
        <v>2</v>
      </c>
    </row>
    <row r="145" spans="1:110">
      <c r="A145" s="205" t="s">
        <v>2098</v>
      </c>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c r="AA145" s="202"/>
      <c r="AB145" s="202"/>
      <c r="AC145" s="202"/>
      <c r="AD145" s="202"/>
      <c r="AE145" s="202"/>
      <c r="AF145" s="202"/>
      <c r="AG145" s="202"/>
      <c r="AH145" s="202"/>
      <c r="AI145" s="202"/>
      <c r="AJ145" s="202"/>
      <c r="AK145" s="202"/>
      <c r="AL145" s="202"/>
      <c r="AM145" s="202"/>
      <c r="AN145" s="202"/>
      <c r="AO145" s="202"/>
      <c r="AP145" s="202"/>
      <c r="AQ145" s="202"/>
      <c r="AR145" s="202"/>
      <c r="AS145" s="202"/>
      <c r="AT145" s="202"/>
      <c r="AU145" s="202"/>
      <c r="AV145" s="202"/>
      <c r="AW145" s="202"/>
      <c r="AX145" s="202"/>
      <c r="AY145" s="202"/>
      <c r="AZ145" s="202"/>
      <c r="BA145" s="202"/>
      <c r="BB145" s="202"/>
      <c r="BC145" s="202"/>
      <c r="BD145" s="202"/>
      <c r="BE145" s="202"/>
      <c r="BF145" s="202"/>
      <c r="BG145" s="202"/>
      <c r="BH145" s="202"/>
      <c r="BI145" s="202"/>
      <c r="BJ145" s="202"/>
      <c r="BK145" s="202"/>
      <c r="BL145" s="202"/>
      <c r="BM145" s="202"/>
      <c r="BN145" s="202"/>
      <c r="BO145" s="202"/>
      <c r="BP145" s="202"/>
      <c r="BQ145" s="202"/>
      <c r="BR145" s="202"/>
      <c r="BS145" s="202"/>
      <c r="BT145" s="202"/>
      <c r="BU145" s="202"/>
      <c r="BV145" s="202"/>
      <c r="BW145" s="202"/>
      <c r="BX145" s="202"/>
      <c r="BY145" s="202"/>
      <c r="BZ145" s="202">
        <v>4</v>
      </c>
      <c r="CA145" s="202"/>
      <c r="CB145" s="202"/>
      <c r="CC145" s="202"/>
      <c r="CD145" s="202"/>
      <c r="CE145" s="202"/>
      <c r="CF145" s="202"/>
      <c r="CG145" s="202"/>
      <c r="CH145" s="202"/>
      <c r="CI145" s="202"/>
      <c r="CJ145" s="202"/>
      <c r="CK145" s="202"/>
      <c r="CL145" s="202"/>
      <c r="CM145" s="202"/>
      <c r="CN145" s="202"/>
      <c r="CO145" s="202"/>
      <c r="CP145" s="202"/>
      <c r="CQ145" s="202"/>
      <c r="CR145" s="202"/>
      <c r="CS145" s="202"/>
      <c r="CT145" s="202"/>
      <c r="CU145" s="202"/>
      <c r="CV145" s="202"/>
      <c r="CW145" s="202"/>
      <c r="CX145" s="202"/>
      <c r="CY145" s="202"/>
      <c r="CZ145" s="202"/>
      <c r="DA145" s="202"/>
      <c r="DB145" s="202"/>
      <c r="DC145" s="202"/>
      <c r="DD145" s="202"/>
      <c r="DE145" s="202"/>
      <c r="DF145" s="202">
        <v>4</v>
      </c>
    </row>
    <row r="146" spans="1:110">
      <c r="A146" s="205" t="s">
        <v>2049</v>
      </c>
      <c r="B146" s="202"/>
      <c r="C146" s="202"/>
      <c r="D146" s="202"/>
      <c r="E146" s="202"/>
      <c r="F146" s="202"/>
      <c r="G146" s="202"/>
      <c r="H146" s="202"/>
      <c r="I146" s="202"/>
      <c r="J146" s="202"/>
      <c r="K146" s="202"/>
      <c r="L146" s="202"/>
      <c r="M146" s="202"/>
      <c r="N146" s="202">
        <v>4</v>
      </c>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c r="AQ146" s="202"/>
      <c r="AR146" s="202"/>
      <c r="AS146" s="202"/>
      <c r="AT146" s="202"/>
      <c r="AU146" s="202"/>
      <c r="AV146" s="202"/>
      <c r="AW146" s="202"/>
      <c r="AX146" s="202"/>
      <c r="AY146" s="202"/>
      <c r="AZ146" s="202"/>
      <c r="BA146" s="202"/>
      <c r="BB146" s="202"/>
      <c r="BC146" s="202"/>
      <c r="BD146" s="202"/>
      <c r="BE146" s="202"/>
      <c r="BF146" s="202"/>
      <c r="BG146" s="202"/>
      <c r="BH146" s="202"/>
      <c r="BI146" s="202"/>
      <c r="BJ146" s="202"/>
      <c r="BK146" s="202"/>
      <c r="BL146" s="202"/>
      <c r="BM146" s="202"/>
      <c r="BN146" s="202"/>
      <c r="BO146" s="202"/>
      <c r="BP146" s="202"/>
      <c r="BQ146" s="202"/>
      <c r="BR146" s="202"/>
      <c r="BS146" s="202"/>
      <c r="BT146" s="202"/>
      <c r="BU146" s="202"/>
      <c r="BV146" s="202"/>
      <c r="BW146" s="202"/>
      <c r="BX146" s="202"/>
      <c r="BY146" s="202"/>
      <c r="BZ146" s="202"/>
      <c r="CA146" s="202"/>
      <c r="CB146" s="202"/>
      <c r="CC146" s="202"/>
      <c r="CD146" s="202"/>
      <c r="CE146" s="202"/>
      <c r="CF146" s="202"/>
      <c r="CG146" s="202"/>
      <c r="CH146" s="202"/>
      <c r="CI146" s="202"/>
      <c r="CJ146" s="202"/>
      <c r="CK146" s="202"/>
      <c r="CL146" s="202"/>
      <c r="CM146" s="202"/>
      <c r="CN146" s="202"/>
      <c r="CO146" s="202"/>
      <c r="CP146" s="202"/>
      <c r="CQ146" s="202"/>
      <c r="CR146" s="202"/>
      <c r="CS146" s="202"/>
      <c r="CT146" s="202"/>
      <c r="CU146" s="202"/>
      <c r="CV146" s="202"/>
      <c r="CW146" s="202"/>
      <c r="CX146" s="202"/>
      <c r="CY146" s="202"/>
      <c r="CZ146" s="202"/>
      <c r="DA146" s="202"/>
      <c r="DB146" s="202"/>
      <c r="DC146" s="202"/>
      <c r="DD146" s="202"/>
      <c r="DE146" s="202"/>
      <c r="DF146" s="202">
        <v>4</v>
      </c>
    </row>
    <row r="147" spans="1:110">
      <c r="A147" s="205" t="s">
        <v>2051</v>
      </c>
      <c r="B147" s="202"/>
      <c r="C147" s="202"/>
      <c r="D147" s="202"/>
      <c r="E147" s="202"/>
      <c r="F147" s="202"/>
      <c r="G147" s="202"/>
      <c r="H147" s="202"/>
      <c r="I147" s="202"/>
      <c r="J147" s="202"/>
      <c r="K147" s="202"/>
      <c r="L147" s="202"/>
      <c r="M147" s="202"/>
      <c r="N147" s="202"/>
      <c r="O147" s="202"/>
      <c r="P147" s="202"/>
      <c r="Q147" s="202"/>
      <c r="R147" s="202"/>
      <c r="S147" s="202"/>
      <c r="T147" s="202"/>
      <c r="U147" s="202">
        <v>5</v>
      </c>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c r="AQ147" s="202"/>
      <c r="AR147" s="202"/>
      <c r="AS147" s="202"/>
      <c r="AT147" s="202"/>
      <c r="AU147" s="202"/>
      <c r="AV147" s="202"/>
      <c r="AW147" s="202"/>
      <c r="AX147" s="202"/>
      <c r="AY147" s="202"/>
      <c r="AZ147" s="202"/>
      <c r="BA147" s="202"/>
      <c r="BB147" s="202"/>
      <c r="BC147" s="202"/>
      <c r="BD147" s="202"/>
      <c r="BE147" s="202"/>
      <c r="BF147" s="202"/>
      <c r="BG147" s="202"/>
      <c r="BH147" s="202"/>
      <c r="BI147" s="202"/>
      <c r="BJ147" s="202"/>
      <c r="BK147" s="202"/>
      <c r="BL147" s="202"/>
      <c r="BM147" s="202"/>
      <c r="BN147" s="202"/>
      <c r="BO147" s="202"/>
      <c r="BP147" s="202"/>
      <c r="BQ147" s="202"/>
      <c r="BR147" s="202"/>
      <c r="BS147" s="202"/>
      <c r="BT147" s="202"/>
      <c r="BU147" s="202"/>
      <c r="BV147" s="202"/>
      <c r="BW147" s="202"/>
      <c r="BX147" s="202"/>
      <c r="BY147" s="202"/>
      <c r="BZ147" s="202"/>
      <c r="CA147" s="202"/>
      <c r="CB147" s="202"/>
      <c r="CC147" s="202"/>
      <c r="CD147" s="202"/>
      <c r="CE147" s="202"/>
      <c r="CF147" s="202"/>
      <c r="CG147" s="202"/>
      <c r="CH147" s="202"/>
      <c r="CI147" s="202"/>
      <c r="CJ147" s="202"/>
      <c r="CK147" s="202"/>
      <c r="CL147" s="202"/>
      <c r="CM147" s="202"/>
      <c r="CN147" s="202"/>
      <c r="CO147" s="202"/>
      <c r="CP147" s="202"/>
      <c r="CQ147" s="202"/>
      <c r="CR147" s="202"/>
      <c r="CS147" s="202"/>
      <c r="CT147" s="202"/>
      <c r="CU147" s="202"/>
      <c r="CV147" s="202"/>
      <c r="CW147" s="202"/>
      <c r="CX147" s="202"/>
      <c r="CY147" s="202"/>
      <c r="CZ147" s="202"/>
      <c r="DA147" s="202"/>
      <c r="DB147" s="202"/>
      <c r="DC147" s="202"/>
      <c r="DD147" s="202"/>
      <c r="DE147" s="202"/>
      <c r="DF147" s="202">
        <v>5</v>
      </c>
    </row>
    <row r="148" spans="1:110">
      <c r="A148" s="205" t="s">
        <v>2050</v>
      </c>
      <c r="B148" s="202"/>
      <c r="C148" s="202"/>
      <c r="D148" s="202"/>
      <c r="E148" s="202"/>
      <c r="F148" s="202">
        <v>5</v>
      </c>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c r="AQ148" s="202"/>
      <c r="AR148" s="202"/>
      <c r="AS148" s="202"/>
      <c r="AT148" s="202"/>
      <c r="AU148" s="202"/>
      <c r="AV148" s="202"/>
      <c r="AW148" s="202"/>
      <c r="AX148" s="202"/>
      <c r="AY148" s="202"/>
      <c r="AZ148" s="202"/>
      <c r="BA148" s="202"/>
      <c r="BB148" s="202"/>
      <c r="BC148" s="202"/>
      <c r="BD148" s="202"/>
      <c r="BE148" s="202"/>
      <c r="BF148" s="202"/>
      <c r="BG148" s="202"/>
      <c r="BH148" s="202"/>
      <c r="BI148" s="202"/>
      <c r="BJ148" s="202"/>
      <c r="BK148" s="202"/>
      <c r="BL148" s="202"/>
      <c r="BM148" s="202"/>
      <c r="BN148" s="202"/>
      <c r="BO148" s="202"/>
      <c r="BP148" s="202"/>
      <c r="BQ148" s="202"/>
      <c r="BR148" s="202"/>
      <c r="BS148" s="202"/>
      <c r="BT148" s="202"/>
      <c r="BU148" s="202"/>
      <c r="BV148" s="202"/>
      <c r="BW148" s="202"/>
      <c r="BX148" s="202"/>
      <c r="BY148" s="202"/>
      <c r="BZ148" s="202"/>
      <c r="CA148" s="202"/>
      <c r="CB148" s="202"/>
      <c r="CC148" s="202"/>
      <c r="CD148" s="202"/>
      <c r="CE148" s="202"/>
      <c r="CF148" s="202"/>
      <c r="CG148" s="202"/>
      <c r="CH148" s="202"/>
      <c r="CI148" s="202"/>
      <c r="CJ148" s="202"/>
      <c r="CK148" s="202"/>
      <c r="CL148" s="202"/>
      <c r="CM148" s="202"/>
      <c r="CN148" s="202"/>
      <c r="CO148" s="202"/>
      <c r="CP148" s="202"/>
      <c r="CQ148" s="202"/>
      <c r="CR148" s="202"/>
      <c r="CS148" s="202"/>
      <c r="CT148" s="202"/>
      <c r="CU148" s="202"/>
      <c r="CV148" s="202"/>
      <c r="CW148" s="202"/>
      <c r="CX148" s="202"/>
      <c r="CY148" s="202"/>
      <c r="CZ148" s="202"/>
      <c r="DA148" s="202"/>
      <c r="DB148" s="202"/>
      <c r="DC148" s="202"/>
      <c r="DD148" s="202"/>
      <c r="DE148" s="202"/>
      <c r="DF148" s="202">
        <v>5</v>
      </c>
    </row>
    <row r="149" spans="1:110">
      <c r="A149" s="205" t="s">
        <v>2091</v>
      </c>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c r="AR149" s="202"/>
      <c r="AS149" s="202"/>
      <c r="AT149" s="202"/>
      <c r="AU149" s="202"/>
      <c r="AV149" s="202"/>
      <c r="AW149" s="202"/>
      <c r="AX149" s="202"/>
      <c r="AY149" s="202">
        <v>5</v>
      </c>
      <c r="AZ149" s="202"/>
      <c r="BA149" s="202"/>
      <c r="BB149" s="202"/>
      <c r="BC149" s="202"/>
      <c r="BD149" s="202"/>
      <c r="BE149" s="202"/>
      <c r="BF149" s="202"/>
      <c r="BG149" s="202"/>
      <c r="BH149" s="202"/>
      <c r="BI149" s="202"/>
      <c r="BJ149" s="202"/>
      <c r="BK149" s="202"/>
      <c r="BL149" s="202"/>
      <c r="BM149" s="202"/>
      <c r="BN149" s="202"/>
      <c r="BO149" s="202"/>
      <c r="BP149" s="202"/>
      <c r="BQ149" s="202"/>
      <c r="BR149" s="202"/>
      <c r="BS149" s="202"/>
      <c r="BT149" s="202"/>
      <c r="BU149" s="202"/>
      <c r="BV149" s="202"/>
      <c r="BW149" s="202"/>
      <c r="BX149" s="202"/>
      <c r="BY149" s="202"/>
      <c r="BZ149" s="202"/>
      <c r="CA149" s="202"/>
      <c r="CB149" s="202"/>
      <c r="CC149" s="202"/>
      <c r="CD149" s="202"/>
      <c r="CE149" s="202"/>
      <c r="CF149" s="202"/>
      <c r="CG149" s="202"/>
      <c r="CH149" s="202"/>
      <c r="CI149" s="202"/>
      <c r="CJ149" s="202"/>
      <c r="CK149" s="202"/>
      <c r="CL149" s="202"/>
      <c r="CM149" s="202"/>
      <c r="CN149" s="202"/>
      <c r="CO149" s="202"/>
      <c r="CP149" s="202"/>
      <c r="CQ149" s="202"/>
      <c r="CR149" s="202"/>
      <c r="CS149" s="202"/>
      <c r="CT149" s="202"/>
      <c r="CU149" s="202"/>
      <c r="CV149" s="202"/>
      <c r="CW149" s="202"/>
      <c r="CX149" s="202"/>
      <c r="CY149" s="202"/>
      <c r="CZ149" s="202"/>
      <c r="DA149" s="202"/>
      <c r="DB149" s="202"/>
      <c r="DC149" s="202"/>
      <c r="DD149" s="202"/>
      <c r="DE149" s="202"/>
      <c r="DF149" s="202">
        <v>5</v>
      </c>
    </row>
    <row r="150" spans="1:110">
      <c r="A150" s="203" t="s">
        <v>3389</v>
      </c>
      <c r="B150" s="202">
        <v>4</v>
      </c>
      <c r="C150" s="202">
        <v>5</v>
      </c>
      <c r="D150" s="202">
        <v>4</v>
      </c>
      <c r="E150" s="202">
        <v>5</v>
      </c>
      <c r="F150" s="202">
        <v>5</v>
      </c>
      <c r="G150" s="202">
        <v>6</v>
      </c>
      <c r="H150" s="202">
        <v>5</v>
      </c>
      <c r="I150" s="202">
        <v>9</v>
      </c>
      <c r="J150" s="202">
        <v>9</v>
      </c>
      <c r="K150" s="202">
        <v>4</v>
      </c>
      <c r="L150" s="202">
        <v>2</v>
      </c>
      <c r="M150" s="202">
        <v>3</v>
      </c>
      <c r="N150" s="202">
        <v>4</v>
      </c>
      <c r="O150" s="202">
        <v>8</v>
      </c>
      <c r="P150" s="202">
        <v>6</v>
      </c>
      <c r="Q150" s="202">
        <v>4</v>
      </c>
      <c r="R150" s="202">
        <v>4</v>
      </c>
      <c r="S150" s="202">
        <v>4</v>
      </c>
      <c r="T150" s="202">
        <v>4</v>
      </c>
      <c r="U150" s="202">
        <v>7</v>
      </c>
      <c r="V150" s="202">
        <v>2</v>
      </c>
      <c r="W150" s="202">
        <v>2</v>
      </c>
      <c r="X150" s="202">
        <v>3</v>
      </c>
      <c r="Y150" s="202">
        <v>5</v>
      </c>
      <c r="Z150" s="202">
        <v>6</v>
      </c>
      <c r="AA150" s="202">
        <v>4</v>
      </c>
      <c r="AB150" s="202">
        <v>5</v>
      </c>
      <c r="AC150" s="202">
        <v>5</v>
      </c>
      <c r="AD150" s="202">
        <v>1</v>
      </c>
      <c r="AE150" s="202">
        <v>1</v>
      </c>
      <c r="AF150" s="202">
        <v>2</v>
      </c>
      <c r="AG150" s="202">
        <v>1</v>
      </c>
      <c r="AH150" s="202">
        <v>1</v>
      </c>
      <c r="AI150" s="202">
        <v>2</v>
      </c>
      <c r="AJ150" s="202">
        <v>1</v>
      </c>
      <c r="AK150" s="202">
        <v>1</v>
      </c>
      <c r="AL150" s="202">
        <v>1</v>
      </c>
      <c r="AM150" s="202">
        <v>2</v>
      </c>
      <c r="AN150" s="202">
        <v>1</v>
      </c>
      <c r="AO150" s="202">
        <v>1</v>
      </c>
      <c r="AP150" s="202">
        <v>1</v>
      </c>
      <c r="AQ150" s="202">
        <v>2</v>
      </c>
      <c r="AR150" s="202">
        <v>1</v>
      </c>
      <c r="AS150" s="202">
        <v>1</v>
      </c>
      <c r="AT150" s="202">
        <v>1</v>
      </c>
      <c r="AU150" s="202">
        <v>1</v>
      </c>
      <c r="AV150" s="202">
        <v>1</v>
      </c>
      <c r="AW150" s="202">
        <v>8</v>
      </c>
      <c r="AX150" s="202">
        <v>6</v>
      </c>
      <c r="AY150" s="202">
        <v>5</v>
      </c>
      <c r="AZ150" s="202">
        <v>8</v>
      </c>
      <c r="BA150" s="202">
        <v>4</v>
      </c>
      <c r="BB150" s="202">
        <v>1</v>
      </c>
      <c r="BC150" s="202">
        <v>1</v>
      </c>
      <c r="BD150" s="202">
        <v>1</v>
      </c>
      <c r="BE150" s="202">
        <v>1</v>
      </c>
      <c r="BF150" s="202">
        <v>2</v>
      </c>
      <c r="BG150" s="202">
        <v>4</v>
      </c>
      <c r="BH150" s="202">
        <v>5</v>
      </c>
      <c r="BI150" s="202">
        <v>2</v>
      </c>
      <c r="BJ150" s="202">
        <v>2</v>
      </c>
      <c r="BK150" s="202">
        <v>1</v>
      </c>
      <c r="BL150" s="202">
        <v>5</v>
      </c>
      <c r="BM150" s="202">
        <v>1</v>
      </c>
      <c r="BN150" s="202">
        <v>1</v>
      </c>
      <c r="BO150" s="202">
        <v>4</v>
      </c>
      <c r="BP150" s="202">
        <v>1</v>
      </c>
      <c r="BQ150" s="202">
        <v>2</v>
      </c>
      <c r="BR150" s="202">
        <v>3</v>
      </c>
      <c r="BS150" s="202">
        <v>4</v>
      </c>
      <c r="BT150" s="202">
        <v>4</v>
      </c>
      <c r="BU150" s="202">
        <v>4</v>
      </c>
      <c r="BV150" s="202">
        <v>5</v>
      </c>
      <c r="BW150" s="202">
        <v>5</v>
      </c>
      <c r="BX150" s="202">
        <v>4</v>
      </c>
      <c r="BY150" s="202">
        <v>5</v>
      </c>
      <c r="BZ150" s="202">
        <v>4</v>
      </c>
      <c r="CA150" s="202">
        <v>6</v>
      </c>
      <c r="CB150" s="202">
        <v>5</v>
      </c>
      <c r="CC150" s="202">
        <v>2</v>
      </c>
      <c r="CD150" s="202">
        <v>4</v>
      </c>
      <c r="CE150" s="202">
        <v>2</v>
      </c>
      <c r="CF150" s="202">
        <v>3</v>
      </c>
      <c r="CG150" s="202">
        <v>2</v>
      </c>
      <c r="CH150" s="202">
        <v>3</v>
      </c>
      <c r="CI150" s="202">
        <v>5</v>
      </c>
      <c r="CJ150" s="202">
        <v>3</v>
      </c>
      <c r="CK150" s="202">
        <v>4</v>
      </c>
      <c r="CL150" s="202">
        <v>4</v>
      </c>
      <c r="CM150" s="202">
        <v>11</v>
      </c>
      <c r="CN150" s="202">
        <v>1</v>
      </c>
      <c r="CO150" s="202">
        <v>1</v>
      </c>
      <c r="CP150" s="202">
        <v>1</v>
      </c>
      <c r="CQ150" s="202">
        <v>10</v>
      </c>
      <c r="CR150" s="202">
        <v>5</v>
      </c>
      <c r="CS150" s="202">
        <v>4</v>
      </c>
      <c r="CT150" s="202">
        <v>9</v>
      </c>
      <c r="CU150" s="202">
        <v>4</v>
      </c>
      <c r="CV150" s="202">
        <v>4</v>
      </c>
      <c r="CW150" s="202">
        <v>1</v>
      </c>
      <c r="CX150" s="202">
        <v>1</v>
      </c>
      <c r="CY150" s="202">
        <v>4</v>
      </c>
      <c r="CZ150" s="202">
        <v>2</v>
      </c>
      <c r="DA150" s="202">
        <v>8</v>
      </c>
      <c r="DB150" s="202">
        <v>4</v>
      </c>
      <c r="DC150" s="202">
        <v>5</v>
      </c>
      <c r="DD150" s="202">
        <v>2</v>
      </c>
      <c r="DE150" s="202">
        <v>125</v>
      </c>
      <c r="DF150" s="202">
        <v>505</v>
      </c>
    </row>
  </sheetData>
  <pageMargins left="0.7" right="0.7"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58539-DF38-E34D-9EC5-7561F330BADD}">
  <dimension ref="A1:O145"/>
  <sheetViews>
    <sheetView topLeftCell="A84" zoomScale="140" zoomScaleNormal="140" workbookViewId="0">
      <selection activeCell="E2" sqref="E2:E145"/>
    </sheetView>
  </sheetViews>
  <sheetFormatPr baseColWidth="10" defaultRowHeight="15"/>
  <cols>
    <col min="2" max="2" width="12.5" bestFit="1" customWidth="1"/>
    <col min="4" max="4" width="13.33203125" bestFit="1" customWidth="1"/>
    <col min="5" max="5" width="13.6640625" style="202" bestFit="1" customWidth="1"/>
    <col min="6" max="15" width="10.83203125" style="202"/>
  </cols>
  <sheetData>
    <row r="1" spans="1:5">
      <c r="A1" t="s">
        <v>3457</v>
      </c>
      <c r="B1" t="s">
        <v>3458</v>
      </c>
      <c r="D1" t="s">
        <v>3459</v>
      </c>
      <c r="E1" s="202" t="s">
        <v>3456</v>
      </c>
    </row>
    <row r="2" spans="1:5">
      <c r="A2" s="205" t="s">
        <v>1927</v>
      </c>
      <c r="B2" t="s">
        <v>3417</v>
      </c>
      <c r="D2" t="s">
        <v>3391</v>
      </c>
      <c r="E2" s="207" t="s">
        <v>3460</v>
      </c>
    </row>
    <row r="3" spans="1:5">
      <c r="A3" s="205" t="s">
        <v>1921</v>
      </c>
      <c r="B3" t="s">
        <v>3418</v>
      </c>
      <c r="D3" t="s">
        <v>2046</v>
      </c>
      <c r="E3" s="207" t="s">
        <v>3461</v>
      </c>
    </row>
    <row r="4" spans="1:5">
      <c r="A4" s="205" t="s">
        <v>1922</v>
      </c>
      <c r="B4" t="s">
        <v>3419</v>
      </c>
      <c r="D4" t="s">
        <v>2047</v>
      </c>
      <c r="E4" s="207" t="s">
        <v>3462</v>
      </c>
    </row>
    <row r="5" spans="1:5">
      <c r="A5" s="205" t="s">
        <v>1923</v>
      </c>
      <c r="B5" t="s">
        <v>3420</v>
      </c>
      <c r="D5" t="s">
        <v>3117</v>
      </c>
      <c r="E5" s="207" t="s">
        <v>3463</v>
      </c>
    </row>
    <row r="6" spans="1:5">
      <c r="A6" s="205" t="s">
        <v>1925</v>
      </c>
      <c r="B6" t="s">
        <v>3421</v>
      </c>
      <c r="D6" t="s">
        <v>2359</v>
      </c>
      <c r="E6" s="207" t="s">
        <v>3464</v>
      </c>
    </row>
    <row r="7" spans="1:5">
      <c r="A7" s="205" t="s">
        <v>1926</v>
      </c>
      <c r="B7" t="s">
        <v>3422</v>
      </c>
      <c r="D7" t="s">
        <v>2090</v>
      </c>
      <c r="E7" s="207" t="s">
        <v>3465</v>
      </c>
    </row>
    <row r="8" spans="1:5">
      <c r="D8" t="s">
        <v>2763</v>
      </c>
      <c r="E8" s="207" t="s">
        <v>3466</v>
      </c>
    </row>
    <row r="9" spans="1:5">
      <c r="D9" t="s">
        <v>3045</v>
      </c>
      <c r="E9" s="207" t="s">
        <v>3467</v>
      </c>
    </row>
    <row r="10" spans="1:5">
      <c r="D10" t="s">
        <v>2160</v>
      </c>
      <c r="E10" s="207" t="s">
        <v>3468</v>
      </c>
    </row>
    <row r="11" spans="1:5">
      <c r="D11" t="s">
        <v>3392</v>
      </c>
      <c r="E11" s="207" t="s">
        <v>3469</v>
      </c>
    </row>
    <row r="12" spans="1:5">
      <c r="D12" t="s">
        <v>2164</v>
      </c>
      <c r="E12" s="207" t="s">
        <v>3470</v>
      </c>
    </row>
    <row r="13" spans="1:5">
      <c r="D13" t="s">
        <v>3393</v>
      </c>
      <c r="E13" s="207" t="s">
        <v>3471</v>
      </c>
    </row>
    <row r="14" spans="1:5">
      <c r="D14" t="s">
        <v>3394</v>
      </c>
      <c r="E14" s="207" t="s">
        <v>3472</v>
      </c>
    </row>
    <row r="15" spans="1:5">
      <c r="D15" t="s">
        <v>3395</v>
      </c>
      <c r="E15" s="207" t="s">
        <v>3473</v>
      </c>
    </row>
    <row r="16" spans="1:5">
      <c r="D16" t="s">
        <v>3396</v>
      </c>
      <c r="E16" s="207" t="s">
        <v>3474</v>
      </c>
    </row>
    <row r="17" spans="4:5">
      <c r="D17" t="s">
        <v>2148</v>
      </c>
      <c r="E17" s="207" t="s">
        <v>3475</v>
      </c>
    </row>
    <row r="18" spans="4:5">
      <c r="D18" t="s">
        <v>2579</v>
      </c>
      <c r="E18" s="207" t="s">
        <v>3476</v>
      </c>
    </row>
    <row r="19" spans="4:5">
      <c r="D19" t="s">
        <v>2154</v>
      </c>
      <c r="E19" s="207" t="s">
        <v>3477</v>
      </c>
    </row>
    <row r="20" spans="4:5">
      <c r="D20" t="s">
        <v>2151</v>
      </c>
      <c r="E20" s="207" t="s">
        <v>3478</v>
      </c>
    </row>
    <row r="21" spans="4:5">
      <c r="D21" t="s">
        <v>2150</v>
      </c>
      <c r="E21" s="207" t="s">
        <v>3479</v>
      </c>
    </row>
    <row r="22" spans="4:5">
      <c r="D22" t="s">
        <v>2628</v>
      </c>
      <c r="E22" s="207" t="s">
        <v>3480</v>
      </c>
    </row>
    <row r="23" spans="4:5">
      <c r="D23" t="s">
        <v>2616</v>
      </c>
      <c r="E23" s="207" t="s">
        <v>3481</v>
      </c>
    </row>
    <row r="24" spans="4:5">
      <c r="D24" t="s">
        <v>2152</v>
      </c>
      <c r="E24" s="207" t="s">
        <v>3482</v>
      </c>
    </row>
    <row r="25" spans="4:5">
      <c r="D25" t="s">
        <v>2410</v>
      </c>
      <c r="E25" s="207" t="s">
        <v>3483</v>
      </c>
    </row>
    <row r="26" spans="4:5">
      <c r="D26" t="s">
        <v>2592</v>
      </c>
      <c r="E26" s="207" t="s">
        <v>3484</v>
      </c>
    </row>
    <row r="27" spans="4:5">
      <c r="D27" t="s">
        <v>2149</v>
      </c>
      <c r="E27" s="207" t="s">
        <v>3485</v>
      </c>
    </row>
    <row r="28" spans="4:5">
      <c r="D28" t="s">
        <v>3397</v>
      </c>
      <c r="E28" s="207" t="s">
        <v>3486</v>
      </c>
    </row>
    <row r="29" spans="4:5">
      <c r="D29" t="s">
        <v>3092</v>
      </c>
      <c r="E29" s="207" t="s">
        <v>3487</v>
      </c>
    </row>
    <row r="30" spans="4:5">
      <c r="D30" t="s">
        <v>2648</v>
      </c>
      <c r="E30" s="207" t="s">
        <v>3488</v>
      </c>
    </row>
    <row r="31" spans="4:5">
      <c r="D31" t="s">
        <v>2112</v>
      </c>
      <c r="E31" s="207" t="s">
        <v>3489</v>
      </c>
    </row>
    <row r="32" spans="4:5">
      <c r="D32" t="s">
        <v>3066</v>
      </c>
      <c r="E32" s="207" t="s">
        <v>3490</v>
      </c>
    </row>
    <row r="33" spans="4:5">
      <c r="D33" t="s">
        <v>2110</v>
      </c>
      <c r="E33" s="207" t="s">
        <v>3491</v>
      </c>
    </row>
    <row r="34" spans="4:5">
      <c r="D34" t="s">
        <v>2111</v>
      </c>
      <c r="E34" s="207" t="s">
        <v>3492</v>
      </c>
    </row>
    <row r="35" spans="4:5">
      <c r="D35" t="s">
        <v>2165</v>
      </c>
      <c r="E35" s="207" t="s">
        <v>3493</v>
      </c>
    </row>
    <row r="36" spans="4:5">
      <c r="D36" t="s">
        <v>2073</v>
      </c>
      <c r="E36" s="207" t="s">
        <v>3494</v>
      </c>
    </row>
    <row r="37" spans="4:5">
      <c r="D37" t="s">
        <v>3398</v>
      </c>
      <c r="E37" s="207" t="s">
        <v>3495</v>
      </c>
    </row>
    <row r="38" spans="4:5">
      <c r="D38" t="s">
        <v>2082</v>
      </c>
      <c r="E38" s="207" t="s">
        <v>3496</v>
      </c>
    </row>
    <row r="39" spans="4:5">
      <c r="D39" t="s">
        <v>2064</v>
      </c>
      <c r="E39" s="207" t="s">
        <v>3497</v>
      </c>
    </row>
    <row r="40" spans="4:5">
      <c r="D40" t="s">
        <v>2056</v>
      </c>
      <c r="E40" s="207" t="s">
        <v>3498</v>
      </c>
    </row>
    <row r="41" spans="4:5">
      <c r="D41" t="s">
        <v>2445</v>
      </c>
      <c r="E41" s="207" t="s">
        <v>3499</v>
      </c>
    </row>
    <row r="42" spans="4:5">
      <c r="D42" t="s">
        <v>2999</v>
      </c>
      <c r="E42" s="207" t="s">
        <v>3500</v>
      </c>
    </row>
    <row r="43" spans="4:5">
      <c r="D43" t="s">
        <v>2076</v>
      </c>
      <c r="E43" s="207" t="s">
        <v>3501</v>
      </c>
    </row>
    <row r="44" spans="4:5">
      <c r="D44" t="s">
        <v>2055</v>
      </c>
      <c r="E44" s="207" t="s">
        <v>3502</v>
      </c>
    </row>
    <row r="45" spans="4:5">
      <c r="D45" t="s">
        <v>2065</v>
      </c>
      <c r="E45" s="207" t="s">
        <v>3503</v>
      </c>
    </row>
    <row r="46" spans="4:5">
      <c r="D46" t="s">
        <v>2057</v>
      </c>
      <c r="E46" s="207" t="s">
        <v>3504</v>
      </c>
    </row>
    <row r="47" spans="4:5">
      <c r="D47" t="s">
        <v>2084</v>
      </c>
      <c r="E47" s="207" t="s">
        <v>3505</v>
      </c>
    </row>
    <row r="48" spans="4:5">
      <c r="D48" t="s">
        <v>2078</v>
      </c>
      <c r="E48" s="207" t="s">
        <v>3506</v>
      </c>
    </row>
    <row r="49" spans="4:5">
      <c r="D49" t="s">
        <v>2077</v>
      </c>
      <c r="E49" s="207" t="s">
        <v>3507</v>
      </c>
    </row>
    <row r="50" spans="4:5">
      <c r="D50" t="s">
        <v>3399</v>
      </c>
      <c r="E50" s="207" t="s">
        <v>3508</v>
      </c>
    </row>
    <row r="51" spans="4:5">
      <c r="D51" t="s">
        <v>2068</v>
      </c>
      <c r="E51" s="207" t="s">
        <v>3509</v>
      </c>
    </row>
    <row r="52" spans="4:5">
      <c r="D52" t="s">
        <v>2086</v>
      </c>
      <c r="E52" s="207" t="s">
        <v>3510</v>
      </c>
    </row>
    <row r="53" spans="4:5">
      <c r="D53" t="s">
        <v>2087</v>
      </c>
      <c r="E53" s="207" t="s">
        <v>3511</v>
      </c>
    </row>
    <row r="54" spans="4:5">
      <c r="D54" t="s">
        <v>2060</v>
      </c>
      <c r="E54" s="207" t="s">
        <v>3512</v>
      </c>
    </row>
    <row r="55" spans="4:5">
      <c r="D55" t="s">
        <v>2081</v>
      </c>
      <c r="E55" s="207" t="s">
        <v>3513</v>
      </c>
    </row>
    <row r="56" spans="4:5">
      <c r="D56" t="s">
        <v>2083</v>
      </c>
      <c r="E56" s="207" t="s">
        <v>3514</v>
      </c>
    </row>
    <row r="57" spans="4:5">
      <c r="D57" t="s">
        <v>2054</v>
      </c>
      <c r="E57" s="207" t="s">
        <v>3515</v>
      </c>
    </row>
    <row r="58" spans="4:5">
      <c r="D58" t="s">
        <v>2070</v>
      </c>
      <c r="E58" s="207" t="s">
        <v>3516</v>
      </c>
    </row>
    <row r="59" spans="4:5">
      <c r="D59" t="s">
        <v>2071</v>
      </c>
      <c r="E59" s="207" t="s">
        <v>3517</v>
      </c>
    </row>
    <row r="60" spans="4:5">
      <c r="D60" t="s">
        <v>3400</v>
      </c>
      <c r="E60" s="207" t="s">
        <v>3518</v>
      </c>
    </row>
    <row r="61" spans="4:5">
      <c r="D61" t="s">
        <v>2069</v>
      </c>
      <c r="E61" s="207" t="s">
        <v>3519</v>
      </c>
    </row>
    <row r="62" spans="4:5">
      <c r="D62" t="s">
        <v>3105</v>
      </c>
      <c r="E62" s="207" t="s">
        <v>3520</v>
      </c>
    </row>
    <row r="63" spans="4:5">
      <c r="D63" t="s">
        <v>2334</v>
      </c>
      <c r="E63" s="207" t="s">
        <v>3521</v>
      </c>
    </row>
    <row r="64" spans="4:5">
      <c r="D64" t="s">
        <v>2061</v>
      </c>
      <c r="E64" s="207" t="s">
        <v>3522</v>
      </c>
    </row>
    <row r="65" spans="4:5">
      <c r="D65" t="s">
        <v>3097</v>
      </c>
      <c r="E65" s="207" t="s">
        <v>3523</v>
      </c>
    </row>
    <row r="66" spans="4:5">
      <c r="D66" t="s">
        <v>2289</v>
      </c>
      <c r="E66" s="207" t="s">
        <v>3524</v>
      </c>
    </row>
    <row r="67" spans="4:5">
      <c r="D67" t="s">
        <v>2669</v>
      </c>
      <c r="E67" s="207" t="s">
        <v>3525</v>
      </c>
    </row>
    <row r="68" spans="4:5">
      <c r="D68" t="s">
        <v>2074</v>
      </c>
      <c r="E68" s="207" t="s">
        <v>3526</v>
      </c>
    </row>
    <row r="69" spans="4:5">
      <c r="D69" t="s">
        <v>2600</v>
      </c>
      <c r="E69" s="207" t="s">
        <v>3527</v>
      </c>
    </row>
    <row r="70" spans="4:5">
      <c r="D70" t="s">
        <v>3401</v>
      </c>
      <c r="E70" s="207" t="s">
        <v>3528</v>
      </c>
    </row>
    <row r="71" spans="4:5">
      <c r="D71" t="s">
        <v>2282</v>
      </c>
      <c r="E71" s="207" t="s">
        <v>3529</v>
      </c>
    </row>
    <row r="72" spans="4:5">
      <c r="D72" t="s">
        <v>2144</v>
      </c>
      <c r="E72" s="207" t="s">
        <v>3530</v>
      </c>
    </row>
    <row r="73" spans="4:5">
      <c r="D73" t="s">
        <v>2788</v>
      </c>
      <c r="E73" s="207" t="s">
        <v>3531</v>
      </c>
    </row>
    <row r="74" spans="4:5">
      <c r="D74" t="s">
        <v>2145</v>
      </c>
      <c r="E74" s="207" t="s">
        <v>3532</v>
      </c>
    </row>
    <row r="75" spans="4:5">
      <c r="D75" t="s">
        <v>2143</v>
      </c>
      <c r="E75" s="207" t="s">
        <v>3533</v>
      </c>
    </row>
    <row r="76" spans="4:5">
      <c r="D76" t="s">
        <v>2845</v>
      </c>
      <c r="E76" s="207" t="s">
        <v>3534</v>
      </c>
    </row>
    <row r="77" spans="4:5">
      <c r="D77" t="s">
        <v>3402</v>
      </c>
      <c r="E77" s="207" t="s">
        <v>3535</v>
      </c>
    </row>
    <row r="78" spans="4:5">
      <c r="D78" t="s">
        <v>2027</v>
      </c>
      <c r="E78" s="207" t="s">
        <v>3536</v>
      </c>
    </row>
    <row r="79" spans="4:5">
      <c r="D79" t="s">
        <v>2116</v>
      </c>
      <c r="E79" s="207" t="s">
        <v>3537</v>
      </c>
    </row>
    <row r="80" spans="4:5">
      <c r="D80" t="s">
        <v>2115</v>
      </c>
      <c r="E80" s="207" t="s">
        <v>3538</v>
      </c>
    </row>
    <row r="81" spans="4:5">
      <c r="D81" t="s">
        <v>2136</v>
      </c>
      <c r="E81" s="207" t="s">
        <v>3539</v>
      </c>
    </row>
    <row r="82" spans="4:5">
      <c r="D82" t="s">
        <v>3403</v>
      </c>
      <c r="E82" s="207" t="s">
        <v>3540</v>
      </c>
    </row>
    <row r="83" spans="4:5">
      <c r="D83" t="s">
        <v>3404</v>
      </c>
      <c r="E83" s="207" t="s">
        <v>3541</v>
      </c>
    </row>
    <row r="84" spans="4:5">
      <c r="D84" t="s">
        <v>2986</v>
      </c>
      <c r="E84" s="207" t="s">
        <v>3542</v>
      </c>
    </row>
    <row r="85" spans="4:5">
      <c r="D85" t="s">
        <v>2658</v>
      </c>
      <c r="E85" s="207" t="s">
        <v>3543</v>
      </c>
    </row>
    <row r="86" spans="4:5">
      <c r="D86" t="s">
        <v>2132</v>
      </c>
      <c r="E86" s="207" t="s">
        <v>3544</v>
      </c>
    </row>
    <row r="87" spans="4:5">
      <c r="D87" t="s">
        <v>3405</v>
      </c>
      <c r="E87" s="207" t="s">
        <v>3545</v>
      </c>
    </row>
    <row r="88" spans="4:5">
      <c r="D88" t="s">
        <v>3406</v>
      </c>
      <c r="E88" s="207" t="s">
        <v>3546</v>
      </c>
    </row>
    <row r="89" spans="4:5">
      <c r="D89" t="s">
        <v>3407</v>
      </c>
      <c r="E89" s="207" t="s">
        <v>3547</v>
      </c>
    </row>
    <row r="90" spans="4:5">
      <c r="D90" t="s">
        <v>2128</v>
      </c>
      <c r="E90" s="207" t="s">
        <v>3548</v>
      </c>
    </row>
    <row r="91" spans="4:5">
      <c r="D91" t="s">
        <v>3408</v>
      </c>
      <c r="E91" s="207" t="s">
        <v>3549</v>
      </c>
    </row>
    <row r="92" spans="4:5">
      <c r="D92" t="s">
        <v>2135</v>
      </c>
      <c r="E92" s="207" t="s">
        <v>3550</v>
      </c>
    </row>
    <row r="93" spans="4:5">
      <c r="D93" t="s">
        <v>3409</v>
      </c>
      <c r="E93" s="207" t="s">
        <v>3551</v>
      </c>
    </row>
    <row r="94" spans="4:5">
      <c r="D94" t="s">
        <v>3410</v>
      </c>
      <c r="E94" s="207" t="s">
        <v>3552</v>
      </c>
    </row>
    <row r="95" spans="4:5">
      <c r="D95" t="s">
        <v>3411</v>
      </c>
      <c r="E95" s="207" t="s">
        <v>3553</v>
      </c>
    </row>
    <row r="96" spans="4:5">
      <c r="D96" t="s">
        <v>2131</v>
      </c>
      <c r="E96" s="207" t="s">
        <v>3554</v>
      </c>
    </row>
    <row r="97" spans="4:5">
      <c r="D97" t="s">
        <v>2117</v>
      </c>
      <c r="E97" s="207" t="s">
        <v>3555</v>
      </c>
    </row>
    <row r="98" spans="4:5">
      <c r="D98" t="s">
        <v>2126</v>
      </c>
      <c r="E98" s="207" t="s">
        <v>3556</v>
      </c>
    </row>
    <row r="99" spans="4:5">
      <c r="D99" t="s">
        <v>2125</v>
      </c>
      <c r="E99" s="207" t="s">
        <v>3557</v>
      </c>
    </row>
    <row r="100" spans="4:5">
      <c r="D100" t="s">
        <v>2249</v>
      </c>
      <c r="E100" s="207" t="s">
        <v>3558</v>
      </c>
    </row>
    <row r="101" spans="4:5">
      <c r="D101" t="s">
        <v>2124</v>
      </c>
      <c r="E101" s="207" t="s">
        <v>3559</v>
      </c>
    </row>
    <row r="102" spans="4:5">
      <c r="D102" t="s">
        <v>2122</v>
      </c>
      <c r="E102" s="207" t="s">
        <v>3560</v>
      </c>
    </row>
    <row r="103" spans="4:5">
      <c r="D103" t="s">
        <v>2114</v>
      </c>
      <c r="E103" s="207" t="s">
        <v>3561</v>
      </c>
    </row>
    <row r="104" spans="4:5">
      <c r="D104" t="s">
        <v>3412</v>
      </c>
      <c r="E104" s="207" t="s">
        <v>3562</v>
      </c>
    </row>
    <row r="105" spans="4:5">
      <c r="D105" t="s">
        <v>2166</v>
      </c>
      <c r="E105" s="207" t="s">
        <v>3563</v>
      </c>
    </row>
    <row r="106" spans="4:5">
      <c r="D106" t="s">
        <v>2104</v>
      </c>
      <c r="E106" s="207" t="s">
        <v>3564</v>
      </c>
    </row>
    <row r="107" spans="4:5">
      <c r="D107" t="s">
        <v>2101</v>
      </c>
      <c r="E107" s="207" t="s">
        <v>3565</v>
      </c>
    </row>
    <row r="108" spans="4:5">
      <c r="D108" t="s">
        <v>2100</v>
      </c>
      <c r="E108" s="207" t="s">
        <v>3566</v>
      </c>
    </row>
    <row r="109" spans="4:5">
      <c r="D109" t="s">
        <v>3096</v>
      </c>
      <c r="E109" s="207" t="s">
        <v>3567</v>
      </c>
    </row>
    <row r="110" spans="4:5">
      <c r="D110" t="s">
        <v>2106</v>
      </c>
      <c r="E110" s="207" t="s">
        <v>3568</v>
      </c>
    </row>
    <row r="111" spans="4:5">
      <c r="D111" t="s">
        <v>2102</v>
      </c>
      <c r="E111" s="207" t="s">
        <v>3569</v>
      </c>
    </row>
    <row r="112" spans="4:5">
      <c r="D112" t="s">
        <v>2108</v>
      </c>
      <c r="E112" s="207" t="s">
        <v>3570</v>
      </c>
    </row>
    <row r="113" spans="4:5">
      <c r="D113" t="s">
        <v>2105</v>
      </c>
      <c r="E113" s="207" t="s">
        <v>3571</v>
      </c>
    </row>
    <row r="114" spans="4:5">
      <c r="D114" t="s">
        <v>2103</v>
      </c>
      <c r="E114" s="207" t="s">
        <v>3572</v>
      </c>
    </row>
    <row r="115" spans="4:5">
      <c r="D115" t="s">
        <v>2157</v>
      </c>
      <c r="E115" s="207" t="s">
        <v>3573</v>
      </c>
    </row>
    <row r="116" spans="4:5">
      <c r="D116" t="s">
        <v>2140</v>
      </c>
      <c r="E116" s="207" t="s">
        <v>3574</v>
      </c>
    </row>
    <row r="117" spans="4:5">
      <c r="D117" t="s">
        <v>2169</v>
      </c>
      <c r="E117" s="207" t="s">
        <v>3575</v>
      </c>
    </row>
    <row r="118" spans="4:5">
      <c r="D118" t="s">
        <v>3124</v>
      </c>
      <c r="E118" s="207" t="s">
        <v>3576</v>
      </c>
    </row>
    <row r="119" spans="4:5">
      <c r="D119" t="s">
        <v>2036</v>
      </c>
      <c r="E119" s="207" t="s">
        <v>3577</v>
      </c>
    </row>
    <row r="120" spans="4:5">
      <c r="D120" t="s">
        <v>2029</v>
      </c>
      <c r="E120" s="207" t="s">
        <v>3578</v>
      </c>
    </row>
    <row r="121" spans="4:5">
      <c r="D121" t="s">
        <v>2052</v>
      </c>
      <c r="E121" s="207" t="s">
        <v>3579</v>
      </c>
    </row>
    <row r="122" spans="4:5">
      <c r="D122" t="s">
        <v>2147</v>
      </c>
      <c r="E122" s="207" t="s">
        <v>3580</v>
      </c>
    </row>
    <row r="123" spans="4:5">
      <c r="D123" t="s">
        <v>2141</v>
      </c>
      <c r="E123" s="207" t="s">
        <v>3581</v>
      </c>
    </row>
    <row r="124" spans="4:5">
      <c r="D124" t="s">
        <v>2042</v>
      </c>
      <c r="E124" s="207" t="s">
        <v>3582</v>
      </c>
    </row>
    <row r="125" spans="4:5">
      <c r="D125" t="s">
        <v>2040</v>
      </c>
      <c r="E125" s="207" t="s">
        <v>3583</v>
      </c>
    </row>
    <row r="126" spans="4:5">
      <c r="D126" t="s">
        <v>3413</v>
      </c>
      <c r="E126" s="207" t="s">
        <v>3584</v>
      </c>
    </row>
    <row r="127" spans="4:5">
      <c r="D127" t="s">
        <v>2244</v>
      </c>
      <c r="E127" s="207" t="s">
        <v>3585</v>
      </c>
    </row>
    <row r="128" spans="4:5">
      <c r="D128" t="s">
        <v>2041</v>
      </c>
      <c r="E128" s="207" t="s">
        <v>3586</v>
      </c>
    </row>
    <row r="129" spans="4:5">
      <c r="D129" t="s">
        <v>2158</v>
      </c>
      <c r="E129" s="207" t="s">
        <v>3587</v>
      </c>
    </row>
    <row r="130" spans="4:5">
      <c r="D130" t="s">
        <v>2159</v>
      </c>
      <c r="E130" s="207" t="s">
        <v>3588</v>
      </c>
    </row>
    <row r="131" spans="4:5">
      <c r="D131" t="s">
        <v>2026</v>
      </c>
      <c r="E131" s="207" t="s">
        <v>3589</v>
      </c>
    </row>
    <row r="132" spans="4:5">
      <c r="D132" t="s">
        <v>2025</v>
      </c>
      <c r="E132" s="207" t="s">
        <v>3590</v>
      </c>
    </row>
    <row r="133" spans="4:5">
      <c r="D133" t="s">
        <v>2033</v>
      </c>
      <c r="E133" s="207" t="s">
        <v>3591</v>
      </c>
    </row>
    <row r="134" spans="4:5">
      <c r="D134" t="s">
        <v>2032</v>
      </c>
      <c r="E134" s="207" t="s">
        <v>3592</v>
      </c>
    </row>
    <row r="135" spans="4:5">
      <c r="D135" t="s">
        <v>2030</v>
      </c>
      <c r="E135" s="207" t="s">
        <v>3593</v>
      </c>
    </row>
    <row r="136" spans="4:5">
      <c r="D136" t="s">
        <v>3414</v>
      </c>
      <c r="E136" s="207" t="s">
        <v>3594</v>
      </c>
    </row>
    <row r="137" spans="4:5">
      <c r="D137" t="s">
        <v>2093</v>
      </c>
      <c r="E137" s="207" t="s">
        <v>3595</v>
      </c>
    </row>
    <row r="138" spans="4:5">
      <c r="D138" t="s">
        <v>2095</v>
      </c>
      <c r="E138" s="207" t="s">
        <v>3596</v>
      </c>
    </row>
    <row r="139" spans="4:5">
      <c r="D139" t="s">
        <v>2092</v>
      </c>
      <c r="E139" s="207" t="s">
        <v>3597</v>
      </c>
    </row>
    <row r="140" spans="4:5">
      <c r="D140" t="s">
        <v>3140</v>
      </c>
      <c r="E140" s="207" t="s">
        <v>3598</v>
      </c>
    </row>
    <row r="141" spans="4:5">
      <c r="D141" t="s">
        <v>2098</v>
      </c>
      <c r="E141" s="207" t="s">
        <v>3599</v>
      </c>
    </row>
    <row r="142" spans="4:5">
      <c r="D142" t="s">
        <v>2049</v>
      </c>
      <c r="E142" s="207" t="s">
        <v>3600</v>
      </c>
    </row>
    <row r="143" spans="4:5">
      <c r="D143" t="s">
        <v>2051</v>
      </c>
      <c r="E143" s="207" t="s">
        <v>3601</v>
      </c>
    </row>
    <row r="144" spans="4:5">
      <c r="D144" t="s">
        <v>2050</v>
      </c>
      <c r="E144" s="207" t="s">
        <v>3602</v>
      </c>
    </row>
    <row r="145" spans="4:5">
      <c r="D145" t="s">
        <v>2091</v>
      </c>
      <c r="E145" s="207" t="s">
        <v>3603</v>
      </c>
    </row>
  </sheetData>
  <pageMargins left="0.7" right="0.7"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V158"/>
  <sheetViews>
    <sheetView view="pageBreakPreview" zoomScale="90" zoomScaleNormal="90" zoomScaleSheetLayoutView="85" zoomScalePageLayoutView="90" workbookViewId="0">
      <pane xSplit="1" ySplit="1" topLeftCell="B2" activePane="bottomRight" state="frozen"/>
      <selection pane="topRight" activeCell="B1" sqref="B1"/>
      <selection pane="bottomLeft" activeCell="A2" sqref="A2"/>
      <selection pane="bottomRight" activeCell="AD4" sqref="AD4"/>
    </sheetView>
  </sheetViews>
  <sheetFormatPr baseColWidth="10" defaultColWidth="8.83203125" defaultRowHeight="32" customHeight="1"/>
  <cols>
    <col min="1" max="1" width="8.5" style="75" customWidth="1"/>
    <col min="2" max="2" width="8.5" style="73" customWidth="1"/>
    <col min="3" max="4" width="6.1640625" style="36" customWidth="1"/>
    <col min="5" max="5" width="7.83203125" style="119" customWidth="1"/>
    <col min="6" max="14" width="5.33203125" style="13" customWidth="1"/>
    <col min="15" max="15" width="6" style="13" customWidth="1"/>
    <col min="16" max="32" width="5.33203125" style="13" customWidth="1"/>
    <col min="33" max="33" width="13.5" style="5" customWidth="1"/>
    <col min="34" max="34" width="12.83203125" style="179" bestFit="1" customWidth="1"/>
    <col min="35" max="35" width="13.1640625" style="180" customWidth="1"/>
    <col min="36" max="36" width="13.1640625" style="178" customWidth="1"/>
    <col min="37" max="37" width="14.5" style="5" customWidth="1"/>
    <col min="38" max="38" width="10.33203125" style="149" customWidth="1"/>
    <col min="39" max="39" width="23.1640625" style="149" customWidth="1"/>
    <col min="40" max="40" width="13.33203125" style="149" customWidth="1"/>
    <col min="41" max="42" width="20.5" style="1" customWidth="1"/>
    <col min="43" max="43" width="12.6640625" style="1" customWidth="1"/>
    <col min="44" max="45" width="6.6640625" style="1" customWidth="1"/>
    <col min="46" max="48" width="8.83203125" style="10"/>
    <col min="49" max="16384" width="8.83203125" style="9"/>
  </cols>
  <sheetData>
    <row r="1" spans="1:48" s="15" customFormat="1" ht="32" customHeight="1">
      <c r="A1" s="75" t="s">
        <v>1149</v>
      </c>
      <c r="B1" s="73" t="s">
        <v>855</v>
      </c>
      <c r="C1" s="30" t="s">
        <v>928</v>
      </c>
      <c r="D1" s="30" t="s">
        <v>929</v>
      </c>
      <c r="E1" s="117" t="s">
        <v>857</v>
      </c>
      <c r="F1" s="72" t="s">
        <v>754</v>
      </c>
      <c r="G1" s="72" t="s">
        <v>755</v>
      </c>
      <c r="H1" s="72" t="s">
        <v>756</v>
      </c>
      <c r="I1" s="72" t="s">
        <v>757</v>
      </c>
      <c r="J1" s="72" t="s">
        <v>758</v>
      </c>
      <c r="K1" s="72" t="s">
        <v>759</v>
      </c>
      <c r="L1" s="72" t="s">
        <v>760</v>
      </c>
      <c r="M1" s="72" t="s">
        <v>761</v>
      </c>
      <c r="N1" s="72" t="s">
        <v>762</v>
      </c>
      <c r="O1" s="72" t="s">
        <v>763</v>
      </c>
      <c r="P1" s="72" t="s">
        <v>1132</v>
      </c>
      <c r="Q1" s="72" t="s">
        <v>1133</v>
      </c>
      <c r="R1" s="72" t="s">
        <v>1134</v>
      </c>
      <c r="S1" s="72" t="s">
        <v>1135</v>
      </c>
      <c r="T1" s="72" t="s">
        <v>1136</v>
      </c>
      <c r="U1" s="72" t="s">
        <v>1137</v>
      </c>
      <c r="V1" s="72" t="s">
        <v>1138</v>
      </c>
      <c r="W1" s="72" t="s">
        <v>1139</v>
      </c>
      <c r="X1" s="72" t="s">
        <v>1140</v>
      </c>
      <c r="Y1" s="72" t="s">
        <v>1141</v>
      </c>
      <c r="Z1" s="72" t="s">
        <v>1142</v>
      </c>
      <c r="AA1" s="72" t="s">
        <v>1143</v>
      </c>
      <c r="AB1" s="72" t="s">
        <v>1144</v>
      </c>
      <c r="AC1" s="72" t="s">
        <v>1145</v>
      </c>
      <c r="AD1" s="72" t="s">
        <v>1146</v>
      </c>
      <c r="AE1" s="72" t="s">
        <v>1147</v>
      </c>
      <c r="AF1" s="72" t="s">
        <v>1148</v>
      </c>
      <c r="AG1" s="17" t="s">
        <v>868</v>
      </c>
      <c r="AH1" s="174" t="s">
        <v>1930</v>
      </c>
      <c r="AI1" s="175" t="s">
        <v>1931</v>
      </c>
      <c r="AJ1" s="176" t="s">
        <v>2017</v>
      </c>
      <c r="AK1" s="5" t="s">
        <v>6</v>
      </c>
      <c r="AL1" s="148" t="s">
        <v>2019</v>
      </c>
      <c r="AM1" s="170" t="s">
        <v>2020</v>
      </c>
      <c r="AN1" s="148" t="s">
        <v>1928</v>
      </c>
      <c r="AO1" s="5" t="s">
        <v>869</v>
      </c>
      <c r="AP1" s="5" t="s">
        <v>870</v>
      </c>
      <c r="AQ1" s="5" t="s">
        <v>11</v>
      </c>
      <c r="AR1" s="5" t="s">
        <v>12</v>
      </c>
      <c r="AS1" s="5" t="s">
        <v>9</v>
      </c>
    </row>
    <row r="2" spans="1:48" s="7" customFormat="1" ht="56" customHeight="1">
      <c r="A2" s="76" t="s">
        <v>1150</v>
      </c>
      <c r="B2" s="74" t="s">
        <v>0</v>
      </c>
      <c r="C2" s="31">
        <v>10</v>
      </c>
      <c r="D2" s="31"/>
      <c r="E2" s="118">
        <f>SUM(F2:AF2)</f>
        <v>87</v>
      </c>
      <c r="F2" s="32">
        <v>10</v>
      </c>
      <c r="G2" s="32">
        <v>5</v>
      </c>
      <c r="H2" s="32">
        <v>9</v>
      </c>
      <c r="I2" s="32">
        <v>10</v>
      </c>
      <c r="J2" s="32">
        <v>10</v>
      </c>
      <c r="K2" s="32">
        <v>6</v>
      </c>
      <c r="L2" s="32">
        <v>11</v>
      </c>
      <c r="M2" s="32">
        <v>8</v>
      </c>
      <c r="N2" s="32">
        <v>8</v>
      </c>
      <c r="O2" s="32">
        <v>10</v>
      </c>
      <c r="P2" s="32"/>
      <c r="Q2" s="32"/>
      <c r="R2" s="32"/>
      <c r="S2" s="32"/>
      <c r="T2" s="32"/>
      <c r="U2" s="32"/>
      <c r="V2" s="32"/>
      <c r="W2" s="32"/>
      <c r="X2" s="32"/>
      <c r="Y2" s="32"/>
      <c r="Z2" s="32"/>
      <c r="AA2" s="32"/>
      <c r="AB2" s="32"/>
      <c r="AC2" s="32"/>
      <c r="AD2" s="32"/>
      <c r="AE2" s="32"/>
      <c r="AF2" s="32"/>
      <c r="AG2" s="33" t="s">
        <v>8</v>
      </c>
      <c r="AH2" s="184">
        <v>42571</v>
      </c>
      <c r="AI2" s="185">
        <v>42575</v>
      </c>
      <c r="AJ2" s="177">
        <v>2534</v>
      </c>
      <c r="AK2" s="120" t="s">
        <v>1929</v>
      </c>
      <c r="AL2" s="147">
        <f>5*AN2</f>
        <v>15</v>
      </c>
      <c r="AM2" s="150"/>
      <c r="AN2" s="147">
        <v>3</v>
      </c>
      <c r="AO2" s="6" t="s">
        <v>1</v>
      </c>
      <c r="AP2" s="6" t="s">
        <v>2</v>
      </c>
      <c r="AQ2" s="6" t="s">
        <v>19</v>
      </c>
      <c r="AR2" s="6" t="s">
        <v>13</v>
      </c>
      <c r="AS2" s="6" t="s">
        <v>10</v>
      </c>
    </row>
    <row r="3" spans="1:48" s="7" customFormat="1" ht="56" customHeight="1">
      <c r="A3" s="76" t="s">
        <v>1151</v>
      </c>
      <c r="B3" s="74" t="s">
        <v>0</v>
      </c>
      <c r="C3" s="31">
        <v>10</v>
      </c>
      <c r="D3" s="31"/>
      <c r="E3" s="118">
        <f t="shared" ref="E3:E66" si="0">SUM(F3:AF3)</f>
        <v>57</v>
      </c>
      <c r="F3" s="32">
        <v>5</v>
      </c>
      <c r="G3" s="32">
        <v>7</v>
      </c>
      <c r="H3" s="32">
        <v>9</v>
      </c>
      <c r="I3" s="32">
        <v>5</v>
      </c>
      <c r="J3" s="32">
        <v>5</v>
      </c>
      <c r="K3" s="32">
        <v>5</v>
      </c>
      <c r="L3" s="32">
        <v>7</v>
      </c>
      <c r="M3" s="32">
        <v>4</v>
      </c>
      <c r="N3" s="32">
        <v>7</v>
      </c>
      <c r="O3" s="32">
        <v>3</v>
      </c>
      <c r="P3" s="32"/>
      <c r="Q3" s="32"/>
      <c r="R3" s="32"/>
      <c r="S3" s="32"/>
      <c r="T3" s="32"/>
      <c r="U3" s="32"/>
      <c r="V3" s="32"/>
      <c r="W3" s="32"/>
      <c r="X3" s="32"/>
      <c r="Y3" s="32"/>
      <c r="Z3" s="32"/>
      <c r="AA3" s="32"/>
      <c r="AB3" s="32"/>
      <c r="AC3" s="32"/>
      <c r="AD3" s="32"/>
      <c r="AE3" s="32"/>
      <c r="AF3" s="32"/>
      <c r="AG3" s="33" t="s">
        <v>8</v>
      </c>
      <c r="AH3" s="186">
        <v>42586</v>
      </c>
      <c r="AI3" s="186">
        <v>42586</v>
      </c>
      <c r="AJ3" s="177">
        <v>2599</v>
      </c>
      <c r="AK3" s="120" t="s">
        <v>1929</v>
      </c>
      <c r="AL3" s="147">
        <f t="shared" ref="AL3:AL66" si="1">5*AN3</f>
        <v>6</v>
      </c>
      <c r="AM3" s="150"/>
      <c r="AN3" s="147">
        <v>1.2</v>
      </c>
      <c r="AO3" s="6" t="s">
        <v>1</v>
      </c>
      <c r="AP3" s="6" t="s">
        <v>2</v>
      </c>
      <c r="AQ3" s="6" t="s">
        <v>19</v>
      </c>
      <c r="AR3" s="6" t="s">
        <v>13</v>
      </c>
      <c r="AS3" s="6" t="s">
        <v>10</v>
      </c>
    </row>
    <row r="4" spans="1:48" s="7" customFormat="1" ht="56" customHeight="1">
      <c r="A4" s="76" t="s">
        <v>1152</v>
      </c>
      <c r="B4" s="74" t="s">
        <v>0</v>
      </c>
      <c r="C4" s="31">
        <v>10</v>
      </c>
      <c r="D4" s="31"/>
      <c r="E4" s="118">
        <f t="shared" si="0"/>
        <v>92</v>
      </c>
      <c r="F4" s="32">
        <v>7</v>
      </c>
      <c r="G4" s="32">
        <v>10</v>
      </c>
      <c r="H4" s="32">
        <v>10</v>
      </c>
      <c r="I4" s="32">
        <v>11</v>
      </c>
      <c r="J4" s="32">
        <v>8</v>
      </c>
      <c r="K4" s="32">
        <v>10</v>
      </c>
      <c r="L4" s="32">
        <v>11</v>
      </c>
      <c r="M4" s="32">
        <v>9</v>
      </c>
      <c r="N4" s="32">
        <v>10</v>
      </c>
      <c r="O4" s="32">
        <v>6</v>
      </c>
      <c r="P4" s="32"/>
      <c r="Q4" s="32"/>
      <c r="R4" s="32"/>
      <c r="S4" s="32"/>
      <c r="T4" s="32"/>
      <c r="U4" s="32"/>
      <c r="V4" s="32"/>
      <c r="W4" s="32"/>
      <c r="X4" s="32"/>
      <c r="Y4" s="32"/>
      <c r="Z4" s="32"/>
      <c r="AA4" s="32"/>
      <c r="AB4" s="32"/>
      <c r="AC4" s="32"/>
      <c r="AD4" s="164"/>
      <c r="AE4" s="32"/>
      <c r="AF4" s="32"/>
      <c r="AG4" s="33" t="s">
        <v>8</v>
      </c>
      <c r="AH4" s="186">
        <v>42592</v>
      </c>
      <c r="AI4" s="186">
        <v>42592</v>
      </c>
      <c r="AJ4" s="178">
        <v>2660</v>
      </c>
      <c r="AK4" s="120" t="s">
        <v>1929</v>
      </c>
      <c r="AL4" s="147">
        <f t="shared" si="1"/>
        <v>12.5</v>
      </c>
      <c r="AM4" s="150"/>
      <c r="AN4" s="147">
        <v>2.5</v>
      </c>
      <c r="AO4" s="6" t="s">
        <v>1</v>
      </c>
      <c r="AP4" s="6" t="s">
        <v>2</v>
      </c>
      <c r="AQ4" s="6" t="s">
        <v>19</v>
      </c>
      <c r="AR4" s="6" t="s">
        <v>13</v>
      </c>
      <c r="AS4" s="6" t="s">
        <v>10</v>
      </c>
    </row>
    <row r="5" spans="1:48" s="7" customFormat="1" ht="56" customHeight="1">
      <c r="A5" s="76" t="s">
        <v>1153</v>
      </c>
      <c r="B5" s="74" t="s">
        <v>0</v>
      </c>
      <c r="C5" s="31">
        <v>10</v>
      </c>
      <c r="D5" s="31"/>
      <c r="E5" s="118">
        <f t="shared" si="0"/>
        <v>70</v>
      </c>
      <c r="F5" s="31">
        <v>5</v>
      </c>
      <c r="G5" s="31">
        <v>5</v>
      </c>
      <c r="H5" s="31">
        <v>8</v>
      </c>
      <c r="I5" s="31">
        <v>5</v>
      </c>
      <c r="J5" s="31">
        <v>5</v>
      </c>
      <c r="K5" s="31">
        <v>5</v>
      </c>
      <c r="L5" s="31">
        <v>13</v>
      </c>
      <c r="M5" s="31">
        <v>5</v>
      </c>
      <c r="N5" s="31">
        <v>6</v>
      </c>
      <c r="O5" s="31">
        <v>13</v>
      </c>
      <c r="P5" s="31"/>
      <c r="Q5" s="31"/>
      <c r="R5" s="31"/>
      <c r="S5" s="31"/>
      <c r="T5" s="31"/>
      <c r="U5" s="31"/>
      <c r="V5" s="31"/>
      <c r="W5" s="31"/>
      <c r="X5" s="31"/>
      <c r="Y5" s="31"/>
      <c r="Z5" s="31"/>
      <c r="AA5" s="31"/>
      <c r="AB5" s="31"/>
      <c r="AC5" s="31"/>
      <c r="AD5" s="31"/>
      <c r="AE5" s="31"/>
      <c r="AF5" s="31"/>
      <c r="AG5" s="33" t="s">
        <v>8</v>
      </c>
      <c r="AH5" s="186">
        <v>42610</v>
      </c>
      <c r="AI5" s="186">
        <v>42610</v>
      </c>
      <c r="AJ5" s="178">
        <v>2680</v>
      </c>
      <c r="AK5" s="120" t="s">
        <v>1929</v>
      </c>
      <c r="AL5" s="147">
        <f t="shared" si="1"/>
        <v>7.5</v>
      </c>
      <c r="AM5" s="150"/>
      <c r="AN5" s="147">
        <v>1.5</v>
      </c>
      <c r="AO5" s="6" t="s">
        <v>1</v>
      </c>
      <c r="AP5" s="6" t="s">
        <v>2</v>
      </c>
      <c r="AQ5" s="6" t="s">
        <v>19</v>
      </c>
      <c r="AR5" s="6" t="s">
        <v>13</v>
      </c>
      <c r="AS5" s="6" t="s">
        <v>10</v>
      </c>
    </row>
    <row r="6" spans="1:48" ht="56" customHeight="1">
      <c r="A6" s="76" t="s">
        <v>1154</v>
      </c>
      <c r="B6" s="73" t="s">
        <v>14</v>
      </c>
      <c r="C6" s="34">
        <v>5</v>
      </c>
      <c r="D6" s="34"/>
      <c r="E6" s="118">
        <f t="shared" si="0"/>
        <v>37</v>
      </c>
      <c r="F6" s="13">
        <v>2</v>
      </c>
      <c r="G6" s="13">
        <v>6</v>
      </c>
      <c r="H6" s="13">
        <v>9</v>
      </c>
      <c r="I6" s="13">
        <v>8</v>
      </c>
      <c r="J6" s="13">
        <v>12</v>
      </c>
      <c r="AG6" s="5" t="s">
        <v>17</v>
      </c>
      <c r="AH6" s="184">
        <v>42564</v>
      </c>
      <c r="AI6" s="184">
        <v>42565</v>
      </c>
      <c r="AJ6" s="178">
        <v>2541</v>
      </c>
      <c r="AK6" s="172" t="s">
        <v>2018</v>
      </c>
      <c r="AL6" s="148">
        <f t="shared" si="1"/>
        <v>5</v>
      </c>
      <c r="AN6" s="148">
        <v>1</v>
      </c>
      <c r="AO6" s="1" t="s">
        <v>15</v>
      </c>
      <c r="AP6" s="1" t="s">
        <v>16</v>
      </c>
      <c r="AQ6" s="1" t="s">
        <v>18</v>
      </c>
      <c r="AR6" s="1" t="s">
        <v>19</v>
      </c>
      <c r="AS6" s="1" t="s">
        <v>10</v>
      </c>
      <c r="AT6" s="9"/>
      <c r="AU6" s="9"/>
      <c r="AV6" s="9"/>
    </row>
    <row r="7" spans="1:48" ht="56" customHeight="1">
      <c r="A7" s="76" t="s">
        <v>1155</v>
      </c>
      <c r="B7" s="73" t="s">
        <v>14</v>
      </c>
      <c r="C7" s="34">
        <v>5</v>
      </c>
      <c r="D7" s="34"/>
      <c r="E7" s="118">
        <f t="shared" si="0"/>
        <v>21</v>
      </c>
      <c r="F7" s="13">
        <v>5</v>
      </c>
      <c r="G7" s="13">
        <v>7</v>
      </c>
      <c r="H7" s="13">
        <v>1</v>
      </c>
      <c r="I7" s="13">
        <v>4</v>
      </c>
      <c r="J7" s="13">
        <v>4</v>
      </c>
      <c r="AG7" s="5" t="s">
        <v>17</v>
      </c>
      <c r="AH7" s="182">
        <v>42572</v>
      </c>
      <c r="AI7" s="182">
        <v>42575</v>
      </c>
      <c r="AK7" s="5" t="s">
        <v>46</v>
      </c>
      <c r="AL7" s="148">
        <f t="shared" si="1"/>
        <v>4</v>
      </c>
      <c r="AN7" s="148">
        <v>0.8</v>
      </c>
      <c r="AO7" s="1" t="s">
        <v>15</v>
      </c>
      <c r="AP7" s="1" t="s">
        <v>16</v>
      </c>
      <c r="AQ7" s="1" t="s">
        <v>18</v>
      </c>
      <c r="AR7" s="1" t="s">
        <v>19</v>
      </c>
      <c r="AS7" s="1" t="s">
        <v>10</v>
      </c>
      <c r="AT7" s="9"/>
      <c r="AU7" s="9"/>
      <c r="AV7" s="9"/>
    </row>
    <row r="8" spans="1:48" ht="56" customHeight="1">
      <c r="A8" s="76" t="s">
        <v>1156</v>
      </c>
      <c r="B8" s="73" t="s">
        <v>14</v>
      </c>
      <c r="C8" s="34">
        <v>2</v>
      </c>
      <c r="D8" s="34"/>
      <c r="E8" s="118">
        <f t="shared" si="0"/>
        <v>5</v>
      </c>
      <c r="F8" s="13">
        <v>1</v>
      </c>
      <c r="G8" s="13">
        <v>4</v>
      </c>
      <c r="AG8" s="5" t="s">
        <v>17</v>
      </c>
      <c r="AH8" s="183">
        <v>42588</v>
      </c>
      <c r="AI8" s="183">
        <v>42590</v>
      </c>
      <c r="AK8" s="5" t="s">
        <v>47</v>
      </c>
      <c r="AL8" s="148">
        <f t="shared" si="1"/>
        <v>1.5</v>
      </c>
      <c r="AN8" s="148">
        <v>0.3</v>
      </c>
      <c r="AO8" s="1" t="s">
        <v>15</v>
      </c>
      <c r="AP8" s="1" t="s">
        <v>16</v>
      </c>
      <c r="AQ8" s="1" t="s">
        <v>20</v>
      </c>
      <c r="AR8" s="1" t="s">
        <v>19</v>
      </c>
      <c r="AS8" s="1" t="s">
        <v>10</v>
      </c>
      <c r="AT8" s="9"/>
      <c r="AU8" s="9"/>
      <c r="AV8" s="9"/>
    </row>
    <row r="9" spans="1:48" ht="56" customHeight="1">
      <c r="A9" s="76" t="s">
        <v>1157</v>
      </c>
      <c r="B9" s="73" t="s">
        <v>14</v>
      </c>
      <c r="C9" s="34">
        <v>3</v>
      </c>
      <c r="D9" s="34"/>
      <c r="E9" s="118">
        <f t="shared" si="0"/>
        <v>14</v>
      </c>
      <c r="F9" s="13">
        <v>3</v>
      </c>
      <c r="G9" s="13">
        <v>6</v>
      </c>
      <c r="H9" s="13">
        <v>5</v>
      </c>
      <c r="AG9" s="5" t="s">
        <v>17</v>
      </c>
      <c r="AH9" s="183">
        <v>42591</v>
      </c>
      <c r="AI9" s="183">
        <v>42597</v>
      </c>
      <c r="AK9" s="5" t="s">
        <v>48</v>
      </c>
      <c r="AL9" s="148">
        <f t="shared" si="1"/>
        <v>4</v>
      </c>
      <c r="AN9" s="148">
        <v>0.8</v>
      </c>
      <c r="AO9" s="1" t="s">
        <v>15</v>
      </c>
      <c r="AP9" s="1" t="s">
        <v>16</v>
      </c>
      <c r="AQ9" s="1" t="s">
        <v>21</v>
      </c>
      <c r="AR9" s="1" t="s">
        <v>19</v>
      </c>
      <c r="AS9" s="1" t="s">
        <v>10</v>
      </c>
      <c r="AT9" s="9"/>
      <c r="AU9" s="9"/>
      <c r="AV9" s="9"/>
    </row>
    <row r="10" spans="1:48" s="7" customFormat="1" ht="56" customHeight="1">
      <c r="A10" s="76" t="s">
        <v>1158</v>
      </c>
      <c r="B10" s="74" t="s">
        <v>22</v>
      </c>
      <c r="C10" s="31">
        <v>10</v>
      </c>
      <c r="D10" s="31"/>
      <c r="E10" s="118">
        <f t="shared" si="0"/>
        <v>20</v>
      </c>
      <c r="F10" s="32">
        <v>2</v>
      </c>
      <c r="G10" s="32">
        <v>3</v>
      </c>
      <c r="H10" s="32">
        <v>2</v>
      </c>
      <c r="I10" s="32">
        <v>2</v>
      </c>
      <c r="J10" s="32">
        <v>2</v>
      </c>
      <c r="K10" s="32">
        <v>2</v>
      </c>
      <c r="L10" s="32">
        <v>2</v>
      </c>
      <c r="M10" s="32">
        <v>1</v>
      </c>
      <c r="N10" s="32">
        <v>2</v>
      </c>
      <c r="O10" s="32">
        <v>2</v>
      </c>
      <c r="P10" s="32"/>
      <c r="Q10" s="32"/>
      <c r="R10" s="32"/>
      <c r="S10" s="32"/>
      <c r="T10" s="32"/>
      <c r="U10" s="32"/>
      <c r="V10" s="32"/>
      <c r="W10" s="32"/>
      <c r="X10" s="32"/>
      <c r="Y10" s="32"/>
      <c r="Z10" s="32"/>
      <c r="AA10" s="32"/>
      <c r="AB10" s="32"/>
      <c r="AC10" s="32"/>
      <c r="AD10" s="32"/>
      <c r="AE10" s="32"/>
      <c r="AF10" s="32"/>
      <c r="AG10" s="33" t="s">
        <v>25</v>
      </c>
      <c r="AH10" s="179" t="s">
        <v>1934</v>
      </c>
      <c r="AI10" s="179" t="s">
        <v>1934</v>
      </c>
      <c r="AJ10" s="178"/>
      <c r="AK10" s="33" t="s">
        <v>26</v>
      </c>
      <c r="AL10" s="147">
        <f t="shared" si="1"/>
        <v>5</v>
      </c>
      <c r="AM10" s="150"/>
      <c r="AN10" s="147">
        <v>1</v>
      </c>
      <c r="AO10" s="6" t="s">
        <v>23</v>
      </c>
      <c r="AP10" s="6" t="s">
        <v>24</v>
      </c>
      <c r="AQ10" s="6" t="s">
        <v>19</v>
      </c>
      <c r="AR10" s="6" t="s">
        <v>27</v>
      </c>
      <c r="AS10" s="6" t="s">
        <v>10</v>
      </c>
    </row>
    <row r="11" spans="1:48" s="7" customFormat="1" ht="56" customHeight="1">
      <c r="A11" s="76" t="s">
        <v>1159</v>
      </c>
      <c r="B11" s="74" t="s">
        <v>22</v>
      </c>
      <c r="C11" s="31">
        <v>10</v>
      </c>
      <c r="D11" s="31"/>
      <c r="E11" s="118">
        <f t="shared" si="0"/>
        <v>21</v>
      </c>
      <c r="F11" s="32">
        <v>6</v>
      </c>
      <c r="G11" s="32">
        <v>1</v>
      </c>
      <c r="H11" s="32">
        <v>1</v>
      </c>
      <c r="I11" s="32">
        <v>2</v>
      </c>
      <c r="J11" s="32">
        <v>2</v>
      </c>
      <c r="K11" s="32">
        <v>1</v>
      </c>
      <c r="L11" s="32">
        <v>3</v>
      </c>
      <c r="M11" s="32">
        <v>1</v>
      </c>
      <c r="N11" s="32">
        <v>2</v>
      </c>
      <c r="O11" s="32">
        <v>2</v>
      </c>
      <c r="P11" s="32"/>
      <c r="Q11" s="32"/>
      <c r="R11" s="32"/>
      <c r="S11" s="32"/>
      <c r="T11" s="32"/>
      <c r="U11" s="32"/>
      <c r="V11" s="32"/>
      <c r="W11" s="32"/>
      <c r="X11" s="32"/>
      <c r="Y11" s="32"/>
      <c r="Z11" s="32"/>
      <c r="AA11" s="32"/>
      <c r="AB11" s="32"/>
      <c r="AC11" s="32"/>
      <c r="AD11" s="32"/>
      <c r="AE11" s="32"/>
      <c r="AF11" s="32"/>
      <c r="AG11" s="33" t="s">
        <v>25</v>
      </c>
      <c r="AH11" s="179" t="s">
        <v>2015</v>
      </c>
      <c r="AI11" s="179" t="s">
        <v>2015</v>
      </c>
      <c r="AJ11" s="178"/>
      <c r="AK11" s="33" t="s">
        <v>28</v>
      </c>
      <c r="AL11" s="147">
        <f t="shared" si="1"/>
        <v>4</v>
      </c>
      <c r="AM11" s="150"/>
      <c r="AN11" s="147">
        <v>0.8</v>
      </c>
      <c r="AO11" s="6" t="s">
        <v>23</v>
      </c>
      <c r="AP11" s="6" t="s">
        <v>24</v>
      </c>
      <c r="AQ11" s="6" t="s">
        <v>19</v>
      </c>
      <c r="AR11" s="6" t="s">
        <v>27</v>
      </c>
      <c r="AS11" s="6" t="s">
        <v>10</v>
      </c>
    </row>
    <row r="12" spans="1:48" s="7" customFormat="1" ht="56" customHeight="1">
      <c r="A12" s="76" t="s">
        <v>1160</v>
      </c>
      <c r="B12" s="74" t="s">
        <v>22</v>
      </c>
      <c r="C12" s="31">
        <v>10</v>
      </c>
      <c r="D12" s="31"/>
      <c r="E12" s="118">
        <f t="shared" si="0"/>
        <v>37</v>
      </c>
      <c r="F12" s="32">
        <v>4</v>
      </c>
      <c r="G12" s="32">
        <v>2</v>
      </c>
      <c r="H12" s="32">
        <v>4</v>
      </c>
      <c r="I12" s="32">
        <v>4</v>
      </c>
      <c r="J12" s="32">
        <v>3</v>
      </c>
      <c r="K12" s="32">
        <v>2</v>
      </c>
      <c r="L12" s="32">
        <v>5</v>
      </c>
      <c r="M12" s="32">
        <v>4</v>
      </c>
      <c r="N12" s="32">
        <v>6</v>
      </c>
      <c r="O12" s="32">
        <v>3</v>
      </c>
      <c r="P12" s="32"/>
      <c r="Q12" s="32"/>
      <c r="R12" s="32"/>
      <c r="S12" s="32"/>
      <c r="T12" s="32"/>
      <c r="U12" s="32"/>
      <c r="V12" s="32"/>
      <c r="W12" s="32"/>
      <c r="X12" s="32"/>
      <c r="Y12" s="32"/>
      <c r="Z12" s="32"/>
      <c r="AA12" s="32"/>
      <c r="AB12" s="32"/>
      <c r="AC12" s="32"/>
      <c r="AD12" s="32"/>
      <c r="AE12" s="32"/>
      <c r="AF12" s="32"/>
      <c r="AG12" s="33" t="s">
        <v>25</v>
      </c>
      <c r="AH12" s="179" t="s">
        <v>2016</v>
      </c>
      <c r="AI12" s="179" t="s">
        <v>2016</v>
      </c>
      <c r="AJ12" s="178"/>
      <c r="AK12" s="33" t="s">
        <v>29</v>
      </c>
      <c r="AL12" s="147">
        <f t="shared" si="1"/>
        <v>10</v>
      </c>
      <c r="AM12" s="150"/>
      <c r="AN12" s="147">
        <v>2</v>
      </c>
      <c r="AO12" s="6" t="s">
        <v>23</v>
      </c>
      <c r="AP12" s="6" t="s">
        <v>24</v>
      </c>
      <c r="AQ12" s="6" t="s">
        <v>19</v>
      </c>
      <c r="AR12" s="6" t="s">
        <v>19</v>
      </c>
      <c r="AS12" s="6" t="s">
        <v>10</v>
      </c>
    </row>
    <row r="13" spans="1:48" s="7" customFormat="1" ht="56" customHeight="1">
      <c r="A13" s="76" t="s">
        <v>1161</v>
      </c>
      <c r="B13" s="74" t="s">
        <v>22</v>
      </c>
      <c r="C13" s="31">
        <v>10</v>
      </c>
      <c r="D13" s="31"/>
      <c r="E13" s="118">
        <f t="shared" si="0"/>
        <v>13</v>
      </c>
      <c r="F13" s="32">
        <v>1</v>
      </c>
      <c r="G13" s="32">
        <v>1</v>
      </c>
      <c r="H13" s="32">
        <v>1</v>
      </c>
      <c r="I13" s="32">
        <v>1</v>
      </c>
      <c r="J13" s="32">
        <v>1</v>
      </c>
      <c r="K13" s="32">
        <v>1</v>
      </c>
      <c r="L13" s="32">
        <v>1</v>
      </c>
      <c r="M13" s="32">
        <v>2</v>
      </c>
      <c r="N13" s="32">
        <v>2</v>
      </c>
      <c r="O13" s="32">
        <v>2</v>
      </c>
      <c r="P13" s="32"/>
      <c r="Q13" s="32"/>
      <c r="R13" s="32"/>
      <c r="S13" s="32"/>
      <c r="T13" s="32"/>
      <c r="U13" s="32"/>
      <c r="V13" s="32"/>
      <c r="W13" s="32"/>
      <c r="X13" s="32"/>
      <c r="Y13" s="32"/>
      <c r="Z13" s="32"/>
      <c r="AA13" s="32"/>
      <c r="AB13" s="32"/>
      <c r="AC13" s="32"/>
      <c r="AD13" s="32"/>
      <c r="AE13" s="32"/>
      <c r="AF13" s="32"/>
      <c r="AG13" s="33" t="s">
        <v>25</v>
      </c>
      <c r="AH13" s="179" t="s">
        <v>1936</v>
      </c>
      <c r="AI13" s="179" t="s">
        <v>1936</v>
      </c>
      <c r="AJ13" s="178"/>
      <c r="AK13" s="33" t="s">
        <v>30</v>
      </c>
      <c r="AL13" s="147">
        <f t="shared" si="1"/>
        <v>2</v>
      </c>
      <c r="AM13" s="150"/>
      <c r="AN13" s="147">
        <v>0.4</v>
      </c>
      <c r="AO13" s="6" t="s">
        <v>23</v>
      </c>
      <c r="AP13" s="6" t="s">
        <v>24</v>
      </c>
      <c r="AQ13" s="6" t="s">
        <v>19</v>
      </c>
      <c r="AR13" s="6" t="s">
        <v>31</v>
      </c>
      <c r="AS13" s="6" t="s">
        <v>10</v>
      </c>
    </row>
    <row r="14" spans="1:48" s="7" customFormat="1" ht="56" customHeight="1">
      <c r="A14" s="76" t="s">
        <v>1162</v>
      </c>
      <c r="B14" s="74" t="s">
        <v>22</v>
      </c>
      <c r="C14" s="35"/>
      <c r="D14" s="31">
        <v>3</v>
      </c>
      <c r="E14" s="118">
        <f t="shared" si="0"/>
        <v>3</v>
      </c>
      <c r="F14" s="32">
        <v>1</v>
      </c>
      <c r="G14" s="32">
        <v>1</v>
      </c>
      <c r="H14" s="32">
        <v>1</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3" t="s">
        <v>25</v>
      </c>
      <c r="AH14" s="179" t="s">
        <v>1937</v>
      </c>
      <c r="AI14" s="179" t="s">
        <v>1937</v>
      </c>
      <c r="AJ14" s="178"/>
      <c r="AK14" s="33" t="s">
        <v>32</v>
      </c>
      <c r="AL14" s="147">
        <f t="shared" si="1"/>
        <v>1</v>
      </c>
      <c r="AM14" s="150"/>
      <c r="AN14" s="147">
        <v>0.2</v>
      </c>
      <c r="AO14" s="6" t="s">
        <v>23</v>
      </c>
      <c r="AP14" s="6" t="s">
        <v>24</v>
      </c>
      <c r="AQ14" s="6" t="s">
        <v>10</v>
      </c>
      <c r="AR14" s="6" t="s">
        <v>10</v>
      </c>
      <c r="AS14" s="6" t="s">
        <v>21</v>
      </c>
    </row>
    <row r="15" spans="1:48" ht="56" customHeight="1">
      <c r="A15" s="76" t="s">
        <v>1163</v>
      </c>
      <c r="B15" s="73" t="s">
        <v>33</v>
      </c>
      <c r="C15" s="34">
        <v>10</v>
      </c>
      <c r="D15" s="34"/>
      <c r="E15" s="118">
        <f t="shared" si="0"/>
        <v>172</v>
      </c>
      <c r="F15" s="13">
        <v>18</v>
      </c>
      <c r="G15" s="13">
        <v>17</v>
      </c>
      <c r="H15" s="137">
        <v>17</v>
      </c>
      <c r="I15" s="138">
        <v>19</v>
      </c>
      <c r="J15" s="139">
        <v>23</v>
      </c>
      <c r="K15" s="139">
        <v>14</v>
      </c>
      <c r="L15" s="137">
        <v>17</v>
      </c>
      <c r="M15" s="140">
        <v>19</v>
      </c>
      <c r="N15" s="140">
        <v>14</v>
      </c>
      <c r="O15" s="138">
        <v>14</v>
      </c>
      <c r="AG15" s="5" t="s">
        <v>36</v>
      </c>
      <c r="AH15" s="179" t="s">
        <v>1938</v>
      </c>
      <c r="AI15" s="179" t="s">
        <v>1938</v>
      </c>
      <c r="AK15" s="5" t="s">
        <v>37</v>
      </c>
      <c r="AL15" s="148">
        <f>5*AN15</f>
        <v>52.5</v>
      </c>
      <c r="AM15" s="148" t="s">
        <v>1828</v>
      </c>
      <c r="AN15" s="148">
        <f>2+2.5+2+2+2</f>
        <v>10.5</v>
      </c>
      <c r="AO15" s="1" t="s">
        <v>34</v>
      </c>
      <c r="AP15" s="1" t="s">
        <v>35</v>
      </c>
      <c r="AQ15" s="1" t="s">
        <v>19</v>
      </c>
      <c r="AR15" s="1" t="s">
        <v>38</v>
      </c>
      <c r="AS15" s="1" t="s">
        <v>10</v>
      </c>
      <c r="AT15" s="151"/>
      <c r="AU15" s="9"/>
      <c r="AV15" s="9"/>
    </row>
    <row r="16" spans="1:48" ht="56" customHeight="1">
      <c r="A16" s="76" t="s">
        <v>1164</v>
      </c>
      <c r="B16" s="73" t="s">
        <v>33</v>
      </c>
      <c r="C16" s="34">
        <v>10</v>
      </c>
      <c r="D16" s="34"/>
      <c r="E16" s="118">
        <f t="shared" si="0"/>
        <v>237</v>
      </c>
      <c r="F16" s="13">
        <v>27</v>
      </c>
      <c r="G16" s="137">
        <v>26</v>
      </c>
      <c r="H16" s="138">
        <v>24</v>
      </c>
      <c r="I16" s="139">
        <v>34</v>
      </c>
      <c r="J16" s="140">
        <v>23</v>
      </c>
      <c r="K16" s="137">
        <v>20</v>
      </c>
      <c r="L16" s="13">
        <v>18</v>
      </c>
      <c r="M16" s="139">
        <v>15</v>
      </c>
      <c r="N16" s="138">
        <v>25</v>
      </c>
      <c r="O16" s="140">
        <v>25</v>
      </c>
      <c r="AG16" s="5" t="s">
        <v>36</v>
      </c>
      <c r="AH16" s="179" t="s">
        <v>1939</v>
      </c>
      <c r="AI16" s="179" t="s">
        <v>1939</v>
      </c>
      <c r="AK16" s="5" t="s">
        <v>40</v>
      </c>
      <c r="AL16" s="148">
        <f t="shared" si="1"/>
        <v>55</v>
      </c>
      <c r="AM16" s="148" t="s">
        <v>1829</v>
      </c>
      <c r="AN16" s="148">
        <f>2.5+2.5+2+2+2</f>
        <v>11</v>
      </c>
      <c r="AO16" s="1" t="s">
        <v>34</v>
      </c>
      <c r="AP16" s="1" t="s">
        <v>35</v>
      </c>
      <c r="AQ16" s="1" t="s">
        <v>19</v>
      </c>
      <c r="AR16" s="1" t="s">
        <v>38</v>
      </c>
      <c r="AS16" s="1" t="s">
        <v>10</v>
      </c>
      <c r="AT16" s="9"/>
      <c r="AU16" s="9"/>
      <c r="AV16" s="9"/>
    </row>
    <row r="17" spans="1:48" ht="56" customHeight="1">
      <c r="A17" s="76" t="s">
        <v>1165</v>
      </c>
      <c r="B17" s="73" t="s">
        <v>33</v>
      </c>
      <c r="C17" s="34">
        <v>10</v>
      </c>
      <c r="D17" s="34"/>
      <c r="E17" s="118">
        <f t="shared" si="0"/>
        <v>253</v>
      </c>
      <c r="F17" s="13">
        <v>30</v>
      </c>
      <c r="G17" s="137">
        <v>15</v>
      </c>
      <c r="H17" s="13">
        <v>20</v>
      </c>
      <c r="I17" s="138">
        <v>27</v>
      </c>
      <c r="J17" s="139">
        <v>38</v>
      </c>
      <c r="K17" s="137">
        <v>31</v>
      </c>
      <c r="L17" s="140">
        <v>29</v>
      </c>
      <c r="M17" s="139">
        <v>14</v>
      </c>
      <c r="N17" s="138">
        <v>25</v>
      </c>
      <c r="O17" s="140">
        <v>24</v>
      </c>
      <c r="AG17" s="5" t="s">
        <v>45</v>
      </c>
      <c r="AH17" s="179" t="s">
        <v>1940</v>
      </c>
      <c r="AI17" s="179" t="s">
        <v>1940</v>
      </c>
      <c r="AK17" s="5" t="s">
        <v>42</v>
      </c>
      <c r="AL17" s="149">
        <f t="shared" si="1"/>
        <v>45.5</v>
      </c>
      <c r="AM17" s="148" t="s">
        <v>1830</v>
      </c>
      <c r="AN17" s="149">
        <f>1.1+2+1.5+2+2.5</f>
        <v>9.1</v>
      </c>
      <c r="AO17" s="1" t="s">
        <v>34</v>
      </c>
      <c r="AP17" s="1" t="s">
        <v>35</v>
      </c>
      <c r="AQ17" s="1" t="s">
        <v>19</v>
      </c>
      <c r="AR17" s="1" t="s">
        <v>38</v>
      </c>
      <c r="AS17" s="1" t="s">
        <v>10</v>
      </c>
      <c r="AT17" s="9"/>
      <c r="AU17" s="9"/>
      <c r="AV17" s="9"/>
    </row>
    <row r="18" spans="1:48" ht="56" customHeight="1">
      <c r="A18" s="76" t="s">
        <v>1166</v>
      </c>
      <c r="B18" s="73" t="s">
        <v>33</v>
      </c>
      <c r="C18" s="34">
        <v>10</v>
      </c>
      <c r="D18" s="34"/>
      <c r="E18" s="118">
        <f t="shared" si="0"/>
        <v>210</v>
      </c>
      <c r="F18" s="13">
        <v>20</v>
      </c>
      <c r="G18" s="137">
        <v>26</v>
      </c>
      <c r="H18" s="137">
        <v>15</v>
      </c>
      <c r="I18" s="138">
        <v>34</v>
      </c>
      <c r="J18" s="138">
        <v>13</v>
      </c>
      <c r="K18" s="139">
        <v>22</v>
      </c>
      <c r="L18" s="140">
        <v>27</v>
      </c>
      <c r="M18" s="140">
        <v>14</v>
      </c>
      <c r="N18" s="139">
        <v>19</v>
      </c>
      <c r="O18" s="13">
        <v>20</v>
      </c>
      <c r="AG18" s="5" t="s">
        <v>45</v>
      </c>
      <c r="AH18" s="179" t="s">
        <v>1941</v>
      </c>
      <c r="AI18" s="179" t="s">
        <v>1941</v>
      </c>
      <c r="AK18" s="5" t="s">
        <v>44</v>
      </c>
      <c r="AL18" s="149">
        <f t="shared" si="1"/>
        <v>60</v>
      </c>
      <c r="AM18" s="148" t="s">
        <v>1831</v>
      </c>
      <c r="AN18" s="149">
        <f>2.5+2.5+2.5+2.5+2</f>
        <v>12</v>
      </c>
      <c r="AO18" s="1" t="s">
        <v>34</v>
      </c>
      <c r="AP18" s="1" t="s">
        <v>35</v>
      </c>
      <c r="AQ18" s="1" t="s">
        <v>19</v>
      </c>
      <c r="AR18" s="1" t="s">
        <v>38</v>
      </c>
      <c r="AS18" s="1" t="s">
        <v>10</v>
      </c>
      <c r="AT18" s="9"/>
      <c r="AU18" s="9"/>
      <c r="AV18" s="9"/>
    </row>
    <row r="19" spans="1:48" s="7" customFormat="1" ht="56" customHeight="1">
      <c r="A19" s="76" t="s">
        <v>1167</v>
      </c>
      <c r="B19" s="74" t="s">
        <v>49</v>
      </c>
      <c r="C19" s="31">
        <v>10</v>
      </c>
      <c r="D19" s="31"/>
      <c r="E19" s="118">
        <f t="shared" si="0"/>
        <v>54</v>
      </c>
      <c r="F19" s="32">
        <v>6</v>
      </c>
      <c r="G19" s="32">
        <v>12</v>
      </c>
      <c r="H19" s="32">
        <v>6</v>
      </c>
      <c r="I19" s="32">
        <v>3</v>
      </c>
      <c r="J19" s="32">
        <v>3</v>
      </c>
      <c r="K19" s="32">
        <v>4</v>
      </c>
      <c r="L19" s="32">
        <v>7</v>
      </c>
      <c r="M19" s="32">
        <v>6</v>
      </c>
      <c r="N19" s="32">
        <v>2</v>
      </c>
      <c r="O19" s="32">
        <v>5</v>
      </c>
      <c r="P19" s="32"/>
      <c r="Q19" s="32"/>
      <c r="R19" s="32"/>
      <c r="S19" s="32"/>
      <c r="T19" s="32"/>
      <c r="U19" s="32"/>
      <c r="V19" s="32"/>
      <c r="W19" s="32"/>
      <c r="X19" s="32"/>
      <c r="Y19" s="32"/>
      <c r="Z19" s="32"/>
      <c r="AA19" s="32"/>
      <c r="AB19" s="32"/>
      <c r="AC19" s="32"/>
      <c r="AD19" s="32"/>
      <c r="AE19" s="32"/>
      <c r="AF19" s="32"/>
      <c r="AG19" s="33" t="s">
        <v>7</v>
      </c>
      <c r="AH19" s="179" t="s">
        <v>1942</v>
      </c>
      <c r="AI19" s="179" t="s">
        <v>1942</v>
      </c>
      <c r="AJ19" s="178"/>
      <c r="AK19" s="33" t="s">
        <v>52</v>
      </c>
      <c r="AL19" s="147">
        <f t="shared" si="1"/>
        <v>6</v>
      </c>
      <c r="AM19" s="150"/>
      <c r="AN19" s="147">
        <v>1.2</v>
      </c>
      <c r="AO19" s="6" t="s">
        <v>50</v>
      </c>
      <c r="AP19" s="6" t="s">
        <v>51</v>
      </c>
      <c r="AQ19" s="6" t="s">
        <v>19</v>
      </c>
      <c r="AR19" s="6" t="s">
        <v>19</v>
      </c>
      <c r="AS19" s="6" t="s">
        <v>10</v>
      </c>
    </row>
    <row r="20" spans="1:48" s="7" customFormat="1" ht="56" customHeight="1">
      <c r="A20" s="76" t="s">
        <v>1168</v>
      </c>
      <c r="B20" s="74" t="s">
        <v>49</v>
      </c>
      <c r="C20" s="31">
        <v>10</v>
      </c>
      <c r="D20" s="31"/>
      <c r="E20" s="118">
        <f t="shared" si="0"/>
        <v>39</v>
      </c>
      <c r="F20" s="32">
        <v>5</v>
      </c>
      <c r="G20" s="32">
        <v>3</v>
      </c>
      <c r="H20" s="32">
        <v>5</v>
      </c>
      <c r="I20" s="32">
        <v>5</v>
      </c>
      <c r="J20" s="32">
        <v>4</v>
      </c>
      <c r="K20" s="32">
        <v>3</v>
      </c>
      <c r="L20" s="32">
        <v>3</v>
      </c>
      <c r="M20" s="32">
        <v>3</v>
      </c>
      <c r="N20" s="32">
        <v>4</v>
      </c>
      <c r="O20" s="32">
        <v>4</v>
      </c>
      <c r="P20" s="32"/>
      <c r="Q20" s="32"/>
      <c r="R20" s="32"/>
      <c r="S20" s="32"/>
      <c r="T20" s="32"/>
      <c r="U20" s="32"/>
      <c r="V20" s="32"/>
      <c r="W20" s="32"/>
      <c r="X20" s="32"/>
      <c r="Y20" s="32"/>
      <c r="Z20" s="32"/>
      <c r="AA20" s="32"/>
      <c r="AB20" s="32"/>
      <c r="AC20" s="32"/>
      <c r="AD20" s="32"/>
      <c r="AE20" s="32"/>
      <c r="AF20" s="32"/>
      <c r="AG20" s="33" t="s">
        <v>8</v>
      </c>
      <c r="AH20" s="179" t="s">
        <v>1943</v>
      </c>
      <c r="AI20" s="179" t="s">
        <v>1943</v>
      </c>
      <c r="AJ20" s="178"/>
      <c r="AK20" s="33" t="s">
        <v>53</v>
      </c>
      <c r="AL20" s="147">
        <f t="shared" si="1"/>
        <v>6</v>
      </c>
      <c r="AM20" s="150"/>
      <c r="AN20" s="147">
        <v>1.2</v>
      </c>
      <c r="AO20" s="6" t="s">
        <v>50</v>
      </c>
      <c r="AP20" s="6" t="s">
        <v>51</v>
      </c>
      <c r="AQ20" s="6" t="s">
        <v>19</v>
      </c>
      <c r="AR20" s="6" t="s">
        <v>27</v>
      </c>
      <c r="AS20" s="6" t="s">
        <v>10</v>
      </c>
    </row>
    <row r="21" spans="1:48" s="7" customFormat="1" ht="56" customHeight="1">
      <c r="A21" s="76" t="s">
        <v>1169</v>
      </c>
      <c r="B21" s="74" t="s">
        <v>49</v>
      </c>
      <c r="C21" s="31">
        <v>10</v>
      </c>
      <c r="D21" s="31"/>
      <c r="E21" s="118">
        <f t="shared" si="0"/>
        <v>40</v>
      </c>
      <c r="F21" s="32">
        <v>4</v>
      </c>
      <c r="G21" s="32">
        <v>3</v>
      </c>
      <c r="H21" s="32">
        <v>2</v>
      </c>
      <c r="I21" s="32">
        <v>5</v>
      </c>
      <c r="J21" s="32">
        <v>2</v>
      </c>
      <c r="K21" s="32">
        <v>4</v>
      </c>
      <c r="L21" s="32">
        <v>5</v>
      </c>
      <c r="M21" s="32">
        <v>3</v>
      </c>
      <c r="N21" s="32">
        <v>6</v>
      </c>
      <c r="O21" s="32">
        <v>6</v>
      </c>
      <c r="P21" s="32"/>
      <c r="Q21" s="32"/>
      <c r="R21" s="32"/>
      <c r="S21" s="32"/>
      <c r="T21" s="32"/>
      <c r="U21" s="32"/>
      <c r="V21" s="32"/>
      <c r="W21" s="32"/>
      <c r="X21" s="32"/>
      <c r="Y21" s="32"/>
      <c r="Z21" s="32"/>
      <c r="AA21" s="32"/>
      <c r="AB21" s="32"/>
      <c r="AC21" s="32"/>
      <c r="AD21" s="32"/>
      <c r="AE21" s="32"/>
      <c r="AF21" s="32"/>
      <c r="AG21" s="33" t="s">
        <v>7</v>
      </c>
      <c r="AH21" s="179" t="s">
        <v>1944</v>
      </c>
      <c r="AI21" s="179" t="s">
        <v>1944</v>
      </c>
      <c r="AJ21" s="178"/>
      <c r="AK21" s="33" t="s">
        <v>52</v>
      </c>
      <c r="AL21" s="147">
        <f t="shared" si="1"/>
        <v>6</v>
      </c>
      <c r="AM21" s="150"/>
      <c r="AN21" s="147">
        <v>1.2</v>
      </c>
      <c r="AO21" s="6" t="s">
        <v>50</v>
      </c>
      <c r="AP21" s="6" t="s">
        <v>51</v>
      </c>
      <c r="AQ21" s="6" t="s">
        <v>19</v>
      </c>
      <c r="AR21" s="6" t="s">
        <v>27</v>
      </c>
      <c r="AS21" s="6" t="s">
        <v>10</v>
      </c>
    </row>
    <row r="22" spans="1:48" s="7" customFormat="1" ht="56" customHeight="1">
      <c r="A22" s="76" t="s">
        <v>1170</v>
      </c>
      <c r="B22" s="74" t="s">
        <v>49</v>
      </c>
      <c r="C22" s="31">
        <v>10</v>
      </c>
      <c r="D22" s="31"/>
      <c r="E22" s="118">
        <f t="shared" si="0"/>
        <v>39</v>
      </c>
      <c r="F22" s="32">
        <v>3</v>
      </c>
      <c r="G22" s="32">
        <v>4</v>
      </c>
      <c r="H22" s="32">
        <v>4</v>
      </c>
      <c r="I22" s="32">
        <v>2</v>
      </c>
      <c r="J22" s="32">
        <v>5</v>
      </c>
      <c r="K22" s="32">
        <v>4</v>
      </c>
      <c r="L22" s="32">
        <v>3</v>
      </c>
      <c r="M22" s="32">
        <v>5</v>
      </c>
      <c r="N22" s="32">
        <v>5</v>
      </c>
      <c r="O22" s="32">
        <v>4</v>
      </c>
      <c r="P22" s="32"/>
      <c r="Q22" s="32"/>
      <c r="R22" s="32"/>
      <c r="S22" s="32"/>
      <c r="T22" s="32"/>
      <c r="U22" s="32"/>
      <c r="V22" s="32"/>
      <c r="W22" s="32"/>
      <c r="X22" s="32"/>
      <c r="Y22" s="32"/>
      <c r="Z22" s="32"/>
      <c r="AA22" s="32"/>
      <c r="AB22" s="32"/>
      <c r="AC22" s="32"/>
      <c r="AD22" s="32"/>
      <c r="AE22" s="32"/>
      <c r="AF22" s="32"/>
      <c r="AG22" s="33" t="s">
        <v>7</v>
      </c>
      <c r="AH22" s="179" t="s">
        <v>1945</v>
      </c>
      <c r="AI22" s="179" t="s">
        <v>1945</v>
      </c>
      <c r="AJ22" s="178"/>
      <c r="AK22" s="33" t="s">
        <v>52</v>
      </c>
      <c r="AL22" s="147">
        <f t="shared" si="1"/>
        <v>6</v>
      </c>
      <c r="AM22" s="150"/>
      <c r="AN22" s="147">
        <v>1.2</v>
      </c>
      <c r="AO22" s="6" t="s">
        <v>50</v>
      </c>
      <c r="AP22" s="6" t="s">
        <v>51</v>
      </c>
      <c r="AQ22" s="6" t="s">
        <v>19</v>
      </c>
      <c r="AR22" s="6" t="s">
        <v>27</v>
      </c>
      <c r="AS22" s="6" t="s">
        <v>10</v>
      </c>
    </row>
    <row r="23" spans="1:48" ht="56" customHeight="1">
      <c r="A23" s="76" t="s">
        <v>1171</v>
      </c>
      <c r="B23" s="73" t="s">
        <v>54</v>
      </c>
      <c r="C23" s="34">
        <v>9</v>
      </c>
      <c r="D23" s="34"/>
      <c r="E23" s="118">
        <f t="shared" si="0"/>
        <v>178</v>
      </c>
      <c r="F23" s="13">
        <v>17</v>
      </c>
      <c r="G23" s="137">
        <v>12</v>
      </c>
      <c r="H23" s="137">
        <v>22</v>
      </c>
      <c r="I23" s="138">
        <v>31</v>
      </c>
      <c r="J23" s="139">
        <v>33</v>
      </c>
      <c r="K23" s="140">
        <v>15</v>
      </c>
      <c r="L23" s="13">
        <v>17</v>
      </c>
      <c r="M23" s="140">
        <v>18</v>
      </c>
      <c r="N23" s="138">
        <v>13</v>
      </c>
      <c r="AG23" s="5" t="s">
        <v>57</v>
      </c>
      <c r="AH23" s="179" t="s">
        <v>1946</v>
      </c>
      <c r="AI23" s="179" t="s">
        <v>1946</v>
      </c>
      <c r="AK23" s="5" t="s">
        <v>60</v>
      </c>
      <c r="AL23" s="149">
        <f t="shared" si="1"/>
        <v>48</v>
      </c>
      <c r="AM23" s="148" t="s">
        <v>1832</v>
      </c>
      <c r="AN23" s="149">
        <f>2+2+2.5+1.1+2</f>
        <v>9.6</v>
      </c>
      <c r="AO23" s="1" t="s">
        <v>55</v>
      </c>
      <c r="AP23" s="1" t="s">
        <v>56</v>
      </c>
      <c r="AQ23" s="1" t="s">
        <v>19</v>
      </c>
      <c r="AR23" s="1" t="s">
        <v>38</v>
      </c>
      <c r="AS23" s="1" t="s">
        <v>10</v>
      </c>
      <c r="AT23" s="9"/>
      <c r="AU23" s="9"/>
      <c r="AV23" s="9"/>
    </row>
    <row r="24" spans="1:48" ht="56" customHeight="1">
      <c r="A24" s="76" t="s">
        <v>1172</v>
      </c>
      <c r="B24" s="73" t="s">
        <v>54</v>
      </c>
      <c r="C24" s="34">
        <v>10</v>
      </c>
      <c r="D24" s="34"/>
      <c r="E24" s="118">
        <f t="shared" si="0"/>
        <v>235</v>
      </c>
      <c r="F24" s="141">
        <v>22</v>
      </c>
      <c r="G24" s="137">
        <v>35</v>
      </c>
      <c r="H24" s="138">
        <v>18</v>
      </c>
      <c r="I24" s="138">
        <v>19</v>
      </c>
      <c r="J24" s="139">
        <v>40</v>
      </c>
      <c r="K24" s="13">
        <v>20</v>
      </c>
      <c r="L24" s="140">
        <v>19</v>
      </c>
      <c r="M24" s="137">
        <v>17</v>
      </c>
      <c r="N24" s="140">
        <v>27</v>
      </c>
      <c r="O24" s="138">
        <v>18</v>
      </c>
      <c r="AG24" s="5" t="s">
        <v>57</v>
      </c>
      <c r="AH24" s="179" t="s">
        <v>1947</v>
      </c>
      <c r="AI24" s="179" t="s">
        <v>1947</v>
      </c>
      <c r="AK24" s="5" t="s">
        <v>61</v>
      </c>
      <c r="AL24" s="149">
        <f t="shared" si="1"/>
        <v>41</v>
      </c>
      <c r="AM24" s="148" t="s">
        <v>1833</v>
      </c>
      <c r="AN24" s="149">
        <f>2+1.5+2.5+0.7+1.5</f>
        <v>8.1999999999999993</v>
      </c>
      <c r="AO24" s="1" t="s">
        <v>55</v>
      </c>
      <c r="AP24" s="1" t="s">
        <v>56</v>
      </c>
      <c r="AQ24" s="1" t="s">
        <v>19</v>
      </c>
      <c r="AR24" s="1" t="s">
        <v>38</v>
      </c>
      <c r="AS24" s="1" t="s">
        <v>10</v>
      </c>
      <c r="AT24" s="9"/>
      <c r="AU24" s="9"/>
      <c r="AV24" s="9"/>
    </row>
    <row r="25" spans="1:48" ht="56" customHeight="1">
      <c r="A25" s="76" t="s">
        <v>1173</v>
      </c>
      <c r="B25" s="73" t="s">
        <v>54</v>
      </c>
      <c r="C25" s="34">
        <v>10</v>
      </c>
      <c r="D25" s="34"/>
      <c r="E25" s="118">
        <f t="shared" si="0"/>
        <v>201</v>
      </c>
      <c r="F25" s="13">
        <v>34</v>
      </c>
      <c r="G25" s="13">
        <v>9</v>
      </c>
      <c r="H25" s="137">
        <v>14</v>
      </c>
      <c r="I25" s="138">
        <v>10</v>
      </c>
      <c r="J25" s="139">
        <v>26</v>
      </c>
      <c r="K25" s="137">
        <v>27</v>
      </c>
      <c r="L25" s="140">
        <v>18</v>
      </c>
      <c r="M25" s="139">
        <v>17</v>
      </c>
      <c r="N25" s="140">
        <v>18</v>
      </c>
      <c r="O25" s="138">
        <v>28</v>
      </c>
      <c r="AG25" s="5" t="s">
        <v>58</v>
      </c>
      <c r="AH25" s="179" t="s">
        <v>1948</v>
      </c>
      <c r="AI25" s="179" t="s">
        <v>1948</v>
      </c>
      <c r="AK25" s="5" t="s">
        <v>62</v>
      </c>
      <c r="AL25" s="149">
        <f t="shared" si="1"/>
        <v>57.5</v>
      </c>
      <c r="AM25" s="148" t="s">
        <v>1834</v>
      </c>
      <c r="AN25" s="149">
        <f>2.5+1.5+2.5+2.5+2.5</f>
        <v>11.5</v>
      </c>
      <c r="AO25" s="1" t="s">
        <v>55</v>
      </c>
      <c r="AP25" s="1" t="s">
        <v>56</v>
      </c>
      <c r="AQ25" s="1" t="s">
        <v>19</v>
      </c>
      <c r="AR25" s="1" t="s">
        <v>38</v>
      </c>
      <c r="AS25" s="1" t="s">
        <v>10</v>
      </c>
      <c r="AT25" s="9"/>
      <c r="AU25" s="9"/>
      <c r="AV25" s="9"/>
    </row>
    <row r="26" spans="1:48" ht="56" customHeight="1">
      <c r="A26" s="76" t="s">
        <v>1174</v>
      </c>
      <c r="B26" s="73" t="s">
        <v>54</v>
      </c>
      <c r="C26" s="34">
        <v>10</v>
      </c>
      <c r="D26" s="34"/>
      <c r="E26" s="118">
        <f t="shared" si="0"/>
        <v>192</v>
      </c>
      <c r="F26" s="13">
        <v>23</v>
      </c>
      <c r="G26" s="137">
        <v>28</v>
      </c>
      <c r="H26" s="137">
        <v>12</v>
      </c>
      <c r="I26" s="138">
        <v>17</v>
      </c>
      <c r="J26" s="138">
        <v>17</v>
      </c>
      <c r="K26" s="139">
        <v>23</v>
      </c>
      <c r="L26" s="140">
        <v>10</v>
      </c>
      <c r="M26" s="139">
        <v>16</v>
      </c>
      <c r="N26" s="140">
        <v>31</v>
      </c>
      <c r="O26" s="13">
        <v>15</v>
      </c>
      <c r="AG26" s="5" t="s">
        <v>59</v>
      </c>
      <c r="AH26" s="179" t="s">
        <v>1949</v>
      </c>
      <c r="AI26" s="179" t="s">
        <v>1949</v>
      </c>
      <c r="AK26" s="5" t="s">
        <v>63</v>
      </c>
      <c r="AL26" s="149">
        <f t="shared" si="1"/>
        <v>52.5</v>
      </c>
      <c r="AM26" s="148" t="s">
        <v>1835</v>
      </c>
      <c r="AN26" s="149">
        <f>2+2.5+1.5+2+2.5</f>
        <v>10.5</v>
      </c>
      <c r="AO26" s="1" t="s">
        <v>55</v>
      </c>
      <c r="AP26" s="1" t="s">
        <v>56</v>
      </c>
      <c r="AQ26" s="1" t="s">
        <v>19</v>
      </c>
      <c r="AR26" s="1" t="s">
        <v>38</v>
      </c>
      <c r="AS26" s="1" t="s">
        <v>10</v>
      </c>
      <c r="AT26" s="9"/>
      <c r="AU26" s="9"/>
      <c r="AV26" s="9"/>
    </row>
    <row r="27" spans="1:48" s="7" customFormat="1" ht="56" customHeight="1">
      <c r="A27" s="76" t="s">
        <v>1175</v>
      </c>
      <c r="B27" s="74" t="s">
        <v>873</v>
      </c>
      <c r="C27" s="31">
        <v>2</v>
      </c>
      <c r="D27" s="31"/>
      <c r="E27" s="118">
        <f t="shared" si="0"/>
        <v>6</v>
      </c>
      <c r="F27" s="32">
        <v>4</v>
      </c>
      <c r="G27" s="32">
        <v>2</v>
      </c>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3" t="s">
        <v>65</v>
      </c>
      <c r="AH27" s="179" t="s">
        <v>1950</v>
      </c>
      <c r="AI27" s="179" t="s">
        <v>1950</v>
      </c>
      <c r="AJ27" s="178"/>
      <c r="AK27" s="33" t="s">
        <v>67</v>
      </c>
      <c r="AL27" s="147">
        <f t="shared" si="1"/>
        <v>2</v>
      </c>
      <c r="AM27" s="150"/>
      <c r="AN27" s="147">
        <v>0.4</v>
      </c>
      <c r="AO27" s="6" t="s">
        <v>64</v>
      </c>
      <c r="AP27" s="6" t="s">
        <v>874</v>
      </c>
      <c r="AQ27" s="6" t="s">
        <v>20</v>
      </c>
      <c r="AR27" s="6" t="s">
        <v>27</v>
      </c>
      <c r="AS27" s="6" t="s">
        <v>10</v>
      </c>
    </row>
    <row r="28" spans="1:48" s="7" customFormat="1" ht="56" customHeight="1">
      <c r="A28" s="76" t="s">
        <v>1176</v>
      </c>
      <c r="B28" s="74" t="s">
        <v>873</v>
      </c>
      <c r="C28" s="31">
        <v>3</v>
      </c>
      <c r="D28" s="31"/>
      <c r="E28" s="118">
        <f t="shared" si="0"/>
        <v>36</v>
      </c>
      <c r="F28" s="32">
        <v>14</v>
      </c>
      <c r="G28" s="32">
        <v>15</v>
      </c>
      <c r="H28" s="32">
        <v>7</v>
      </c>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3" t="s">
        <v>68</v>
      </c>
      <c r="AH28" s="179" t="s">
        <v>1951</v>
      </c>
      <c r="AI28" s="179" t="s">
        <v>1951</v>
      </c>
      <c r="AJ28" s="178"/>
      <c r="AK28" s="33" t="s">
        <v>69</v>
      </c>
      <c r="AL28" s="147">
        <f t="shared" si="1"/>
        <v>10</v>
      </c>
      <c r="AM28" s="150"/>
      <c r="AN28" s="147">
        <v>2</v>
      </c>
      <c r="AO28" s="6" t="s">
        <v>64</v>
      </c>
      <c r="AP28" s="6" t="s">
        <v>874</v>
      </c>
      <c r="AQ28" s="6" t="s">
        <v>21</v>
      </c>
      <c r="AR28" s="6" t="s">
        <v>13</v>
      </c>
      <c r="AS28" s="6" t="s">
        <v>10</v>
      </c>
    </row>
    <row r="29" spans="1:48" s="7" customFormat="1" ht="56" customHeight="1">
      <c r="A29" s="76" t="s">
        <v>1177</v>
      </c>
      <c r="B29" s="74" t="s">
        <v>873</v>
      </c>
      <c r="C29" s="31">
        <v>4</v>
      </c>
      <c r="D29" s="31"/>
      <c r="E29" s="118">
        <f t="shared" si="0"/>
        <v>15</v>
      </c>
      <c r="F29" s="32">
        <v>4</v>
      </c>
      <c r="G29" s="32">
        <v>1</v>
      </c>
      <c r="H29" s="32">
        <v>5</v>
      </c>
      <c r="I29" s="32">
        <v>5</v>
      </c>
      <c r="J29" s="32"/>
      <c r="K29" s="32"/>
      <c r="L29" s="32"/>
      <c r="M29" s="32"/>
      <c r="N29" s="32"/>
      <c r="O29" s="32"/>
      <c r="P29" s="32"/>
      <c r="Q29" s="32"/>
      <c r="R29" s="32"/>
      <c r="S29" s="32"/>
      <c r="T29" s="32"/>
      <c r="U29" s="32"/>
      <c r="V29" s="32"/>
      <c r="W29" s="32"/>
      <c r="X29" s="32"/>
      <c r="Y29" s="32"/>
      <c r="Z29" s="32"/>
      <c r="AA29" s="32"/>
      <c r="AB29" s="32"/>
      <c r="AC29" s="32"/>
      <c r="AD29" s="32"/>
      <c r="AE29" s="32"/>
      <c r="AF29" s="32"/>
      <c r="AG29" s="33" t="s">
        <v>68</v>
      </c>
      <c r="AH29" s="179" t="s">
        <v>1952</v>
      </c>
      <c r="AI29" s="179" t="s">
        <v>1952</v>
      </c>
      <c r="AJ29" s="178"/>
      <c r="AK29" s="33" t="s">
        <v>70</v>
      </c>
      <c r="AL29" s="147">
        <f t="shared" si="1"/>
        <v>5</v>
      </c>
      <c r="AM29" s="150"/>
      <c r="AN29" s="147">
        <v>1</v>
      </c>
      <c r="AO29" s="6" t="s">
        <v>64</v>
      </c>
      <c r="AP29" s="6" t="s">
        <v>874</v>
      </c>
      <c r="AQ29" s="6" t="s">
        <v>21</v>
      </c>
      <c r="AR29" s="6" t="s">
        <v>27</v>
      </c>
      <c r="AS29" s="6" t="s">
        <v>10</v>
      </c>
    </row>
    <row r="30" spans="1:48" s="7" customFormat="1" ht="56" customHeight="1">
      <c r="A30" s="76" t="s">
        <v>1178</v>
      </c>
      <c r="B30" s="74" t="s">
        <v>873</v>
      </c>
      <c r="C30" s="31">
        <v>2</v>
      </c>
      <c r="D30" s="31"/>
      <c r="E30" s="118">
        <f t="shared" si="0"/>
        <v>5</v>
      </c>
      <c r="F30" s="32">
        <v>2</v>
      </c>
      <c r="G30" s="32">
        <v>3</v>
      </c>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3" t="s">
        <v>68</v>
      </c>
      <c r="AH30" s="179" t="s">
        <v>1953</v>
      </c>
      <c r="AI30" s="179" t="s">
        <v>1953</v>
      </c>
      <c r="AJ30" s="178"/>
      <c r="AK30" s="33" t="s">
        <v>71</v>
      </c>
      <c r="AL30" s="147">
        <f t="shared" si="1"/>
        <v>1.5</v>
      </c>
      <c r="AM30" s="150"/>
      <c r="AN30" s="147">
        <v>0.3</v>
      </c>
      <c r="AO30" s="6" t="s">
        <v>64</v>
      </c>
      <c r="AP30" s="6" t="s">
        <v>874</v>
      </c>
      <c r="AQ30" s="6" t="s">
        <v>20</v>
      </c>
      <c r="AR30" s="6" t="s">
        <v>72</v>
      </c>
      <c r="AS30" s="6" t="s">
        <v>10</v>
      </c>
    </row>
    <row r="31" spans="1:48" ht="56" customHeight="1">
      <c r="A31" s="76" t="s">
        <v>1179</v>
      </c>
      <c r="B31" s="73" t="s">
        <v>73</v>
      </c>
      <c r="C31" s="34">
        <v>10</v>
      </c>
      <c r="D31" s="34"/>
      <c r="E31" s="118">
        <f t="shared" si="0"/>
        <v>83</v>
      </c>
      <c r="F31" s="13">
        <v>10</v>
      </c>
      <c r="G31" s="13">
        <v>9</v>
      </c>
      <c r="H31" s="13">
        <v>7</v>
      </c>
      <c r="I31" s="13">
        <v>9</v>
      </c>
      <c r="J31" s="13">
        <v>9</v>
      </c>
      <c r="K31" s="13">
        <v>9</v>
      </c>
      <c r="L31" s="13">
        <v>8</v>
      </c>
      <c r="M31" s="13">
        <v>7</v>
      </c>
      <c r="N31" s="13">
        <v>5</v>
      </c>
      <c r="O31" s="13">
        <v>10</v>
      </c>
      <c r="AG31" s="5" t="s">
        <v>7</v>
      </c>
      <c r="AH31" s="179" t="s">
        <v>1954</v>
      </c>
      <c r="AI31" s="179" t="s">
        <v>1954</v>
      </c>
      <c r="AK31" s="5" t="s">
        <v>76</v>
      </c>
      <c r="AL31" s="148">
        <f t="shared" si="1"/>
        <v>10</v>
      </c>
      <c r="AN31" s="148">
        <v>2</v>
      </c>
      <c r="AO31" s="1" t="s">
        <v>74</v>
      </c>
      <c r="AP31" s="1" t="s">
        <v>75</v>
      </c>
      <c r="AQ31" s="1" t="s">
        <v>19</v>
      </c>
      <c r="AR31" s="1" t="s">
        <v>19</v>
      </c>
      <c r="AS31" s="1" t="s">
        <v>10</v>
      </c>
      <c r="AT31" s="9"/>
      <c r="AU31" s="9"/>
      <c r="AV31" s="9"/>
    </row>
    <row r="32" spans="1:48" ht="56" customHeight="1">
      <c r="A32" s="76" t="s">
        <v>1180</v>
      </c>
      <c r="B32" s="73" t="s">
        <v>73</v>
      </c>
      <c r="C32" s="34">
        <v>9</v>
      </c>
      <c r="D32" s="34"/>
      <c r="E32" s="118">
        <f t="shared" si="0"/>
        <v>95</v>
      </c>
      <c r="F32" s="13">
        <v>13</v>
      </c>
      <c r="G32" s="13">
        <v>10</v>
      </c>
      <c r="H32" s="13">
        <v>13</v>
      </c>
      <c r="I32" s="13">
        <v>8</v>
      </c>
      <c r="J32" s="13">
        <v>6</v>
      </c>
      <c r="K32" s="13">
        <v>8</v>
      </c>
      <c r="L32" s="13">
        <v>12</v>
      </c>
      <c r="M32" s="13">
        <v>12</v>
      </c>
      <c r="N32" s="13">
        <v>13</v>
      </c>
      <c r="AG32" s="5" t="s">
        <v>7</v>
      </c>
      <c r="AH32" s="179" t="s">
        <v>1955</v>
      </c>
      <c r="AI32" s="179" t="s">
        <v>1955</v>
      </c>
      <c r="AK32" s="5" t="s">
        <v>76</v>
      </c>
      <c r="AL32" s="148">
        <f t="shared" si="1"/>
        <v>10</v>
      </c>
      <c r="AN32" s="148">
        <v>2</v>
      </c>
      <c r="AO32" s="1" t="s">
        <v>74</v>
      </c>
      <c r="AP32" s="1" t="s">
        <v>75</v>
      </c>
      <c r="AQ32" s="1" t="s">
        <v>19</v>
      </c>
      <c r="AR32" s="1" t="s">
        <v>19</v>
      </c>
      <c r="AS32" s="1" t="s">
        <v>10</v>
      </c>
      <c r="AT32" s="9"/>
      <c r="AU32" s="9"/>
      <c r="AV32" s="9"/>
    </row>
    <row r="33" spans="1:48" ht="56" customHeight="1">
      <c r="A33" s="76" t="s">
        <v>1181</v>
      </c>
      <c r="B33" s="73" t="s">
        <v>73</v>
      </c>
      <c r="C33" s="34">
        <v>10</v>
      </c>
      <c r="D33" s="34"/>
      <c r="E33" s="118">
        <f t="shared" si="0"/>
        <v>89</v>
      </c>
      <c r="F33" s="13">
        <v>6</v>
      </c>
      <c r="G33" s="13">
        <v>9</v>
      </c>
      <c r="H33" s="13">
        <v>10</v>
      </c>
      <c r="I33" s="13">
        <v>9</v>
      </c>
      <c r="J33" s="13">
        <v>10</v>
      </c>
      <c r="K33" s="13">
        <v>9</v>
      </c>
      <c r="L33" s="13">
        <v>6</v>
      </c>
      <c r="M33" s="13">
        <v>11</v>
      </c>
      <c r="N33" s="13">
        <v>10</v>
      </c>
      <c r="O33" s="13">
        <v>9</v>
      </c>
      <c r="AG33" s="5" t="s">
        <v>7</v>
      </c>
      <c r="AH33" s="179" t="s">
        <v>1956</v>
      </c>
      <c r="AI33" s="179" t="s">
        <v>1956</v>
      </c>
      <c r="AK33" s="5" t="s">
        <v>76</v>
      </c>
      <c r="AL33" s="148">
        <f t="shared" si="1"/>
        <v>15</v>
      </c>
      <c r="AN33" s="148">
        <v>3</v>
      </c>
      <c r="AO33" s="1" t="s">
        <v>74</v>
      </c>
      <c r="AP33" s="1" t="s">
        <v>75</v>
      </c>
      <c r="AQ33" s="1" t="s">
        <v>19</v>
      </c>
      <c r="AR33" s="1" t="s">
        <v>19</v>
      </c>
      <c r="AS33" s="1" t="s">
        <v>10</v>
      </c>
      <c r="AT33" s="9"/>
      <c r="AU33" s="9"/>
      <c r="AV33" s="9"/>
    </row>
    <row r="34" spans="1:48" ht="56" customHeight="1">
      <c r="A34" s="76" t="s">
        <v>1182</v>
      </c>
      <c r="B34" s="73" t="s">
        <v>73</v>
      </c>
      <c r="C34" s="34">
        <v>10</v>
      </c>
      <c r="D34" s="34"/>
      <c r="E34" s="118">
        <f t="shared" si="0"/>
        <v>65</v>
      </c>
      <c r="F34" s="13">
        <v>13</v>
      </c>
      <c r="G34" s="13">
        <v>4</v>
      </c>
      <c r="H34" s="13">
        <v>5</v>
      </c>
      <c r="I34" s="13">
        <v>6</v>
      </c>
      <c r="J34" s="13">
        <v>7</v>
      </c>
      <c r="K34" s="13">
        <v>5</v>
      </c>
      <c r="L34" s="13">
        <v>5</v>
      </c>
      <c r="M34" s="13">
        <v>5</v>
      </c>
      <c r="N34" s="13">
        <v>9</v>
      </c>
      <c r="O34" s="13">
        <v>6</v>
      </c>
      <c r="AG34" s="5" t="s">
        <v>7</v>
      </c>
      <c r="AH34" s="179" t="s">
        <v>1957</v>
      </c>
      <c r="AI34" s="179" t="s">
        <v>1957</v>
      </c>
      <c r="AK34" s="5" t="s">
        <v>76</v>
      </c>
      <c r="AL34" s="148">
        <f t="shared" si="1"/>
        <v>12.5</v>
      </c>
      <c r="AN34" s="148">
        <v>2.5</v>
      </c>
      <c r="AO34" s="1" t="s">
        <v>74</v>
      </c>
      <c r="AP34" s="1" t="s">
        <v>75</v>
      </c>
      <c r="AQ34" s="1" t="s">
        <v>19</v>
      </c>
      <c r="AR34" s="1" t="s">
        <v>19</v>
      </c>
      <c r="AS34" s="1" t="s">
        <v>10</v>
      </c>
      <c r="AT34" s="9"/>
      <c r="AU34" s="9"/>
      <c r="AV34" s="9"/>
    </row>
    <row r="35" spans="1:48" s="7" customFormat="1" ht="56" customHeight="1">
      <c r="A35" s="76" t="s">
        <v>1183</v>
      </c>
      <c r="B35" s="74" t="s">
        <v>77</v>
      </c>
      <c r="C35" s="31">
        <v>8</v>
      </c>
      <c r="D35" s="31"/>
      <c r="E35" s="118">
        <f t="shared" si="0"/>
        <v>31</v>
      </c>
      <c r="F35" s="32">
        <v>3</v>
      </c>
      <c r="G35" s="32">
        <v>4</v>
      </c>
      <c r="H35" s="32">
        <v>3</v>
      </c>
      <c r="I35" s="32">
        <v>4</v>
      </c>
      <c r="J35" s="32">
        <v>4</v>
      </c>
      <c r="K35" s="32">
        <v>5</v>
      </c>
      <c r="L35" s="32">
        <v>4</v>
      </c>
      <c r="M35" s="32">
        <v>4</v>
      </c>
      <c r="N35" s="32"/>
      <c r="O35" s="32"/>
      <c r="P35" s="32"/>
      <c r="Q35" s="32"/>
      <c r="R35" s="32"/>
      <c r="S35" s="32"/>
      <c r="T35" s="32"/>
      <c r="U35" s="32"/>
      <c r="V35" s="32"/>
      <c r="W35" s="32"/>
      <c r="X35" s="32"/>
      <c r="Y35" s="32"/>
      <c r="Z35" s="32"/>
      <c r="AA35" s="32"/>
      <c r="AB35" s="32"/>
      <c r="AC35" s="32"/>
      <c r="AD35" s="32"/>
      <c r="AE35" s="32"/>
      <c r="AF35" s="32"/>
      <c r="AG35" s="33" t="s">
        <v>80</v>
      </c>
      <c r="AH35" s="179" t="s">
        <v>1958</v>
      </c>
      <c r="AI35" s="179" t="s">
        <v>1958</v>
      </c>
      <c r="AJ35" s="178"/>
      <c r="AK35" s="33" t="s">
        <v>82</v>
      </c>
      <c r="AL35" s="147">
        <f t="shared" si="1"/>
        <v>5</v>
      </c>
      <c r="AM35" s="150"/>
      <c r="AN35" s="147">
        <v>1</v>
      </c>
      <c r="AO35" s="6" t="s">
        <v>78</v>
      </c>
      <c r="AP35" s="6" t="s">
        <v>79</v>
      </c>
      <c r="AQ35" s="6" t="s">
        <v>19</v>
      </c>
      <c r="AR35" s="6" t="s">
        <v>18</v>
      </c>
      <c r="AS35" s="6" t="s">
        <v>10</v>
      </c>
    </row>
    <row r="36" spans="1:48" s="7" customFormat="1" ht="56" customHeight="1">
      <c r="A36" s="76" t="s">
        <v>1184</v>
      </c>
      <c r="B36" s="74" t="s">
        <v>77</v>
      </c>
      <c r="C36" s="31">
        <v>10</v>
      </c>
      <c r="D36" s="31"/>
      <c r="E36" s="118">
        <f t="shared" si="0"/>
        <v>32</v>
      </c>
      <c r="F36" s="32">
        <v>1</v>
      </c>
      <c r="G36" s="32">
        <v>4</v>
      </c>
      <c r="H36" s="32">
        <v>3</v>
      </c>
      <c r="I36" s="32">
        <v>4</v>
      </c>
      <c r="J36" s="32">
        <v>3</v>
      </c>
      <c r="K36" s="32">
        <v>4</v>
      </c>
      <c r="L36" s="32">
        <v>3</v>
      </c>
      <c r="M36" s="32">
        <v>4</v>
      </c>
      <c r="N36" s="32">
        <v>3</v>
      </c>
      <c r="O36" s="32">
        <v>3</v>
      </c>
      <c r="P36" s="32"/>
      <c r="Q36" s="32"/>
      <c r="R36" s="32"/>
      <c r="S36" s="32"/>
      <c r="T36" s="32"/>
      <c r="U36" s="32"/>
      <c r="V36" s="32"/>
      <c r="W36" s="32"/>
      <c r="X36" s="32"/>
      <c r="Y36" s="32"/>
      <c r="Z36" s="32"/>
      <c r="AA36" s="32"/>
      <c r="AB36" s="32"/>
      <c r="AC36" s="32"/>
      <c r="AD36" s="32"/>
      <c r="AE36" s="32"/>
      <c r="AF36" s="32"/>
      <c r="AG36" s="33" t="s">
        <v>80</v>
      </c>
      <c r="AH36" s="179" t="s">
        <v>1959</v>
      </c>
      <c r="AI36" s="179" t="s">
        <v>1959</v>
      </c>
      <c r="AJ36" s="178"/>
      <c r="AK36" s="33" t="s">
        <v>83</v>
      </c>
      <c r="AL36" s="147">
        <f t="shared" si="1"/>
        <v>10</v>
      </c>
      <c r="AM36" s="150"/>
      <c r="AN36" s="147">
        <v>2</v>
      </c>
      <c r="AO36" s="6" t="s">
        <v>78</v>
      </c>
      <c r="AP36" s="6" t="s">
        <v>79</v>
      </c>
      <c r="AQ36" s="6" t="s">
        <v>19</v>
      </c>
      <c r="AR36" s="6" t="s">
        <v>18</v>
      </c>
      <c r="AS36" s="6" t="s">
        <v>10</v>
      </c>
    </row>
    <row r="37" spans="1:48" s="7" customFormat="1" ht="56" customHeight="1">
      <c r="A37" s="76" t="s">
        <v>1185</v>
      </c>
      <c r="B37" s="74" t="s">
        <v>77</v>
      </c>
      <c r="C37" s="31">
        <v>10</v>
      </c>
      <c r="D37" s="31"/>
      <c r="E37" s="118">
        <f t="shared" si="0"/>
        <v>33</v>
      </c>
      <c r="F37" s="32">
        <v>1</v>
      </c>
      <c r="G37" s="32">
        <v>3</v>
      </c>
      <c r="H37" s="32">
        <v>5</v>
      </c>
      <c r="I37" s="32">
        <v>3</v>
      </c>
      <c r="J37" s="32">
        <v>2</v>
      </c>
      <c r="K37" s="32">
        <v>2</v>
      </c>
      <c r="L37" s="32">
        <v>2</v>
      </c>
      <c r="M37" s="32">
        <v>4</v>
      </c>
      <c r="N37" s="32">
        <v>6</v>
      </c>
      <c r="O37" s="32">
        <v>5</v>
      </c>
      <c r="P37" s="32"/>
      <c r="Q37" s="32"/>
      <c r="R37" s="32"/>
      <c r="S37" s="32"/>
      <c r="T37" s="32"/>
      <c r="U37" s="32"/>
      <c r="V37" s="32"/>
      <c r="W37" s="32"/>
      <c r="X37" s="32"/>
      <c r="Y37" s="32"/>
      <c r="Z37" s="32"/>
      <c r="AA37" s="32"/>
      <c r="AB37" s="32"/>
      <c r="AC37" s="32"/>
      <c r="AD37" s="32"/>
      <c r="AE37" s="32"/>
      <c r="AF37" s="32"/>
      <c r="AG37" s="33" t="s">
        <v>80</v>
      </c>
      <c r="AH37" s="179" t="s">
        <v>1960</v>
      </c>
      <c r="AI37" s="179" t="s">
        <v>1960</v>
      </c>
      <c r="AJ37" s="178"/>
      <c r="AK37" s="33" t="s">
        <v>83</v>
      </c>
      <c r="AL37" s="147">
        <f t="shared" si="1"/>
        <v>10</v>
      </c>
      <c r="AM37" s="150"/>
      <c r="AN37" s="147">
        <v>2</v>
      </c>
      <c r="AO37" s="6" t="s">
        <v>78</v>
      </c>
      <c r="AP37" s="6" t="s">
        <v>79</v>
      </c>
      <c r="AQ37" s="6" t="s">
        <v>19</v>
      </c>
      <c r="AR37" s="6" t="s">
        <v>27</v>
      </c>
      <c r="AS37" s="6" t="s">
        <v>10</v>
      </c>
    </row>
    <row r="38" spans="1:48" s="7" customFormat="1" ht="56" customHeight="1">
      <c r="A38" s="76" t="s">
        <v>1186</v>
      </c>
      <c r="B38" s="74" t="s">
        <v>77</v>
      </c>
      <c r="C38" s="31">
        <v>10</v>
      </c>
      <c r="D38" s="31"/>
      <c r="E38" s="118">
        <f t="shared" si="0"/>
        <v>41</v>
      </c>
      <c r="F38" s="32">
        <v>6</v>
      </c>
      <c r="G38" s="32">
        <v>5</v>
      </c>
      <c r="H38" s="32">
        <v>3</v>
      </c>
      <c r="I38" s="32">
        <v>4</v>
      </c>
      <c r="J38" s="32">
        <v>3</v>
      </c>
      <c r="K38" s="32">
        <v>3</v>
      </c>
      <c r="L38" s="32">
        <v>5</v>
      </c>
      <c r="M38" s="32">
        <v>3</v>
      </c>
      <c r="N38" s="32">
        <v>4</v>
      </c>
      <c r="O38" s="32">
        <v>5</v>
      </c>
      <c r="P38" s="32"/>
      <c r="Q38" s="32"/>
      <c r="R38" s="32"/>
      <c r="S38" s="32"/>
      <c r="T38" s="32"/>
      <c r="U38" s="32"/>
      <c r="V38" s="32"/>
      <c r="W38" s="32"/>
      <c r="X38" s="32"/>
      <c r="Y38" s="32"/>
      <c r="Z38" s="32"/>
      <c r="AA38" s="32"/>
      <c r="AB38" s="32"/>
      <c r="AC38" s="32"/>
      <c r="AD38" s="32"/>
      <c r="AE38" s="32"/>
      <c r="AF38" s="32"/>
      <c r="AG38" s="33" t="s">
        <v>80</v>
      </c>
      <c r="AH38" s="179" t="s">
        <v>1961</v>
      </c>
      <c r="AI38" s="179" t="s">
        <v>1961</v>
      </c>
      <c r="AJ38" s="178"/>
      <c r="AK38" s="33" t="s">
        <v>84</v>
      </c>
      <c r="AL38" s="147">
        <f t="shared" si="1"/>
        <v>5</v>
      </c>
      <c r="AM38" s="150"/>
      <c r="AN38" s="147">
        <v>1</v>
      </c>
      <c r="AO38" s="6" t="s">
        <v>78</v>
      </c>
      <c r="AP38" s="6" t="s">
        <v>79</v>
      </c>
      <c r="AQ38" s="6" t="s">
        <v>19</v>
      </c>
      <c r="AR38" s="6" t="s">
        <v>27</v>
      </c>
      <c r="AS38" s="6" t="s">
        <v>10</v>
      </c>
    </row>
    <row r="39" spans="1:48" s="7" customFormat="1" ht="56" customHeight="1">
      <c r="A39" s="76" t="s">
        <v>1187</v>
      </c>
      <c r="B39" s="74" t="s">
        <v>77</v>
      </c>
      <c r="C39" s="35"/>
      <c r="D39" s="31">
        <v>14</v>
      </c>
      <c r="E39" s="118">
        <f t="shared" si="0"/>
        <v>44</v>
      </c>
      <c r="F39" s="32">
        <v>1</v>
      </c>
      <c r="G39" s="32">
        <v>2</v>
      </c>
      <c r="H39" s="32">
        <v>2</v>
      </c>
      <c r="I39" s="32">
        <v>2</v>
      </c>
      <c r="J39" s="32">
        <v>3</v>
      </c>
      <c r="K39" s="32">
        <v>3</v>
      </c>
      <c r="L39" s="32">
        <v>3</v>
      </c>
      <c r="M39" s="32">
        <v>4</v>
      </c>
      <c r="N39" s="32">
        <v>4</v>
      </c>
      <c r="O39" s="32">
        <v>4</v>
      </c>
      <c r="P39" s="32">
        <v>4</v>
      </c>
      <c r="Q39" s="32">
        <v>4</v>
      </c>
      <c r="R39" s="32">
        <v>4</v>
      </c>
      <c r="S39" s="32">
        <v>4</v>
      </c>
      <c r="T39" s="32"/>
      <c r="U39" s="32"/>
      <c r="V39" s="32"/>
      <c r="W39" s="32"/>
      <c r="X39" s="32"/>
      <c r="Y39" s="32"/>
      <c r="Z39" s="32"/>
      <c r="AA39" s="32"/>
      <c r="AB39" s="32"/>
      <c r="AC39" s="32"/>
      <c r="AD39" s="32"/>
      <c r="AE39" s="32"/>
      <c r="AF39" s="32"/>
      <c r="AG39" s="33" t="s">
        <v>80</v>
      </c>
      <c r="AH39" s="179" t="s">
        <v>1962</v>
      </c>
      <c r="AI39" s="179" t="s">
        <v>1962</v>
      </c>
      <c r="AJ39" s="178"/>
      <c r="AK39" s="33" t="s">
        <v>85</v>
      </c>
      <c r="AL39" s="147">
        <f t="shared" si="1"/>
        <v>10</v>
      </c>
      <c r="AM39" s="150"/>
      <c r="AN39" s="147">
        <v>2</v>
      </c>
      <c r="AO39" s="6" t="s">
        <v>78</v>
      </c>
      <c r="AP39" s="6" t="s">
        <v>79</v>
      </c>
      <c r="AQ39" s="6" t="s">
        <v>10</v>
      </c>
      <c r="AR39" s="6" t="s">
        <v>10</v>
      </c>
      <c r="AS39" s="6" t="s">
        <v>13</v>
      </c>
    </row>
    <row r="40" spans="1:48" ht="56" customHeight="1">
      <c r="A40" s="76" t="s">
        <v>1188</v>
      </c>
      <c r="B40" s="73" t="s">
        <v>86</v>
      </c>
      <c r="C40" s="34">
        <v>26</v>
      </c>
      <c r="E40" s="118">
        <f t="shared" si="0"/>
        <v>109</v>
      </c>
      <c r="F40" s="13">
        <v>1</v>
      </c>
      <c r="G40" s="13">
        <v>1</v>
      </c>
      <c r="H40" s="13">
        <v>1</v>
      </c>
      <c r="I40" s="13">
        <v>1</v>
      </c>
      <c r="J40" s="13">
        <v>1</v>
      </c>
      <c r="K40" s="13">
        <v>1</v>
      </c>
      <c r="L40" s="13">
        <v>1</v>
      </c>
      <c r="M40" s="13">
        <v>2</v>
      </c>
      <c r="N40" s="13">
        <v>2</v>
      </c>
      <c r="O40" s="13">
        <v>2</v>
      </c>
      <c r="P40" s="13">
        <v>2</v>
      </c>
      <c r="Q40" s="13">
        <v>2</v>
      </c>
      <c r="R40" s="13">
        <v>2</v>
      </c>
      <c r="S40" s="13">
        <v>3</v>
      </c>
      <c r="T40" s="137">
        <v>4</v>
      </c>
      <c r="U40" s="137">
        <v>4</v>
      </c>
      <c r="V40" s="137">
        <v>4</v>
      </c>
      <c r="W40" s="137">
        <v>4</v>
      </c>
      <c r="X40" s="138">
        <v>4</v>
      </c>
      <c r="Y40" s="137">
        <v>5</v>
      </c>
      <c r="Z40" s="139">
        <v>5</v>
      </c>
      <c r="AA40" s="139">
        <v>5</v>
      </c>
      <c r="AB40" s="140">
        <v>15</v>
      </c>
      <c r="AC40" s="139">
        <v>12</v>
      </c>
      <c r="AD40" s="138">
        <v>18</v>
      </c>
      <c r="AE40" s="140">
        <v>7</v>
      </c>
      <c r="AG40" s="5" t="s">
        <v>89</v>
      </c>
      <c r="AH40" s="179" t="s">
        <v>1963</v>
      </c>
      <c r="AI40" s="179" t="s">
        <v>1963</v>
      </c>
      <c r="AL40" s="149">
        <f t="shared" si="1"/>
        <v>19.5</v>
      </c>
      <c r="AM40" s="148" t="s">
        <v>1836</v>
      </c>
      <c r="AN40" s="149">
        <f>1.1+0.5+0.5+0.7+1.1</f>
        <v>3.9</v>
      </c>
      <c r="AO40" s="1" t="s">
        <v>87</v>
      </c>
      <c r="AP40" s="1" t="s">
        <v>88</v>
      </c>
      <c r="AQ40" s="1" t="s">
        <v>13</v>
      </c>
      <c r="AR40" s="1" t="s">
        <v>18</v>
      </c>
      <c r="AS40" s="1" t="s">
        <v>10</v>
      </c>
      <c r="AT40" s="9"/>
      <c r="AU40" s="9"/>
      <c r="AV40" s="9"/>
    </row>
    <row r="41" spans="1:48" ht="56" customHeight="1">
      <c r="A41" s="76" t="s">
        <v>1189</v>
      </c>
      <c r="B41" s="73" t="s">
        <v>86</v>
      </c>
      <c r="C41" s="29"/>
      <c r="D41" s="28">
        <v>16</v>
      </c>
      <c r="E41" s="118">
        <f t="shared" si="0"/>
        <v>59</v>
      </c>
      <c r="F41" s="21">
        <v>1</v>
      </c>
      <c r="G41" s="21">
        <v>1</v>
      </c>
      <c r="H41" s="21">
        <v>1</v>
      </c>
      <c r="I41" s="21">
        <v>1</v>
      </c>
      <c r="J41" s="21">
        <v>2</v>
      </c>
      <c r="K41" s="21">
        <v>2</v>
      </c>
      <c r="L41" s="21">
        <v>2</v>
      </c>
      <c r="M41" s="21">
        <v>3</v>
      </c>
      <c r="N41" s="21">
        <v>3</v>
      </c>
      <c r="O41" s="21">
        <v>3</v>
      </c>
      <c r="P41" s="21">
        <v>8</v>
      </c>
      <c r="Q41" s="21">
        <v>7</v>
      </c>
      <c r="R41" s="21">
        <v>6</v>
      </c>
      <c r="S41" s="21">
        <v>8</v>
      </c>
      <c r="T41" s="21">
        <v>10</v>
      </c>
      <c r="U41" s="21">
        <v>1</v>
      </c>
      <c r="V41" s="21"/>
      <c r="W41" s="21"/>
      <c r="X41" s="21"/>
      <c r="Y41" s="21"/>
      <c r="Z41" s="21"/>
      <c r="AA41" s="21"/>
      <c r="AB41" s="21"/>
      <c r="AC41" s="21"/>
      <c r="AD41" s="21"/>
      <c r="AE41" s="21"/>
      <c r="AF41" s="21"/>
      <c r="AG41" s="5" t="s">
        <v>89</v>
      </c>
      <c r="AH41" s="179" t="s">
        <v>1963</v>
      </c>
      <c r="AI41" s="179" t="s">
        <v>1963</v>
      </c>
      <c r="AL41" s="148">
        <f t="shared" si="1"/>
        <v>10</v>
      </c>
      <c r="AN41" s="148">
        <v>2</v>
      </c>
      <c r="AO41" s="1" t="s">
        <v>87</v>
      </c>
      <c r="AP41" s="1" t="s">
        <v>88</v>
      </c>
      <c r="AQ41" s="2" t="s">
        <v>316</v>
      </c>
      <c r="AR41" s="2" t="s">
        <v>316</v>
      </c>
      <c r="AS41" s="2" t="s">
        <v>317</v>
      </c>
      <c r="AT41" s="9"/>
      <c r="AU41" s="9"/>
      <c r="AV41" s="9"/>
    </row>
    <row r="42" spans="1:48" s="7" customFormat="1" ht="56" customHeight="1">
      <c r="A42" s="76" t="s">
        <v>1190</v>
      </c>
      <c r="B42" s="74" t="s">
        <v>875</v>
      </c>
      <c r="C42" s="31">
        <v>7</v>
      </c>
      <c r="D42" s="31"/>
      <c r="E42" s="118">
        <f t="shared" si="0"/>
        <v>37</v>
      </c>
      <c r="F42" s="32">
        <v>1</v>
      </c>
      <c r="G42" s="32">
        <v>2</v>
      </c>
      <c r="H42" s="32">
        <v>3</v>
      </c>
      <c r="I42" s="32">
        <v>4</v>
      </c>
      <c r="J42" s="32">
        <v>7</v>
      </c>
      <c r="K42" s="32">
        <v>8</v>
      </c>
      <c r="L42" s="32">
        <v>12</v>
      </c>
      <c r="M42" s="32"/>
      <c r="N42" s="32"/>
      <c r="O42" s="32"/>
      <c r="P42" s="32"/>
      <c r="Q42" s="32"/>
      <c r="R42" s="32"/>
      <c r="S42" s="32"/>
      <c r="T42" s="32"/>
      <c r="U42" s="32"/>
      <c r="V42" s="32"/>
      <c r="W42" s="32"/>
      <c r="X42" s="32"/>
      <c r="Y42" s="32"/>
      <c r="Z42" s="32"/>
      <c r="AA42" s="32"/>
      <c r="AB42" s="32"/>
      <c r="AC42" s="32"/>
      <c r="AD42" s="32"/>
      <c r="AE42" s="32"/>
      <c r="AF42" s="32"/>
      <c r="AG42" s="33" t="s">
        <v>89</v>
      </c>
      <c r="AH42" s="179" t="s">
        <v>1964</v>
      </c>
      <c r="AI42" s="179" t="s">
        <v>1964</v>
      </c>
      <c r="AJ42" s="178"/>
      <c r="AK42" s="33"/>
      <c r="AL42" s="147">
        <f t="shared" si="1"/>
        <v>7.5</v>
      </c>
      <c r="AM42" s="150"/>
      <c r="AN42" s="147">
        <v>1.5</v>
      </c>
      <c r="AO42" s="6" t="s">
        <v>91</v>
      </c>
      <c r="AP42" s="6" t="s">
        <v>876</v>
      </c>
      <c r="AQ42" s="6" t="s">
        <v>92</v>
      </c>
      <c r="AR42" s="6" t="s">
        <v>19</v>
      </c>
      <c r="AS42" s="6" t="s">
        <v>10</v>
      </c>
    </row>
    <row r="43" spans="1:48" s="7" customFormat="1" ht="56" customHeight="1">
      <c r="A43" s="76" t="s">
        <v>1191</v>
      </c>
      <c r="B43" s="74" t="s">
        <v>875</v>
      </c>
      <c r="C43" s="37"/>
      <c r="D43" s="38">
        <v>15</v>
      </c>
      <c r="E43" s="118">
        <f t="shared" si="0"/>
        <v>84</v>
      </c>
      <c r="F43" s="24">
        <v>1</v>
      </c>
      <c r="G43" s="24">
        <v>1</v>
      </c>
      <c r="H43" s="24">
        <v>1</v>
      </c>
      <c r="I43" s="24">
        <v>2</v>
      </c>
      <c r="J43" s="24">
        <v>2</v>
      </c>
      <c r="K43" s="24">
        <v>4</v>
      </c>
      <c r="L43" s="24">
        <v>4</v>
      </c>
      <c r="M43" s="24">
        <v>4</v>
      </c>
      <c r="N43" s="24">
        <v>5</v>
      </c>
      <c r="O43" s="24">
        <v>6</v>
      </c>
      <c r="P43" s="24">
        <v>8</v>
      </c>
      <c r="Q43" s="24">
        <v>16</v>
      </c>
      <c r="R43" s="24">
        <v>10</v>
      </c>
      <c r="S43" s="24">
        <v>6</v>
      </c>
      <c r="T43" s="24">
        <v>14</v>
      </c>
      <c r="U43" s="24"/>
      <c r="V43" s="24"/>
      <c r="W43" s="24"/>
      <c r="X43" s="24"/>
      <c r="Y43" s="24"/>
      <c r="Z43" s="24"/>
      <c r="AA43" s="24"/>
      <c r="AB43" s="24"/>
      <c r="AC43" s="24"/>
      <c r="AD43" s="24"/>
      <c r="AE43" s="24"/>
      <c r="AF43" s="24"/>
      <c r="AG43" s="33" t="s">
        <v>89</v>
      </c>
      <c r="AH43" s="179" t="s">
        <v>1964</v>
      </c>
      <c r="AI43" s="179" t="s">
        <v>1964</v>
      </c>
      <c r="AJ43" s="178"/>
      <c r="AK43" s="33"/>
      <c r="AL43" s="147">
        <f t="shared" si="1"/>
        <v>12.5</v>
      </c>
      <c r="AM43" s="150"/>
      <c r="AN43" s="147">
        <v>2.5</v>
      </c>
      <c r="AO43" s="6" t="s">
        <v>91</v>
      </c>
      <c r="AP43" s="6" t="s">
        <v>876</v>
      </c>
      <c r="AQ43" s="8" t="s">
        <v>316</v>
      </c>
      <c r="AR43" s="8" t="s">
        <v>316</v>
      </c>
      <c r="AS43" s="8" t="s">
        <v>317</v>
      </c>
    </row>
    <row r="44" spans="1:48" ht="45" customHeight="1">
      <c r="A44" s="76" t="s">
        <v>1192</v>
      </c>
      <c r="B44" s="73" t="s">
        <v>93</v>
      </c>
      <c r="C44" s="34">
        <v>10</v>
      </c>
      <c r="D44" s="34"/>
      <c r="E44" s="118">
        <f t="shared" si="0"/>
        <v>16</v>
      </c>
      <c r="F44" s="13">
        <v>1</v>
      </c>
      <c r="G44" s="13">
        <v>1</v>
      </c>
      <c r="H44" s="13">
        <v>2</v>
      </c>
      <c r="I44" s="13">
        <v>1</v>
      </c>
      <c r="J44" s="13">
        <v>1</v>
      </c>
      <c r="K44" s="13">
        <v>3</v>
      </c>
      <c r="L44" s="13">
        <v>3</v>
      </c>
      <c r="M44" s="13">
        <v>1</v>
      </c>
      <c r="N44" s="13">
        <v>1</v>
      </c>
      <c r="O44" s="13">
        <v>2</v>
      </c>
      <c r="AG44" s="5" t="s">
        <v>96</v>
      </c>
      <c r="AH44" s="179" t="s">
        <v>1965</v>
      </c>
      <c r="AI44" s="179" t="s">
        <v>1965</v>
      </c>
      <c r="AL44" s="148">
        <f t="shared" si="1"/>
        <v>4</v>
      </c>
      <c r="AN44" s="148">
        <v>0.8</v>
      </c>
      <c r="AO44" s="1" t="s">
        <v>94</v>
      </c>
      <c r="AP44" s="1" t="s">
        <v>95</v>
      </c>
      <c r="AQ44" s="1" t="s">
        <v>19</v>
      </c>
      <c r="AR44" s="1" t="s">
        <v>20</v>
      </c>
      <c r="AS44" s="1" t="s">
        <v>10</v>
      </c>
      <c r="AT44" s="9"/>
      <c r="AU44" s="9"/>
      <c r="AV44" s="9"/>
    </row>
    <row r="45" spans="1:48" ht="45" customHeight="1">
      <c r="A45" s="76" t="s">
        <v>1193</v>
      </c>
      <c r="B45" s="73" t="s">
        <v>93</v>
      </c>
      <c r="C45" s="34">
        <v>10</v>
      </c>
      <c r="D45" s="34"/>
      <c r="E45" s="118">
        <f t="shared" si="0"/>
        <v>23</v>
      </c>
      <c r="F45" s="13">
        <v>3</v>
      </c>
      <c r="G45" s="13">
        <v>2</v>
      </c>
      <c r="H45" s="13">
        <v>2</v>
      </c>
      <c r="I45" s="13">
        <v>3</v>
      </c>
      <c r="J45" s="13">
        <v>2</v>
      </c>
      <c r="K45" s="13">
        <v>2</v>
      </c>
      <c r="L45" s="13">
        <v>2</v>
      </c>
      <c r="M45" s="13">
        <v>2</v>
      </c>
      <c r="N45" s="13">
        <v>3</v>
      </c>
      <c r="O45" s="13">
        <v>2</v>
      </c>
      <c r="AG45" s="5" t="s">
        <v>96</v>
      </c>
      <c r="AH45" s="179" t="s">
        <v>1966</v>
      </c>
      <c r="AI45" s="179" t="s">
        <v>1966</v>
      </c>
      <c r="AL45" s="148">
        <f t="shared" si="1"/>
        <v>5</v>
      </c>
      <c r="AN45" s="148">
        <v>1</v>
      </c>
      <c r="AO45" s="1" t="s">
        <v>94</v>
      </c>
      <c r="AP45" s="1" t="s">
        <v>95</v>
      </c>
      <c r="AQ45" s="1" t="s">
        <v>19</v>
      </c>
      <c r="AR45" s="1" t="s">
        <v>72</v>
      </c>
      <c r="AS45" s="1" t="s">
        <v>10</v>
      </c>
      <c r="AT45" s="9"/>
      <c r="AU45" s="9"/>
      <c r="AV45" s="9"/>
    </row>
    <row r="46" spans="1:48" ht="45" customHeight="1">
      <c r="A46" s="76" t="s">
        <v>1194</v>
      </c>
      <c r="B46" s="73" t="s">
        <v>93</v>
      </c>
      <c r="C46" s="34">
        <v>9</v>
      </c>
      <c r="D46" s="34"/>
      <c r="E46" s="118">
        <f t="shared" si="0"/>
        <v>23</v>
      </c>
      <c r="F46" s="13">
        <v>2</v>
      </c>
      <c r="G46" s="13">
        <v>3</v>
      </c>
      <c r="H46" s="13">
        <v>3</v>
      </c>
      <c r="I46" s="13">
        <v>3</v>
      </c>
      <c r="J46" s="13">
        <v>3</v>
      </c>
      <c r="K46" s="13">
        <v>1</v>
      </c>
      <c r="L46" s="13">
        <v>2</v>
      </c>
      <c r="M46" s="13">
        <v>3</v>
      </c>
      <c r="N46" s="13">
        <v>3</v>
      </c>
      <c r="AG46" s="5" t="s">
        <v>96</v>
      </c>
      <c r="AH46" s="179" t="s">
        <v>1967</v>
      </c>
      <c r="AI46" s="179" t="s">
        <v>1967</v>
      </c>
      <c r="AL46" s="148">
        <f t="shared" si="1"/>
        <v>2.5</v>
      </c>
      <c r="AN46" s="148">
        <v>0.5</v>
      </c>
      <c r="AO46" s="1" t="s">
        <v>94</v>
      </c>
      <c r="AP46" s="1" t="s">
        <v>95</v>
      </c>
      <c r="AQ46" s="1" t="s">
        <v>19</v>
      </c>
      <c r="AR46" s="1" t="s">
        <v>72</v>
      </c>
      <c r="AS46" s="1" t="s">
        <v>10</v>
      </c>
      <c r="AT46" s="9"/>
      <c r="AU46" s="9"/>
      <c r="AV46" s="9"/>
    </row>
    <row r="47" spans="1:48" ht="45" customHeight="1">
      <c r="A47" s="76" t="s">
        <v>1195</v>
      </c>
      <c r="B47" s="73" t="s">
        <v>93</v>
      </c>
      <c r="C47" s="34">
        <v>10</v>
      </c>
      <c r="D47" s="34"/>
      <c r="E47" s="118">
        <f t="shared" si="0"/>
        <v>24</v>
      </c>
      <c r="F47" s="13">
        <v>3</v>
      </c>
      <c r="G47" s="13">
        <v>2</v>
      </c>
      <c r="H47" s="13">
        <v>3</v>
      </c>
      <c r="I47" s="13">
        <v>1</v>
      </c>
      <c r="J47" s="13">
        <v>2</v>
      </c>
      <c r="K47" s="13">
        <v>3</v>
      </c>
      <c r="L47" s="13">
        <v>2</v>
      </c>
      <c r="M47" s="13">
        <v>3</v>
      </c>
      <c r="N47" s="13">
        <v>3</v>
      </c>
      <c r="O47" s="13">
        <v>2</v>
      </c>
      <c r="AG47" s="5" t="s">
        <v>96</v>
      </c>
      <c r="AH47" s="179" t="s">
        <v>1968</v>
      </c>
      <c r="AI47" s="179" t="s">
        <v>1968</v>
      </c>
      <c r="AL47" s="148">
        <f t="shared" si="1"/>
        <v>4</v>
      </c>
      <c r="AN47" s="148">
        <v>0.8</v>
      </c>
      <c r="AO47" s="1" t="s">
        <v>94</v>
      </c>
      <c r="AP47" s="1" t="s">
        <v>95</v>
      </c>
      <c r="AQ47" s="1" t="s">
        <v>19</v>
      </c>
      <c r="AR47" s="1" t="s">
        <v>20</v>
      </c>
      <c r="AS47" s="1" t="s">
        <v>10</v>
      </c>
      <c r="AT47" s="9"/>
      <c r="AU47" s="9"/>
      <c r="AV47" s="9"/>
    </row>
    <row r="48" spans="1:48" ht="45" customHeight="1">
      <c r="A48" s="76" t="s">
        <v>1196</v>
      </c>
      <c r="B48" s="73" t="s">
        <v>93</v>
      </c>
      <c r="C48" s="29"/>
      <c r="D48" s="28">
        <v>15</v>
      </c>
      <c r="E48" s="118">
        <f t="shared" si="0"/>
        <v>39</v>
      </c>
      <c r="F48" s="13">
        <v>3</v>
      </c>
      <c r="G48" s="13">
        <v>2</v>
      </c>
      <c r="H48" s="13">
        <v>1</v>
      </c>
      <c r="I48" s="13">
        <v>3</v>
      </c>
      <c r="J48" s="13">
        <v>2</v>
      </c>
      <c r="K48" s="13">
        <v>2</v>
      </c>
      <c r="L48" s="13">
        <v>4</v>
      </c>
      <c r="M48" s="13">
        <v>2</v>
      </c>
      <c r="N48" s="13">
        <v>4</v>
      </c>
      <c r="O48" s="13">
        <v>5</v>
      </c>
      <c r="P48" s="13">
        <v>3</v>
      </c>
      <c r="Q48" s="13">
        <v>2</v>
      </c>
      <c r="R48" s="13">
        <v>1</v>
      </c>
      <c r="S48" s="13">
        <v>2</v>
      </c>
      <c r="T48" s="13">
        <v>3</v>
      </c>
      <c r="AG48" s="5" t="s">
        <v>96</v>
      </c>
      <c r="AH48" s="179" t="s">
        <v>1969</v>
      </c>
      <c r="AI48" s="179" t="s">
        <v>1969</v>
      </c>
      <c r="AL48" s="148">
        <f t="shared" si="1"/>
        <v>5</v>
      </c>
      <c r="AN48" s="148">
        <v>1</v>
      </c>
      <c r="AO48" s="1" t="s">
        <v>94</v>
      </c>
      <c r="AP48" s="1" t="s">
        <v>95</v>
      </c>
      <c r="AQ48" s="1" t="s">
        <v>10</v>
      </c>
      <c r="AR48" s="1" t="s">
        <v>10</v>
      </c>
      <c r="AS48" s="1" t="s">
        <v>13</v>
      </c>
      <c r="AT48" s="9"/>
      <c r="AU48" s="9"/>
      <c r="AV48" s="9"/>
    </row>
    <row r="49" spans="1:48" s="7" customFormat="1" ht="45" customHeight="1">
      <c r="A49" s="76" t="s">
        <v>1197</v>
      </c>
      <c r="B49" s="74" t="s">
        <v>102</v>
      </c>
      <c r="C49" s="31">
        <v>10</v>
      </c>
      <c r="D49" s="31"/>
      <c r="E49" s="118">
        <f t="shared" si="0"/>
        <v>48</v>
      </c>
      <c r="F49" s="32">
        <v>4</v>
      </c>
      <c r="G49" s="32">
        <v>3</v>
      </c>
      <c r="H49" s="32">
        <v>2</v>
      </c>
      <c r="I49" s="32">
        <v>4</v>
      </c>
      <c r="J49" s="32">
        <v>8</v>
      </c>
      <c r="K49" s="32">
        <v>13</v>
      </c>
      <c r="L49" s="32">
        <v>3</v>
      </c>
      <c r="M49" s="32">
        <v>6</v>
      </c>
      <c r="N49" s="32">
        <v>4</v>
      </c>
      <c r="O49" s="32">
        <v>1</v>
      </c>
      <c r="P49" s="32"/>
      <c r="Q49" s="32"/>
      <c r="R49" s="32"/>
      <c r="S49" s="32"/>
      <c r="T49" s="32"/>
      <c r="U49" s="32"/>
      <c r="V49" s="32"/>
      <c r="W49" s="32"/>
      <c r="X49" s="32"/>
      <c r="Y49" s="32"/>
      <c r="Z49" s="32"/>
      <c r="AA49" s="32"/>
      <c r="AB49" s="32"/>
      <c r="AC49" s="32"/>
      <c r="AD49" s="32"/>
      <c r="AE49" s="32"/>
      <c r="AF49" s="32"/>
      <c r="AG49" s="33" t="s">
        <v>105</v>
      </c>
      <c r="AH49" s="179" t="s">
        <v>1970</v>
      </c>
      <c r="AI49" s="179" t="s">
        <v>1970</v>
      </c>
      <c r="AJ49" s="178"/>
      <c r="AK49" s="33" t="s">
        <v>107</v>
      </c>
      <c r="AL49" s="147">
        <f t="shared" si="1"/>
        <v>5</v>
      </c>
      <c r="AM49" s="150"/>
      <c r="AN49" s="147">
        <v>1</v>
      </c>
      <c r="AO49" s="6" t="s">
        <v>103</v>
      </c>
      <c r="AP49" s="6" t="s">
        <v>104</v>
      </c>
      <c r="AQ49" s="6" t="s">
        <v>19</v>
      </c>
      <c r="AR49" s="6" t="s">
        <v>18</v>
      </c>
      <c r="AS49" s="6" t="s">
        <v>10</v>
      </c>
    </row>
    <row r="50" spans="1:48" s="7" customFormat="1" ht="45" customHeight="1">
      <c r="A50" s="76" t="s">
        <v>1198</v>
      </c>
      <c r="B50" s="74" t="s">
        <v>102</v>
      </c>
      <c r="C50" s="31">
        <v>10</v>
      </c>
      <c r="D50" s="31"/>
      <c r="E50" s="118">
        <f t="shared" si="0"/>
        <v>71</v>
      </c>
      <c r="F50" s="32">
        <v>7</v>
      </c>
      <c r="G50" s="32">
        <v>10</v>
      </c>
      <c r="H50" s="32">
        <v>2</v>
      </c>
      <c r="I50" s="32">
        <v>5</v>
      </c>
      <c r="J50" s="32">
        <v>5</v>
      </c>
      <c r="K50" s="32">
        <v>5</v>
      </c>
      <c r="L50" s="32">
        <v>5</v>
      </c>
      <c r="M50" s="32">
        <v>7</v>
      </c>
      <c r="N50" s="32">
        <v>8</v>
      </c>
      <c r="O50" s="32">
        <v>17</v>
      </c>
      <c r="P50" s="32"/>
      <c r="Q50" s="32"/>
      <c r="R50" s="32"/>
      <c r="S50" s="32"/>
      <c r="T50" s="32"/>
      <c r="U50" s="32"/>
      <c r="V50" s="32"/>
      <c r="W50" s="32"/>
      <c r="X50" s="32"/>
      <c r="Y50" s="32"/>
      <c r="Z50" s="32"/>
      <c r="AA50" s="32"/>
      <c r="AB50" s="32"/>
      <c r="AC50" s="32"/>
      <c r="AD50" s="32"/>
      <c r="AE50" s="32"/>
      <c r="AF50" s="32"/>
      <c r="AG50" s="33" t="s">
        <v>105</v>
      </c>
      <c r="AH50" s="179" t="s">
        <v>1971</v>
      </c>
      <c r="AI50" s="179" t="s">
        <v>1971</v>
      </c>
      <c r="AJ50" s="178"/>
      <c r="AK50" s="33" t="s">
        <v>108</v>
      </c>
      <c r="AL50" s="147">
        <f t="shared" si="1"/>
        <v>12.5</v>
      </c>
      <c r="AM50" s="150"/>
      <c r="AN50" s="147">
        <v>2.5</v>
      </c>
      <c r="AO50" s="6" t="s">
        <v>103</v>
      </c>
      <c r="AP50" s="6" t="s">
        <v>104</v>
      </c>
      <c r="AQ50" s="6" t="s">
        <v>19</v>
      </c>
      <c r="AR50" s="6" t="s">
        <v>19</v>
      </c>
      <c r="AS50" s="6" t="s">
        <v>10</v>
      </c>
    </row>
    <row r="51" spans="1:48" s="7" customFormat="1" ht="45" customHeight="1">
      <c r="A51" s="76" t="s">
        <v>1199</v>
      </c>
      <c r="B51" s="74" t="s">
        <v>102</v>
      </c>
      <c r="C51" s="31">
        <v>10</v>
      </c>
      <c r="D51" s="31"/>
      <c r="E51" s="118">
        <f t="shared" si="0"/>
        <v>45</v>
      </c>
      <c r="F51" s="32">
        <v>2</v>
      </c>
      <c r="G51" s="32">
        <v>7</v>
      </c>
      <c r="H51" s="32">
        <v>7</v>
      </c>
      <c r="I51" s="32">
        <v>8</v>
      </c>
      <c r="J51" s="32">
        <v>2</v>
      </c>
      <c r="K51" s="32">
        <v>3</v>
      </c>
      <c r="L51" s="32">
        <v>5</v>
      </c>
      <c r="M51" s="32">
        <v>4</v>
      </c>
      <c r="N51" s="32">
        <v>1</v>
      </c>
      <c r="O51" s="32">
        <v>6</v>
      </c>
      <c r="P51" s="32"/>
      <c r="Q51" s="32"/>
      <c r="R51" s="32"/>
      <c r="S51" s="32"/>
      <c r="T51" s="32"/>
      <c r="U51" s="32"/>
      <c r="V51" s="32"/>
      <c r="W51" s="32"/>
      <c r="X51" s="32"/>
      <c r="Y51" s="32"/>
      <c r="Z51" s="32"/>
      <c r="AA51" s="32"/>
      <c r="AB51" s="32"/>
      <c r="AC51" s="32"/>
      <c r="AD51" s="32"/>
      <c r="AE51" s="32"/>
      <c r="AF51" s="32"/>
      <c r="AG51" s="33" t="s">
        <v>105</v>
      </c>
      <c r="AH51" s="179" t="s">
        <v>1972</v>
      </c>
      <c r="AI51" s="179" t="s">
        <v>1972</v>
      </c>
      <c r="AJ51" s="178"/>
      <c r="AK51" s="33" t="s">
        <v>110</v>
      </c>
      <c r="AL51" s="147">
        <f t="shared" si="1"/>
        <v>7.5</v>
      </c>
      <c r="AM51" s="150"/>
      <c r="AN51" s="147">
        <v>1.5</v>
      </c>
      <c r="AO51" s="6" t="s">
        <v>103</v>
      </c>
      <c r="AP51" s="6" t="s">
        <v>104</v>
      </c>
      <c r="AQ51" s="6" t="s">
        <v>19</v>
      </c>
      <c r="AR51" s="6" t="s">
        <v>19</v>
      </c>
      <c r="AS51" s="6" t="s">
        <v>10</v>
      </c>
    </row>
    <row r="52" spans="1:48" s="7" customFormat="1" ht="45" customHeight="1">
      <c r="A52" s="76" t="s">
        <v>1200</v>
      </c>
      <c r="B52" s="74" t="s">
        <v>102</v>
      </c>
      <c r="C52" s="31">
        <v>10</v>
      </c>
      <c r="D52" s="31"/>
      <c r="E52" s="118">
        <f t="shared" si="0"/>
        <v>58</v>
      </c>
      <c r="F52" s="32">
        <v>5</v>
      </c>
      <c r="G52" s="32">
        <v>4</v>
      </c>
      <c r="H52" s="32">
        <v>3</v>
      </c>
      <c r="I52" s="32">
        <v>10</v>
      </c>
      <c r="J52" s="32">
        <v>13</v>
      </c>
      <c r="K52" s="32">
        <v>6</v>
      </c>
      <c r="L52" s="32">
        <v>2</v>
      </c>
      <c r="M52" s="32">
        <v>3</v>
      </c>
      <c r="N52" s="32">
        <v>6</v>
      </c>
      <c r="O52" s="32">
        <v>6</v>
      </c>
      <c r="P52" s="32"/>
      <c r="Q52" s="32"/>
      <c r="R52" s="32"/>
      <c r="S52" s="32"/>
      <c r="T52" s="32"/>
      <c r="U52" s="32"/>
      <c r="V52" s="32"/>
      <c r="W52" s="32"/>
      <c r="X52" s="32"/>
      <c r="Y52" s="32"/>
      <c r="Z52" s="32"/>
      <c r="AA52" s="32"/>
      <c r="AB52" s="32"/>
      <c r="AC52" s="32"/>
      <c r="AD52" s="32"/>
      <c r="AE52" s="32"/>
      <c r="AF52" s="32"/>
      <c r="AG52" s="33" t="s">
        <v>105</v>
      </c>
      <c r="AH52" s="179" t="s">
        <v>1933</v>
      </c>
      <c r="AI52" s="179" t="s">
        <v>1933</v>
      </c>
      <c r="AJ52" s="178"/>
      <c r="AK52" s="33" t="s">
        <v>106</v>
      </c>
      <c r="AL52" s="147">
        <f t="shared" si="1"/>
        <v>7.5</v>
      </c>
      <c r="AM52" s="150"/>
      <c r="AN52" s="147">
        <v>1.5</v>
      </c>
      <c r="AO52" s="6" t="s">
        <v>103</v>
      </c>
      <c r="AP52" s="6" t="s">
        <v>104</v>
      </c>
      <c r="AQ52" s="6" t="s">
        <v>19</v>
      </c>
      <c r="AR52" s="6" t="s">
        <v>18</v>
      </c>
      <c r="AS52" s="6" t="s">
        <v>10</v>
      </c>
    </row>
    <row r="53" spans="1:48" s="7" customFormat="1" ht="45" customHeight="1">
      <c r="A53" s="76" t="s">
        <v>1201</v>
      </c>
      <c r="B53" s="74" t="s">
        <v>102</v>
      </c>
      <c r="C53" s="37"/>
      <c r="D53" s="38">
        <v>21</v>
      </c>
      <c r="E53" s="118">
        <f t="shared" si="0"/>
        <v>70</v>
      </c>
      <c r="F53" s="32">
        <v>2</v>
      </c>
      <c r="G53" s="32">
        <v>2</v>
      </c>
      <c r="H53" s="32">
        <v>8</v>
      </c>
      <c r="I53" s="32">
        <v>3</v>
      </c>
      <c r="J53" s="32">
        <v>1</v>
      </c>
      <c r="K53" s="32">
        <v>2</v>
      </c>
      <c r="L53" s="32">
        <v>8</v>
      </c>
      <c r="M53" s="32">
        <v>6</v>
      </c>
      <c r="N53" s="32">
        <v>4</v>
      </c>
      <c r="O53" s="32">
        <v>4</v>
      </c>
      <c r="P53" s="32">
        <v>1</v>
      </c>
      <c r="Q53" s="32">
        <v>7</v>
      </c>
      <c r="R53" s="32">
        <v>7</v>
      </c>
      <c r="S53" s="32">
        <v>2</v>
      </c>
      <c r="T53" s="32">
        <v>1</v>
      </c>
      <c r="U53" s="32">
        <v>2</v>
      </c>
      <c r="V53" s="32">
        <v>1</v>
      </c>
      <c r="W53" s="32">
        <v>1</v>
      </c>
      <c r="X53" s="32">
        <v>2</v>
      </c>
      <c r="Y53" s="32">
        <v>2</v>
      </c>
      <c r="Z53" s="32">
        <v>4</v>
      </c>
      <c r="AA53" s="32"/>
      <c r="AB53" s="32"/>
      <c r="AC53" s="32"/>
      <c r="AD53" s="32"/>
      <c r="AE53" s="32"/>
      <c r="AF53" s="32"/>
      <c r="AG53" s="33" t="s">
        <v>105</v>
      </c>
      <c r="AH53" s="179"/>
      <c r="AI53" s="179"/>
      <c r="AJ53" s="178"/>
      <c r="AK53" s="33"/>
      <c r="AL53" s="147">
        <f t="shared" si="1"/>
        <v>10</v>
      </c>
      <c r="AM53" s="150"/>
      <c r="AN53" s="147">
        <v>2</v>
      </c>
      <c r="AO53" s="6" t="s">
        <v>103</v>
      </c>
      <c r="AP53" s="6" t="s">
        <v>104</v>
      </c>
      <c r="AQ53" s="6" t="s">
        <v>10</v>
      </c>
      <c r="AR53" s="6" t="s">
        <v>10</v>
      </c>
      <c r="AS53" s="6" t="s">
        <v>90</v>
      </c>
    </row>
    <row r="54" spans="1:48" ht="45" customHeight="1">
      <c r="A54" s="76" t="s">
        <v>1202</v>
      </c>
      <c r="B54" s="73" t="s">
        <v>111</v>
      </c>
      <c r="C54" s="34">
        <v>8</v>
      </c>
      <c r="D54" s="34"/>
      <c r="E54" s="118">
        <f t="shared" si="0"/>
        <v>17</v>
      </c>
      <c r="F54" s="13">
        <v>1</v>
      </c>
      <c r="G54" s="13">
        <v>1</v>
      </c>
      <c r="H54" s="13">
        <v>2</v>
      </c>
      <c r="I54" s="13">
        <v>2</v>
      </c>
      <c r="J54" s="13">
        <v>2</v>
      </c>
      <c r="K54" s="13">
        <v>3</v>
      </c>
      <c r="L54" s="13">
        <v>3</v>
      </c>
      <c r="M54" s="13">
        <v>3</v>
      </c>
      <c r="AG54" s="5" t="s">
        <v>114</v>
      </c>
      <c r="AH54" s="179" t="s">
        <v>1958</v>
      </c>
      <c r="AI54" s="179" t="s">
        <v>1958</v>
      </c>
      <c r="AK54" s="5" t="s">
        <v>119</v>
      </c>
      <c r="AL54" s="148">
        <f t="shared" si="1"/>
        <v>4</v>
      </c>
      <c r="AN54" s="148">
        <v>0.8</v>
      </c>
      <c r="AO54" s="1" t="s">
        <v>112</v>
      </c>
      <c r="AP54" s="1" t="s">
        <v>113</v>
      </c>
      <c r="AQ54" s="1" t="s">
        <v>19</v>
      </c>
      <c r="AR54" s="1" t="s">
        <v>20</v>
      </c>
      <c r="AS54" s="1" t="s">
        <v>10</v>
      </c>
      <c r="AT54" s="9"/>
      <c r="AU54" s="9"/>
      <c r="AV54" s="9"/>
    </row>
    <row r="55" spans="1:48" ht="45" customHeight="1">
      <c r="A55" s="76" t="s">
        <v>1203</v>
      </c>
      <c r="B55" s="73" t="s">
        <v>111</v>
      </c>
      <c r="C55" s="34">
        <v>10</v>
      </c>
      <c r="D55" s="34"/>
      <c r="E55" s="118">
        <f t="shared" si="0"/>
        <v>63</v>
      </c>
      <c r="F55" s="13">
        <v>2</v>
      </c>
      <c r="G55" s="13">
        <v>5</v>
      </c>
      <c r="H55" s="13">
        <v>3</v>
      </c>
      <c r="I55" s="13">
        <v>4</v>
      </c>
      <c r="J55" s="13">
        <v>5</v>
      </c>
      <c r="K55" s="13">
        <v>7</v>
      </c>
      <c r="L55" s="13">
        <v>5</v>
      </c>
      <c r="M55" s="13">
        <v>8</v>
      </c>
      <c r="N55" s="13">
        <v>15</v>
      </c>
      <c r="O55" s="13">
        <v>9</v>
      </c>
      <c r="AG55" s="5" t="s">
        <v>114</v>
      </c>
      <c r="AH55" s="179" t="s">
        <v>1959</v>
      </c>
      <c r="AI55" s="179" t="s">
        <v>1959</v>
      </c>
      <c r="AK55" s="5" t="s">
        <v>118</v>
      </c>
      <c r="AL55" s="148">
        <f t="shared" si="1"/>
        <v>12.5</v>
      </c>
      <c r="AN55" s="148">
        <v>2.5</v>
      </c>
      <c r="AO55" s="1" t="s">
        <v>112</v>
      </c>
      <c r="AP55" s="1" t="s">
        <v>113</v>
      </c>
      <c r="AQ55" s="1" t="s">
        <v>19</v>
      </c>
      <c r="AR55" s="1" t="s">
        <v>18</v>
      </c>
      <c r="AS55" s="1" t="s">
        <v>10</v>
      </c>
      <c r="AT55" s="9"/>
      <c r="AU55" s="9"/>
      <c r="AV55" s="9"/>
    </row>
    <row r="56" spans="1:48" ht="45" customHeight="1">
      <c r="A56" s="76" t="s">
        <v>1204</v>
      </c>
      <c r="B56" s="73" t="s">
        <v>111</v>
      </c>
      <c r="C56" s="34">
        <v>10</v>
      </c>
      <c r="D56" s="34"/>
      <c r="E56" s="118">
        <f t="shared" si="0"/>
        <v>53</v>
      </c>
      <c r="F56" s="13">
        <v>3</v>
      </c>
      <c r="G56" s="13">
        <v>4</v>
      </c>
      <c r="H56" s="13">
        <v>5</v>
      </c>
      <c r="I56" s="13">
        <v>3</v>
      </c>
      <c r="J56" s="13">
        <v>4</v>
      </c>
      <c r="K56" s="13">
        <v>8</v>
      </c>
      <c r="L56" s="13">
        <v>6</v>
      </c>
      <c r="M56" s="13">
        <v>5</v>
      </c>
      <c r="N56" s="13">
        <v>4</v>
      </c>
      <c r="O56" s="13">
        <v>11</v>
      </c>
      <c r="AG56" s="5" t="s">
        <v>114</v>
      </c>
      <c r="AH56" s="179" t="s">
        <v>1960</v>
      </c>
      <c r="AI56" s="179" t="s">
        <v>1960</v>
      </c>
      <c r="AK56" s="5" t="s">
        <v>116</v>
      </c>
      <c r="AL56" s="148">
        <f t="shared" si="1"/>
        <v>12.5</v>
      </c>
      <c r="AN56" s="148">
        <v>2.5</v>
      </c>
      <c r="AO56" s="1" t="s">
        <v>112</v>
      </c>
      <c r="AP56" s="1" t="s">
        <v>113</v>
      </c>
      <c r="AQ56" s="1" t="s">
        <v>19</v>
      </c>
      <c r="AR56" s="1" t="s">
        <v>18</v>
      </c>
      <c r="AS56" s="1" t="s">
        <v>10</v>
      </c>
      <c r="AT56" s="9"/>
      <c r="AU56" s="9"/>
      <c r="AV56" s="9"/>
    </row>
    <row r="57" spans="1:48" ht="45" customHeight="1">
      <c r="A57" s="76" t="s">
        <v>1205</v>
      </c>
      <c r="B57" s="73" t="s">
        <v>111</v>
      </c>
      <c r="C57" s="34">
        <v>9</v>
      </c>
      <c r="D57" s="34"/>
      <c r="E57" s="118">
        <f t="shared" si="0"/>
        <v>29</v>
      </c>
      <c r="F57" s="13">
        <v>5</v>
      </c>
      <c r="G57" s="13">
        <v>2</v>
      </c>
      <c r="H57" s="13">
        <v>3</v>
      </c>
      <c r="I57" s="13">
        <v>4</v>
      </c>
      <c r="J57" s="13">
        <v>2</v>
      </c>
      <c r="K57" s="13">
        <v>2</v>
      </c>
      <c r="L57" s="13">
        <v>3</v>
      </c>
      <c r="M57" s="13">
        <v>4</v>
      </c>
      <c r="N57" s="13">
        <v>4</v>
      </c>
      <c r="AG57" s="5" t="s">
        <v>114</v>
      </c>
      <c r="AH57" s="179" t="s">
        <v>1961</v>
      </c>
      <c r="AI57" s="179" t="s">
        <v>1961</v>
      </c>
      <c r="AK57" s="5" t="s">
        <v>117</v>
      </c>
      <c r="AL57" s="148">
        <f t="shared" si="1"/>
        <v>10</v>
      </c>
      <c r="AN57" s="148">
        <v>2</v>
      </c>
      <c r="AO57" s="1" t="s">
        <v>112</v>
      </c>
      <c r="AP57" s="1" t="s">
        <v>113</v>
      </c>
      <c r="AQ57" s="1" t="s">
        <v>19</v>
      </c>
      <c r="AR57" s="1" t="s">
        <v>20</v>
      </c>
      <c r="AS57" s="1" t="s">
        <v>10</v>
      </c>
      <c r="AT57" s="9"/>
      <c r="AU57" s="9"/>
      <c r="AV57" s="9"/>
    </row>
    <row r="58" spans="1:48" ht="45" customHeight="1">
      <c r="A58" s="76" t="s">
        <v>1206</v>
      </c>
      <c r="B58" s="73" t="s">
        <v>111</v>
      </c>
      <c r="C58" s="29"/>
      <c r="D58" s="28">
        <v>16</v>
      </c>
      <c r="E58" s="118">
        <f t="shared" si="0"/>
        <v>52</v>
      </c>
      <c r="F58" s="13">
        <v>1</v>
      </c>
      <c r="G58" s="13">
        <v>1</v>
      </c>
      <c r="H58" s="13">
        <v>1</v>
      </c>
      <c r="I58" s="13">
        <v>2</v>
      </c>
      <c r="J58" s="13">
        <v>2</v>
      </c>
      <c r="K58" s="13">
        <v>2</v>
      </c>
      <c r="L58" s="13">
        <v>3</v>
      </c>
      <c r="M58" s="13">
        <v>3</v>
      </c>
      <c r="N58" s="13">
        <v>4</v>
      </c>
      <c r="O58" s="13">
        <v>4</v>
      </c>
      <c r="P58" s="13">
        <v>4</v>
      </c>
      <c r="Q58" s="13">
        <v>4</v>
      </c>
      <c r="R58" s="13">
        <v>4</v>
      </c>
      <c r="S58" s="13">
        <v>4</v>
      </c>
      <c r="T58" s="13">
        <v>5</v>
      </c>
      <c r="U58" s="13">
        <v>8</v>
      </c>
      <c r="AG58" s="5" t="s">
        <v>114</v>
      </c>
      <c r="AH58" s="179" t="s">
        <v>1962</v>
      </c>
      <c r="AI58" s="179" t="s">
        <v>1962</v>
      </c>
      <c r="AK58" s="5" t="s">
        <v>115</v>
      </c>
      <c r="AL58" s="148">
        <f t="shared" si="1"/>
        <v>10</v>
      </c>
      <c r="AN58" s="148">
        <v>2</v>
      </c>
      <c r="AO58" s="1" t="s">
        <v>112</v>
      </c>
      <c r="AP58" s="1" t="s">
        <v>113</v>
      </c>
      <c r="AQ58" s="1" t="s">
        <v>10</v>
      </c>
      <c r="AR58" s="1" t="s">
        <v>10</v>
      </c>
      <c r="AS58" s="1" t="s">
        <v>90</v>
      </c>
      <c r="AT58" s="9"/>
      <c r="AU58" s="9"/>
      <c r="AV58" s="9"/>
    </row>
    <row r="59" spans="1:48" s="7" customFormat="1" ht="45" customHeight="1">
      <c r="A59" s="76" t="s">
        <v>1207</v>
      </c>
      <c r="B59" s="74" t="s">
        <v>120</v>
      </c>
      <c r="C59" s="31">
        <v>8</v>
      </c>
      <c r="D59" s="31"/>
      <c r="E59" s="118">
        <f t="shared" si="0"/>
        <v>169</v>
      </c>
      <c r="F59" s="141">
        <v>20</v>
      </c>
      <c r="G59" s="137">
        <v>22</v>
      </c>
      <c r="H59" s="141">
        <v>21</v>
      </c>
      <c r="I59" s="137">
        <v>16</v>
      </c>
      <c r="J59" s="138">
        <v>26</v>
      </c>
      <c r="K59" s="139">
        <v>24</v>
      </c>
      <c r="L59" s="140">
        <v>26</v>
      </c>
      <c r="M59" s="139">
        <v>14</v>
      </c>
      <c r="N59" s="32"/>
      <c r="O59" s="32"/>
      <c r="P59" s="32"/>
      <c r="Q59" s="32"/>
      <c r="R59" s="32"/>
      <c r="S59" s="32"/>
      <c r="T59" s="32"/>
      <c r="U59" s="32"/>
      <c r="V59" s="32"/>
      <c r="W59" s="32"/>
      <c r="X59" s="32"/>
      <c r="Y59" s="32"/>
      <c r="Z59" s="32"/>
      <c r="AA59" s="32"/>
      <c r="AB59" s="32"/>
      <c r="AC59" s="32"/>
      <c r="AD59" s="32"/>
      <c r="AE59" s="32"/>
      <c r="AF59" s="32"/>
      <c r="AG59" s="33" t="s">
        <v>123</v>
      </c>
      <c r="AH59" s="179" t="s">
        <v>1973</v>
      </c>
      <c r="AI59" s="179" t="s">
        <v>1973</v>
      </c>
      <c r="AJ59" s="178"/>
      <c r="AK59" s="33" t="s">
        <v>124</v>
      </c>
      <c r="AL59" s="150">
        <f t="shared" si="1"/>
        <v>31</v>
      </c>
      <c r="AM59" s="147" t="s">
        <v>1837</v>
      </c>
      <c r="AN59" s="150">
        <f>1.5+1.5+0.7+2+0.5</f>
        <v>6.2</v>
      </c>
      <c r="AO59" s="6" t="s">
        <v>121</v>
      </c>
      <c r="AP59" s="6" t="s">
        <v>122</v>
      </c>
      <c r="AQ59" s="6" t="s">
        <v>125</v>
      </c>
      <c r="AR59" s="6" t="s">
        <v>90</v>
      </c>
      <c r="AS59" s="6" t="s">
        <v>10</v>
      </c>
    </row>
    <row r="60" spans="1:48" s="7" customFormat="1" ht="45" customHeight="1">
      <c r="A60" s="76" t="s">
        <v>1208</v>
      </c>
      <c r="B60" s="74" t="s">
        <v>120</v>
      </c>
      <c r="C60" s="31">
        <v>3</v>
      </c>
      <c r="D60" s="31"/>
      <c r="E60" s="118">
        <f t="shared" si="0"/>
        <v>17</v>
      </c>
      <c r="F60" s="32">
        <v>3</v>
      </c>
      <c r="G60" s="32">
        <v>6</v>
      </c>
      <c r="H60" s="32">
        <v>8</v>
      </c>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3" t="s">
        <v>123</v>
      </c>
      <c r="AH60" s="179" t="s">
        <v>1934</v>
      </c>
      <c r="AI60" s="179" t="s">
        <v>1934</v>
      </c>
      <c r="AJ60" s="178"/>
      <c r="AK60" s="33" t="s">
        <v>126</v>
      </c>
      <c r="AL60" s="147">
        <f t="shared" si="1"/>
        <v>3</v>
      </c>
      <c r="AM60" s="150"/>
      <c r="AN60" s="147">
        <v>0.6</v>
      </c>
      <c r="AO60" s="6" t="s">
        <v>121</v>
      </c>
      <c r="AP60" s="6" t="s">
        <v>122</v>
      </c>
      <c r="AQ60" s="6" t="s">
        <v>21</v>
      </c>
      <c r="AR60" s="6" t="s">
        <v>19</v>
      </c>
      <c r="AS60" s="6" t="s">
        <v>10</v>
      </c>
    </row>
    <row r="61" spans="1:48" s="7" customFormat="1" ht="45" customHeight="1">
      <c r="A61" s="76" t="s">
        <v>1209</v>
      </c>
      <c r="B61" s="74" t="s">
        <v>120</v>
      </c>
      <c r="C61" s="31">
        <v>5</v>
      </c>
      <c r="D61" s="31"/>
      <c r="E61" s="118">
        <f t="shared" si="0"/>
        <v>100</v>
      </c>
      <c r="F61" s="141">
        <v>22</v>
      </c>
      <c r="G61" s="137">
        <v>21</v>
      </c>
      <c r="H61" s="138">
        <v>18</v>
      </c>
      <c r="I61" s="139">
        <v>16</v>
      </c>
      <c r="J61" s="140">
        <v>23</v>
      </c>
      <c r="K61" s="32"/>
      <c r="L61" s="32"/>
      <c r="M61" s="32"/>
      <c r="N61" s="32"/>
      <c r="O61" s="32"/>
      <c r="P61" s="32"/>
      <c r="Q61" s="32"/>
      <c r="R61" s="32"/>
      <c r="S61" s="32"/>
      <c r="T61" s="32"/>
      <c r="U61" s="32"/>
      <c r="V61" s="32"/>
      <c r="W61" s="32"/>
      <c r="X61" s="32"/>
      <c r="Y61" s="32"/>
      <c r="Z61" s="32"/>
      <c r="AA61" s="32"/>
      <c r="AB61" s="32"/>
      <c r="AC61" s="32"/>
      <c r="AD61" s="32"/>
      <c r="AE61" s="32"/>
      <c r="AF61" s="32"/>
      <c r="AG61" s="33" t="s">
        <v>123</v>
      </c>
      <c r="AH61" s="179" t="s">
        <v>1974</v>
      </c>
      <c r="AI61" s="179" t="s">
        <v>1974</v>
      </c>
      <c r="AJ61" s="178"/>
      <c r="AK61" s="33" t="s">
        <v>127</v>
      </c>
      <c r="AL61" s="150">
        <f t="shared" si="1"/>
        <v>12</v>
      </c>
      <c r="AM61" s="147" t="s">
        <v>1838</v>
      </c>
      <c r="AN61" s="150">
        <f>0.9+0.5+0.5+0.5</f>
        <v>2.4</v>
      </c>
      <c r="AO61" s="6" t="s">
        <v>121</v>
      </c>
      <c r="AP61" s="6" t="s">
        <v>122</v>
      </c>
      <c r="AQ61" s="6" t="s">
        <v>18</v>
      </c>
      <c r="AR61" s="6" t="s">
        <v>90</v>
      </c>
      <c r="AS61" s="6" t="s">
        <v>10</v>
      </c>
    </row>
    <row r="62" spans="1:48" s="7" customFormat="1" ht="45" customHeight="1">
      <c r="A62" s="76" t="s">
        <v>1210</v>
      </c>
      <c r="B62" s="74" t="s">
        <v>120</v>
      </c>
      <c r="C62" s="31">
        <v>8</v>
      </c>
      <c r="D62" s="31"/>
      <c r="E62" s="118">
        <f t="shared" si="0"/>
        <v>176</v>
      </c>
      <c r="F62" s="141">
        <v>27</v>
      </c>
      <c r="G62" s="137">
        <v>21</v>
      </c>
      <c r="H62" s="138">
        <v>21</v>
      </c>
      <c r="I62" s="138">
        <v>17</v>
      </c>
      <c r="J62" s="139">
        <v>25</v>
      </c>
      <c r="K62" s="140">
        <v>35</v>
      </c>
      <c r="L62" s="137">
        <v>15</v>
      </c>
      <c r="M62" s="139">
        <v>15</v>
      </c>
      <c r="N62" s="32"/>
      <c r="O62" s="32"/>
      <c r="P62" s="32"/>
      <c r="Q62" s="32"/>
      <c r="R62" s="32"/>
      <c r="S62" s="32"/>
      <c r="T62" s="32"/>
      <c r="U62" s="32"/>
      <c r="V62" s="32"/>
      <c r="W62" s="32"/>
      <c r="X62" s="32"/>
      <c r="Y62" s="32"/>
      <c r="Z62" s="32"/>
      <c r="AA62" s="32"/>
      <c r="AB62" s="32"/>
      <c r="AC62" s="32"/>
      <c r="AD62" s="32"/>
      <c r="AE62" s="32"/>
      <c r="AF62" s="32"/>
      <c r="AG62" s="33" t="s">
        <v>123</v>
      </c>
      <c r="AH62" s="179" t="s">
        <v>1975</v>
      </c>
      <c r="AI62" s="179" t="s">
        <v>1975</v>
      </c>
      <c r="AJ62" s="178"/>
      <c r="AK62" s="33" t="s">
        <v>128</v>
      </c>
      <c r="AL62" s="150">
        <f t="shared" si="1"/>
        <v>37.5</v>
      </c>
      <c r="AM62" s="147" t="s">
        <v>1839</v>
      </c>
      <c r="AN62" s="150">
        <f>1.1+2.5+1.5+1.5+0.9</f>
        <v>7.5</v>
      </c>
      <c r="AO62" s="6" t="s">
        <v>121</v>
      </c>
      <c r="AP62" s="6" t="s">
        <v>122</v>
      </c>
      <c r="AQ62" s="6" t="s">
        <v>125</v>
      </c>
      <c r="AR62" s="6" t="s">
        <v>90</v>
      </c>
      <c r="AS62" s="6" t="s">
        <v>10</v>
      </c>
    </row>
    <row r="63" spans="1:48" ht="45" customHeight="1">
      <c r="A63" s="76" t="s">
        <v>1211</v>
      </c>
      <c r="B63" s="73" t="s">
        <v>129</v>
      </c>
      <c r="C63" s="34">
        <v>10</v>
      </c>
      <c r="D63" s="34"/>
      <c r="E63" s="118">
        <f t="shared" si="0"/>
        <v>64</v>
      </c>
      <c r="F63" s="13">
        <v>15</v>
      </c>
      <c r="G63" s="13">
        <v>3</v>
      </c>
      <c r="H63" s="13">
        <v>2</v>
      </c>
      <c r="I63" s="13">
        <v>6</v>
      </c>
      <c r="J63" s="13">
        <v>4</v>
      </c>
      <c r="K63" s="13">
        <v>6</v>
      </c>
      <c r="L63" s="13">
        <v>13</v>
      </c>
      <c r="M63" s="13">
        <v>3</v>
      </c>
      <c r="N63" s="13">
        <v>2</v>
      </c>
      <c r="O63" s="13">
        <v>10</v>
      </c>
      <c r="AG63" s="5" t="s">
        <v>131</v>
      </c>
      <c r="AH63" s="179" t="s">
        <v>1942</v>
      </c>
      <c r="AI63" s="179" t="s">
        <v>1942</v>
      </c>
      <c r="AK63" s="5" t="s">
        <v>132</v>
      </c>
      <c r="AL63" s="148">
        <f t="shared" si="1"/>
        <v>6</v>
      </c>
      <c r="AN63" s="148">
        <v>1.2</v>
      </c>
      <c r="AO63" s="1" t="s">
        <v>130</v>
      </c>
      <c r="AP63" s="1" t="s">
        <v>314</v>
      </c>
      <c r="AQ63" s="1" t="s">
        <v>19</v>
      </c>
      <c r="AR63" s="1" t="s">
        <v>19</v>
      </c>
      <c r="AS63" s="1" t="s">
        <v>10</v>
      </c>
      <c r="AT63" s="9"/>
      <c r="AU63" s="9"/>
      <c r="AV63" s="9"/>
    </row>
    <row r="64" spans="1:48" ht="45" customHeight="1">
      <c r="A64" s="76" t="s">
        <v>1212</v>
      </c>
      <c r="B64" s="73" t="s">
        <v>129</v>
      </c>
      <c r="C64" s="34">
        <v>10</v>
      </c>
      <c r="D64" s="34"/>
      <c r="E64" s="118">
        <f t="shared" si="0"/>
        <v>96</v>
      </c>
      <c r="F64" s="13">
        <v>5</v>
      </c>
      <c r="G64" s="13">
        <v>9</v>
      </c>
      <c r="H64" s="13">
        <v>7</v>
      </c>
      <c r="I64" s="13">
        <v>7</v>
      </c>
      <c r="J64" s="13">
        <v>17</v>
      </c>
      <c r="K64" s="13">
        <v>7</v>
      </c>
      <c r="L64" s="13">
        <v>11</v>
      </c>
      <c r="M64" s="13">
        <v>17</v>
      </c>
      <c r="N64" s="13">
        <v>6</v>
      </c>
      <c r="O64" s="13">
        <v>10</v>
      </c>
      <c r="AG64" s="5" t="s">
        <v>131</v>
      </c>
      <c r="AH64" s="179" t="s">
        <v>1976</v>
      </c>
      <c r="AI64" s="179" t="s">
        <v>1976</v>
      </c>
      <c r="AK64" s="5" t="s">
        <v>133</v>
      </c>
      <c r="AL64" s="148">
        <f t="shared" si="1"/>
        <v>10</v>
      </c>
      <c r="AN64" s="148">
        <v>2</v>
      </c>
      <c r="AO64" s="1" t="s">
        <v>130</v>
      </c>
      <c r="AP64" s="1" t="s">
        <v>314</v>
      </c>
      <c r="AQ64" s="1" t="s">
        <v>19</v>
      </c>
      <c r="AR64" s="1" t="s">
        <v>19</v>
      </c>
      <c r="AS64" s="1" t="s">
        <v>10</v>
      </c>
      <c r="AT64" s="9"/>
      <c r="AU64" s="9"/>
      <c r="AV64" s="9"/>
    </row>
    <row r="65" spans="1:48" ht="45" customHeight="1">
      <c r="A65" s="76" t="s">
        <v>1213</v>
      </c>
      <c r="B65" s="73" t="s">
        <v>129</v>
      </c>
      <c r="C65" s="34">
        <v>9</v>
      </c>
      <c r="D65" s="34"/>
      <c r="E65" s="118">
        <f t="shared" si="0"/>
        <v>52</v>
      </c>
      <c r="F65" s="13">
        <v>3</v>
      </c>
      <c r="G65" s="13">
        <v>8</v>
      </c>
      <c r="H65" s="13">
        <v>5</v>
      </c>
      <c r="I65" s="13">
        <v>3</v>
      </c>
      <c r="J65" s="13">
        <v>6</v>
      </c>
      <c r="K65" s="13">
        <v>8</v>
      </c>
      <c r="L65" s="13">
        <v>8</v>
      </c>
      <c r="M65" s="13">
        <v>5</v>
      </c>
      <c r="N65" s="13">
        <v>6</v>
      </c>
      <c r="AG65" s="5" t="s">
        <v>131</v>
      </c>
      <c r="AH65" s="179" t="s">
        <v>1935</v>
      </c>
      <c r="AI65" s="179" t="s">
        <v>1935</v>
      </c>
      <c r="AK65" s="5" t="s">
        <v>134</v>
      </c>
      <c r="AL65" s="148">
        <f t="shared" si="1"/>
        <v>7.5</v>
      </c>
      <c r="AN65" s="148">
        <v>1.5</v>
      </c>
      <c r="AO65" s="1" t="s">
        <v>130</v>
      </c>
      <c r="AP65" s="1" t="s">
        <v>314</v>
      </c>
      <c r="AQ65" s="1" t="s">
        <v>19</v>
      </c>
      <c r="AR65" s="1" t="s">
        <v>19</v>
      </c>
      <c r="AS65" s="1" t="s">
        <v>10</v>
      </c>
      <c r="AT65" s="9"/>
      <c r="AU65" s="9"/>
      <c r="AV65" s="9"/>
    </row>
    <row r="66" spans="1:48" ht="45" customHeight="1">
      <c r="A66" s="76" t="s">
        <v>1214</v>
      </c>
      <c r="B66" s="73" t="s">
        <v>129</v>
      </c>
      <c r="C66" s="34">
        <v>10</v>
      </c>
      <c r="D66" s="34"/>
      <c r="E66" s="118">
        <f t="shared" si="0"/>
        <v>52</v>
      </c>
      <c r="F66" s="13">
        <v>5</v>
      </c>
      <c r="G66" s="13">
        <v>4</v>
      </c>
      <c r="H66" s="13">
        <v>5</v>
      </c>
      <c r="I66" s="13">
        <v>5</v>
      </c>
      <c r="J66" s="13">
        <v>5</v>
      </c>
      <c r="K66" s="13">
        <v>6</v>
      </c>
      <c r="L66" s="13">
        <v>7</v>
      </c>
      <c r="M66" s="13">
        <v>6</v>
      </c>
      <c r="N66" s="13">
        <v>5</v>
      </c>
      <c r="O66" s="13">
        <v>4</v>
      </c>
      <c r="AG66" s="5" t="s">
        <v>131</v>
      </c>
      <c r="AH66" s="179" t="s">
        <v>1936</v>
      </c>
      <c r="AI66" s="179" t="s">
        <v>1936</v>
      </c>
      <c r="AK66" s="5" t="s">
        <v>135</v>
      </c>
      <c r="AL66" s="148">
        <f t="shared" si="1"/>
        <v>6</v>
      </c>
      <c r="AN66" s="148">
        <v>1.2</v>
      </c>
      <c r="AO66" s="1" t="s">
        <v>130</v>
      </c>
      <c r="AP66" s="1" t="s">
        <v>314</v>
      </c>
      <c r="AQ66" s="1" t="s">
        <v>19</v>
      </c>
      <c r="AR66" s="1" t="s">
        <v>19</v>
      </c>
      <c r="AS66" s="1" t="s">
        <v>10</v>
      </c>
      <c r="AT66" s="9"/>
      <c r="AU66" s="9"/>
      <c r="AV66" s="9"/>
    </row>
    <row r="67" spans="1:48" s="7" customFormat="1" ht="45" customHeight="1">
      <c r="A67" s="76" t="s">
        <v>1215</v>
      </c>
      <c r="B67" s="74" t="s">
        <v>136</v>
      </c>
      <c r="C67" s="31">
        <v>10</v>
      </c>
      <c r="D67" s="31"/>
      <c r="E67" s="118">
        <f t="shared" ref="E67:E130" si="2">SUM(F67:AF67)</f>
        <v>11</v>
      </c>
      <c r="F67" s="32">
        <v>1</v>
      </c>
      <c r="G67" s="32">
        <v>1</v>
      </c>
      <c r="H67" s="32">
        <v>1</v>
      </c>
      <c r="I67" s="32">
        <v>1</v>
      </c>
      <c r="J67" s="32">
        <v>1</v>
      </c>
      <c r="K67" s="32">
        <v>1</v>
      </c>
      <c r="L67" s="32">
        <v>1</v>
      </c>
      <c r="M67" s="32">
        <v>1</v>
      </c>
      <c r="N67" s="32">
        <v>1</v>
      </c>
      <c r="O67" s="32">
        <v>2</v>
      </c>
      <c r="P67" s="32"/>
      <c r="Q67" s="32"/>
      <c r="R67" s="32"/>
      <c r="S67" s="32"/>
      <c r="T67" s="32"/>
      <c r="U67" s="32"/>
      <c r="V67" s="32"/>
      <c r="W67" s="32"/>
      <c r="X67" s="32"/>
      <c r="Y67" s="32"/>
      <c r="Z67" s="32"/>
      <c r="AA67" s="32"/>
      <c r="AB67" s="32"/>
      <c r="AC67" s="32"/>
      <c r="AD67" s="32"/>
      <c r="AE67" s="32"/>
      <c r="AF67" s="32"/>
      <c r="AG67" s="33" t="s">
        <v>80</v>
      </c>
      <c r="AH67" s="179" t="s">
        <v>1934</v>
      </c>
      <c r="AI67" s="179" t="s">
        <v>1934</v>
      </c>
      <c r="AJ67" s="178"/>
      <c r="AK67" s="33" t="s">
        <v>139</v>
      </c>
      <c r="AL67" s="147">
        <f t="shared" ref="AL67:AL130" si="3">5*AN67</f>
        <v>3</v>
      </c>
      <c r="AM67" s="150"/>
      <c r="AN67" s="147">
        <v>0.6</v>
      </c>
      <c r="AO67" s="6" t="s">
        <v>137</v>
      </c>
      <c r="AP67" s="6" t="s">
        <v>138</v>
      </c>
      <c r="AQ67" s="6" t="s">
        <v>19</v>
      </c>
      <c r="AR67" s="6" t="s">
        <v>31</v>
      </c>
      <c r="AS67" s="6" t="s">
        <v>10</v>
      </c>
    </row>
    <row r="68" spans="1:48" s="7" customFormat="1" ht="45" customHeight="1">
      <c r="A68" s="76" t="s">
        <v>1216</v>
      </c>
      <c r="B68" s="74" t="s">
        <v>136</v>
      </c>
      <c r="C68" s="31">
        <v>10</v>
      </c>
      <c r="D68" s="31"/>
      <c r="E68" s="118">
        <f t="shared" si="2"/>
        <v>15</v>
      </c>
      <c r="F68" s="32">
        <v>1</v>
      </c>
      <c r="G68" s="32">
        <v>1</v>
      </c>
      <c r="H68" s="32">
        <v>1</v>
      </c>
      <c r="I68" s="32">
        <v>1</v>
      </c>
      <c r="J68" s="32">
        <v>1</v>
      </c>
      <c r="K68" s="32">
        <v>1</v>
      </c>
      <c r="L68" s="32">
        <v>1</v>
      </c>
      <c r="M68" s="32">
        <v>2</v>
      </c>
      <c r="N68" s="32">
        <v>3</v>
      </c>
      <c r="O68" s="32">
        <v>3</v>
      </c>
      <c r="P68" s="32"/>
      <c r="Q68" s="32"/>
      <c r="R68" s="32"/>
      <c r="S68" s="32"/>
      <c r="T68" s="32"/>
      <c r="U68" s="32"/>
      <c r="V68" s="32"/>
      <c r="W68" s="32"/>
      <c r="X68" s="32"/>
      <c r="Y68" s="32"/>
      <c r="Z68" s="32"/>
      <c r="AA68" s="32"/>
      <c r="AB68" s="32"/>
      <c r="AC68" s="32"/>
      <c r="AD68" s="32"/>
      <c r="AE68" s="32"/>
      <c r="AF68" s="32"/>
      <c r="AG68" s="33" t="s">
        <v>80</v>
      </c>
      <c r="AH68" s="179" t="s">
        <v>1974</v>
      </c>
      <c r="AI68" s="179" t="s">
        <v>1974</v>
      </c>
      <c r="AJ68" s="178"/>
      <c r="AK68" s="33" t="s">
        <v>140</v>
      </c>
      <c r="AL68" s="147">
        <f t="shared" si="3"/>
        <v>3</v>
      </c>
      <c r="AM68" s="150"/>
      <c r="AN68" s="147">
        <v>0.6</v>
      </c>
      <c r="AO68" s="6" t="s">
        <v>137</v>
      </c>
      <c r="AP68" s="6" t="s">
        <v>138</v>
      </c>
      <c r="AQ68" s="6" t="s">
        <v>19</v>
      </c>
      <c r="AR68" s="6" t="s">
        <v>31</v>
      </c>
      <c r="AS68" s="6" t="s">
        <v>10</v>
      </c>
    </row>
    <row r="69" spans="1:48" s="7" customFormat="1" ht="45" customHeight="1">
      <c r="A69" s="76" t="s">
        <v>1217</v>
      </c>
      <c r="B69" s="74" t="s">
        <v>136</v>
      </c>
      <c r="C69" s="31">
        <v>10</v>
      </c>
      <c r="D69" s="31"/>
      <c r="E69" s="118">
        <f t="shared" si="2"/>
        <v>11</v>
      </c>
      <c r="F69" s="32">
        <v>1</v>
      </c>
      <c r="G69" s="32">
        <v>1</v>
      </c>
      <c r="H69" s="32">
        <v>1</v>
      </c>
      <c r="I69" s="32">
        <v>1</v>
      </c>
      <c r="J69" s="32">
        <v>1</v>
      </c>
      <c r="K69" s="32">
        <v>1</v>
      </c>
      <c r="L69" s="32">
        <v>1</v>
      </c>
      <c r="M69" s="32">
        <v>1</v>
      </c>
      <c r="N69" s="32">
        <v>1</v>
      </c>
      <c r="O69" s="32">
        <v>2</v>
      </c>
      <c r="P69" s="32"/>
      <c r="Q69" s="32"/>
      <c r="R69" s="32"/>
      <c r="S69" s="32"/>
      <c r="T69" s="32"/>
      <c r="U69" s="32"/>
      <c r="V69" s="32"/>
      <c r="W69" s="32"/>
      <c r="X69" s="32"/>
      <c r="Y69" s="32"/>
      <c r="Z69" s="32"/>
      <c r="AA69" s="32"/>
      <c r="AB69" s="32"/>
      <c r="AC69" s="32"/>
      <c r="AD69" s="32"/>
      <c r="AE69" s="32"/>
      <c r="AF69" s="32"/>
      <c r="AG69" s="33" t="s">
        <v>80</v>
      </c>
      <c r="AH69" s="179" t="s">
        <v>1936</v>
      </c>
      <c r="AI69" s="179" t="s">
        <v>1936</v>
      </c>
      <c r="AJ69" s="178"/>
      <c r="AK69" s="33" t="s">
        <v>141</v>
      </c>
      <c r="AL69" s="147">
        <f t="shared" si="3"/>
        <v>3</v>
      </c>
      <c r="AM69" s="150"/>
      <c r="AN69" s="147">
        <v>0.6</v>
      </c>
      <c r="AO69" s="6" t="s">
        <v>137</v>
      </c>
      <c r="AP69" s="6" t="s">
        <v>138</v>
      </c>
      <c r="AQ69" s="6" t="s">
        <v>19</v>
      </c>
      <c r="AR69" s="6" t="s">
        <v>31</v>
      </c>
      <c r="AS69" s="6" t="s">
        <v>10</v>
      </c>
    </row>
    <row r="70" spans="1:48" s="7" customFormat="1" ht="45" customHeight="1">
      <c r="A70" s="76" t="s">
        <v>1218</v>
      </c>
      <c r="B70" s="74" t="s">
        <v>136</v>
      </c>
      <c r="C70" s="31">
        <v>6</v>
      </c>
      <c r="D70" s="31"/>
      <c r="E70" s="118">
        <f t="shared" si="2"/>
        <v>6</v>
      </c>
      <c r="F70" s="32">
        <v>1</v>
      </c>
      <c r="G70" s="32">
        <v>1</v>
      </c>
      <c r="H70" s="32">
        <v>1</v>
      </c>
      <c r="I70" s="32">
        <v>1</v>
      </c>
      <c r="J70" s="32">
        <v>1</v>
      </c>
      <c r="K70" s="32">
        <v>1</v>
      </c>
      <c r="L70" s="32"/>
      <c r="M70" s="32"/>
      <c r="N70" s="32"/>
      <c r="O70" s="32"/>
      <c r="P70" s="32"/>
      <c r="Q70" s="32"/>
      <c r="R70" s="32"/>
      <c r="S70" s="32"/>
      <c r="T70" s="32"/>
      <c r="U70" s="32"/>
      <c r="V70" s="32"/>
      <c r="W70" s="32"/>
      <c r="X70" s="32"/>
      <c r="Y70" s="32"/>
      <c r="Z70" s="32"/>
      <c r="AA70" s="32"/>
      <c r="AB70" s="32"/>
      <c r="AC70" s="32"/>
      <c r="AD70" s="32"/>
      <c r="AE70" s="32"/>
      <c r="AF70" s="32"/>
      <c r="AG70" s="33" t="s">
        <v>80</v>
      </c>
      <c r="AH70" s="179" t="s">
        <v>1937</v>
      </c>
      <c r="AI70" s="179" t="s">
        <v>1937</v>
      </c>
      <c r="AJ70" s="178"/>
      <c r="AK70" s="33" t="s">
        <v>142</v>
      </c>
      <c r="AL70" s="147">
        <f t="shared" si="3"/>
        <v>2</v>
      </c>
      <c r="AM70" s="150"/>
      <c r="AN70" s="147">
        <v>0.4</v>
      </c>
      <c r="AO70" s="6" t="s">
        <v>137</v>
      </c>
      <c r="AP70" s="6" t="s">
        <v>138</v>
      </c>
      <c r="AQ70" s="6" t="s">
        <v>19</v>
      </c>
      <c r="AR70" s="6" t="s">
        <v>31</v>
      </c>
      <c r="AS70" s="6" t="s">
        <v>10</v>
      </c>
    </row>
    <row r="71" spans="1:48" s="7" customFormat="1" ht="45" customHeight="1">
      <c r="A71" s="76" t="s">
        <v>1219</v>
      </c>
      <c r="B71" s="74" t="s">
        <v>136</v>
      </c>
      <c r="C71" s="35"/>
      <c r="D71" s="31">
        <v>7</v>
      </c>
      <c r="E71" s="118">
        <f t="shared" si="2"/>
        <v>7</v>
      </c>
      <c r="F71" s="32">
        <v>1</v>
      </c>
      <c r="G71" s="32">
        <v>1</v>
      </c>
      <c r="H71" s="32">
        <v>1</v>
      </c>
      <c r="I71" s="32">
        <v>1</v>
      </c>
      <c r="J71" s="32">
        <v>1</v>
      </c>
      <c r="K71" s="32">
        <v>1</v>
      </c>
      <c r="L71" s="32">
        <v>1</v>
      </c>
      <c r="M71" s="32"/>
      <c r="N71" s="32"/>
      <c r="O71" s="32"/>
      <c r="P71" s="32"/>
      <c r="Q71" s="32"/>
      <c r="R71" s="32"/>
      <c r="S71" s="32"/>
      <c r="T71" s="32"/>
      <c r="U71" s="32"/>
      <c r="V71" s="32"/>
      <c r="W71" s="32"/>
      <c r="X71" s="32"/>
      <c r="Y71" s="32"/>
      <c r="Z71" s="32"/>
      <c r="AA71" s="32"/>
      <c r="AB71" s="32"/>
      <c r="AC71" s="32"/>
      <c r="AD71" s="32"/>
      <c r="AE71" s="32"/>
      <c r="AF71" s="32"/>
      <c r="AG71" s="33" t="s">
        <v>80</v>
      </c>
      <c r="AH71" s="179" t="s">
        <v>1977</v>
      </c>
      <c r="AI71" s="179" t="s">
        <v>1977</v>
      </c>
      <c r="AJ71" s="178"/>
      <c r="AK71" s="33" t="s">
        <v>143</v>
      </c>
      <c r="AL71" s="147">
        <f t="shared" si="3"/>
        <v>1.5</v>
      </c>
      <c r="AM71" s="150"/>
      <c r="AN71" s="147">
        <v>0.3</v>
      </c>
      <c r="AO71" s="6" t="s">
        <v>137</v>
      </c>
      <c r="AP71" s="6" t="s">
        <v>138</v>
      </c>
      <c r="AQ71" s="6" t="s">
        <v>10</v>
      </c>
      <c r="AR71" s="6" t="s">
        <v>10</v>
      </c>
      <c r="AS71" s="6" t="s">
        <v>13</v>
      </c>
    </row>
    <row r="72" spans="1:48" ht="45" customHeight="1">
      <c r="A72" s="76" t="s">
        <v>1220</v>
      </c>
      <c r="B72" s="73" t="s">
        <v>144</v>
      </c>
      <c r="C72" s="34">
        <v>4</v>
      </c>
      <c r="D72" s="34"/>
      <c r="E72" s="118">
        <f t="shared" si="2"/>
        <v>20</v>
      </c>
      <c r="F72" s="13">
        <v>7</v>
      </c>
      <c r="G72" s="13">
        <v>6</v>
      </c>
      <c r="H72" s="13">
        <v>2</v>
      </c>
      <c r="I72" s="13">
        <v>5</v>
      </c>
      <c r="AG72" s="5" t="s">
        <v>147</v>
      </c>
      <c r="AH72" s="179" t="s">
        <v>1978</v>
      </c>
      <c r="AI72" s="179" t="s">
        <v>1978</v>
      </c>
      <c r="AK72" s="5" t="s">
        <v>148</v>
      </c>
      <c r="AL72" s="148">
        <f t="shared" si="3"/>
        <v>4</v>
      </c>
      <c r="AN72" s="148">
        <v>0.8</v>
      </c>
      <c r="AO72" s="1" t="s">
        <v>145</v>
      </c>
      <c r="AP72" s="1" t="s">
        <v>146</v>
      </c>
      <c r="AQ72" s="1" t="s">
        <v>149</v>
      </c>
      <c r="AR72" s="1" t="s">
        <v>19</v>
      </c>
      <c r="AS72" s="1" t="s">
        <v>10</v>
      </c>
      <c r="AT72" s="9"/>
      <c r="AU72" s="9"/>
      <c r="AV72" s="9"/>
    </row>
    <row r="73" spans="1:48" ht="45" customHeight="1">
      <c r="A73" s="76" t="s">
        <v>1221</v>
      </c>
      <c r="B73" s="73" t="s">
        <v>144</v>
      </c>
      <c r="C73" s="34">
        <v>4</v>
      </c>
      <c r="D73" s="34"/>
      <c r="E73" s="118">
        <f t="shared" si="2"/>
        <v>19</v>
      </c>
      <c r="F73" s="13">
        <v>7</v>
      </c>
      <c r="G73" s="13">
        <v>2</v>
      </c>
      <c r="H73" s="13">
        <v>5</v>
      </c>
      <c r="I73" s="13">
        <v>5</v>
      </c>
      <c r="AG73" s="5" t="s">
        <v>147</v>
      </c>
      <c r="AH73" s="179" t="s">
        <v>1979</v>
      </c>
      <c r="AI73" s="179" t="s">
        <v>1979</v>
      </c>
      <c r="AK73" s="5" t="s">
        <v>150</v>
      </c>
      <c r="AL73" s="148">
        <f t="shared" si="3"/>
        <v>3</v>
      </c>
      <c r="AN73" s="148">
        <v>0.6</v>
      </c>
      <c r="AO73" s="1" t="s">
        <v>145</v>
      </c>
      <c r="AP73" s="1" t="s">
        <v>146</v>
      </c>
      <c r="AQ73" s="1" t="s">
        <v>149</v>
      </c>
      <c r="AR73" s="1" t="s">
        <v>18</v>
      </c>
      <c r="AS73" s="1" t="s">
        <v>10</v>
      </c>
      <c r="AT73" s="9"/>
      <c r="AU73" s="9"/>
      <c r="AV73" s="9"/>
    </row>
    <row r="74" spans="1:48" ht="45" customHeight="1">
      <c r="A74" s="76" t="s">
        <v>1222</v>
      </c>
      <c r="B74" s="73" t="s">
        <v>144</v>
      </c>
      <c r="C74" s="34">
        <v>2</v>
      </c>
      <c r="D74" s="34"/>
      <c r="E74" s="118">
        <f t="shared" si="2"/>
        <v>15</v>
      </c>
      <c r="F74" s="13">
        <v>5</v>
      </c>
      <c r="G74" s="13">
        <v>10</v>
      </c>
      <c r="AG74" s="5" t="s">
        <v>147</v>
      </c>
      <c r="AH74" s="179" t="s">
        <v>1980</v>
      </c>
      <c r="AI74" s="179" t="s">
        <v>1980</v>
      </c>
      <c r="AK74" s="5" t="s">
        <v>151</v>
      </c>
      <c r="AL74" s="148">
        <f t="shared" si="3"/>
        <v>4</v>
      </c>
      <c r="AN74" s="148">
        <v>0.8</v>
      </c>
      <c r="AO74" s="1" t="s">
        <v>145</v>
      </c>
      <c r="AP74" s="1" t="s">
        <v>146</v>
      </c>
      <c r="AQ74" s="1" t="s">
        <v>20</v>
      </c>
      <c r="AR74" s="1" t="s">
        <v>19</v>
      </c>
      <c r="AS74" s="1" t="s">
        <v>10</v>
      </c>
      <c r="AT74" s="9"/>
      <c r="AU74" s="9"/>
      <c r="AV74" s="9"/>
    </row>
    <row r="75" spans="1:48" ht="45" customHeight="1">
      <c r="A75" s="76" t="s">
        <v>1223</v>
      </c>
      <c r="B75" s="73" t="s">
        <v>144</v>
      </c>
      <c r="C75" s="34">
        <v>4</v>
      </c>
      <c r="D75" s="34"/>
      <c r="E75" s="118">
        <f t="shared" si="2"/>
        <v>15</v>
      </c>
      <c r="F75" s="13">
        <v>2</v>
      </c>
      <c r="G75" s="13">
        <v>1</v>
      </c>
      <c r="H75" s="13">
        <v>6</v>
      </c>
      <c r="I75" s="13">
        <v>6</v>
      </c>
      <c r="AG75" s="5" t="s">
        <v>147</v>
      </c>
      <c r="AH75" s="179" t="s">
        <v>1981</v>
      </c>
      <c r="AI75" s="179" t="s">
        <v>1981</v>
      </c>
      <c r="AK75" s="5" t="s">
        <v>152</v>
      </c>
      <c r="AL75" s="148">
        <f t="shared" si="3"/>
        <v>4</v>
      </c>
      <c r="AN75" s="148">
        <v>0.8</v>
      </c>
      <c r="AO75" s="1" t="s">
        <v>145</v>
      </c>
      <c r="AP75" s="1" t="s">
        <v>146</v>
      </c>
      <c r="AQ75" s="1" t="s">
        <v>149</v>
      </c>
      <c r="AR75" s="1" t="s">
        <v>19</v>
      </c>
      <c r="AS75" s="1" t="s">
        <v>10</v>
      </c>
      <c r="AT75" s="9"/>
      <c r="AU75" s="9"/>
      <c r="AV75" s="9"/>
    </row>
    <row r="76" spans="1:48" s="7" customFormat="1" ht="45" customHeight="1">
      <c r="A76" s="76" t="s">
        <v>1224</v>
      </c>
      <c r="B76" s="74" t="s">
        <v>153</v>
      </c>
      <c r="C76" s="31">
        <v>10</v>
      </c>
      <c r="D76" s="31"/>
      <c r="E76" s="118">
        <f t="shared" si="2"/>
        <v>175</v>
      </c>
      <c r="F76" s="141">
        <v>22</v>
      </c>
      <c r="G76" s="137">
        <v>13</v>
      </c>
      <c r="H76" s="137">
        <v>21</v>
      </c>
      <c r="I76" s="138">
        <v>20</v>
      </c>
      <c r="J76" s="138">
        <v>16</v>
      </c>
      <c r="K76" s="139">
        <v>25</v>
      </c>
      <c r="L76" s="139">
        <v>8</v>
      </c>
      <c r="M76" s="141">
        <v>13</v>
      </c>
      <c r="N76" s="140">
        <v>25</v>
      </c>
      <c r="O76" s="140">
        <v>12</v>
      </c>
      <c r="P76" s="32"/>
      <c r="Q76" s="32"/>
      <c r="R76" s="32"/>
      <c r="S76" s="32"/>
      <c r="T76" s="32"/>
      <c r="U76" s="32"/>
      <c r="V76" s="32"/>
      <c r="W76" s="32"/>
      <c r="X76" s="32"/>
      <c r="Y76" s="32"/>
      <c r="Z76" s="32"/>
      <c r="AA76" s="32"/>
      <c r="AB76" s="32"/>
      <c r="AC76" s="32"/>
      <c r="AD76" s="32"/>
      <c r="AE76" s="32"/>
      <c r="AF76" s="32"/>
      <c r="AG76" s="33" t="s">
        <v>57</v>
      </c>
      <c r="AH76" s="179" t="s">
        <v>1946</v>
      </c>
      <c r="AI76" s="179" t="s">
        <v>1946</v>
      </c>
      <c r="AJ76" s="178"/>
      <c r="AK76" s="33" t="s">
        <v>158</v>
      </c>
      <c r="AL76" s="150">
        <f t="shared" si="3"/>
        <v>45.5</v>
      </c>
      <c r="AM76" s="147" t="s">
        <v>1840</v>
      </c>
      <c r="AN76" s="150">
        <f>2.5+1.1+1.5+2+2</f>
        <v>9.1</v>
      </c>
      <c r="AO76" s="6" t="s">
        <v>154</v>
      </c>
      <c r="AP76" s="6" t="s">
        <v>155</v>
      </c>
      <c r="AQ76" s="6" t="s">
        <v>19</v>
      </c>
      <c r="AR76" s="6" t="s">
        <v>159</v>
      </c>
      <c r="AS76" s="6" t="s">
        <v>10</v>
      </c>
    </row>
    <row r="77" spans="1:48" s="7" customFormat="1" ht="45" customHeight="1">
      <c r="A77" s="76" t="s">
        <v>1225</v>
      </c>
      <c r="B77" s="74" t="s">
        <v>153</v>
      </c>
      <c r="C77" s="31">
        <v>10</v>
      </c>
      <c r="D77" s="31"/>
      <c r="E77" s="118">
        <f t="shared" si="2"/>
        <v>195</v>
      </c>
      <c r="F77" s="141">
        <v>19</v>
      </c>
      <c r="G77" s="141">
        <v>20</v>
      </c>
      <c r="H77" s="137">
        <v>25</v>
      </c>
      <c r="I77" s="138">
        <v>21</v>
      </c>
      <c r="J77" s="139">
        <v>28</v>
      </c>
      <c r="K77" s="138">
        <v>19</v>
      </c>
      <c r="L77" s="139">
        <v>10</v>
      </c>
      <c r="M77" s="137">
        <v>13</v>
      </c>
      <c r="N77" s="140">
        <v>23</v>
      </c>
      <c r="O77" s="140">
        <v>17</v>
      </c>
      <c r="P77" s="32"/>
      <c r="Q77" s="32"/>
      <c r="R77" s="32"/>
      <c r="S77" s="32"/>
      <c r="T77" s="32"/>
      <c r="U77" s="32"/>
      <c r="V77" s="32"/>
      <c r="W77" s="32"/>
      <c r="X77" s="32"/>
      <c r="Y77" s="32"/>
      <c r="Z77" s="32"/>
      <c r="AA77" s="32"/>
      <c r="AB77" s="32"/>
      <c r="AC77" s="32"/>
      <c r="AD77" s="32"/>
      <c r="AE77" s="32"/>
      <c r="AF77" s="32"/>
      <c r="AG77" s="33" t="s">
        <v>57</v>
      </c>
      <c r="AH77" s="179" t="s">
        <v>1982</v>
      </c>
      <c r="AI77" s="179" t="s">
        <v>1982</v>
      </c>
      <c r="AJ77" s="178"/>
      <c r="AK77" s="33" t="s">
        <v>160</v>
      </c>
      <c r="AL77" s="150">
        <f t="shared" si="3"/>
        <v>50</v>
      </c>
      <c r="AM77" s="147" t="s">
        <v>1841</v>
      </c>
      <c r="AN77" s="150">
        <f>2*5</f>
        <v>10</v>
      </c>
      <c r="AO77" s="6" t="s">
        <v>154</v>
      </c>
      <c r="AP77" s="6" t="s">
        <v>155</v>
      </c>
      <c r="AQ77" s="6" t="s">
        <v>19</v>
      </c>
      <c r="AR77" s="6" t="s">
        <v>90</v>
      </c>
      <c r="AS77" s="6" t="s">
        <v>10</v>
      </c>
    </row>
    <row r="78" spans="1:48" s="7" customFormat="1" ht="45" customHeight="1">
      <c r="A78" s="76" t="s">
        <v>1226</v>
      </c>
      <c r="B78" s="74" t="s">
        <v>153</v>
      </c>
      <c r="C78" s="31">
        <v>10</v>
      </c>
      <c r="D78" s="31"/>
      <c r="E78" s="118">
        <f t="shared" si="2"/>
        <v>224</v>
      </c>
      <c r="F78" s="141">
        <v>25</v>
      </c>
      <c r="G78" s="137">
        <v>28</v>
      </c>
      <c r="H78" s="137">
        <v>14</v>
      </c>
      <c r="I78" s="138">
        <v>26</v>
      </c>
      <c r="J78" s="139">
        <v>11</v>
      </c>
      <c r="K78" s="141">
        <v>25</v>
      </c>
      <c r="L78" s="139">
        <v>28</v>
      </c>
      <c r="M78" s="138">
        <v>20</v>
      </c>
      <c r="N78" s="140">
        <v>28</v>
      </c>
      <c r="O78" s="140">
        <v>19</v>
      </c>
      <c r="P78" s="32"/>
      <c r="Q78" s="32"/>
      <c r="R78" s="32"/>
      <c r="S78" s="32"/>
      <c r="T78" s="32"/>
      <c r="U78" s="32"/>
      <c r="V78" s="32"/>
      <c r="W78" s="32"/>
      <c r="X78" s="32"/>
      <c r="Y78" s="32"/>
      <c r="Z78" s="32"/>
      <c r="AA78" s="32"/>
      <c r="AB78" s="32"/>
      <c r="AC78" s="32"/>
      <c r="AD78" s="32"/>
      <c r="AE78" s="32"/>
      <c r="AF78" s="32"/>
      <c r="AG78" s="33" t="s">
        <v>57</v>
      </c>
      <c r="AH78" s="179" t="s">
        <v>1983</v>
      </c>
      <c r="AI78" s="179" t="s">
        <v>1983</v>
      </c>
      <c r="AJ78" s="178"/>
      <c r="AK78" s="33" t="s">
        <v>156</v>
      </c>
      <c r="AL78" s="150">
        <f t="shared" si="3"/>
        <v>52.5</v>
      </c>
      <c r="AM78" s="147" t="s">
        <v>1842</v>
      </c>
      <c r="AN78" s="150">
        <f>2.5+2*4</f>
        <v>10.5</v>
      </c>
      <c r="AO78" s="6" t="s">
        <v>154</v>
      </c>
      <c r="AP78" s="6" t="s">
        <v>155</v>
      </c>
      <c r="AQ78" s="6" t="s">
        <v>19</v>
      </c>
      <c r="AR78" s="6" t="s">
        <v>13</v>
      </c>
      <c r="AS78" s="6" t="s">
        <v>10</v>
      </c>
    </row>
    <row r="79" spans="1:48" s="7" customFormat="1" ht="45" customHeight="1">
      <c r="A79" s="76" t="s">
        <v>1227</v>
      </c>
      <c r="B79" s="74" t="s">
        <v>153</v>
      </c>
      <c r="C79" s="31">
        <v>10</v>
      </c>
      <c r="D79" s="31"/>
      <c r="E79" s="118">
        <f t="shared" si="2"/>
        <v>248</v>
      </c>
      <c r="F79" s="141">
        <v>25</v>
      </c>
      <c r="G79" s="137">
        <v>22</v>
      </c>
      <c r="H79" s="138">
        <v>19</v>
      </c>
      <c r="I79" s="137">
        <v>27</v>
      </c>
      <c r="J79" s="138">
        <v>31</v>
      </c>
      <c r="K79" s="139">
        <v>29</v>
      </c>
      <c r="L79" s="140">
        <v>30</v>
      </c>
      <c r="M79" s="139">
        <v>21</v>
      </c>
      <c r="N79" s="141">
        <v>24</v>
      </c>
      <c r="O79" s="140">
        <v>20</v>
      </c>
      <c r="P79" s="32"/>
      <c r="Q79" s="32"/>
      <c r="R79" s="32"/>
      <c r="S79" s="32"/>
      <c r="T79" s="32"/>
      <c r="U79" s="32"/>
      <c r="V79" s="32"/>
      <c r="W79" s="32"/>
      <c r="X79" s="32"/>
      <c r="Y79" s="32"/>
      <c r="Z79" s="32"/>
      <c r="AA79" s="32"/>
      <c r="AB79" s="32"/>
      <c r="AC79" s="32"/>
      <c r="AD79" s="32"/>
      <c r="AE79" s="32"/>
      <c r="AF79" s="32"/>
      <c r="AG79" s="33" t="s">
        <v>57</v>
      </c>
      <c r="AH79" s="179" t="s">
        <v>1984</v>
      </c>
      <c r="AI79" s="179" t="s">
        <v>1984</v>
      </c>
      <c r="AJ79" s="178"/>
      <c r="AK79" s="33" t="s">
        <v>157</v>
      </c>
      <c r="AL79" s="150">
        <f t="shared" si="3"/>
        <v>41</v>
      </c>
      <c r="AM79" s="147" t="s">
        <v>1843</v>
      </c>
      <c r="AN79" s="150">
        <f>2+1.1+1.1+2+2</f>
        <v>8.1999999999999993</v>
      </c>
      <c r="AO79" s="6" t="s">
        <v>154</v>
      </c>
      <c r="AP79" s="6" t="s">
        <v>155</v>
      </c>
      <c r="AQ79" s="6" t="s">
        <v>19</v>
      </c>
      <c r="AR79" s="6" t="s">
        <v>90</v>
      </c>
      <c r="AS79" s="6" t="s">
        <v>10</v>
      </c>
    </row>
    <row r="80" spans="1:48" ht="45" customHeight="1">
      <c r="A80" s="76" t="s">
        <v>1228</v>
      </c>
      <c r="B80" s="73" t="s">
        <v>161</v>
      </c>
      <c r="C80" s="34">
        <v>10</v>
      </c>
      <c r="D80" s="34"/>
      <c r="E80" s="118">
        <f t="shared" si="2"/>
        <v>177</v>
      </c>
      <c r="F80" s="13">
        <v>26</v>
      </c>
      <c r="G80" s="137">
        <v>23</v>
      </c>
      <c r="H80" s="138">
        <v>18</v>
      </c>
      <c r="I80" s="137">
        <v>15</v>
      </c>
      <c r="J80" s="139">
        <v>25</v>
      </c>
      <c r="K80" s="140">
        <v>26</v>
      </c>
      <c r="L80" s="138">
        <v>17</v>
      </c>
      <c r="M80" s="139">
        <v>12</v>
      </c>
      <c r="N80" s="13">
        <v>9</v>
      </c>
      <c r="O80" s="140">
        <v>6</v>
      </c>
      <c r="AG80" s="5" t="s">
        <v>165</v>
      </c>
      <c r="AH80" s="179" t="s">
        <v>1985</v>
      </c>
      <c r="AI80" s="179" t="s">
        <v>1985</v>
      </c>
      <c r="AK80" s="5" t="s">
        <v>166</v>
      </c>
      <c r="AL80" s="149">
        <f t="shared" si="3"/>
        <v>52.5</v>
      </c>
      <c r="AM80" s="148" t="s">
        <v>1844</v>
      </c>
      <c r="AN80" s="149">
        <f>2+2+2.5+2.5+1.5</f>
        <v>10.5</v>
      </c>
      <c r="AO80" s="1" t="s">
        <v>162</v>
      </c>
      <c r="AP80" s="1" t="s">
        <v>163</v>
      </c>
      <c r="AQ80" s="1" t="s">
        <v>19</v>
      </c>
      <c r="AR80" s="1" t="s">
        <v>38</v>
      </c>
      <c r="AS80" s="1" t="s">
        <v>10</v>
      </c>
      <c r="AT80" s="9"/>
      <c r="AU80" s="9"/>
      <c r="AV80" s="9"/>
    </row>
    <row r="81" spans="1:48" ht="45" customHeight="1">
      <c r="A81" s="76" t="s">
        <v>1229</v>
      </c>
      <c r="B81" s="73" t="s">
        <v>161</v>
      </c>
      <c r="C81" s="34">
        <v>10</v>
      </c>
      <c r="D81" s="34"/>
      <c r="E81" s="118">
        <f t="shared" si="2"/>
        <v>186</v>
      </c>
      <c r="F81" s="13">
        <v>17</v>
      </c>
      <c r="G81" s="137">
        <v>19</v>
      </c>
      <c r="H81" s="138">
        <v>27</v>
      </c>
      <c r="I81" s="137">
        <v>20</v>
      </c>
      <c r="J81" s="139">
        <v>22</v>
      </c>
      <c r="K81" s="138">
        <v>13</v>
      </c>
      <c r="L81" s="140">
        <v>20</v>
      </c>
      <c r="M81" s="140">
        <v>14</v>
      </c>
      <c r="N81" s="139">
        <v>14</v>
      </c>
      <c r="O81" s="13">
        <v>20</v>
      </c>
      <c r="AG81" s="5" t="s">
        <v>59</v>
      </c>
      <c r="AH81" s="179" t="s">
        <v>1986</v>
      </c>
      <c r="AI81" s="179" t="s">
        <v>1986</v>
      </c>
      <c r="AK81" s="5" t="s">
        <v>167</v>
      </c>
      <c r="AL81" s="149">
        <f t="shared" si="3"/>
        <v>60</v>
      </c>
      <c r="AM81" s="148" t="s">
        <v>1845</v>
      </c>
      <c r="AN81" s="149">
        <f>2.5+2.5+2.5+2+2.5</f>
        <v>12</v>
      </c>
      <c r="AO81" s="1" t="s">
        <v>162</v>
      </c>
      <c r="AP81" s="1" t="s">
        <v>163</v>
      </c>
      <c r="AQ81" s="1" t="s">
        <v>19</v>
      </c>
      <c r="AR81" s="1" t="s">
        <v>38</v>
      </c>
      <c r="AS81" s="1" t="s">
        <v>10</v>
      </c>
      <c r="AT81" s="9"/>
      <c r="AU81" s="9"/>
      <c r="AV81" s="9"/>
    </row>
    <row r="82" spans="1:48" ht="45" customHeight="1">
      <c r="A82" s="76" t="s">
        <v>1230</v>
      </c>
      <c r="B82" s="73" t="s">
        <v>161</v>
      </c>
      <c r="C82" s="34">
        <v>9</v>
      </c>
      <c r="D82" s="34"/>
      <c r="E82" s="118">
        <f t="shared" si="2"/>
        <v>189</v>
      </c>
      <c r="F82" s="13">
        <v>21</v>
      </c>
      <c r="G82" s="137">
        <v>16</v>
      </c>
      <c r="H82" s="137">
        <v>25</v>
      </c>
      <c r="I82" s="138">
        <v>14</v>
      </c>
      <c r="J82" s="139">
        <v>14</v>
      </c>
      <c r="K82" s="138">
        <v>25</v>
      </c>
      <c r="L82" s="140">
        <v>29</v>
      </c>
      <c r="M82" s="139">
        <v>25</v>
      </c>
      <c r="N82" s="13">
        <v>20</v>
      </c>
      <c r="AG82" s="5" t="s">
        <v>58</v>
      </c>
      <c r="AH82" s="179" t="s">
        <v>1987</v>
      </c>
      <c r="AI82" s="179" t="s">
        <v>1987</v>
      </c>
      <c r="AK82" s="5" t="s">
        <v>168</v>
      </c>
      <c r="AL82" s="148">
        <f t="shared" si="3"/>
        <v>38.5</v>
      </c>
      <c r="AM82" s="148" t="s">
        <v>1846</v>
      </c>
      <c r="AN82" s="148">
        <f>1.5+2+2+1.5+0.7</f>
        <v>7.7</v>
      </c>
      <c r="AO82" s="1" t="s">
        <v>162</v>
      </c>
      <c r="AP82" s="1" t="s">
        <v>163</v>
      </c>
      <c r="AQ82" s="1" t="s">
        <v>19</v>
      </c>
      <c r="AR82" s="1" t="s">
        <v>38</v>
      </c>
      <c r="AS82" s="1" t="s">
        <v>10</v>
      </c>
      <c r="AT82" s="9"/>
      <c r="AU82" s="9"/>
      <c r="AV82" s="9"/>
    </row>
    <row r="83" spans="1:48" ht="45" customHeight="1">
      <c r="A83" s="76" t="s">
        <v>1231</v>
      </c>
      <c r="B83" s="73" t="s">
        <v>161</v>
      </c>
      <c r="C83" s="34">
        <v>9</v>
      </c>
      <c r="D83" s="34"/>
      <c r="E83" s="118">
        <f t="shared" si="2"/>
        <v>202</v>
      </c>
      <c r="F83" s="13">
        <v>17</v>
      </c>
      <c r="G83" s="137">
        <v>15</v>
      </c>
      <c r="H83" s="138">
        <v>25</v>
      </c>
      <c r="I83" s="137">
        <v>32</v>
      </c>
      <c r="J83" s="139">
        <v>33</v>
      </c>
      <c r="K83" s="140">
        <v>22</v>
      </c>
      <c r="L83" s="140">
        <v>20</v>
      </c>
      <c r="M83" s="13">
        <v>23</v>
      </c>
      <c r="N83" s="138">
        <v>15</v>
      </c>
      <c r="AG83" s="5" t="s">
        <v>58</v>
      </c>
      <c r="AH83" s="179" t="s">
        <v>1988</v>
      </c>
      <c r="AI83" s="179" t="s">
        <v>1988</v>
      </c>
      <c r="AK83" s="5" t="s">
        <v>169</v>
      </c>
      <c r="AL83" s="149">
        <f t="shared" si="3"/>
        <v>45.5</v>
      </c>
      <c r="AM83" s="148" t="s">
        <v>1847</v>
      </c>
      <c r="AN83" s="149">
        <f>2+2+2+1.1+2</f>
        <v>9.1</v>
      </c>
      <c r="AO83" s="1" t="s">
        <v>162</v>
      </c>
      <c r="AP83" s="1" t="s">
        <v>163</v>
      </c>
      <c r="AQ83" s="1" t="s">
        <v>19</v>
      </c>
      <c r="AR83" s="1" t="s">
        <v>38</v>
      </c>
      <c r="AS83" s="1" t="s">
        <v>10</v>
      </c>
      <c r="AT83" s="9"/>
      <c r="AU83" s="9"/>
      <c r="AV83" s="9"/>
    </row>
    <row r="84" spans="1:48" ht="45" customHeight="1">
      <c r="A84" s="76" t="s">
        <v>1232</v>
      </c>
      <c r="B84" s="73" t="s">
        <v>161</v>
      </c>
      <c r="D84" s="34">
        <v>1</v>
      </c>
      <c r="E84" s="118">
        <f t="shared" si="2"/>
        <v>1</v>
      </c>
      <c r="F84" s="13">
        <v>1</v>
      </c>
      <c r="AG84" s="5" t="s">
        <v>58</v>
      </c>
      <c r="AI84" s="179"/>
      <c r="AK84" s="5" t="s">
        <v>170</v>
      </c>
      <c r="AL84" s="149">
        <f t="shared" si="3"/>
        <v>0</v>
      </c>
      <c r="AM84" s="152" t="s">
        <v>1802</v>
      </c>
      <c r="AO84" s="1" t="s">
        <v>162</v>
      </c>
      <c r="AP84" s="1" t="s">
        <v>163</v>
      </c>
      <c r="AQ84" s="1" t="s">
        <v>10</v>
      </c>
      <c r="AR84" s="1" t="s">
        <v>10</v>
      </c>
      <c r="AS84" s="1" t="s">
        <v>31</v>
      </c>
      <c r="AT84" s="9"/>
      <c r="AU84" s="9"/>
      <c r="AV84" s="9"/>
    </row>
    <row r="85" spans="1:48" s="7" customFormat="1" ht="45" customHeight="1">
      <c r="A85" s="76" t="s">
        <v>1233</v>
      </c>
      <c r="B85" s="74" t="s">
        <v>171</v>
      </c>
      <c r="C85" s="31">
        <v>4</v>
      </c>
      <c r="D85" s="31"/>
      <c r="E85" s="118">
        <f t="shared" si="2"/>
        <v>39</v>
      </c>
      <c r="F85" s="32">
        <v>9</v>
      </c>
      <c r="G85" s="32">
        <v>10</v>
      </c>
      <c r="H85" s="32">
        <v>10</v>
      </c>
      <c r="I85" s="32">
        <v>10</v>
      </c>
      <c r="J85" s="32"/>
      <c r="K85" s="32"/>
      <c r="L85" s="32"/>
      <c r="M85" s="32"/>
      <c r="N85" s="32"/>
      <c r="O85" s="32"/>
      <c r="P85" s="32"/>
      <c r="Q85" s="32"/>
      <c r="R85" s="32"/>
      <c r="S85" s="32"/>
      <c r="T85" s="32"/>
      <c r="U85" s="32"/>
      <c r="V85" s="32"/>
      <c r="W85" s="32"/>
      <c r="X85" s="32"/>
      <c r="Y85" s="32"/>
      <c r="Z85" s="32"/>
      <c r="AA85" s="32"/>
      <c r="AB85" s="32"/>
      <c r="AC85" s="32"/>
      <c r="AD85" s="32"/>
      <c r="AE85" s="32"/>
      <c r="AF85" s="32"/>
      <c r="AG85" s="33" t="s">
        <v>174</v>
      </c>
      <c r="AH85" s="179" t="s">
        <v>1973</v>
      </c>
      <c r="AI85" s="179" t="s">
        <v>1973</v>
      </c>
      <c r="AJ85" s="178"/>
      <c r="AK85" s="33" t="s">
        <v>175</v>
      </c>
      <c r="AL85" s="147">
        <f t="shared" si="3"/>
        <v>7.5</v>
      </c>
      <c r="AM85" s="150"/>
      <c r="AN85" s="147">
        <v>1.5</v>
      </c>
      <c r="AO85" s="6" t="s">
        <v>172</v>
      </c>
      <c r="AP85" s="6" t="s">
        <v>173</v>
      </c>
      <c r="AQ85" s="6" t="s">
        <v>149</v>
      </c>
      <c r="AR85" s="6" t="s">
        <v>159</v>
      </c>
      <c r="AS85" s="6" t="s">
        <v>10</v>
      </c>
    </row>
    <row r="86" spans="1:48" s="7" customFormat="1" ht="45" customHeight="1">
      <c r="A86" s="76" t="s">
        <v>1234</v>
      </c>
      <c r="B86" s="74" t="s">
        <v>171</v>
      </c>
      <c r="C86" s="31">
        <v>8</v>
      </c>
      <c r="D86" s="31"/>
      <c r="E86" s="118">
        <f t="shared" si="2"/>
        <v>85</v>
      </c>
      <c r="F86" s="32">
        <v>10</v>
      </c>
      <c r="G86" s="32">
        <v>10</v>
      </c>
      <c r="H86" s="32">
        <v>10</v>
      </c>
      <c r="I86" s="32">
        <v>11</v>
      </c>
      <c r="J86" s="32">
        <v>13</v>
      </c>
      <c r="K86" s="32">
        <v>10</v>
      </c>
      <c r="L86" s="32">
        <v>10</v>
      </c>
      <c r="M86" s="32">
        <v>11</v>
      </c>
      <c r="N86" s="32"/>
      <c r="O86" s="32"/>
      <c r="P86" s="32"/>
      <c r="Q86" s="32"/>
      <c r="R86" s="32"/>
      <c r="S86" s="32"/>
      <c r="T86" s="32"/>
      <c r="U86" s="32"/>
      <c r="V86" s="32"/>
      <c r="W86" s="32"/>
      <c r="X86" s="32"/>
      <c r="Y86" s="32"/>
      <c r="Z86" s="32"/>
      <c r="AA86" s="32"/>
      <c r="AB86" s="32"/>
      <c r="AC86" s="32"/>
      <c r="AD86" s="32"/>
      <c r="AE86" s="32"/>
      <c r="AF86" s="32"/>
      <c r="AG86" s="33" t="s">
        <v>174</v>
      </c>
      <c r="AH86" s="179" t="s">
        <v>1934</v>
      </c>
      <c r="AI86" s="179" t="s">
        <v>1934</v>
      </c>
      <c r="AJ86" s="178"/>
      <c r="AK86" s="33" t="s">
        <v>176</v>
      </c>
      <c r="AL86" s="147">
        <f t="shared" si="3"/>
        <v>15</v>
      </c>
      <c r="AM86" s="150"/>
      <c r="AN86" s="147">
        <v>3</v>
      </c>
      <c r="AO86" s="6" t="s">
        <v>172</v>
      </c>
      <c r="AP86" s="6" t="s">
        <v>173</v>
      </c>
      <c r="AQ86" s="6" t="s">
        <v>125</v>
      </c>
      <c r="AR86" s="6" t="s">
        <v>19</v>
      </c>
      <c r="AS86" s="6" t="s">
        <v>10</v>
      </c>
    </row>
    <row r="87" spans="1:48" s="7" customFormat="1" ht="45" customHeight="1">
      <c r="A87" s="76" t="s">
        <v>1235</v>
      </c>
      <c r="B87" s="74" t="s">
        <v>171</v>
      </c>
      <c r="C87" s="31">
        <v>3</v>
      </c>
      <c r="D87" s="31"/>
      <c r="E87" s="118">
        <f t="shared" si="2"/>
        <v>23</v>
      </c>
      <c r="F87" s="32">
        <v>11</v>
      </c>
      <c r="G87" s="32">
        <v>3</v>
      </c>
      <c r="H87" s="32">
        <v>9</v>
      </c>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3" t="s">
        <v>174</v>
      </c>
      <c r="AH87" s="179" t="s">
        <v>1989</v>
      </c>
      <c r="AI87" s="179" t="s">
        <v>1989</v>
      </c>
      <c r="AJ87" s="178"/>
      <c r="AK87" s="33" t="s">
        <v>177</v>
      </c>
      <c r="AL87" s="147">
        <f t="shared" si="3"/>
        <v>5</v>
      </c>
      <c r="AM87" s="150"/>
      <c r="AN87" s="147">
        <v>1</v>
      </c>
      <c r="AO87" s="6" t="s">
        <v>172</v>
      </c>
      <c r="AP87" s="6" t="s">
        <v>173</v>
      </c>
      <c r="AQ87" s="6" t="s">
        <v>21</v>
      </c>
      <c r="AR87" s="6" t="s">
        <v>19</v>
      </c>
      <c r="AS87" s="6" t="s">
        <v>10</v>
      </c>
    </row>
    <row r="88" spans="1:48" ht="45" customHeight="1">
      <c r="A88" s="76" t="s">
        <v>1236</v>
      </c>
      <c r="B88" s="73" t="s">
        <v>178</v>
      </c>
      <c r="C88" s="34">
        <v>4</v>
      </c>
      <c r="D88" s="34"/>
      <c r="E88" s="118">
        <f t="shared" si="2"/>
        <v>20</v>
      </c>
      <c r="F88" s="13">
        <v>4</v>
      </c>
      <c r="G88" s="13">
        <v>6</v>
      </c>
      <c r="H88" s="13">
        <v>5</v>
      </c>
      <c r="I88" s="13">
        <v>5</v>
      </c>
      <c r="AG88" s="5" t="s">
        <v>180</v>
      </c>
      <c r="AH88" s="179" t="s">
        <v>1990</v>
      </c>
      <c r="AI88" s="179" t="s">
        <v>1990</v>
      </c>
      <c r="AK88" s="5" t="s">
        <v>183</v>
      </c>
      <c r="AL88" s="148">
        <f t="shared" si="3"/>
        <v>2</v>
      </c>
      <c r="AN88" s="148">
        <v>0.4</v>
      </c>
      <c r="AO88" s="1" t="s">
        <v>184</v>
      </c>
      <c r="AP88" s="1" t="s">
        <v>179</v>
      </c>
      <c r="AQ88" s="1" t="s">
        <v>18</v>
      </c>
      <c r="AR88" s="1" t="s">
        <v>18</v>
      </c>
      <c r="AS88" s="1" t="s">
        <v>10</v>
      </c>
      <c r="AT88" s="9"/>
      <c r="AU88" s="9"/>
      <c r="AV88" s="9"/>
    </row>
    <row r="89" spans="1:48" ht="45" customHeight="1">
      <c r="A89" s="76" t="s">
        <v>1237</v>
      </c>
      <c r="B89" s="73" t="s">
        <v>178</v>
      </c>
      <c r="C89" s="34">
        <v>4</v>
      </c>
      <c r="D89" s="34"/>
      <c r="E89" s="118">
        <f t="shared" si="2"/>
        <v>21</v>
      </c>
      <c r="F89" s="13">
        <v>6</v>
      </c>
      <c r="G89" s="13">
        <v>5</v>
      </c>
      <c r="H89" s="13">
        <v>9</v>
      </c>
      <c r="I89" s="13">
        <v>1</v>
      </c>
      <c r="AG89" s="5" t="s">
        <v>180</v>
      </c>
      <c r="AH89" s="179" t="s">
        <v>1991</v>
      </c>
      <c r="AI89" s="179" t="s">
        <v>1991</v>
      </c>
      <c r="AK89" s="5" t="s">
        <v>186</v>
      </c>
      <c r="AL89" s="148">
        <f t="shared" si="3"/>
        <v>4</v>
      </c>
      <c r="AN89" s="148">
        <v>0.8</v>
      </c>
      <c r="AO89" s="1" t="s">
        <v>184</v>
      </c>
      <c r="AP89" s="1" t="s">
        <v>179</v>
      </c>
      <c r="AQ89" s="1" t="s">
        <v>149</v>
      </c>
      <c r="AR89" s="1" t="s">
        <v>27</v>
      </c>
      <c r="AS89" s="1" t="s">
        <v>10</v>
      </c>
      <c r="AT89" s="9"/>
      <c r="AU89" s="9"/>
      <c r="AV89" s="9"/>
    </row>
    <row r="90" spans="1:48" ht="45" customHeight="1">
      <c r="A90" s="76" t="s">
        <v>1238</v>
      </c>
      <c r="B90" s="73" t="s">
        <v>178</v>
      </c>
      <c r="C90" s="34">
        <v>4</v>
      </c>
      <c r="D90" s="34"/>
      <c r="E90" s="118">
        <f t="shared" si="2"/>
        <v>20</v>
      </c>
      <c r="F90" s="13">
        <v>3</v>
      </c>
      <c r="G90" s="13">
        <v>4</v>
      </c>
      <c r="H90" s="13">
        <v>7</v>
      </c>
      <c r="I90" s="13">
        <v>6</v>
      </c>
      <c r="AG90" s="5" t="s">
        <v>188</v>
      </c>
      <c r="AH90" s="179" t="s">
        <v>1992</v>
      </c>
      <c r="AI90" s="179" t="s">
        <v>1992</v>
      </c>
      <c r="AK90" s="5" t="s">
        <v>189</v>
      </c>
      <c r="AL90" s="148">
        <f t="shared" si="3"/>
        <v>5</v>
      </c>
      <c r="AN90" s="148">
        <v>1</v>
      </c>
      <c r="AO90" s="1" t="s">
        <v>184</v>
      </c>
      <c r="AP90" s="1" t="s">
        <v>179</v>
      </c>
      <c r="AQ90" s="1" t="s">
        <v>149</v>
      </c>
      <c r="AR90" s="1" t="s">
        <v>27</v>
      </c>
      <c r="AS90" s="1" t="s">
        <v>10</v>
      </c>
      <c r="AT90" s="9"/>
      <c r="AU90" s="9"/>
      <c r="AV90" s="9"/>
    </row>
    <row r="91" spans="1:48" ht="45" customHeight="1">
      <c r="A91" s="76" t="s">
        <v>1239</v>
      </c>
      <c r="B91" s="73" t="s">
        <v>178</v>
      </c>
      <c r="C91" s="34">
        <v>2</v>
      </c>
      <c r="D91" s="34"/>
      <c r="E91" s="118">
        <f t="shared" si="2"/>
        <v>14</v>
      </c>
      <c r="F91" s="13">
        <v>10</v>
      </c>
      <c r="G91" s="13">
        <v>4</v>
      </c>
      <c r="AG91" s="5" t="s">
        <v>180</v>
      </c>
      <c r="AH91" s="179" t="s">
        <v>1972</v>
      </c>
      <c r="AI91" s="179" t="s">
        <v>1972</v>
      </c>
      <c r="AK91" s="5" t="s">
        <v>190</v>
      </c>
      <c r="AL91" s="148">
        <f t="shared" si="3"/>
        <v>3</v>
      </c>
      <c r="AN91" s="148">
        <v>0.6</v>
      </c>
      <c r="AO91" s="1" t="s">
        <v>184</v>
      </c>
      <c r="AP91" s="1" t="s">
        <v>179</v>
      </c>
      <c r="AQ91" s="1" t="s">
        <v>20</v>
      </c>
      <c r="AR91" s="1" t="s">
        <v>27</v>
      </c>
      <c r="AS91" s="1" t="s">
        <v>10</v>
      </c>
      <c r="AT91" s="9"/>
      <c r="AU91" s="9"/>
      <c r="AV91" s="9"/>
    </row>
    <row r="92" spans="1:48" ht="45" customHeight="1">
      <c r="A92" s="76" t="s">
        <v>1240</v>
      </c>
      <c r="B92" s="73" t="s">
        <v>178</v>
      </c>
      <c r="D92" s="34">
        <v>1</v>
      </c>
      <c r="E92" s="118">
        <f t="shared" si="2"/>
        <v>2</v>
      </c>
      <c r="F92" s="13">
        <v>2</v>
      </c>
      <c r="AG92" s="5" t="s">
        <v>180</v>
      </c>
      <c r="AH92" s="179" t="s">
        <v>1968</v>
      </c>
      <c r="AI92" s="179" t="s">
        <v>1968</v>
      </c>
      <c r="AK92" s="5" t="s">
        <v>181</v>
      </c>
      <c r="AL92" s="148">
        <f t="shared" si="3"/>
        <v>0.75</v>
      </c>
      <c r="AN92" s="148">
        <v>0.15</v>
      </c>
      <c r="AO92" s="1" t="s">
        <v>184</v>
      </c>
      <c r="AP92" s="1" t="s">
        <v>179</v>
      </c>
      <c r="AQ92" s="1" t="s">
        <v>10</v>
      </c>
      <c r="AR92" s="1" t="s">
        <v>10</v>
      </c>
      <c r="AS92" s="1" t="s">
        <v>31</v>
      </c>
      <c r="AT92" s="9"/>
      <c r="AU92" s="9"/>
      <c r="AV92" s="9"/>
    </row>
    <row r="93" spans="1:48" s="7" customFormat="1" ht="45" customHeight="1">
      <c r="A93" s="76" t="s">
        <v>1241</v>
      </c>
      <c r="B93" s="74" t="s">
        <v>191</v>
      </c>
      <c r="C93" s="31">
        <v>2</v>
      </c>
      <c r="D93" s="31"/>
      <c r="E93" s="118">
        <f t="shared" si="2"/>
        <v>9</v>
      </c>
      <c r="F93" s="32">
        <v>5</v>
      </c>
      <c r="G93" s="32">
        <v>4</v>
      </c>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3" t="s">
        <v>194</v>
      </c>
      <c r="AH93" s="179" t="s">
        <v>1978</v>
      </c>
      <c r="AI93" s="179" t="s">
        <v>1978</v>
      </c>
      <c r="AJ93" s="178"/>
      <c r="AK93" s="33" t="s">
        <v>195</v>
      </c>
      <c r="AL93" s="147">
        <f t="shared" si="3"/>
        <v>2</v>
      </c>
      <c r="AM93" s="150"/>
      <c r="AN93" s="147">
        <v>0.4</v>
      </c>
      <c r="AO93" s="6" t="s">
        <v>192</v>
      </c>
      <c r="AP93" s="6" t="s">
        <v>193</v>
      </c>
      <c r="AQ93" s="6" t="s">
        <v>20</v>
      </c>
      <c r="AR93" s="6" t="s">
        <v>18</v>
      </c>
      <c r="AS93" s="6" t="s">
        <v>10</v>
      </c>
    </row>
    <row r="94" spans="1:48" s="7" customFormat="1" ht="45" customHeight="1">
      <c r="A94" s="76" t="s">
        <v>1242</v>
      </c>
      <c r="B94" s="74" t="s">
        <v>191</v>
      </c>
      <c r="C94" s="31">
        <v>2</v>
      </c>
      <c r="D94" s="31"/>
      <c r="E94" s="118">
        <f t="shared" si="2"/>
        <v>9</v>
      </c>
      <c r="F94" s="32">
        <v>6</v>
      </c>
      <c r="G94" s="32">
        <v>3</v>
      </c>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3" t="s">
        <v>194</v>
      </c>
      <c r="AH94" s="179" t="s">
        <v>1979</v>
      </c>
      <c r="AI94" s="179" t="s">
        <v>1979</v>
      </c>
      <c r="AJ94" s="178"/>
      <c r="AK94" s="33" t="s">
        <v>196</v>
      </c>
      <c r="AL94" s="147">
        <f t="shared" si="3"/>
        <v>2.5</v>
      </c>
      <c r="AM94" s="150"/>
      <c r="AN94" s="147">
        <v>0.5</v>
      </c>
      <c r="AO94" s="6" t="s">
        <v>192</v>
      </c>
      <c r="AP94" s="6" t="s">
        <v>193</v>
      </c>
      <c r="AQ94" s="6" t="s">
        <v>20</v>
      </c>
      <c r="AR94" s="6" t="s">
        <v>18</v>
      </c>
      <c r="AS94" s="6" t="s">
        <v>10</v>
      </c>
    </row>
    <row r="95" spans="1:48" s="7" customFormat="1" ht="45" customHeight="1">
      <c r="A95" s="76" t="s">
        <v>1243</v>
      </c>
      <c r="B95" s="74" t="s">
        <v>191</v>
      </c>
      <c r="C95" s="31">
        <v>3</v>
      </c>
      <c r="D95" s="31"/>
      <c r="E95" s="118">
        <f t="shared" si="2"/>
        <v>9</v>
      </c>
      <c r="F95" s="32">
        <v>4</v>
      </c>
      <c r="G95" s="32">
        <v>3</v>
      </c>
      <c r="H95" s="32">
        <v>2</v>
      </c>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3" t="s">
        <v>194</v>
      </c>
      <c r="AH95" s="179" t="s">
        <v>1993</v>
      </c>
      <c r="AI95" s="179" t="s">
        <v>1993</v>
      </c>
      <c r="AJ95" s="178"/>
      <c r="AK95" s="33" t="s">
        <v>197</v>
      </c>
      <c r="AL95" s="147">
        <f t="shared" si="3"/>
        <v>3</v>
      </c>
      <c r="AM95" s="150"/>
      <c r="AN95" s="147">
        <v>0.6</v>
      </c>
      <c r="AO95" s="6" t="s">
        <v>192</v>
      </c>
      <c r="AP95" s="6" t="s">
        <v>193</v>
      </c>
      <c r="AQ95" s="6" t="s">
        <v>21</v>
      </c>
      <c r="AR95" s="6" t="s">
        <v>18</v>
      </c>
      <c r="AS95" s="6" t="s">
        <v>10</v>
      </c>
    </row>
    <row r="96" spans="1:48" s="7" customFormat="1" ht="45" customHeight="1">
      <c r="A96" s="76" t="s">
        <v>1244</v>
      </c>
      <c r="B96" s="74" t="s">
        <v>191</v>
      </c>
      <c r="C96" s="31">
        <v>2</v>
      </c>
      <c r="D96" s="31"/>
      <c r="E96" s="118">
        <f t="shared" si="2"/>
        <v>11</v>
      </c>
      <c r="F96" s="32">
        <v>4</v>
      </c>
      <c r="G96" s="32">
        <v>7</v>
      </c>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3" t="s">
        <v>194</v>
      </c>
      <c r="AH96" s="179" t="s">
        <v>1994</v>
      </c>
      <c r="AI96" s="179" t="s">
        <v>1994</v>
      </c>
      <c r="AJ96" s="178"/>
      <c r="AK96" s="33" t="s">
        <v>198</v>
      </c>
      <c r="AL96" s="147">
        <f t="shared" si="3"/>
        <v>3</v>
      </c>
      <c r="AM96" s="150"/>
      <c r="AN96" s="147">
        <v>0.6</v>
      </c>
      <c r="AO96" s="6" t="s">
        <v>192</v>
      </c>
      <c r="AP96" s="6" t="s">
        <v>193</v>
      </c>
      <c r="AQ96" s="6" t="s">
        <v>20</v>
      </c>
      <c r="AR96" s="6" t="s">
        <v>18</v>
      </c>
      <c r="AS96" s="6" t="s">
        <v>10</v>
      </c>
    </row>
    <row r="97" spans="1:48" ht="45" customHeight="1">
      <c r="A97" s="76" t="s">
        <v>1245</v>
      </c>
      <c r="B97" s="73" t="s">
        <v>199</v>
      </c>
      <c r="C97" s="34">
        <v>10</v>
      </c>
      <c r="D97" s="34"/>
      <c r="E97" s="118">
        <f t="shared" si="2"/>
        <v>198</v>
      </c>
      <c r="F97" s="13">
        <v>8</v>
      </c>
      <c r="G97" s="137">
        <v>18</v>
      </c>
      <c r="H97" s="138">
        <v>12</v>
      </c>
      <c r="I97" s="13">
        <v>30</v>
      </c>
      <c r="J97" s="139">
        <v>24</v>
      </c>
      <c r="K97" s="139">
        <v>15</v>
      </c>
      <c r="L97" s="137">
        <v>23</v>
      </c>
      <c r="M97" s="140">
        <v>11</v>
      </c>
      <c r="N97" s="138">
        <v>27</v>
      </c>
      <c r="O97" s="140">
        <v>30</v>
      </c>
      <c r="AG97" s="5" t="s">
        <v>57</v>
      </c>
      <c r="AH97" s="179" t="s">
        <v>1995</v>
      </c>
      <c r="AI97" s="179" t="s">
        <v>1995</v>
      </c>
      <c r="AK97" s="5" t="s">
        <v>202</v>
      </c>
      <c r="AL97" s="149">
        <f t="shared" si="3"/>
        <v>46</v>
      </c>
      <c r="AM97" s="148" t="s">
        <v>1848</v>
      </c>
      <c r="AN97" s="149">
        <f>2+2.5+1.1+2.5+1.1</f>
        <v>9.1999999999999993</v>
      </c>
      <c r="AO97" s="1" t="s">
        <v>200</v>
      </c>
      <c r="AP97" s="1" t="s">
        <v>201</v>
      </c>
      <c r="AQ97" s="1" t="s">
        <v>19</v>
      </c>
      <c r="AR97" s="1" t="s">
        <v>38</v>
      </c>
      <c r="AS97" s="1" t="s">
        <v>10</v>
      </c>
      <c r="AT97" s="9"/>
      <c r="AU97" s="9"/>
      <c r="AV97" s="9"/>
    </row>
    <row r="98" spans="1:48" ht="45" customHeight="1">
      <c r="A98" s="76" t="s">
        <v>1246</v>
      </c>
      <c r="B98" s="73" t="s">
        <v>199</v>
      </c>
      <c r="C98" s="34">
        <v>10</v>
      </c>
      <c r="D98" s="34"/>
      <c r="E98" s="118">
        <f t="shared" si="2"/>
        <v>180</v>
      </c>
      <c r="F98" s="13">
        <v>19</v>
      </c>
      <c r="G98" s="137">
        <v>11</v>
      </c>
      <c r="H98" s="138">
        <v>21</v>
      </c>
      <c r="I98" s="138">
        <v>13</v>
      </c>
      <c r="J98" s="13">
        <v>18</v>
      </c>
      <c r="K98" s="139">
        <v>21</v>
      </c>
      <c r="L98" s="140">
        <v>19</v>
      </c>
      <c r="M98" s="139">
        <v>12</v>
      </c>
      <c r="N98" s="137">
        <v>29</v>
      </c>
      <c r="O98" s="140">
        <v>17</v>
      </c>
      <c r="AG98" s="5" t="s">
        <v>57</v>
      </c>
      <c r="AH98" s="179" t="s">
        <v>1996</v>
      </c>
      <c r="AI98" s="179" t="s">
        <v>1996</v>
      </c>
      <c r="AK98" s="5" t="s">
        <v>204</v>
      </c>
      <c r="AL98" s="149">
        <f t="shared" si="3"/>
        <v>47.5</v>
      </c>
      <c r="AM98" s="148" t="s">
        <v>1849</v>
      </c>
      <c r="AN98" s="149">
        <f>2+2+2+1.5+2</f>
        <v>9.5</v>
      </c>
      <c r="AO98" s="1" t="s">
        <v>200</v>
      </c>
      <c r="AP98" s="1" t="s">
        <v>201</v>
      </c>
      <c r="AQ98" s="1" t="s">
        <v>19</v>
      </c>
      <c r="AR98" s="1" t="s">
        <v>90</v>
      </c>
      <c r="AS98" s="1" t="s">
        <v>10</v>
      </c>
      <c r="AT98" s="9"/>
      <c r="AU98" s="9"/>
      <c r="AV98" s="9"/>
    </row>
    <row r="99" spans="1:48" ht="45" customHeight="1">
      <c r="A99" s="76" t="s">
        <v>1247</v>
      </c>
      <c r="B99" s="73" t="s">
        <v>199</v>
      </c>
      <c r="C99" s="34">
        <v>9</v>
      </c>
      <c r="D99" s="34"/>
      <c r="E99" s="118">
        <f t="shared" si="2"/>
        <v>279</v>
      </c>
      <c r="F99" s="13">
        <v>20</v>
      </c>
      <c r="G99" s="137">
        <v>40</v>
      </c>
      <c r="H99" s="138">
        <v>39</v>
      </c>
      <c r="I99" s="139">
        <v>46</v>
      </c>
      <c r="J99" s="13">
        <v>38</v>
      </c>
      <c r="K99" s="140">
        <v>28</v>
      </c>
      <c r="L99" s="138">
        <v>19</v>
      </c>
      <c r="M99" s="140">
        <v>33</v>
      </c>
      <c r="N99" s="137">
        <v>16</v>
      </c>
      <c r="AG99" s="5" t="s">
        <v>57</v>
      </c>
      <c r="AH99" s="179" t="s">
        <v>1997</v>
      </c>
      <c r="AI99" s="179" t="s">
        <v>1997</v>
      </c>
      <c r="AK99" s="5" t="s">
        <v>205</v>
      </c>
      <c r="AL99" s="149">
        <f t="shared" si="3"/>
        <v>52</v>
      </c>
      <c r="AM99" s="148" t="s">
        <v>1850</v>
      </c>
      <c r="AN99" s="149">
        <f>2.5+2.5+2.5+0.9+2</f>
        <v>10.4</v>
      </c>
      <c r="AO99" s="1" t="s">
        <v>200</v>
      </c>
      <c r="AP99" s="1" t="s">
        <v>201</v>
      </c>
      <c r="AQ99" s="1" t="s">
        <v>19</v>
      </c>
      <c r="AR99" s="1" t="s">
        <v>38</v>
      </c>
      <c r="AS99" s="1" t="s">
        <v>10</v>
      </c>
      <c r="AT99" s="9"/>
      <c r="AU99" s="9"/>
      <c r="AV99" s="9"/>
    </row>
    <row r="100" spans="1:48" ht="45" customHeight="1">
      <c r="A100" s="76" t="s">
        <v>1248</v>
      </c>
      <c r="B100" s="73" t="s">
        <v>199</v>
      </c>
      <c r="C100" s="34">
        <v>10</v>
      </c>
      <c r="D100" s="34"/>
      <c r="E100" s="118">
        <f t="shared" si="2"/>
        <v>168</v>
      </c>
      <c r="F100" s="13">
        <v>14</v>
      </c>
      <c r="G100" s="137">
        <v>27</v>
      </c>
      <c r="H100" s="137">
        <v>11</v>
      </c>
      <c r="I100" s="138">
        <v>24</v>
      </c>
      <c r="J100" s="139">
        <v>24</v>
      </c>
      <c r="K100" s="139">
        <v>11</v>
      </c>
      <c r="L100" s="138">
        <v>13</v>
      </c>
      <c r="M100" s="140">
        <v>13</v>
      </c>
      <c r="N100" s="13">
        <v>14</v>
      </c>
      <c r="O100" s="140">
        <v>17</v>
      </c>
      <c r="AG100" s="5" t="s">
        <v>57</v>
      </c>
      <c r="AI100" s="179"/>
      <c r="AL100" s="149">
        <f t="shared" si="3"/>
        <v>43</v>
      </c>
      <c r="AM100" s="148" t="s">
        <v>1851</v>
      </c>
      <c r="AN100" s="149">
        <f>1.5+2+2+1.1+2</f>
        <v>8.6</v>
      </c>
      <c r="AO100" s="1" t="s">
        <v>200</v>
      </c>
      <c r="AP100" s="1" t="s">
        <v>201</v>
      </c>
      <c r="AQ100" s="1" t="s">
        <v>19</v>
      </c>
      <c r="AR100" s="1" t="s">
        <v>90</v>
      </c>
      <c r="AS100" s="1" t="s">
        <v>10</v>
      </c>
      <c r="AT100" s="9"/>
      <c r="AU100" s="9"/>
      <c r="AV100" s="9"/>
    </row>
    <row r="101" spans="1:48" ht="45" customHeight="1">
      <c r="A101" s="76" t="s">
        <v>1249</v>
      </c>
      <c r="B101" s="73" t="s">
        <v>199</v>
      </c>
      <c r="D101" s="34">
        <v>1</v>
      </c>
      <c r="E101" s="118">
        <f t="shared" si="2"/>
        <v>2</v>
      </c>
      <c r="F101" s="13">
        <v>2</v>
      </c>
      <c r="AG101" s="5" t="s">
        <v>57</v>
      </c>
      <c r="AI101" s="179"/>
      <c r="AK101" s="5" t="s">
        <v>203</v>
      </c>
      <c r="AL101" s="148">
        <f t="shared" si="3"/>
        <v>0.5</v>
      </c>
      <c r="AN101" s="148">
        <v>0.1</v>
      </c>
      <c r="AO101" s="1" t="s">
        <v>200</v>
      </c>
      <c r="AP101" s="1" t="s">
        <v>201</v>
      </c>
      <c r="AQ101" s="1" t="s">
        <v>10</v>
      </c>
      <c r="AR101" s="1" t="s">
        <v>10</v>
      </c>
      <c r="AS101" s="1" t="s">
        <v>31</v>
      </c>
      <c r="AT101" s="9"/>
      <c r="AU101" s="9"/>
      <c r="AV101" s="9"/>
    </row>
    <row r="102" spans="1:48" s="7" customFormat="1" ht="45" customHeight="1">
      <c r="A102" s="76" t="s">
        <v>1250</v>
      </c>
      <c r="B102" s="74" t="s">
        <v>206</v>
      </c>
      <c r="C102" s="31">
        <v>9</v>
      </c>
      <c r="D102" s="31"/>
      <c r="E102" s="118">
        <f t="shared" si="2"/>
        <v>17</v>
      </c>
      <c r="F102" s="32">
        <v>1</v>
      </c>
      <c r="G102" s="32">
        <v>1</v>
      </c>
      <c r="H102" s="32">
        <v>1</v>
      </c>
      <c r="I102" s="32">
        <v>3</v>
      </c>
      <c r="J102" s="32">
        <v>2</v>
      </c>
      <c r="K102" s="32">
        <v>1</v>
      </c>
      <c r="L102" s="32">
        <v>2</v>
      </c>
      <c r="M102" s="32">
        <v>3</v>
      </c>
      <c r="N102" s="32">
        <v>3</v>
      </c>
      <c r="O102" s="32"/>
      <c r="P102" s="32"/>
      <c r="Q102" s="32"/>
      <c r="R102" s="32"/>
      <c r="S102" s="32"/>
      <c r="T102" s="32"/>
      <c r="U102" s="32"/>
      <c r="V102" s="32"/>
      <c r="W102" s="32"/>
      <c r="X102" s="32"/>
      <c r="Y102" s="32"/>
      <c r="Z102" s="32"/>
      <c r="AA102" s="32"/>
      <c r="AB102" s="32"/>
      <c r="AC102" s="32"/>
      <c r="AD102" s="32"/>
      <c r="AE102" s="32"/>
      <c r="AF102" s="32"/>
      <c r="AG102" s="33" t="s">
        <v>209</v>
      </c>
      <c r="AH102" s="179" t="s">
        <v>1934</v>
      </c>
      <c r="AI102" s="179" t="s">
        <v>1934</v>
      </c>
      <c r="AJ102" s="178"/>
      <c r="AK102" s="33" t="s">
        <v>210</v>
      </c>
      <c r="AL102" s="147">
        <f t="shared" si="3"/>
        <v>2.5</v>
      </c>
      <c r="AM102" s="150"/>
      <c r="AN102" s="147">
        <v>0.5</v>
      </c>
      <c r="AO102" s="6" t="s">
        <v>207</v>
      </c>
      <c r="AP102" s="6" t="s">
        <v>208</v>
      </c>
      <c r="AQ102" s="6" t="s">
        <v>19</v>
      </c>
      <c r="AR102" s="6" t="s">
        <v>20</v>
      </c>
      <c r="AS102" s="6" t="s">
        <v>10</v>
      </c>
    </row>
    <row r="103" spans="1:48" s="7" customFormat="1" ht="45" customHeight="1">
      <c r="A103" s="76" t="s">
        <v>1251</v>
      </c>
      <c r="B103" s="74" t="s">
        <v>206</v>
      </c>
      <c r="C103" s="31">
        <v>8</v>
      </c>
      <c r="D103" s="31"/>
      <c r="E103" s="118">
        <f t="shared" si="2"/>
        <v>14</v>
      </c>
      <c r="F103" s="32">
        <v>2</v>
      </c>
      <c r="G103" s="32">
        <v>3</v>
      </c>
      <c r="H103" s="32">
        <v>1</v>
      </c>
      <c r="I103" s="32">
        <v>1</v>
      </c>
      <c r="J103" s="32">
        <v>2</v>
      </c>
      <c r="K103" s="32">
        <v>1</v>
      </c>
      <c r="L103" s="32">
        <v>2</v>
      </c>
      <c r="M103" s="32">
        <v>2</v>
      </c>
      <c r="N103" s="32"/>
      <c r="O103" s="32"/>
      <c r="P103" s="32"/>
      <c r="Q103" s="32"/>
      <c r="R103" s="32"/>
      <c r="S103" s="32"/>
      <c r="T103" s="32"/>
      <c r="U103" s="32"/>
      <c r="V103" s="32"/>
      <c r="W103" s="32"/>
      <c r="X103" s="32"/>
      <c r="Y103" s="32"/>
      <c r="Z103" s="32"/>
      <c r="AA103" s="32"/>
      <c r="AB103" s="32"/>
      <c r="AC103" s="32"/>
      <c r="AD103" s="32"/>
      <c r="AE103" s="32"/>
      <c r="AF103" s="32"/>
      <c r="AG103" s="33" t="s">
        <v>209</v>
      </c>
      <c r="AH103" s="179" t="s">
        <v>1974</v>
      </c>
      <c r="AI103" s="179" t="s">
        <v>1974</v>
      </c>
      <c r="AJ103" s="178"/>
      <c r="AK103" s="33" t="s">
        <v>211</v>
      </c>
      <c r="AL103" s="147">
        <f t="shared" si="3"/>
        <v>2.5</v>
      </c>
      <c r="AM103" s="150"/>
      <c r="AN103" s="147">
        <v>0.5</v>
      </c>
      <c r="AO103" s="6" t="s">
        <v>207</v>
      </c>
      <c r="AP103" s="6" t="s">
        <v>208</v>
      </c>
      <c r="AQ103" s="6" t="s">
        <v>19</v>
      </c>
      <c r="AR103" s="6" t="s">
        <v>20</v>
      </c>
      <c r="AS103" s="6" t="s">
        <v>10</v>
      </c>
    </row>
    <row r="104" spans="1:48" s="7" customFormat="1" ht="45" customHeight="1">
      <c r="A104" s="76" t="s">
        <v>1252</v>
      </c>
      <c r="B104" s="74" t="s">
        <v>206</v>
      </c>
      <c r="C104" s="31">
        <v>5</v>
      </c>
      <c r="D104" s="31"/>
      <c r="E104" s="118">
        <f t="shared" si="2"/>
        <v>11</v>
      </c>
      <c r="F104" s="32">
        <v>2</v>
      </c>
      <c r="G104" s="32">
        <v>3</v>
      </c>
      <c r="H104" s="32">
        <v>2</v>
      </c>
      <c r="I104" s="32">
        <v>2</v>
      </c>
      <c r="J104" s="32">
        <v>2</v>
      </c>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3" t="s">
        <v>209</v>
      </c>
      <c r="AH104" s="179" t="s">
        <v>1936</v>
      </c>
      <c r="AI104" s="179" t="s">
        <v>1936</v>
      </c>
      <c r="AJ104" s="178"/>
      <c r="AK104" s="33" t="s">
        <v>212</v>
      </c>
      <c r="AL104" s="147">
        <f t="shared" si="3"/>
        <v>2.5</v>
      </c>
      <c r="AM104" s="150"/>
      <c r="AN104" s="147">
        <v>0.5</v>
      </c>
      <c r="AO104" s="6" t="s">
        <v>207</v>
      </c>
      <c r="AP104" s="6" t="s">
        <v>208</v>
      </c>
      <c r="AQ104" s="6" t="s">
        <v>18</v>
      </c>
      <c r="AR104" s="6" t="s">
        <v>20</v>
      </c>
      <c r="AS104" s="6" t="s">
        <v>10</v>
      </c>
    </row>
    <row r="105" spans="1:48" s="7" customFormat="1" ht="45" customHeight="1">
      <c r="A105" s="76" t="s">
        <v>1253</v>
      </c>
      <c r="B105" s="74" t="s">
        <v>206</v>
      </c>
      <c r="C105" s="31">
        <v>6</v>
      </c>
      <c r="D105" s="31"/>
      <c r="E105" s="118">
        <f t="shared" si="2"/>
        <v>17</v>
      </c>
      <c r="F105" s="32">
        <v>2</v>
      </c>
      <c r="G105" s="32">
        <v>3</v>
      </c>
      <c r="H105" s="32">
        <v>3</v>
      </c>
      <c r="I105" s="32">
        <v>3</v>
      </c>
      <c r="J105" s="32">
        <v>3</v>
      </c>
      <c r="K105" s="32">
        <v>3</v>
      </c>
      <c r="L105" s="32"/>
      <c r="M105" s="32"/>
      <c r="N105" s="32"/>
      <c r="O105" s="32"/>
      <c r="P105" s="32"/>
      <c r="Q105" s="32"/>
      <c r="R105" s="32"/>
      <c r="S105" s="32"/>
      <c r="T105" s="32"/>
      <c r="U105" s="32"/>
      <c r="V105" s="32"/>
      <c r="W105" s="32"/>
      <c r="X105" s="32"/>
      <c r="Y105" s="32"/>
      <c r="Z105" s="32"/>
      <c r="AA105" s="32"/>
      <c r="AB105" s="32"/>
      <c r="AC105" s="32"/>
      <c r="AD105" s="32"/>
      <c r="AE105" s="32"/>
      <c r="AF105" s="32"/>
      <c r="AG105" s="33" t="s">
        <v>209</v>
      </c>
      <c r="AH105" s="179" t="s">
        <v>1937</v>
      </c>
      <c r="AI105" s="179" t="s">
        <v>1937</v>
      </c>
      <c r="AJ105" s="178"/>
      <c r="AK105" s="33" t="s">
        <v>213</v>
      </c>
      <c r="AL105" s="147">
        <f t="shared" si="3"/>
        <v>3</v>
      </c>
      <c r="AM105" s="150"/>
      <c r="AN105" s="147">
        <v>0.6</v>
      </c>
      <c r="AO105" s="6" t="s">
        <v>207</v>
      </c>
      <c r="AP105" s="6" t="s">
        <v>208</v>
      </c>
      <c r="AQ105" s="6" t="s">
        <v>92</v>
      </c>
      <c r="AR105" s="6" t="s">
        <v>20</v>
      </c>
      <c r="AS105" s="6" t="s">
        <v>10</v>
      </c>
    </row>
    <row r="106" spans="1:48" s="7" customFormat="1" ht="45" customHeight="1">
      <c r="A106" s="76" t="s">
        <v>1254</v>
      </c>
      <c r="B106" s="74" t="s">
        <v>206</v>
      </c>
      <c r="C106" s="35"/>
      <c r="D106" s="31">
        <v>4</v>
      </c>
      <c r="E106" s="118">
        <f t="shared" si="2"/>
        <v>4</v>
      </c>
      <c r="F106" s="32">
        <v>1</v>
      </c>
      <c r="G106" s="32">
        <v>1</v>
      </c>
      <c r="H106" s="32">
        <v>1</v>
      </c>
      <c r="I106" s="32">
        <v>1</v>
      </c>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3" t="s">
        <v>209</v>
      </c>
      <c r="AH106" s="179" t="s">
        <v>1962</v>
      </c>
      <c r="AI106" s="179" t="s">
        <v>1962</v>
      </c>
      <c r="AJ106" s="178"/>
      <c r="AK106" s="33" t="s">
        <v>214</v>
      </c>
      <c r="AL106" s="147">
        <f t="shared" si="3"/>
        <v>1.5</v>
      </c>
      <c r="AM106" s="150"/>
      <c r="AN106" s="147">
        <v>0.3</v>
      </c>
      <c r="AO106" s="6" t="s">
        <v>207</v>
      </c>
      <c r="AP106" s="6" t="s">
        <v>208</v>
      </c>
      <c r="AQ106" s="6" t="s">
        <v>10</v>
      </c>
      <c r="AR106" s="6" t="s">
        <v>10</v>
      </c>
      <c r="AS106" s="6" t="s">
        <v>21</v>
      </c>
    </row>
    <row r="107" spans="1:48" ht="45" customHeight="1">
      <c r="A107" s="76" t="s">
        <v>1255</v>
      </c>
      <c r="B107" s="73" t="s">
        <v>215</v>
      </c>
      <c r="C107" s="34">
        <v>3</v>
      </c>
      <c r="D107" s="34"/>
      <c r="E107" s="118">
        <f t="shared" si="2"/>
        <v>15</v>
      </c>
      <c r="F107" s="13">
        <v>5</v>
      </c>
      <c r="G107" s="13">
        <v>9</v>
      </c>
      <c r="H107" s="13">
        <v>1</v>
      </c>
      <c r="AG107" s="5" t="s">
        <v>218</v>
      </c>
      <c r="AH107" s="179" t="s">
        <v>1998</v>
      </c>
      <c r="AI107" s="179" t="s">
        <v>1998</v>
      </c>
      <c r="AK107" s="5" t="s">
        <v>220</v>
      </c>
      <c r="AL107" s="148">
        <f t="shared" si="3"/>
        <v>4</v>
      </c>
      <c r="AN107" s="148">
        <v>0.8</v>
      </c>
      <c r="AO107" s="1" t="s">
        <v>216</v>
      </c>
      <c r="AP107" s="1" t="s">
        <v>217</v>
      </c>
      <c r="AQ107" s="1" t="s">
        <v>21</v>
      </c>
      <c r="AR107" s="1" t="s">
        <v>18</v>
      </c>
      <c r="AS107" s="1" t="s">
        <v>10</v>
      </c>
      <c r="AT107" s="9"/>
      <c r="AU107" s="9"/>
      <c r="AV107" s="9"/>
    </row>
    <row r="108" spans="1:48" ht="45" customHeight="1">
      <c r="A108" s="76" t="s">
        <v>1256</v>
      </c>
      <c r="B108" s="73" t="s">
        <v>215</v>
      </c>
      <c r="C108" s="34">
        <v>4</v>
      </c>
      <c r="D108" s="34"/>
      <c r="E108" s="118">
        <f t="shared" si="2"/>
        <v>27</v>
      </c>
      <c r="F108" s="13">
        <v>6</v>
      </c>
      <c r="G108" s="13">
        <v>6</v>
      </c>
      <c r="H108" s="13">
        <v>8</v>
      </c>
      <c r="I108" s="13">
        <v>7</v>
      </c>
      <c r="AG108" s="5" t="s">
        <v>218</v>
      </c>
      <c r="AH108" s="179" t="s">
        <v>1999</v>
      </c>
      <c r="AI108" s="179" t="s">
        <v>1999</v>
      </c>
      <c r="AK108" s="5" t="s">
        <v>222</v>
      </c>
      <c r="AL108" s="148">
        <f t="shared" si="3"/>
        <v>5</v>
      </c>
      <c r="AN108" s="148">
        <v>1</v>
      </c>
      <c r="AO108" s="1" t="s">
        <v>216</v>
      </c>
      <c r="AP108" s="1" t="s">
        <v>217</v>
      </c>
      <c r="AQ108" s="1" t="s">
        <v>149</v>
      </c>
      <c r="AR108" s="1" t="s">
        <v>19</v>
      </c>
      <c r="AS108" s="1" t="s">
        <v>10</v>
      </c>
      <c r="AT108" s="9"/>
      <c r="AU108" s="9"/>
      <c r="AV108" s="9"/>
    </row>
    <row r="109" spans="1:48" ht="45" customHeight="1">
      <c r="A109" s="76" t="s">
        <v>1257</v>
      </c>
      <c r="B109" s="73" t="s">
        <v>215</v>
      </c>
      <c r="C109" s="34">
        <v>6</v>
      </c>
      <c r="D109" s="34"/>
      <c r="E109" s="118">
        <f t="shared" si="2"/>
        <v>49</v>
      </c>
      <c r="F109" s="13">
        <v>8</v>
      </c>
      <c r="G109" s="13">
        <v>10</v>
      </c>
      <c r="H109" s="13">
        <v>5</v>
      </c>
      <c r="I109" s="13">
        <v>7</v>
      </c>
      <c r="J109" s="13">
        <v>11</v>
      </c>
      <c r="K109" s="13">
        <v>8</v>
      </c>
      <c r="AG109" s="5" t="s">
        <v>226</v>
      </c>
      <c r="AH109" s="179" t="s">
        <v>2000</v>
      </c>
      <c r="AI109" s="179" t="s">
        <v>2000</v>
      </c>
      <c r="AK109" s="5" t="s">
        <v>224</v>
      </c>
      <c r="AL109" s="148">
        <f t="shared" si="3"/>
        <v>6</v>
      </c>
      <c r="AN109" s="148">
        <v>1.2</v>
      </c>
      <c r="AO109" s="1" t="s">
        <v>216</v>
      </c>
      <c r="AP109" s="1" t="s">
        <v>217</v>
      </c>
      <c r="AQ109" s="1" t="s">
        <v>225</v>
      </c>
      <c r="AR109" s="1" t="s">
        <v>19</v>
      </c>
      <c r="AS109" s="1" t="s">
        <v>10</v>
      </c>
      <c r="AT109" s="9"/>
      <c r="AU109" s="9"/>
      <c r="AV109" s="9"/>
    </row>
    <row r="110" spans="1:48" ht="45" customHeight="1">
      <c r="A110" s="76" t="s">
        <v>1258</v>
      </c>
      <c r="B110" s="73" t="s">
        <v>215</v>
      </c>
      <c r="C110" s="34">
        <v>3</v>
      </c>
      <c r="D110" s="34"/>
      <c r="E110" s="118">
        <f t="shared" si="2"/>
        <v>36</v>
      </c>
      <c r="F110" s="13">
        <v>13</v>
      </c>
      <c r="G110" s="13">
        <v>11</v>
      </c>
      <c r="H110" s="13">
        <v>12</v>
      </c>
      <c r="AG110" s="5" t="s">
        <v>226</v>
      </c>
      <c r="AH110" s="179" t="s">
        <v>2001</v>
      </c>
      <c r="AI110" s="179" t="s">
        <v>2001</v>
      </c>
      <c r="AK110" s="5" t="s">
        <v>228</v>
      </c>
      <c r="AL110" s="148">
        <f t="shared" si="3"/>
        <v>4</v>
      </c>
      <c r="AN110" s="148">
        <v>0.8</v>
      </c>
      <c r="AO110" s="1" t="s">
        <v>216</v>
      </c>
      <c r="AP110" s="1" t="s">
        <v>217</v>
      </c>
      <c r="AQ110" s="1" t="s">
        <v>21</v>
      </c>
      <c r="AR110" s="1" t="s">
        <v>19</v>
      </c>
      <c r="AS110" s="1" t="s">
        <v>10</v>
      </c>
      <c r="AT110" s="9"/>
      <c r="AU110" s="9"/>
      <c r="AV110" s="9"/>
    </row>
    <row r="111" spans="1:48" s="7" customFormat="1" ht="45" customHeight="1">
      <c r="A111" s="76" t="s">
        <v>1259</v>
      </c>
      <c r="B111" s="74" t="s">
        <v>229</v>
      </c>
      <c r="C111" s="31">
        <v>3</v>
      </c>
      <c r="D111" s="31"/>
      <c r="E111" s="118">
        <f t="shared" si="2"/>
        <v>6</v>
      </c>
      <c r="F111" s="32">
        <v>3</v>
      </c>
      <c r="G111" s="32">
        <v>2</v>
      </c>
      <c r="H111" s="32">
        <v>1</v>
      </c>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3" t="s">
        <v>236</v>
      </c>
      <c r="AH111" s="179" t="s">
        <v>2002</v>
      </c>
      <c r="AI111" s="179" t="s">
        <v>2002</v>
      </c>
      <c r="AJ111" s="178"/>
      <c r="AK111" s="33" t="s">
        <v>235</v>
      </c>
      <c r="AL111" s="147">
        <f t="shared" si="3"/>
        <v>2</v>
      </c>
      <c r="AM111" s="150"/>
      <c r="AN111" s="147">
        <v>0.4</v>
      </c>
      <c r="AO111" s="6" t="s">
        <v>230</v>
      </c>
      <c r="AP111" s="6" t="s">
        <v>231</v>
      </c>
      <c r="AQ111" s="6" t="s">
        <v>21</v>
      </c>
      <c r="AR111" s="6" t="s">
        <v>20</v>
      </c>
      <c r="AS111" s="6" t="s">
        <v>10</v>
      </c>
    </row>
    <row r="112" spans="1:48" s="7" customFormat="1" ht="45" customHeight="1">
      <c r="A112" s="76" t="s">
        <v>1260</v>
      </c>
      <c r="B112" s="74" t="s">
        <v>229</v>
      </c>
      <c r="C112" s="31">
        <v>4</v>
      </c>
      <c r="D112" s="31"/>
      <c r="E112" s="118">
        <f t="shared" si="2"/>
        <v>19</v>
      </c>
      <c r="F112" s="32">
        <v>4</v>
      </c>
      <c r="G112" s="32">
        <v>5</v>
      </c>
      <c r="H112" s="32">
        <v>6</v>
      </c>
      <c r="I112" s="32">
        <v>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3" t="s">
        <v>318</v>
      </c>
      <c r="AH112" s="179" t="s">
        <v>1991</v>
      </c>
      <c r="AI112" s="179" t="s">
        <v>1991</v>
      </c>
      <c r="AJ112" s="178"/>
      <c r="AK112" s="33" t="s">
        <v>233</v>
      </c>
      <c r="AL112" s="147">
        <f t="shared" si="3"/>
        <v>4</v>
      </c>
      <c r="AM112" s="150"/>
      <c r="AN112" s="147">
        <v>0.8</v>
      </c>
      <c r="AO112" s="6" t="s">
        <v>230</v>
      </c>
      <c r="AP112" s="6" t="s">
        <v>231</v>
      </c>
      <c r="AQ112" s="6" t="s">
        <v>149</v>
      </c>
      <c r="AR112" s="6" t="s">
        <v>19</v>
      </c>
      <c r="AS112" s="6" t="s">
        <v>10</v>
      </c>
    </row>
    <row r="113" spans="1:48" s="7" customFormat="1" ht="45" customHeight="1">
      <c r="A113" s="76" t="s">
        <v>1261</v>
      </c>
      <c r="B113" s="74" t="s">
        <v>229</v>
      </c>
      <c r="C113" s="31">
        <v>2</v>
      </c>
      <c r="D113" s="31"/>
      <c r="E113" s="118">
        <f t="shared" si="2"/>
        <v>6</v>
      </c>
      <c r="F113" s="32">
        <v>4</v>
      </c>
      <c r="G113" s="32">
        <v>2</v>
      </c>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3" t="s">
        <v>318</v>
      </c>
      <c r="AH113" s="179" t="s">
        <v>2000</v>
      </c>
      <c r="AI113" s="179" t="s">
        <v>2000</v>
      </c>
      <c r="AJ113" s="178"/>
      <c r="AK113" s="33" t="s">
        <v>237</v>
      </c>
      <c r="AL113" s="147">
        <f t="shared" si="3"/>
        <v>3</v>
      </c>
      <c r="AM113" s="150"/>
      <c r="AN113" s="147">
        <v>0.6</v>
      </c>
      <c r="AO113" s="6" t="s">
        <v>230</v>
      </c>
      <c r="AP113" s="6" t="s">
        <v>231</v>
      </c>
      <c r="AQ113" s="6" t="s">
        <v>20</v>
      </c>
      <c r="AR113" s="6" t="s">
        <v>18</v>
      </c>
      <c r="AS113" s="6" t="s">
        <v>10</v>
      </c>
    </row>
    <row r="114" spans="1:48" s="7" customFormat="1" ht="45" customHeight="1">
      <c r="A114" s="76" t="s">
        <v>1262</v>
      </c>
      <c r="B114" s="74" t="s">
        <v>229</v>
      </c>
      <c r="C114" s="31">
        <v>4</v>
      </c>
      <c r="D114" s="31"/>
      <c r="E114" s="118">
        <f t="shared" si="2"/>
        <v>21</v>
      </c>
      <c r="F114" s="32">
        <v>3</v>
      </c>
      <c r="G114" s="32">
        <v>9</v>
      </c>
      <c r="H114" s="32">
        <v>8</v>
      </c>
      <c r="I114" s="32">
        <v>1</v>
      </c>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3" t="s">
        <v>318</v>
      </c>
      <c r="AH114" s="179" t="s">
        <v>1968</v>
      </c>
      <c r="AI114" s="179" t="s">
        <v>1968</v>
      </c>
      <c r="AJ114" s="178"/>
      <c r="AK114" s="33" t="s">
        <v>238</v>
      </c>
      <c r="AL114" s="147">
        <f t="shared" si="3"/>
        <v>4</v>
      </c>
      <c r="AM114" s="150"/>
      <c r="AN114" s="147">
        <v>0.8</v>
      </c>
      <c r="AO114" s="6" t="s">
        <v>230</v>
      </c>
      <c r="AP114" s="6" t="s">
        <v>231</v>
      </c>
      <c r="AQ114" s="6" t="s">
        <v>149</v>
      </c>
      <c r="AR114" s="6" t="s">
        <v>18</v>
      </c>
      <c r="AS114" s="6" t="s">
        <v>10</v>
      </c>
    </row>
    <row r="115" spans="1:48" s="7" customFormat="1" ht="45" customHeight="1">
      <c r="A115" s="76" t="s">
        <v>1263</v>
      </c>
      <c r="B115" s="74" t="s">
        <v>229</v>
      </c>
      <c r="C115" s="35"/>
      <c r="D115" s="31">
        <v>3</v>
      </c>
      <c r="E115" s="118">
        <f t="shared" si="2"/>
        <v>8</v>
      </c>
      <c r="F115" s="32">
        <v>2</v>
      </c>
      <c r="G115" s="32">
        <v>4</v>
      </c>
      <c r="H115" s="32">
        <v>2</v>
      </c>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3" t="s">
        <v>318</v>
      </c>
      <c r="AH115" s="179" t="s">
        <v>2003</v>
      </c>
      <c r="AI115" s="179" t="s">
        <v>2003</v>
      </c>
      <c r="AJ115" s="178"/>
      <c r="AK115" s="33" t="s">
        <v>232</v>
      </c>
      <c r="AL115" s="147">
        <f t="shared" si="3"/>
        <v>2.5</v>
      </c>
      <c r="AM115" s="150"/>
      <c r="AN115" s="147">
        <v>0.5</v>
      </c>
      <c r="AO115" s="6" t="s">
        <v>230</v>
      </c>
      <c r="AP115" s="6" t="s">
        <v>231</v>
      </c>
      <c r="AQ115" s="6" t="s">
        <v>10</v>
      </c>
      <c r="AR115" s="6" t="s">
        <v>10</v>
      </c>
      <c r="AS115" s="6" t="s">
        <v>21</v>
      </c>
    </row>
    <row r="116" spans="1:48" ht="45" customHeight="1">
      <c r="A116" s="76" t="s">
        <v>1264</v>
      </c>
      <c r="B116" s="73" t="s">
        <v>239</v>
      </c>
      <c r="C116" s="34">
        <v>7</v>
      </c>
      <c r="D116" s="34"/>
      <c r="E116" s="118">
        <f t="shared" si="2"/>
        <v>40</v>
      </c>
      <c r="F116" s="13">
        <v>4</v>
      </c>
      <c r="G116" s="13">
        <v>5</v>
      </c>
      <c r="H116" s="13">
        <v>5</v>
      </c>
      <c r="I116" s="13">
        <v>6</v>
      </c>
      <c r="J116" s="13">
        <v>6</v>
      </c>
      <c r="K116" s="13">
        <v>7</v>
      </c>
      <c r="L116" s="13">
        <v>7</v>
      </c>
      <c r="AG116" s="5" t="s">
        <v>245</v>
      </c>
      <c r="AH116" s="179" t="s">
        <v>2004</v>
      </c>
      <c r="AI116" s="179" t="s">
        <v>2004</v>
      </c>
      <c r="AL116" s="148">
        <f t="shared" si="3"/>
        <v>5</v>
      </c>
      <c r="AN116" s="148">
        <v>1</v>
      </c>
      <c r="AO116" s="1" t="s">
        <v>240</v>
      </c>
      <c r="AP116" s="1" t="s">
        <v>241</v>
      </c>
      <c r="AQ116" s="1" t="s">
        <v>246</v>
      </c>
      <c r="AR116" s="1" t="s">
        <v>19</v>
      </c>
      <c r="AS116" s="1" t="s">
        <v>10</v>
      </c>
      <c r="AT116" s="9"/>
      <c r="AU116" s="9"/>
      <c r="AV116" s="9"/>
    </row>
    <row r="117" spans="1:48" ht="45" customHeight="1">
      <c r="A117" s="76" t="s">
        <v>1265</v>
      </c>
      <c r="B117" s="73" t="s">
        <v>239</v>
      </c>
      <c r="C117" s="29"/>
      <c r="D117" s="28">
        <v>11</v>
      </c>
      <c r="E117" s="118">
        <f t="shared" si="2"/>
        <v>26</v>
      </c>
      <c r="F117" s="21">
        <v>1</v>
      </c>
      <c r="G117" s="21">
        <v>1</v>
      </c>
      <c r="H117" s="21">
        <v>1</v>
      </c>
      <c r="I117" s="21">
        <v>2</v>
      </c>
      <c r="J117" s="21">
        <v>2</v>
      </c>
      <c r="K117" s="21">
        <v>2</v>
      </c>
      <c r="L117" s="21">
        <v>3</v>
      </c>
      <c r="M117" s="21">
        <v>3</v>
      </c>
      <c r="N117" s="21">
        <v>3</v>
      </c>
      <c r="O117" s="21">
        <v>4</v>
      </c>
      <c r="P117" s="21">
        <v>4</v>
      </c>
      <c r="Q117" s="21"/>
      <c r="R117" s="21"/>
      <c r="S117" s="21"/>
      <c r="T117" s="21"/>
      <c r="U117" s="21"/>
      <c r="V117" s="21"/>
      <c r="W117" s="21"/>
      <c r="X117" s="21"/>
      <c r="Y117" s="21"/>
      <c r="Z117" s="21"/>
      <c r="AA117" s="21"/>
      <c r="AB117" s="21"/>
      <c r="AC117" s="21"/>
      <c r="AD117" s="21"/>
      <c r="AE117" s="21"/>
      <c r="AF117" s="21"/>
      <c r="AG117" s="5" t="s">
        <v>245</v>
      </c>
      <c r="AH117" s="179" t="s">
        <v>2004</v>
      </c>
      <c r="AI117" s="179" t="s">
        <v>2004</v>
      </c>
      <c r="AL117" s="148">
        <f t="shared" si="3"/>
        <v>5</v>
      </c>
      <c r="AN117" s="148">
        <v>1</v>
      </c>
      <c r="AO117" s="1" t="s">
        <v>240</v>
      </c>
      <c r="AP117" s="1" t="s">
        <v>241</v>
      </c>
      <c r="AQ117" s="2" t="s">
        <v>247</v>
      </c>
      <c r="AR117" s="2" t="s">
        <v>20</v>
      </c>
      <c r="AS117" s="1" t="s">
        <v>10</v>
      </c>
      <c r="AT117" s="9"/>
      <c r="AU117" s="9"/>
      <c r="AV117" s="9"/>
    </row>
    <row r="118" spans="1:48" ht="45" customHeight="1">
      <c r="A118" s="76" t="s">
        <v>1266</v>
      </c>
      <c r="B118" s="73" t="s">
        <v>239</v>
      </c>
      <c r="C118" s="34">
        <v>20</v>
      </c>
      <c r="D118" s="34"/>
      <c r="E118" s="118">
        <f t="shared" si="2"/>
        <v>69</v>
      </c>
      <c r="F118" s="13">
        <v>1</v>
      </c>
      <c r="G118" s="13">
        <v>1</v>
      </c>
      <c r="H118" s="13">
        <v>1</v>
      </c>
      <c r="I118" s="13">
        <v>1</v>
      </c>
      <c r="J118" s="13">
        <v>2</v>
      </c>
      <c r="K118" s="13">
        <v>2</v>
      </c>
      <c r="L118" s="13">
        <v>3</v>
      </c>
      <c r="M118" s="13">
        <v>3</v>
      </c>
      <c r="N118" s="13">
        <v>3</v>
      </c>
      <c r="O118" s="13">
        <v>4</v>
      </c>
      <c r="P118" s="13">
        <v>4</v>
      </c>
      <c r="Q118" s="13">
        <v>4</v>
      </c>
      <c r="R118" s="13">
        <v>4</v>
      </c>
      <c r="S118" s="13">
        <v>4</v>
      </c>
      <c r="T118" s="13">
        <v>5</v>
      </c>
      <c r="U118" s="13">
        <v>5</v>
      </c>
      <c r="V118" s="13">
        <v>5</v>
      </c>
      <c r="W118" s="13">
        <v>5</v>
      </c>
      <c r="X118" s="13">
        <v>6</v>
      </c>
      <c r="Y118" s="13">
        <v>6</v>
      </c>
      <c r="AG118" s="5" t="s">
        <v>245</v>
      </c>
      <c r="AH118" s="179" t="s">
        <v>2005</v>
      </c>
      <c r="AI118" s="179" t="s">
        <v>2005</v>
      </c>
      <c r="AL118" s="148">
        <f t="shared" si="3"/>
        <v>12.5</v>
      </c>
      <c r="AN118" s="148">
        <v>2.5</v>
      </c>
      <c r="AO118" s="1" t="s">
        <v>240</v>
      </c>
      <c r="AP118" s="1" t="s">
        <v>241</v>
      </c>
      <c r="AQ118" s="1" t="s">
        <v>19</v>
      </c>
      <c r="AR118" s="1" t="s">
        <v>18</v>
      </c>
      <c r="AS118" s="1" t="s">
        <v>10</v>
      </c>
      <c r="AT118" s="9"/>
      <c r="AU118" s="9"/>
      <c r="AV118" s="9"/>
    </row>
    <row r="119" spans="1:48" s="7" customFormat="1" ht="45" customHeight="1">
      <c r="A119" s="76" t="s">
        <v>1267</v>
      </c>
      <c r="B119" s="74" t="s">
        <v>248</v>
      </c>
      <c r="C119" s="31">
        <v>12</v>
      </c>
      <c r="D119" s="31"/>
      <c r="E119" s="118">
        <f t="shared" si="2"/>
        <v>13</v>
      </c>
      <c r="F119" s="32">
        <v>1</v>
      </c>
      <c r="G119" s="32">
        <v>1</v>
      </c>
      <c r="H119" s="32">
        <v>1</v>
      </c>
      <c r="I119" s="32">
        <v>1</v>
      </c>
      <c r="J119" s="32">
        <v>1</v>
      </c>
      <c r="K119" s="32">
        <v>1</v>
      </c>
      <c r="L119" s="32">
        <v>1</v>
      </c>
      <c r="M119" s="32">
        <v>1</v>
      </c>
      <c r="N119" s="32">
        <v>1</v>
      </c>
      <c r="O119" s="32">
        <v>1</v>
      </c>
      <c r="P119" s="32">
        <v>1</v>
      </c>
      <c r="Q119" s="32">
        <v>2</v>
      </c>
      <c r="R119" s="32"/>
      <c r="S119" s="32"/>
      <c r="T119" s="32"/>
      <c r="U119" s="32"/>
      <c r="V119" s="32"/>
      <c r="W119" s="32"/>
      <c r="X119" s="32"/>
      <c r="Y119" s="32"/>
      <c r="Z119" s="32"/>
      <c r="AA119" s="32"/>
      <c r="AB119" s="32"/>
      <c r="AC119" s="32"/>
      <c r="AD119" s="32"/>
      <c r="AE119" s="32"/>
      <c r="AF119" s="32"/>
      <c r="AG119" s="33" t="s">
        <v>251</v>
      </c>
      <c r="AH119" s="179" t="s">
        <v>2006</v>
      </c>
      <c r="AI119" s="179" t="s">
        <v>2006</v>
      </c>
      <c r="AJ119" s="178"/>
      <c r="AK119" s="33" t="s">
        <v>255</v>
      </c>
      <c r="AL119" s="147">
        <f t="shared" si="3"/>
        <v>2.5</v>
      </c>
      <c r="AM119" s="150"/>
      <c r="AN119" s="147">
        <v>0.5</v>
      </c>
      <c r="AO119" s="6" t="s">
        <v>249</v>
      </c>
      <c r="AP119" s="6" t="s">
        <v>250</v>
      </c>
      <c r="AQ119" s="6" t="s">
        <v>19</v>
      </c>
      <c r="AR119" s="6" t="s">
        <v>31</v>
      </c>
      <c r="AS119" s="6" t="s">
        <v>10</v>
      </c>
    </row>
    <row r="120" spans="1:48" s="7" customFormat="1" ht="45" customHeight="1">
      <c r="A120" s="76" t="s">
        <v>1268</v>
      </c>
      <c r="B120" s="74" t="s">
        <v>248</v>
      </c>
      <c r="C120" s="31">
        <v>10</v>
      </c>
      <c r="D120" s="31"/>
      <c r="E120" s="118">
        <f t="shared" si="2"/>
        <v>10</v>
      </c>
      <c r="F120" s="32">
        <v>1</v>
      </c>
      <c r="G120" s="32">
        <v>1</v>
      </c>
      <c r="H120" s="32">
        <v>1</v>
      </c>
      <c r="I120" s="32">
        <v>1</v>
      </c>
      <c r="J120" s="32">
        <v>1</v>
      </c>
      <c r="K120" s="32">
        <v>1</v>
      </c>
      <c r="L120" s="32">
        <v>1</v>
      </c>
      <c r="M120" s="32">
        <v>1</v>
      </c>
      <c r="N120" s="32">
        <v>1</v>
      </c>
      <c r="O120" s="32">
        <v>1</v>
      </c>
      <c r="P120" s="32"/>
      <c r="Q120" s="32"/>
      <c r="R120" s="32"/>
      <c r="S120" s="32"/>
      <c r="T120" s="32"/>
      <c r="U120" s="32"/>
      <c r="V120" s="32"/>
      <c r="W120" s="32"/>
      <c r="X120" s="32"/>
      <c r="Y120" s="32"/>
      <c r="Z120" s="32"/>
      <c r="AA120" s="32"/>
      <c r="AB120" s="32"/>
      <c r="AC120" s="32"/>
      <c r="AD120" s="32"/>
      <c r="AE120" s="32"/>
      <c r="AF120" s="32"/>
      <c r="AG120" s="33" t="s">
        <v>251</v>
      </c>
      <c r="AH120" s="179" t="s">
        <v>2007</v>
      </c>
      <c r="AI120" s="179" t="s">
        <v>2007</v>
      </c>
      <c r="AJ120" s="178"/>
      <c r="AK120" s="33" t="s">
        <v>253</v>
      </c>
      <c r="AL120" s="147">
        <f t="shared" si="3"/>
        <v>3</v>
      </c>
      <c r="AM120" s="150"/>
      <c r="AN120" s="147">
        <v>0.6</v>
      </c>
      <c r="AO120" s="6" t="s">
        <v>249</v>
      </c>
      <c r="AP120" s="6" t="s">
        <v>250</v>
      </c>
      <c r="AQ120" s="6" t="s">
        <v>19</v>
      </c>
      <c r="AR120" s="6" t="s">
        <v>31</v>
      </c>
      <c r="AS120" s="6" t="s">
        <v>10</v>
      </c>
    </row>
    <row r="121" spans="1:48" s="7" customFormat="1" ht="45" customHeight="1">
      <c r="A121" s="76" t="s">
        <v>1269</v>
      </c>
      <c r="B121" s="74" t="s">
        <v>248</v>
      </c>
      <c r="C121" s="31">
        <v>10</v>
      </c>
      <c r="D121" s="31"/>
      <c r="E121" s="118">
        <f t="shared" si="2"/>
        <v>10</v>
      </c>
      <c r="F121" s="32">
        <v>1</v>
      </c>
      <c r="G121" s="32">
        <v>1</v>
      </c>
      <c r="H121" s="32">
        <v>1</v>
      </c>
      <c r="I121" s="32">
        <v>1</v>
      </c>
      <c r="J121" s="32">
        <v>1</v>
      </c>
      <c r="K121" s="32">
        <v>1</v>
      </c>
      <c r="L121" s="32">
        <v>1</v>
      </c>
      <c r="M121" s="32">
        <v>1</v>
      </c>
      <c r="N121" s="32">
        <v>1</v>
      </c>
      <c r="O121" s="32">
        <v>1</v>
      </c>
      <c r="P121" s="32"/>
      <c r="Q121" s="32"/>
      <c r="R121" s="32"/>
      <c r="S121" s="32"/>
      <c r="T121" s="32"/>
      <c r="U121" s="32"/>
      <c r="V121" s="32"/>
      <c r="W121" s="32"/>
      <c r="X121" s="32"/>
      <c r="Y121" s="32"/>
      <c r="Z121" s="32"/>
      <c r="AA121" s="32"/>
      <c r="AB121" s="32"/>
      <c r="AC121" s="32"/>
      <c r="AD121" s="32"/>
      <c r="AE121" s="32"/>
      <c r="AF121" s="32"/>
      <c r="AG121" s="33" t="s">
        <v>251</v>
      </c>
      <c r="AH121" s="179" t="s">
        <v>1999</v>
      </c>
      <c r="AI121" s="179" t="s">
        <v>1999</v>
      </c>
      <c r="AJ121" s="178"/>
      <c r="AK121" s="33" t="s">
        <v>254</v>
      </c>
      <c r="AL121" s="147">
        <f t="shared" si="3"/>
        <v>1.5</v>
      </c>
      <c r="AM121" s="150"/>
      <c r="AN121" s="147">
        <v>0.3</v>
      </c>
      <c r="AO121" s="6" t="s">
        <v>249</v>
      </c>
      <c r="AP121" s="6" t="s">
        <v>250</v>
      </c>
      <c r="AQ121" s="6" t="s">
        <v>19</v>
      </c>
      <c r="AR121" s="6" t="s">
        <v>31</v>
      </c>
      <c r="AS121" s="6" t="s">
        <v>10</v>
      </c>
    </row>
    <row r="122" spans="1:48" s="7" customFormat="1" ht="45" customHeight="1">
      <c r="A122" s="76" t="s">
        <v>1270</v>
      </c>
      <c r="B122" s="74" t="s">
        <v>248</v>
      </c>
      <c r="C122" s="37"/>
      <c r="D122" s="38">
        <v>19</v>
      </c>
      <c r="E122" s="118">
        <f t="shared" si="2"/>
        <v>42</v>
      </c>
      <c r="F122" s="24">
        <v>2</v>
      </c>
      <c r="G122" s="24">
        <v>2</v>
      </c>
      <c r="H122" s="24">
        <v>2</v>
      </c>
      <c r="I122" s="24">
        <v>2</v>
      </c>
      <c r="J122" s="24">
        <v>2</v>
      </c>
      <c r="K122" s="24">
        <v>2</v>
      </c>
      <c r="L122" s="24">
        <v>2</v>
      </c>
      <c r="M122" s="24">
        <v>2</v>
      </c>
      <c r="N122" s="24">
        <v>2</v>
      </c>
      <c r="O122" s="24">
        <v>2</v>
      </c>
      <c r="P122" s="24">
        <v>2</v>
      </c>
      <c r="Q122" s="24">
        <v>2</v>
      </c>
      <c r="R122" s="24">
        <v>2</v>
      </c>
      <c r="S122" s="24">
        <v>2</v>
      </c>
      <c r="T122" s="24">
        <v>2</v>
      </c>
      <c r="U122" s="24">
        <v>2</v>
      </c>
      <c r="V122" s="24">
        <v>3</v>
      </c>
      <c r="W122" s="24">
        <v>3</v>
      </c>
      <c r="X122" s="24">
        <v>4</v>
      </c>
      <c r="Y122" s="24"/>
      <c r="Z122" s="24"/>
      <c r="AA122" s="24"/>
      <c r="AB122" s="24"/>
      <c r="AC122" s="24"/>
      <c r="AD122" s="24"/>
      <c r="AE122" s="24"/>
      <c r="AF122" s="24"/>
      <c r="AG122" s="33" t="s">
        <v>256</v>
      </c>
      <c r="AH122" s="179" t="s">
        <v>1932</v>
      </c>
      <c r="AI122" s="179" t="s">
        <v>1932</v>
      </c>
      <c r="AJ122" s="178"/>
      <c r="AK122" s="33" t="s">
        <v>257</v>
      </c>
      <c r="AL122" s="147">
        <f t="shared" si="3"/>
        <v>2</v>
      </c>
      <c r="AM122" s="150"/>
      <c r="AN122" s="147">
        <v>0.4</v>
      </c>
      <c r="AO122" s="6" t="s">
        <v>249</v>
      </c>
      <c r="AP122" s="6" t="s">
        <v>250</v>
      </c>
      <c r="AQ122" s="8" t="s">
        <v>258</v>
      </c>
      <c r="AR122" s="8" t="s">
        <v>31</v>
      </c>
      <c r="AS122" s="6" t="s">
        <v>10</v>
      </c>
    </row>
    <row r="123" spans="1:48" ht="45" customHeight="1">
      <c r="A123" s="76" t="s">
        <v>1271</v>
      </c>
      <c r="B123" s="73" t="s">
        <v>259</v>
      </c>
      <c r="C123" s="34">
        <v>2</v>
      </c>
      <c r="D123" s="34"/>
      <c r="E123" s="118">
        <f t="shared" si="2"/>
        <v>6</v>
      </c>
      <c r="F123" s="13">
        <v>1</v>
      </c>
      <c r="G123" s="13">
        <v>5</v>
      </c>
      <c r="AG123" s="5" t="s">
        <v>262</v>
      </c>
      <c r="AH123" s="179" t="s">
        <v>2008</v>
      </c>
      <c r="AI123" s="179" t="s">
        <v>2008</v>
      </c>
      <c r="AL123" s="148">
        <f t="shared" si="3"/>
        <v>1.5</v>
      </c>
      <c r="AN123" s="148">
        <v>0.3</v>
      </c>
      <c r="AO123" s="1" t="s">
        <v>260</v>
      </c>
      <c r="AP123" s="1" t="s">
        <v>261</v>
      </c>
      <c r="AQ123" s="1" t="s">
        <v>20</v>
      </c>
      <c r="AR123" s="1" t="s">
        <v>21</v>
      </c>
      <c r="AS123" s="1" t="s">
        <v>10</v>
      </c>
      <c r="AT123" s="9"/>
      <c r="AU123" s="9"/>
      <c r="AV123" s="9"/>
    </row>
    <row r="124" spans="1:48" ht="45" customHeight="1">
      <c r="A124" s="76" t="s">
        <v>1272</v>
      </c>
      <c r="B124" s="73" t="s">
        <v>259</v>
      </c>
      <c r="C124" s="34">
        <v>10</v>
      </c>
      <c r="D124" s="34"/>
      <c r="E124" s="118">
        <f t="shared" si="2"/>
        <v>39</v>
      </c>
      <c r="F124" s="13">
        <v>1</v>
      </c>
      <c r="G124" s="13">
        <v>1</v>
      </c>
      <c r="H124" s="13">
        <v>2</v>
      </c>
      <c r="I124" s="13">
        <v>3</v>
      </c>
      <c r="J124" s="13">
        <v>3</v>
      </c>
      <c r="K124" s="13">
        <v>4</v>
      </c>
      <c r="L124" s="13">
        <v>5</v>
      </c>
      <c r="M124" s="13">
        <v>6</v>
      </c>
      <c r="N124" s="13">
        <v>6</v>
      </c>
      <c r="O124" s="13">
        <v>8</v>
      </c>
      <c r="AG124" s="5" t="s">
        <v>262</v>
      </c>
      <c r="AH124" s="179" t="s">
        <v>2009</v>
      </c>
      <c r="AI124" s="179" t="s">
        <v>2009</v>
      </c>
      <c r="AL124" s="148">
        <f t="shared" si="3"/>
        <v>6</v>
      </c>
      <c r="AN124" s="148">
        <v>1.2</v>
      </c>
      <c r="AO124" s="1" t="s">
        <v>260</v>
      </c>
      <c r="AP124" s="1" t="s">
        <v>261</v>
      </c>
      <c r="AQ124" s="1" t="s">
        <v>19</v>
      </c>
      <c r="AR124" s="1" t="s">
        <v>27</v>
      </c>
      <c r="AS124" s="1" t="s">
        <v>10</v>
      </c>
      <c r="AT124" s="9"/>
      <c r="AU124" s="9"/>
      <c r="AV124" s="9"/>
    </row>
    <row r="125" spans="1:48" ht="45" customHeight="1">
      <c r="A125" s="76" t="s">
        <v>1273</v>
      </c>
      <c r="B125" s="73" t="s">
        <v>259</v>
      </c>
      <c r="C125" s="34">
        <v>20</v>
      </c>
      <c r="D125" s="34"/>
      <c r="E125" s="118">
        <f t="shared" si="2"/>
        <v>85</v>
      </c>
      <c r="F125" s="13">
        <v>1</v>
      </c>
      <c r="G125" s="13">
        <v>1</v>
      </c>
      <c r="H125" s="13">
        <v>1</v>
      </c>
      <c r="I125" s="13">
        <v>1</v>
      </c>
      <c r="J125" s="13">
        <v>1</v>
      </c>
      <c r="K125" s="13">
        <v>2</v>
      </c>
      <c r="L125" s="13">
        <v>2</v>
      </c>
      <c r="M125" s="13">
        <v>2</v>
      </c>
      <c r="N125" s="13">
        <v>3</v>
      </c>
      <c r="O125" s="13">
        <v>3</v>
      </c>
      <c r="P125" s="13">
        <v>3</v>
      </c>
      <c r="Q125" s="13">
        <v>3</v>
      </c>
      <c r="R125" s="13">
        <v>4</v>
      </c>
      <c r="S125" s="13">
        <v>4</v>
      </c>
      <c r="T125" s="13">
        <v>4</v>
      </c>
      <c r="U125" s="13">
        <v>5</v>
      </c>
      <c r="V125" s="13">
        <v>6</v>
      </c>
      <c r="W125" s="13">
        <v>8</v>
      </c>
      <c r="X125" s="13">
        <v>15</v>
      </c>
      <c r="Y125" s="13">
        <v>16</v>
      </c>
      <c r="AG125" s="5" t="s">
        <v>262</v>
      </c>
      <c r="AH125" s="179" t="s">
        <v>2010</v>
      </c>
      <c r="AI125" s="179" t="s">
        <v>2010</v>
      </c>
      <c r="AL125" s="148">
        <f t="shared" si="3"/>
        <v>12.5</v>
      </c>
      <c r="AN125" s="148">
        <v>2.5</v>
      </c>
      <c r="AO125" s="1" t="s">
        <v>260</v>
      </c>
      <c r="AP125" s="1" t="s">
        <v>261</v>
      </c>
      <c r="AQ125" s="1" t="s">
        <v>19</v>
      </c>
      <c r="AR125" s="1" t="s">
        <v>18</v>
      </c>
      <c r="AS125" s="1" t="s">
        <v>10</v>
      </c>
      <c r="AT125" s="9"/>
      <c r="AU125" s="9"/>
      <c r="AV125" s="9"/>
    </row>
    <row r="126" spans="1:48" ht="45" customHeight="1">
      <c r="A126" s="76" t="s">
        <v>1274</v>
      </c>
      <c r="B126" s="73" t="s">
        <v>259</v>
      </c>
      <c r="C126" s="39"/>
      <c r="D126" s="40">
        <v>20</v>
      </c>
      <c r="E126" s="118">
        <f t="shared" si="2"/>
        <v>68</v>
      </c>
      <c r="F126" s="14">
        <v>1</v>
      </c>
      <c r="G126" s="14">
        <v>1</v>
      </c>
      <c r="H126" s="14">
        <v>2</v>
      </c>
      <c r="I126" s="14">
        <v>2</v>
      </c>
      <c r="J126" s="14">
        <v>2</v>
      </c>
      <c r="K126" s="14">
        <v>2</v>
      </c>
      <c r="L126" s="14">
        <v>2</v>
      </c>
      <c r="M126" s="14">
        <v>2</v>
      </c>
      <c r="N126" s="14">
        <v>3</v>
      </c>
      <c r="O126" s="14">
        <v>3</v>
      </c>
      <c r="P126" s="14">
        <v>3</v>
      </c>
      <c r="Q126" s="14">
        <v>3</v>
      </c>
      <c r="R126" s="14">
        <v>3</v>
      </c>
      <c r="S126" s="14">
        <v>4</v>
      </c>
      <c r="T126" s="14">
        <v>4</v>
      </c>
      <c r="U126" s="14">
        <v>5</v>
      </c>
      <c r="V126" s="14">
        <v>6</v>
      </c>
      <c r="W126" s="14">
        <v>6</v>
      </c>
      <c r="X126" s="14">
        <v>6</v>
      </c>
      <c r="Y126" s="14">
        <v>8</v>
      </c>
      <c r="Z126" s="14"/>
      <c r="AA126" s="14"/>
      <c r="AB126" s="14"/>
      <c r="AC126" s="14"/>
      <c r="AD126" s="14"/>
      <c r="AE126" s="14"/>
      <c r="AF126" s="14"/>
      <c r="AG126" s="5" t="s">
        <v>262</v>
      </c>
      <c r="AH126" s="179" t="s">
        <v>2011</v>
      </c>
      <c r="AI126" s="179" t="s">
        <v>2011</v>
      </c>
      <c r="AL126" s="148">
        <f t="shared" si="3"/>
        <v>12.5</v>
      </c>
      <c r="AN126" s="148">
        <v>2.5</v>
      </c>
      <c r="AO126" s="1" t="s">
        <v>260</v>
      </c>
      <c r="AP126" s="1" t="s">
        <v>261</v>
      </c>
      <c r="AQ126" s="2" t="s">
        <v>263</v>
      </c>
      <c r="AR126" s="2" t="s">
        <v>19</v>
      </c>
      <c r="AS126" s="1" t="s">
        <v>10</v>
      </c>
      <c r="AT126" s="9"/>
      <c r="AU126" s="9"/>
      <c r="AV126" s="9"/>
    </row>
    <row r="127" spans="1:48" s="7" customFormat="1" ht="45" customHeight="1">
      <c r="A127" s="76" t="s">
        <v>1275</v>
      </c>
      <c r="B127" s="74" t="s">
        <v>264</v>
      </c>
      <c r="C127" s="31">
        <v>10</v>
      </c>
      <c r="D127" s="31"/>
      <c r="E127" s="118">
        <f t="shared" si="2"/>
        <v>66</v>
      </c>
      <c r="F127" s="32">
        <v>8</v>
      </c>
      <c r="G127" s="32">
        <v>8</v>
      </c>
      <c r="H127" s="32">
        <v>5</v>
      </c>
      <c r="I127" s="32">
        <v>6</v>
      </c>
      <c r="J127" s="32">
        <v>6</v>
      </c>
      <c r="K127" s="32">
        <v>4</v>
      </c>
      <c r="L127" s="32">
        <v>7</v>
      </c>
      <c r="M127" s="32">
        <v>8</v>
      </c>
      <c r="N127" s="32">
        <v>8</v>
      </c>
      <c r="O127" s="32">
        <v>6</v>
      </c>
      <c r="P127" s="32"/>
      <c r="Q127" s="32"/>
      <c r="R127" s="32"/>
      <c r="S127" s="32"/>
      <c r="T127" s="32"/>
      <c r="U127" s="32"/>
      <c r="V127" s="32"/>
      <c r="W127" s="32"/>
      <c r="X127" s="32"/>
      <c r="Y127" s="32"/>
      <c r="Z127" s="32"/>
      <c r="AA127" s="32"/>
      <c r="AB127" s="32"/>
      <c r="AC127" s="32"/>
      <c r="AD127" s="32"/>
      <c r="AE127" s="32"/>
      <c r="AF127" s="32"/>
      <c r="AG127" s="33" t="s">
        <v>266</v>
      </c>
      <c r="AH127" s="179" t="s">
        <v>1942</v>
      </c>
      <c r="AI127" s="179" t="s">
        <v>1942</v>
      </c>
      <c r="AJ127" s="178"/>
      <c r="AK127" s="33" t="s">
        <v>267</v>
      </c>
      <c r="AL127" s="147">
        <f t="shared" si="3"/>
        <v>7.5</v>
      </c>
      <c r="AM127" s="150"/>
      <c r="AN127" s="147">
        <v>1.5</v>
      </c>
      <c r="AO127" s="6" t="s">
        <v>265</v>
      </c>
      <c r="AP127" s="6" t="s">
        <v>315</v>
      </c>
      <c r="AQ127" s="6" t="s">
        <v>19</v>
      </c>
      <c r="AR127" s="6" t="s">
        <v>19</v>
      </c>
      <c r="AS127" s="6" t="s">
        <v>10</v>
      </c>
    </row>
    <row r="128" spans="1:48" s="7" customFormat="1" ht="45" customHeight="1">
      <c r="A128" s="76" t="s">
        <v>1276</v>
      </c>
      <c r="B128" s="74" t="s">
        <v>264</v>
      </c>
      <c r="C128" s="31">
        <v>10</v>
      </c>
      <c r="D128" s="31"/>
      <c r="E128" s="118">
        <f t="shared" si="2"/>
        <v>79</v>
      </c>
      <c r="F128" s="32">
        <v>8</v>
      </c>
      <c r="G128" s="32">
        <v>2</v>
      </c>
      <c r="H128" s="32">
        <v>10</v>
      </c>
      <c r="I128" s="32">
        <v>4</v>
      </c>
      <c r="J128" s="32">
        <v>8</v>
      </c>
      <c r="K128" s="32">
        <v>9</v>
      </c>
      <c r="L128" s="32">
        <v>8</v>
      </c>
      <c r="M128" s="32">
        <v>12</v>
      </c>
      <c r="N128" s="32">
        <v>3</v>
      </c>
      <c r="O128" s="32">
        <v>15</v>
      </c>
      <c r="P128" s="32"/>
      <c r="Q128" s="32"/>
      <c r="R128" s="32"/>
      <c r="S128" s="32"/>
      <c r="T128" s="32"/>
      <c r="U128" s="32"/>
      <c r="V128" s="32"/>
      <c r="W128" s="32"/>
      <c r="X128" s="32"/>
      <c r="Y128" s="32"/>
      <c r="Z128" s="32"/>
      <c r="AA128" s="32"/>
      <c r="AB128" s="32"/>
      <c r="AC128" s="32"/>
      <c r="AD128" s="32"/>
      <c r="AE128" s="32"/>
      <c r="AF128" s="32"/>
      <c r="AG128" s="33" t="s">
        <v>8</v>
      </c>
      <c r="AH128" s="179" t="s">
        <v>1976</v>
      </c>
      <c r="AI128" s="179" t="s">
        <v>1976</v>
      </c>
      <c r="AJ128" s="178"/>
      <c r="AK128" s="33" t="s">
        <v>268</v>
      </c>
      <c r="AL128" s="147">
        <f t="shared" si="3"/>
        <v>10</v>
      </c>
      <c r="AM128" s="150"/>
      <c r="AN128" s="147">
        <v>2</v>
      </c>
      <c r="AO128" s="6" t="s">
        <v>265</v>
      </c>
      <c r="AP128" s="6" t="s">
        <v>315</v>
      </c>
      <c r="AQ128" s="6" t="s">
        <v>19</v>
      </c>
      <c r="AR128" s="6" t="s">
        <v>19</v>
      </c>
      <c r="AS128" s="6" t="s">
        <v>10</v>
      </c>
    </row>
    <row r="129" spans="1:48" s="7" customFormat="1" ht="45" customHeight="1">
      <c r="A129" s="76" t="s">
        <v>1277</v>
      </c>
      <c r="B129" s="74" t="s">
        <v>264</v>
      </c>
      <c r="C129" s="31">
        <v>10</v>
      </c>
      <c r="D129" s="31"/>
      <c r="E129" s="118">
        <f t="shared" si="2"/>
        <v>77</v>
      </c>
      <c r="F129" s="32">
        <v>5</v>
      </c>
      <c r="G129" s="32">
        <v>7</v>
      </c>
      <c r="H129" s="32">
        <v>8</v>
      </c>
      <c r="I129" s="32">
        <v>8</v>
      </c>
      <c r="J129" s="32">
        <v>9</v>
      </c>
      <c r="K129" s="32">
        <v>9</v>
      </c>
      <c r="L129" s="32">
        <v>7</v>
      </c>
      <c r="M129" s="32">
        <v>8</v>
      </c>
      <c r="N129" s="32">
        <v>8</v>
      </c>
      <c r="O129" s="32">
        <v>8</v>
      </c>
      <c r="P129" s="32"/>
      <c r="Q129" s="32"/>
      <c r="R129" s="32"/>
      <c r="S129" s="32"/>
      <c r="T129" s="32"/>
      <c r="U129" s="32"/>
      <c r="V129" s="32"/>
      <c r="W129" s="32"/>
      <c r="X129" s="32"/>
      <c r="Y129" s="32"/>
      <c r="Z129" s="32"/>
      <c r="AA129" s="32"/>
      <c r="AB129" s="32"/>
      <c r="AC129" s="32"/>
      <c r="AD129" s="32"/>
      <c r="AE129" s="32"/>
      <c r="AF129" s="32"/>
      <c r="AG129" s="33" t="s">
        <v>8</v>
      </c>
      <c r="AH129" s="179" t="s">
        <v>1935</v>
      </c>
      <c r="AI129" s="179" t="s">
        <v>1935</v>
      </c>
      <c r="AJ129" s="178"/>
      <c r="AK129" s="33" t="s">
        <v>269</v>
      </c>
      <c r="AL129" s="147">
        <f t="shared" si="3"/>
        <v>10</v>
      </c>
      <c r="AM129" s="150"/>
      <c r="AN129" s="147">
        <v>2</v>
      </c>
      <c r="AO129" s="6" t="s">
        <v>265</v>
      </c>
      <c r="AP129" s="6" t="s">
        <v>315</v>
      </c>
      <c r="AQ129" s="6" t="s">
        <v>19</v>
      </c>
      <c r="AR129" s="6" t="s">
        <v>19</v>
      </c>
      <c r="AS129" s="6" t="s">
        <v>10</v>
      </c>
    </row>
    <row r="130" spans="1:48" s="7" customFormat="1" ht="45" customHeight="1">
      <c r="A130" s="76" t="s">
        <v>1278</v>
      </c>
      <c r="B130" s="74" t="s">
        <v>264</v>
      </c>
      <c r="C130" s="31">
        <v>10</v>
      </c>
      <c r="D130" s="31"/>
      <c r="E130" s="118">
        <f t="shared" si="2"/>
        <v>84</v>
      </c>
      <c r="F130" s="32">
        <v>6</v>
      </c>
      <c r="G130" s="32">
        <v>5</v>
      </c>
      <c r="H130" s="32">
        <v>5</v>
      </c>
      <c r="I130" s="32">
        <v>10</v>
      </c>
      <c r="J130" s="32">
        <v>9</v>
      </c>
      <c r="K130" s="32">
        <v>7</v>
      </c>
      <c r="L130" s="32">
        <v>8</v>
      </c>
      <c r="M130" s="32">
        <v>12</v>
      </c>
      <c r="N130" s="32">
        <v>10</v>
      </c>
      <c r="O130" s="32">
        <v>12</v>
      </c>
      <c r="P130" s="32"/>
      <c r="Q130" s="32"/>
      <c r="R130" s="32"/>
      <c r="S130" s="32"/>
      <c r="T130" s="32"/>
      <c r="U130" s="32"/>
      <c r="V130" s="32"/>
      <c r="W130" s="32"/>
      <c r="X130" s="32"/>
      <c r="Y130" s="32"/>
      <c r="Z130" s="32"/>
      <c r="AA130" s="32"/>
      <c r="AB130" s="32"/>
      <c r="AC130" s="32"/>
      <c r="AD130" s="32"/>
      <c r="AE130" s="32"/>
      <c r="AF130" s="32"/>
      <c r="AG130" s="33" t="s">
        <v>8</v>
      </c>
      <c r="AH130" s="179" t="s">
        <v>1936</v>
      </c>
      <c r="AI130" s="179" t="s">
        <v>1936</v>
      </c>
      <c r="AJ130" s="178"/>
      <c r="AK130" s="33" t="s">
        <v>270</v>
      </c>
      <c r="AL130" s="147">
        <f t="shared" si="3"/>
        <v>15</v>
      </c>
      <c r="AM130" s="150"/>
      <c r="AN130" s="147">
        <v>3</v>
      </c>
      <c r="AO130" s="6" t="s">
        <v>265</v>
      </c>
      <c r="AP130" s="6" t="s">
        <v>315</v>
      </c>
      <c r="AQ130" s="6" t="s">
        <v>19</v>
      </c>
      <c r="AR130" s="6" t="s">
        <v>19</v>
      </c>
      <c r="AS130" s="6" t="s">
        <v>10</v>
      </c>
    </row>
    <row r="131" spans="1:48" s="7" customFormat="1" ht="45" customHeight="1">
      <c r="A131" s="76" t="s">
        <v>1279</v>
      </c>
      <c r="B131" s="74" t="s">
        <v>264</v>
      </c>
      <c r="C131" s="35"/>
      <c r="D131" s="31">
        <v>4</v>
      </c>
      <c r="E131" s="118">
        <f t="shared" ref="E131:E155" si="4">SUM(F131:AF131)</f>
        <v>20</v>
      </c>
      <c r="F131" s="32">
        <v>6</v>
      </c>
      <c r="G131" s="32">
        <v>7</v>
      </c>
      <c r="H131" s="32">
        <v>4</v>
      </c>
      <c r="I131" s="32">
        <v>3</v>
      </c>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3"/>
      <c r="AH131" s="179"/>
      <c r="AI131" s="179"/>
      <c r="AJ131" s="178"/>
      <c r="AK131" s="33"/>
      <c r="AL131" s="147">
        <f t="shared" ref="AL131:AL155" si="5">5*AN131</f>
        <v>2.5</v>
      </c>
      <c r="AM131" s="150"/>
      <c r="AN131" s="147">
        <v>0.5</v>
      </c>
      <c r="AO131" s="6" t="s">
        <v>265</v>
      </c>
      <c r="AP131" s="6" t="s">
        <v>315</v>
      </c>
      <c r="AQ131" s="6" t="s">
        <v>10</v>
      </c>
      <c r="AR131" s="6" t="s">
        <v>10</v>
      </c>
      <c r="AS131" s="6" t="s">
        <v>149</v>
      </c>
    </row>
    <row r="132" spans="1:48" ht="45" customHeight="1">
      <c r="A132" s="76" t="s">
        <v>1280</v>
      </c>
      <c r="B132" s="73" t="s">
        <v>271</v>
      </c>
      <c r="C132" s="34">
        <v>27</v>
      </c>
      <c r="D132" s="34"/>
      <c r="E132" s="118">
        <f t="shared" si="4"/>
        <v>82</v>
      </c>
      <c r="F132" s="13">
        <v>3</v>
      </c>
      <c r="G132" s="13">
        <v>4</v>
      </c>
      <c r="H132" s="13">
        <v>3</v>
      </c>
      <c r="I132" s="13">
        <v>2</v>
      </c>
      <c r="J132" s="13">
        <v>2</v>
      </c>
      <c r="K132" s="13">
        <v>5</v>
      </c>
      <c r="L132" s="13">
        <v>6</v>
      </c>
      <c r="M132" s="13">
        <v>3</v>
      </c>
      <c r="N132" s="13">
        <v>2</v>
      </c>
      <c r="O132" s="13">
        <v>3</v>
      </c>
      <c r="P132" s="13">
        <v>3</v>
      </c>
      <c r="Q132" s="13">
        <v>5</v>
      </c>
      <c r="R132" s="13">
        <v>2</v>
      </c>
      <c r="S132" s="13">
        <v>2</v>
      </c>
      <c r="T132" s="13">
        <v>2</v>
      </c>
      <c r="U132" s="13">
        <v>4</v>
      </c>
      <c r="V132" s="13">
        <v>3</v>
      </c>
      <c r="W132" s="13">
        <v>2</v>
      </c>
      <c r="X132" s="13">
        <v>4</v>
      </c>
      <c r="Y132" s="13">
        <v>2</v>
      </c>
      <c r="Z132" s="13">
        <v>1</v>
      </c>
      <c r="AA132" s="13">
        <v>2</v>
      </c>
      <c r="AB132" s="13">
        <v>5</v>
      </c>
      <c r="AC132" s="13">
        <v>1</v>
      </c>
      <c r="AD132" s="13">
        <v>4</v>
      </c>
      <c r="AE132" s="13">
        <v>2</v>
      </c>
      <c r="AF132" s="13">
        <v>5</v>
      </c>
      <c r="AG132" s="5" t="s">
        <v>274</v>
      </c>
      <c r="AH132" s="179" t="s">
        <v>2012</v>
      </c>
      <c r="AI132" s="179" t="s">
        <v>2012</v>
      </c>
      <c r="AL132" s="148">
        <f t="shared" si="5"/>
        <v>15</v>
      </c>
      <c r="AN132" s="148">
        <v>3</v>
      </c>
      <c r="AO132" s="1" t="s">
        <v>272</v>
      </c>
      <c r="AP132" s="1" t="s">
        <v>273</v>
      </c>
      <c r="AQ132" s="1" t="s">
        <v>19</v>
      </c>
      <c r="AR132" s="1" t="s">
        <v>31</v>
      </c>
      <c r="AS132" s="1" t="s">
        <v>10</v>
      </c>
      <c r="AT132" s="9"/>
      <c r="AU132" s="9"/>
      <c r="AV132" s="9"/>
    </row>
    <row r="133" spans="1:48" ht="45" customHeight="1">
      <c r="A133" s="76" t="s">
        <v>1281</v>
      </c>
      <c r="B133" s="73" t="s">
        <v>271</v>
      </c>
      <c r="C133" s="29"/>
      <c r="D133" s="28">
        <v>11</v>
      </c>
      <c r="E133" s="118">
        <f t="shared" si="4"/>
        <v>26</v>
      </c>
      <c r="F133" s="21">
        <v>1</v>
      </c>
      <c r="G133" s="21">
        <v>2</v>
      </c>
      <c r="H133" s="21">
        <v>7</v>
      </c>
      <c r="I133" s="21">
        <v>1</v>
      </c>
      <c r="J133" s="21">
        <v>2</v>
      </c>
      <c r="K133" s="21">
        <v>2</v>
      </c>
      <c r="L133" s="21">
        <v>2</v>
      </c>
      <c r="M133" s="21">
        <v>2</v>
      </c>
      <c r="N133" s="21">
        <v>2</v>
      </c>
      <c r="O133" s="21">
        <v>2</v>
      </c>
      <c r="P133" s="21">
        <v>3</v>
      </c>
      <c r="Q133" s="21"/>
      <c r="R133" s="21"/>
      <c r="S133" s="21"/>
      <c r="T133" s="21"/>
      <c r="U133" s="21"/>
      <c r="V133" s="21"/>
      <c r="W133" s="21"/>
      <c r="X133" s="21"/>
      <c r="Y133" s="21"/>
      <c r="Z133" s="21"/>
      <c r="AA133" s="21"/>
      <c r="AB133" s="21"/>
      <c r="AC133" s="21"/>
      <c r="AD133" s="21"/>
      <c r="AE133" s="21"/>
      <c r="AF133" s="21"/>
      <c r="AG133" s="5" t="s">
        <v>274</v>
      </c>
      <c r="AH133" s="179" t="s">
        <v>2012</v>
      </c>
      <c r="AI133" s="179" t="s">
        <v>2012</v>
      </c>
      <c r="AL133" s="148">
        <f t="shared" si="5"/>
        <v>4</v>
      </c>
      <c r="AN133" s="148">
        <v>0.8</v>
      </c>
      <c r="AO133" s="1" t="s">
        <v>272</v>
      </c>
      <c r="AP133" s="1" t="s">
        <v>273</v>
      </c>
      <c r="AQ133" s="2" t="s">
        <v>258</v>
      </c>
      <c r="AR133" s="2" t="s">
        <v>20</v>
      </c>
      <c r="AS133" s="1" t="s">
        <v>10</v>
      </c>
      <c r="AT133" s="9"/>
      <c r="AU133" s="9"/>
      <c r="AV133" s="9"/>
    </row>
    <row r="134" spans="1:48" s="7" customFormat="1" ht="45" customHeight="1">
      <c r="A134" s="76" t="s">
        <v>1282</v>
      </c>
      <c r="B134" s="74" t="s">
        <v>275</v>
      </c>
      <c r="C134" s="31">
        <v>10</v>
      </c>
      <c r="D134" s="31"/>
      <c r="E134" s="118">
        <f t="shared" si="4"/>
        <v>235</v>
      </c>
      <c r="F134" s="141">
        <v>39</v>
      </c>
      <c r="G134" s="137">
        <v>17</v>
      </c>
      <c r="H134" s="138">
        <v>29</v>
      </c>
      <c r="I134" s="138">
        <v>19</v>
      </c>
      <c r="J134" s="139">
        <v>19</v>
      </c>
      <c r="K134" s="141">
        <v>9</v>
      </c>
      <c r="L134" s="139">
        <v>27</v>
      </c>
      <c r="M134" s="140">
        <v>24</v>
      </c>
      <c r="N134" s="140">
        <v>21</v>
      </c>
      <c r="O134" s="137">
        <v>31</v>
      </c>
      <c r="P134" s="32"/>
      <c r="Q134" s="32"/>
      <c r="R134" s="32"/>
      <c r="S134" s="32"/>
      <c r="T134" s="32"/>
      <c r="U134" s="32"/>
      <c r="V134" s="32"/>
      <c r="W134" s="32"/>
      <c r="X134" s="32"/>
      <c r="Y134" s="32"/>
      <c r="Z134" s="32"/>
      <c r="AA134" s="32"/>
      <c r="AB134" s="32"/>
      <c r="AC134" s="32"/>
      <c r="AD134" s="32"/>
      <c r="AE134" s="32"/>
      <c r="AF134" s="32"/>
      <c r="AG134" s="33" t="s">
        <v>57</v>
      </c>
      <c r="AH134" s="179" t="s">
        <v>1995</v>
      </c>
      <c r="AI134" s="179" t="s">
        <v>1995</v>
      </c>
      <c r="AJ134" s="178"/>
      <c r="AK134" s="33" t="s">
        <v>278</v>
      </c>
      <c r="AL134" s="150">
        <f t="shared" si="5"/>
        <v>52.5</v>
      </c>
      <c r="AM134" s="147" t="s">
        <v>1852</v>
      </c>
      <c r="AN134" s="150">
        <f>2*4+2.5</f>
        <v>10.5</v>
      </c>
      <c r="AO134" s="6" t="s">
        <v>276</v>
      </c>
      <c r="AP134" s="6" t="s">
        <v>277</v>
      </c>
      <c r="AQ134" s="6" t="s">
        <v>19</v>
      </c>
      <c r="AR134" s="6" t="s">
        <v>38</v>
      </c>
      <c r="AS134" s="6" t="s">
        <v>10</v>
      </c>
    </row>
    <row r="135" spans="1:48" s="7" customFormat="1" ht="45" customHeight="1">
      <c r="A135" s="76" t="s">
        <v>1283</v>
      </c>
      <c r="B135" s="74" t="s">
        <v>275</v>
      </c>
      <c r="C135" s="31">
        <v>10</v>
      </c>
      <c r="D135" s="31"/>
      <c r="E135" s="118">
        <f t="shared" si="4"/>
        <v>244</v>
      </c>
      <c r="F135" s="141">
        <v>21</v>
      </c>
      <c r="G135" s="137">
        <v>33</v>
      </c>
      <c r="H135" s="138">
        <v>21</v>
      </c>
      <c r="I135" s="139">
        <v>21</v>
      </c>
      <c r="J135" s="140">
        <v>10</v>
      </c>
      <c r="K135" s="139">
        <v>22</v>
      </c>
      <c r="L135" s="137">
        <v>18</v>
      </c>
      <c r="M135" s="141">
        <v>33</v>
      </c>
      <c r="N135" s="138">
        <v>28</v>
      </c>
      <c r="O135" s="140">
        <v>37</v>
      </c>
      <c r="P135" s="32"/>
      <c r="Q135" s="32"/>
      <c r="R135" s="32"/>
      <c r="S135" s="32"/>
      <c r="T135" s="32"/>
      <c r="U135" s="32"/>
      <c r="V135" s="32"/>
      <c r="W135" s="32"/>
      <c r="X135" s="32"/>
      <c r="Y135" s="32"/>
      <c r="Z135" s="32"/>
      <c r="AA135" s="32"/>
      <c r="AB135" s="32"/>
      <c r="AC135" s="32"/>
      <c r="AD135" s="32"/>
      <c r="AE135" s="32"/>
      <c r="AF135" s="32"/>
      <c r="AG135" s="33" t="s">
        <v>57</v>
      </c>
      <c r="AH135" s="179" t="s">
        <v>2013</v>
      </c>
      <c r="AI135" s="179" t="s">
        <v>2013</v>
      </c>
      <c r="AJ135" s="178"/>
      <c r="AK135" s="33" t="s">
        <v>279</v>
      </c>
      <c r="AL135" s="150">
        <f t="shared" si="5"/>
        <v>43.000000000000007</v>
      </c>
      <c r="AM135" s="147" t="s">
        <v>1853</v>
      </c>
      <c r="AN135" s="150">
        <f>1.8*3+1.6*2</f>
        <v>8.6000000000000014</v>
      </c>
      <c r="AO135" s="6" t="s">
        <v>276</v>
      </c>
      <c r="AP135" s="6" t="s">
        <v>277</v>
      </c>
      <c r="AQ135" s="6" t="s">
        <v>19</v>
      </c>
      <c r="AR135" s="6" t="s">
        <v>38</v>
      </c>
      <c r="AS135" s="6" t="s">
        <v>10</v>
      </c>
    </row>
    <row r="136" spans="1:48" s="7" customFormat="1" ht="45" customHeight="1">
      <c r="A136" s="76" t="s">
        <v>1284</v>
      </c>
      <c r="B136" s="74" t="s">
        <v>275</v>
      </c>
      <c r="C136" s="31">
        <v>10</v>
      </c>
      <c r="D136" s="31"/>
      <c r="E136" s="118">
        <f t="shared" si="4"/>
        <v>196</v>
      </c>
      <c r="F136" s="141">
        <v>14</v>
      </c>
      <c r="G136" s="137">
        <v>29</v>
      </c>
      <c r="H136" s="138">
        <v>19</v>
      </c>
      <c r="I136" s="138">
        <v>22</v>
      </c>
      <c r="J136" s="139">
        <v>14</v>
      </c>
      <c r="K136" s="137">
        <v>12</v>
      </c>
      <c r="L136" s="139">
        <v>22</v>
      </c>
      <c r="M136" s="140">
        <v>20</v>
      </c>
      <c r="N136" s="141">
        <v>25</v>
      </c>
      <c r="O136" s="140">
        <v>19</v>
      </c>
      <c r="P136" s="32"/>
      <c r="Q136" s="32"/>
      <c r="R136" s="32"/>
      <c r="S136" s="32"/>
      <c r="T136" s="32"/>
      <c r="U136" s="32"/>
      <c r="V136" s="32"/>
      <c r="W136" s="32"/>
      <c r="X136" s="32"/>
      <c r="Y136" s="32"/>
      <c r="Z136" s="32"/>
      <c r="AA136" s="32"/>
      <c r="AB136" s="32"/>
      <c r="AC136" s="32"/>
      <c r="AD136" s="32"/>
      <c r="AE136" s="32"/>
      <c r="AF136" s="32"/>
      <c r="AG136" s="33" t="s">
        <v>57</v>
      </c>
      <c r="AH136" s="179" t="s">
        <v>1983</v>
      </c>
      <c r="AI136" s="179" t="s">
        <v>1983</v>
      </c>
      <c r="AJ136" s="178"/>
      <c r="AK136" s="33" t="s">
        <v>280</v>
      </c>
      <c r="AL136" s="150">
        <f t="shared" si="5"/>
        <v>50</v>
      </c>
      <c r="AM136" s="147" t="s">
        <v>1854</v>
      </c>
      <c r="AN136" s="150">
        <f>2+2.5+1.5+2+2</f>
        <v>10</v>
      </c>
      <c r="AO136" s="6" t="s">
        <v>276</v>
      </c>
      <c r="AP136" s="6" t="s">
        <v>277</v>
      </c>
      <c r="AQ136" s="6" t="s">
        <v>19</v>
      </c>
      <c r="AR136" s="6" t="s">
        <v>38</v>
      </c>
      <c r="AS136" s="6" t="s">
        <v>10</v>
      </c>
    </row>
    <row r="137" spans="1:48" s="7" customFormat="1" ht="45" customHeight="1">
      <c r="A137" s="76" t="s">
        <v>1285</v>
      </c>
      <c r="B137" s="74" t="s">
        <v>275</v>
      </c>
      <c r="C137" s="31">
        <v>10</v>
      </c>
      <c r="D137" s="31"/>
      <c r="E137" s="118">
        <f t="shared" si="4"/>
        <v>236</v>
      </c>
      <c r="F137" s="141">
        <v>27</v>
      </c>
      <c r="G137" s="137">
        <v>19</v>
      </c>
      <c r="H137" s="141">
        <v>20</v>
      </c>
      <c r="I137" s="138">
        <v>21</v>
      </c>
      <c r="J137" s="138">
        <v>26</v>
      </c>
      <c r="K137" s="139">
        <v>24</v>
      </c>
      <c r="L137" s="139">
        <v>23</v>
      </c>
      <c r="M137" s="140">
        <v>26</v>
      </c>
      <c r="N137" s="137">
        <v>28</v>
      </c>
      <c r="O137" s="140">
        <v>22</v>
      </c>
      <c r="P137" s="32"/>
      <c r="Q137" s="32"/>
      <c r="R137" s="32"/>
      <c r="S137" s="32"/>
      <c r="T137" s="32"/>
      <c r="U137" s="32"/>
      <c r="V137" s="32"/>
      <c r="W137" s="32"/>
      <c r="X137" s="32"/>
      <c r="Y137" s="32"/>
      <c r="Z137" s="32"/>
      <c r="AA137" s="32"/>
      <c r="AB137" s="32"/>
      <c r="AC137" s="32"/>
      <c r="AD137" s="32"/>
      <c r="AE137" s="32"/>
      <c r="AF137" s="32"/>
      <c r="AG137" s="33" t="s">
        <v>57</v>
      </c>
      <c r="AH137" s="179" t="s">
        <v>1984</v>
      </c>
      <c r="AI137" s="179" t="s">
        <v>1984</v>
      </c>
      <c r="AJ137" s="178"/>
      <c r="AK137" s="33" t="s">
        <v>281</v>
      </c>
      <c r="AL137" s="147">
        <f t="shared" si="5"/>
        <v>50</v>
      </c>
      <c r="AM137" s="147" t="s">
        <v>1841</v>
      </c>
      <c r="AN137" s="147">
        <f>2*5</f>
        <v>10</v>
      </c>
      <c r="AO137" s="6" t="s">
        <v>276</v>
      </c>
      <c r="AP137" s="6" t="s">
        <v>277</v>
      </c>
      <c r="AQ137" s="6" t="s">
        <v>19</v>
      </c>
      <c r="AR137" s="6" t="s">
        <v>38</v>
      </c>
      <c r="AS137" s="6" t="s">
        <v>10</v>
      </c>
    </row>
    <row r="138" spans="1:48" ht="45" customHeight="1">
      <c r="A138" s="76" t="s">
        <v>1286</v>
      </c>
      <c r="B138" s="73" t="s">
        <v>282</v>
      </c>
      <c r="C138" s="34">
        <v>4</v>
      </c>
      <c r="D138" s="34"/>
      <c r="E138" s="118">
        <f t="shared" si="4"/>
        <v>14</v>
      </c>
      <c r="F138" s="13">
        <v>4</v>
      </c>
      <c r="G138" s="13">
        <v>2</v>
      </c>
      <c r="H138" s="13">
        <v>5</v>
      </c>
      <c r="I138" s="13">
        <v>3</v>
      </c>
      <c r="AG138" s="5" t="s">
        <v>285</v>
      </c>
      <c r="AH138" s="179" t="s">
        <v>1950</v>
      </c>
      <c r="AI138" s="179" t="s">
        <v>1950</v>
      </c>
      <c r="AK138" s="5" t="s">
        <v>287</v>
      </c>
      <c r="AL138" s="148">
        <f t="shared" si="5"/>
        <v>2.5</v>
      </c>
      <c r="AN138" s="148">
        <v>0.5</v>
      </c>
      <c r="AO138" s="1" t="s">
        <v>283</v>
      </c>
      <c r="AP138" s="1" t="s">
        <v>284</v>
      </c>
      <c r="AQ138" s="1" t="s">
        <v>18</v>
      </c>
      <c r="AR138" s="1" t="s">
        <v>18</v>
      </c>
      <c r="AS138" s="1" t="s">
        <v>10</v>
      </c>
      <c r="AT138" s="9"/>
      <c r="AU138" s="9"/>
      <c r="AV138" s="9"/>
    </row>
    <row r="139" spans="1:48" ht="45" customHeight="1">
      <c r="A139" s="76" t="s">
        <v>1287</v>
      </c>
      <c r="B139" s="73" t="s">
        <v>282</v>
      </c>
      <c r="C139" s="34">
        <v>3</v>
      </c>
      <c r="D139" s="34"/>
      <c r="E139" s="118">
        <f t="shared" si="4"/>
        <v>11</v>
      </c>
      <c r="F139" s="13">
        <v>4</v>
      </c>
      <c r="G139" s="13">
        <v>4</v>
      </c>
      <c r="H139" s="13">
        <v>3</v>
      </c>
      <c r="AG139" s="5" t="s">
        <v>285</v>
      </c>
      <c r="AH139" s="179" t="s">
        <v>2014</v>
      </c>
      <c r="AI139" s="179" t="s">
        <v>2014</v>
      </c>
      <c r="AK139" s="5" t="s">
        <v>288</v>
      </c>
      <c r="AL139" s="148">
        <f t="shared" si="5"/>
        <v>2</v>
      </c>
      <c r="AN139" s="148">
        <v>0.4</v>
      </c>
      <c r="AO139" s="1" t="s">
        <v>283</v>
      </c>
      <c r="AP139" s="1" t="s">
        <v>284</v>
      </c>
      <c r="AQ139" s="1" t="s">
        <v>21</v>
      </c>
      <c r="AR139" s="1" t="s">
        <v>18</v>
      </c>
      <c r="AS139" s="1" t="s">
        <v>10</v>
      </c>
      <c r="AT139" s="9"/>
      <c r="AU139" s="9"/>
      <c r="AV139" s="9"/>
    </row>
    <row r="140" spans="1:48" ht="45" customHeight="1">
      <c r="A140" s="76" t="s">
        <v>1288</v>
      </c>
      <c r="B140" s="73" t="s">
        <v>282</v>
      </c>
      <c r="C140" s="34">
        <v>6</v>
      </c>
      <c r="D140" s="34"/>
      <c r="E140" s="118">
        <f t="shared" si="4"/>
        <v>21</v>
      </c>
      <c r="F140" s="13">
        <v>2</v>
      </c>
      <c r="G140" s="13">
        <v>4</v>
      </c>
      <c r="H140" s="13">
        <v>1</v>
      </c>
      <c r="I140" s="13">
        <v>4</v>
      </c>
      <c r="J140" s="13">
        <v>6</v>
      </c>
      <c r="K140" s="13">
        <v>4</v>
      </c>
      <c r="AG140" s="5" t="s">
        <v>290</v>
      </c>
      <c r="AH140" s="179" t="s">
        <v>1991</v>
      </c>
      <c r="AI140" s="179" t="s">
        <v>1991</v>
      </c>
      <c r="AK140" s="5" t="s">
        <v>289</v>
      </c>
      <c r="AL140" s="148">
        <f t="shared" si="5"/>
        <v>4</v>
      </c>
      <c r="AN140" s="148">
        <v>0.8</v>
      </c>
      <c r="AO140" s="1" t="s">
        <v>283</v>
      </c>
      <c r="AP140" s="1" t="s">
        <v>284</v>
      </c>
      <c r="AQ140" s="1" t="s">
        <v>225</v>
      </c>
      <c r="AR140" s="1" t="s">
        <v>18</v>
      </c>
      <c r="AS140" s="1" t="s">
        <v>10</v>
      </c>
      <c r="AT140" s="9"/>
      <c r="AU140" s="9"/>
      <c r="AV140" s="9"/>
    </row>
    <row r="141" spans="1:48" ht="45" customHeight="1">
      <c r="A141" s="76" t="s">
        <v>1289</v>
      </c>
      <c r="B141" s="73" t="s">
        <v>282</v>
      </c>
      <c r="C141" s="34">
        <v>5</v>
      </c>
      <c r="D141" s="34"/>
      <c r="E141" s="118">
        <f t="shared" si="4"/>
        <v>18</v>
      </c>
      <c r="F141" s="13">
        <v>2</v>
      </c>
      <c r="G141" s="13">
        <v>4</v>
      </c>
      <c r="H141" s="13">
        <v>3</v>
      </c>
      <c r="I141" s="13">
        <v>3</v>
      </c>
      <c r="J141" s="13">
        <v>6</v>
      </c>
      <c r="AG141" s="5" t="s">
        <v>285</v>
      </c>
      <c r="AH141" s="179" t="s">
        <v>2000</v>
      </c>
      <c r="AI141" s="179" t="s">
        <v>2000</v>
      </c>
      <c r="AK141" s="5" t="s">
        <v>291</v>
      </c>
      <c r="AL141" s="148">
        <f t="shared" si="5"/>
        <v>5</v>
      </c>
      <c r="AN141" s="148">
        <v>1</v>
      </c>
      <c r="AO141" s="1" t="s">
        <v>283</v>
      </c>
      <c r="AP141" s="1" t="s">
        <v>284</v>
      </c>
      <c r="AQ141" s="1" t="s">
        <v>18</v>
      </c>
      <c r="AR141" s="1" t="s">
        <v>18</v>
      </c>
      <c r="AS141" s="1" t="s">
        <v>10</v>
      </c>
      <c r="AT141" s="9"/>
      <c r="AU141" s="9"/>
      <c r="AV141" s="9"/>
    </row>
    <row r="142" spans="1:48" s="7" customFormat="1" ht="45" customHeight="1">
      <c r="A142" s="76" t="s">
        <v>1290</v>
      </c>
      <c r="B142" s="74" t="s">
        <v>292</v>
      </c>
      <c r="C142" s="31">
        <v>10</v>
      </c>
      <c r="D142" s="31"/>
      <c r="E142" s="118">
        <f t="shared" si="4"/>
        <v>43</v>
      </c>
      <c r="F142" s="31">
        <v>3</v>
      </c>
      <c r="G142" s="32">
        <v>3</v>
      </c>
      <c r="H142" s="32">
        <v>3</v>
      </c>
      <c r="I142" s="32">
        <v>3</v>
      </c>
      <c r="J142" s="32">
        <v>4</v>
      </c>
      <c r="K142" s="32">
        <v>4</v>
      </c>
      <c r="L142" s="32">
        <v>4</v>
      </c>
      <c r="M142" s="32">
        <v>6</v>
      </c>
      <c r="N142" s="32">
        <v>6</v>
      </c>
      <c r="O142" s="32">
        <v>7</v>
      </c>
      <c r="P142" s="31"/>
      <c r="Q142" s="32"/>
      <c r="R142" s="32"/>
      <c r="S142" s="32"/>
      <c r="T142" s="32"/>
      <c r="U142" s="32"/>
      <c r="V142" s="32"/>
      <c r="W142" s="32"/>
      <c r="X142" s="32"/>
      <c r="Y142" s="32"/>
      <c r="Z142" s="31"/>
      <c r="AA142" s="32"/>
      <c r="AB142" s="32"/>
      <c r="AC142" s="32"/>
      <c r="AD142" s="32"/>
      <c r="AE142" s="32"/>
      <c r="AF142" s="32"/>
      <c r="AG142" s="33" t="s">
        <v>80</v>
      </c>
      <c r="AH142" s="179" t="s">
        <v>1958</v>
      </c>
      <c r="AI142" s="179" t="s">
        <v>1958</v>
      </c>
      <c r="AJ142" s="178"/>
      <c r="AK142" s="33" t="s">
        <v>296</v>
      </c>
      <c r="AL142" s="147">
        <f t="shared" si="5"/>
        <v>10</v>
      </c>
      <c r="AM142" s="150"/>
      <c r="AN142" s="147">
        <v>2</v>
      </c>
      <c r="AO142" s="6" t="s">
        <v>293</v>
      </c>
      <c r="AP142" s="6" t="s">
        <v>294</v>
      </c>
      <c r="AQ142" s="6" t="s">
        <v>19</v>
      </c>
      <c r="AR142" s="6" t="s">
        <v>27</v>
      </c>
      <c r="AS142" s="6" t="s">
        <v>10</v>
      </c>
    </row>
    <row r="143" spans="1:48" s="7" customFormat="1" ht="45" customHeight="1">
      <c r="A143" s="76" t="s">
        <v>1291</v>
      </c>
      <c r="B143" s="74" t="s">
        <v>292</v>
      </c>
      <c r="C143" s="31">
        <v>10</v>
      </c>
      <c r="D143" s="31"/>
      <c r="E143" s="118">
        <f t="shared" si="4"/>
        <v>38</v>
      </c>
      <c r="F143" s="32">
        <v>3</v>
      </c>
      <c r="G143" s="32">
        <v>3</v>
      </c>
      <c r="H143" s="32">
        <v>3</v>
      </c>
      <c r="I143" s="32">
        <v>4</v>
      </c>
      <c r="J143" s="32">
        <v>4</v>
      </c>
      <c r="K143" s="32">
        <v>4</v>
      </c>
      <c r="L143" s="32">
        <v>4</v>
      </c>
      <c r="M143" s="32">
        <v>4</v>
      </c>
      <c r="N143" s="32">
        <v>4</v>
      </c>
      <c r="O143" s="32">
        <v>5</v>
      </c>
      <c r="P143" s="32"/>
      <c r="Q143" s="32"/>
      <c r="R143" s="32"/>
      <c r="S143" s="32"/>
      <c r="T143" s="32"/>
      <c r="U143" s="32"/>
      <c r="V143" s="32"/>
      <c r="W143" s="32"/>
      <c r="X143" s="32"/>
      <c r="Y143" s="32"/>
      <c r="Z143" s="32"/>
      <c r="AA143" s="32"/>
      <c r="AB143" s="32"/>
      <c r="AC143" s="32"/>
      <c r="AD143" s="32"/>
      <c r="AE143" s="32"/>
      <c r="AF143" s="32"/>
      <c r="AG143" s="33" t="s">
        <v>80</v>
      </c>
      <c r="AH143" s="179" t="s">
        <v>1959</v>
      </c>
      <c r="AI143" s="179" t="s">
        <v>1959</v>
      </c>
      <c r="AJ143" s="178"/>
      <c r="AK143" s="33" t="s">
        <v>297</v>
      </c>
      <c r="AL143" s="147">
        <f t="shared" si="5"/>
        <v>7.5</v>
      </c>
      <c r="AM143" s="150"/>
      <c r="AN143" s="147">
        <v>1.5</v>
      </c>
      <c r="AO143" s="6" t="s">
        <v>293</v>
      </c>
      <c r="AP143" s="6" t="s">
        <v>294</v>
      </c>
      <c r="AQ143" s="6" t="s">
        <v>19</v>
      </c>
      <c r="AR143" s="6" t="s">
        <v>18</v>
      </c>
      <c r="AS143" s="6" t="s">
        <v>10</v>
      </c>
    </row>
    <row r="144" spans="1:48" s="7" customFormat="1" ht="45" customHeight="1">
      <c r="A144" s="76" t="s">
        <v>1292</v>
      </c>
      <c r="B144" s="74" t="s">
        <v>292</v>
      </c>
      <c r="C144" s="31">
        <v>10</v>
      </c>
      <c r="D144" s="31"/>
      <c r="E144" s="118">
        <f t="shared" si="4"/>
        <v>47</v>
      </c>
      <c r="F144" s="32">
        <v>3</v>
      </c>
      <c r="G144" s="32">
        <v>4</v>
      </c>
      <c r="H144" s="32">
        <v>4</v>
      </c>
      <c r="I144" s="32">
        <v>4</v>
      </c>
      <c r="J144" s="32">
        <v>4</v>
      </c>
      <c r="K144" s="32">
        <v>4</v>
      </c>
      <c r="L144" s="32">
        <v>5</v>
      </c>
      <c r="M144" s="32">
        <v>6</v>
      </c>
      <c r="N144" s="32">
        <v>6</v>
      </c>
      <c r="O144" s="32">
        <v>7</v>
      </c>
      <c r="P144" s="32"/>
      <c r="Q144" s="32"/>
      <c r="R144" s="32"/>
      <c r="S144" s="32"/>
      <c r="T144" s="32"/>
      <c r="U144" s="32"/>
      <c r="V144" s="32"/>
      <c r="W144" s="32"/>
      <c r="X144" s="32"/>
      <c r="Y144" s="32"/>
      <c r="Z144" s="32"/>
      <c r="AA144" s="32"/>
      <c r="AB144" s="32"/>
      <c r="AC144" s="32"/>
      <c r="AD144" s="32"/>
      <c r="AE144" s="32"/>
      <c r="AF144" s="32"/>
      <c r="AG144" s="33" t="s">
        <v>80</v>
      </c>
      <c r="AH144" s="179" t="s">
        <v>1960</v>
      </c>
      <c r="AI144" s="179" t="s">
        <v>1960</v>
      </c>
      <c r="AJ144" s="178"/>
      <c r="AK144" s="33" t="s">
        <v>298</v>
      </c>
      <c r="AL144" s="147">
        <f t="shared" si="5"/>
        <v>7.5</v>
      </c>
      <c r="AM144" s="150"/>
      <c r="AN144" s="147">
        <v>1.5</v>
      </c>
      <c r="AO144" s="6" t="s">
        <v>293</v>
      </c>
      <c r="AP144" s="6" t="s">
        <v>294</v>
      </c>
      <c r="AQ144" s="6" t="s">
        <v>19</v>
      </c>
      <c r="AR144" s="6" t="s">
        <v>18</v>
      </c>
      <c r="AS144" s="6" t="s">
        <v>10</v>
      </c>
    </row>
    <row r="145" spans="1:48" s="7" customFormat="1" ht="45" customHeight="1">
      <c r="A145" s="76" t="s">
        <v>1293</v>
      </c>
      <c r="B145" s="74" t="s">
        <v>292</v>
      </c>
      <c r="C145" s="31">
        <v>7</v>
      </c>
      <c r="D145" s="31"/>
      <c r="E145" s="118">
        <f t="shared" si="4"/>
        <v>27</v>
      </c>
      <c r="F145" s="32">
        <v>3</v>
      </c>
      <c r="G145" s="32">
        <v>3</v>
      </c>
      <c r="H145" s="32">
        <v>3</v>
      </c>
      <c r="I145" s="32">
        <v>4</v>
      </c>
      <c r="J145" s="32">
        <v>4</v>
      </c>
      <c r="K145" s="32">
        <v>4</v>
      </c>
      <c r="L145" s="32">
        <v>6</v>
      </c>
      <c r="M145" s="32"/>
      <c r="N145" s="32"/>
      <c r="O145" s="32"/>
      <c r="P145" s="32"/>
      <c r="Q145" s="32"/>
      <c r="R145" s="32"/>
      <c r="S145" s="32"/>
      <c r="T145" s="32"/>
      <c r="U145" s="32"/>
      <c r="V145" s="32"/>
      <c r="W145" s="32"/>
      <c r="X145" s="32"/>
      <c r="Y145" s="32"/>
      <c r="Z145" s="32"/>
      <c r="AA145" s="32"/>
      <c r="AB145" s="32"/>
      <c r="AC145" s="32"/>
      <c r="AD145" s="32"/>
      <c r="AE145" s="32"/>
      <c r="AF145" s="32"/>
      <c r="AG145" s="33" t="s">
        <v>80</v>
      </c>
      <c r="AH145" s="179" t="s">
        <v>1961</v>
      </c>
      <c r="AI145" s="179" t="s">
        <v>1961</v>
      </c>
      <c r="AJ145" s="178"/>
      <c r="AK145" s="33" t="s">
        <v>299</v>
      </c>
      <c r="AL145" s="147">
        <f t="shared" si="5"/>
        <v>6</v>
      </c>
      <c r="AM145" s="150"/>
      <c r="AN145" s="147">
        <v>1.2</v>
      </c>
      <c r="AO145" s="6" t="s">
        <v>293</v>
      </c>
      <c r="AP145" s="6" t="s">
        <v>294</v>
      </c>
      <c r="AQ145" s="6" t="s">
        <v>19</v>
      </c>
      <c r="AR145" s="6" t="s">
        <v>18</v>
      </c>
      <c r="AS145" s="6" t="s">
        <v>10</v>
      </c>
    </row>
    <row r="146" spans="1:48" s="7" customFormat="1" ht="45" customHeight="1">
      <c r="A146" s="76" t="s">
        <v>1294</v>
      </c>
      <c r="B146" s="74" t="s">
        <v>292</v>
      </c>
      <c r="C146" s="35"/>
      <c r="D146" s="31">
        <v>16</v>
      </c>
      <c r="E146" s="118">
        <f t="shared" si="4"/>
        <v>43</v>
      </c>
      <c r="F146" s="32">
        <v>1</v>
      </c>
      <c r="G146" s="32">
        <v>1</v>
      </c>
      <c r="H146" s="32">
        <v>1</v>
      </c>
      <c r="I146" s="32">
        <v>1</v>
      </c>
      <c r="J146" s="32">
        <v>2</v>
      </c>
      <c r="K146" s="32">
        <v>2</v>
      </c>
      <c r="L146" s="32">
        <v>2</v>
      </c>
      <c r="M146" s="32">
        <v>2</v>
      </c>
      <c r="N146" s="32">
        <v>3</v>
      </c>
      <c r="O146" s="32">
        <v>3</v>
      </c>
      <c r="P146" s="32">
        <v>4</v>
      </c>
      <c r="Q146" s="32">
        <v>4</v>
      </c>
      <c r="R146" s="32">
        <v>4</v>
      </c>
      <c r="S146" s="32">
        <v>4</v>
      </c>
      <c r="T146" s="32">
        <v>4</v>
      </c>
      <c r="U146" s="32">
        <v>5</v>
      </c>
      <c r="V146" s="32"/>
      <c r="W146" s="32"/>
      <c r="X146" s="32"/>
      <c r="Y146" s="32"/>
      <c r="Z146" s="32"/>
      <c r="AA146" s="32"/>
      <c r="AB146" s="32"/>
      <c r="AC146" s="32"/>
      <c r="AD146" s="32"/>
      <c r="AE146" s="32"/>
      <c r="AF146" s="32"/>
      <c r="AG146" s="33" t="s">
        <v>80</v>
      </c>
      <c r="AH146" s="179" t="s">
        <v>1962</v>
      </c>
      <c r="AI146" s="179" t="s">
        <v>1962</v>
      </c>
      <c r="AJ146" s="178"/>
      <c r="AK146" s="33" t="s">
        <v>295</v>
      </c>
      <c r="AL146" s="147">
        <f t="shared" si="5"/>
        <v>10</v>
      </c>
      <c r="AM146" s="150"/>
      <c r="AN146" s="147">
        <v>2</v>
      </c>
      <c r="AO146" s="6" t="s">
        <v>293</v>
      </c>
      <c r="AP146" s="6" t="s">
        <v>294</v>
      </c>
      <c r="AQ146" s="6" t="s">
        <v>10</v>
      </c>
      <c r="AR146" s="6" t="s">
        <v>10</v>
      </c>
      <c r="AS146" s="6" t="s">
        <v>90</v>
      </c>
    </row>
    <row r="147" spans="1:48" ht="45" customHeight="1">
      <c r="A147" s="76" t="s">
        <v>1295</v>
      </c>
      <c r="B147" s="73" t="s">
        <v>871</v>
      </c>
      <c r="C147" s="34">
        <v>10</v>
      </c>
      <c r="D147" s="34"/>
      <c r="E147" s="118">
        <f t="shared" si="4"/>
        <v>75</v>
      </c>
      <c r="F147" s="13">
        <v>4</v>
      </c>
      <c r="G147" s="13">
        <v>7</v>
      </c>
      <c r="H147" s="13">
        <v>2</v>
      </c>
      <c r="I147" s="13">
        <v>7</v>
      </c>
      <c r="J147" s="13">
        <v>6</v>
      </c>
      <c r="K147" s="13">
        <v>5</v>
      </c>
      <c r="L147" s="13">
        <v>6</v>
      </c>
      <c r="M147" s="13">
        <v>4</v>
      </c>
      <c r="N147" s="13">
        <v>14</v>
      </c>
      <c r="O147" s="13">
        <v>20</v>
      </c>
      <c r="AG147" s="5" t="s">
        <v>131</v>
      </c>
      <c r="AH147" s="179" t="s">
        <v>1942</v>
      </c>
      <c r="AI147" s="179" t="s">
        <v>1942</v>
      </c>
      <c r="AK147" s="5" t="s">
        <v>301</v>
      </c>
      <c r="AL147" s="148">
        <f t="shared" si="5"/>
        <v>10</v>
      </c>
      <c r="AN147" s="148">
        <v>2</v>
      </c>
      <c r="AO147" s="1" t="s">
        <v>872</v>
      </c>
      <c r="AP147" s="1" t="s">
        <v>300</v>
      </c>
      <c r="AQ147" s="1" t="s">
        <v>19</v>
      </c>
      <c r="AR147" s="1" t="s">
        <v>18</v>
      </c>
      <c r="AS147" s="1" t="s">
        <v>10</v>
      </c>
      <c r="AT147" s="9"/>
      <c r="AU147" s="9"/>
      <c r="AV147" s="9"/>
    </row>
    <row r="148" spans="1:48" ht="45" customHeight="1">
      <c r="A148" s="76" t="s">
        <v>1296</v>
      </c>
      <c r="B148" s="73" t="s">
        <v>871</v>
      </c>
      <c r="C148" s="34">
        <v>10</v>
      </c>
      <c r="D148" s="34"/>
      <c r="E148" s="118">
        <f t="shared" si="4"/>
        <v>59</v>
      </c>
      <c r="F148" s="13">
        <v>3</v>
      </c>
      <c r="G148" s="13">
        <v>4</v>
      </c>
      <c r="H148" s="13">
        <v>4</v>
      </c>
      <c r="I148" s="13">
        <v>5</v>
      </c>
      <c r="J148" s="13">
        <v>8</v>
      </c>
      <c r="K148" s="13">
        <v>7</v>
      </c>
      <c r="L148" s="13">
        <v>7</v>
      </c>
      <c r="M148" s="13">
        <v>7</v>
      </c>
      <c r="N148" s="13">
        <v>7</v>
      </c>
      <c r="O148" s="13">
        <v>7</v>
      </c>
      <c r="AG148" s="5" t="s">
        <v>131</v>
      </c>
      <c r="AH148" s="179" t="s">
        <v>1976</v>
      </c>
      <c r="AI148" s="179" t="s">
        <v>1976</v>
      </c>
      <c r="AK148" s="5" t="s">
        <v>302</v>
      </c>
      <c r="AL148" s="148">
        <f t="shared" si="5"/>
        <v>12.5</v>
      </c>
      <c r="AN148" s="148">
        <v>2.5</v>
      </c>
      <c r="AO148" s="1" t="s">
        <v>872</v>
      </c>
      <c r="AP148" s="1" t="s">
        <v>300</v>
      </c>
      <c r="AQ148" s="1" t="s">
        <v>19</v>
      </c>
      <c r="AR148" s="1" t="s">
        <v>27</v>
      </c>
      <c r="AS148" s="1" t="s">
        <v>10</v>
      </c>
      <c r="AT148" s="9"/>
      <c r="AU148" s="9"/>
      <c r="AV148" s="9"/>
    </row>
    <row r="149" spans="1:48" ht="45" customHeight="1">
      <c r="A149" s="76" t="s">
        <v>1297</v>
      </c>
      <c r="B149" s="73" t="s">
        <v>871</v>
      </c>
      <c r="C149" s="34">
        <v>10</v>
      </c>
      <c r="D149" s="34"/>
      <c r="E149" s="118">
        <f t="shared" si="4"/>
        <v>71</v>
      </c>
      <c r="F149" s="13">
        <v>4</v>
      </c>
      <c r="G149" s="13">
        <v>4</v>
      </c>
      <c r="H149" s="13">
        <v>2</v>
      </c>
      <c r="I149" s="13">
        <v>3</v>
      </c>
      <c r="J149" s="13">
        <v>6</v>
      </c>
      <c r="K149" s="13">
        <v>4</v>
      </c>
      <c r="L149" s="13">
        <v>4</v>
      </c>
      <c r="M149" s="13">
        <v>8</v>
      </c>
      <c r="N149" s="13">
        <v>6</v>
      </c>
      <c r="O149" s="13">
        <v>30</v>
      </c>
      <c r="AG149" s="5" t="s">
        <v>131</v>
      </c>
      <c r="AH149" s="179" t="s">
        <v>1935</v>
      </c>
      <c r="AI149" s="179" t="s">
        <v>1935</v>
      </c>
      <c r="AK149" s="5" t="s">
        <v>303</v>
      </c>
      <c r="AL149" s="148">
        <f t="shared" si="5"/>
        <v>10</v>
      </c>
      <c r="AN149" s="148">
        <v>2</v>
      </c>
      <c r="AO149" s="1" t="s">
        <v>872</v>
      </c>
      <c r="AP149" s="1" t="s">
        <v>300</v>
      </c>
      <c r="AQ149" s="1" t="s">
        <v>19</v>
      </c>
      <c r="AR149" s="1" t="s">
        <v>27</v>
      </c>
      <c r="AS149" s="1" t="s">
        <v>10</v>
      </c>
      <c r="AT149" s="9"/>
      <c r="AU149" s="9"/>
      <c r="AV149" s="9"/>
    </row>
    <row r="150" spans="1:48" ht="45" customHeight="1">
      <c r="A150" s="76" t="s">
        <v>1298</v>
      </c>
      <c r="B150" s="73" t="s">
        <v>871</v>
      </c>
      <c r="C150" s="34">
        <v>10</v>
      </c>
      <c r="D150" s="34"/>
      <c r="E150" s="118">
        <f t="shared" si="4"/>
        <v>77</v>
      </c>
      <c r="F150" s="13">
        <v>4</v>
      </c>
      <c r="G150" s="13">
        <v>4</v>
      </c>
      <c r="H150" s="13">
        <v>5</v>
      </c>
      <c r="I150" s="13">
        <v>5</v>
      </c>
      <c r="J150" s="13">
        <v>5</v>
      </c>
      <c r="K150" s="13">
        <v>6</v>
      </c>
      <c r="L150" s="13">
        <v>6</v>
      </c>
      <c r="M150" s="13">
        <v>6</v>
      </c>
      <c r="N150" s="13">
        <v>8</v>
      </c>
      <c r="O150" s="13">
        <v>28</v>
      </c>
      <c r="AG150" s="5" t="s">
        <v>131</v>
      </c>
      <c r="AH150" s="179" t="s">
        <v>1936</v>
      </c>
      <c r="AI150" s="179" t="s">
        <v>1936</v>
      </c>
      <c r="AK150" s="5" t="s">
        <v>304</v>
      </c>
      <c r="AL150" s="148">
        <f t="shared" si="5"/>
        <v>12.5</v>
      </c>
      <c r="AN150" s="148">
        <v>2.5</v>
      </c>
      <c r="AO150" s="1" t="s">
        <v>872</v>
      </c>
      <c r="AP150" s="1" t="s">
        <v>300</v>
      </c>
      <c r="AQ150" s="1" t="s">
        <v>19</v>
      </c>
      <c r="AR150" s="1" t="s">
        <v>19</v>
      </c>
      <c r="AS150" s="1" t="s">
        <v>10</v>
      </c>
      <c r="AT150" s="9"/>
      <c r="AU150" s="9"/>
      <c r="AV150" s="9"/>
    </row>
    <row r="151" spans="1:48" s="7" customFormat="1" ht="45" customHeight="1">
      <c r="A151" s="76" t="s">
        <v>1299</v>
      </c>
      <c r="B151" s="74" t="s">
        <v>305</v>
      </c>
      <c r="C151" s="31">
        <v>9</v>
      </c>
      <c r="D151" s="31"/>
      <c r="E151" s="118">
        <f t="shared" si="4"/>
        <v>216</v>
      </c>
      <c r="F151" s="141">
        <v>26</v>
      </c>
      <c r="G151" s="137">
        <v>10</v>
      </c>
      <c r="H151" s="138">
        <v>14</v>
      </c>
      <c r="I151" s="141">
        <v>26</v>
      </c>
      <c r="J151" s="139">
        <v>27</v>
      </c>
      <c r="K151" s="137">
        <v>32</v>
      </c>
      <c r="L151" s="139">
        <v>16</v>
      </c>
      <c r="M151" s="138">
        <v>29</v>
      </c>
      <c r="N151" s="140">
        <v>36</v>
      </c>
      <c r="O151" s="32"/>
      <c r="P151" s="32"/>
      <c r="Q151" s="32"/>
      <c r="R151" s="32"/>
      <c r="S151" s="32"/>
      <c r="T151" s="32"/>
      <c r="U151" s="32"/>
      <c r="V151" s="32"/>
      <c r="W151" s="32"/>
      <c r="X151" s="32"/>
      <c r="Y151" s="32"/>
      <c r="Z151" s="32"/>
      <c r="AA151" s="32"/>
      <c r="AB151" s="32"/>
      <c r="AC151" s="32"/>
      <c r="AD151" s="32"/>
      <c r="AE151" s="32"/>
      <c r="AF151" s="32"/>
      <c r="AG151" s="33" t="s">
        <v>57</v>
      </c>
      <c r="AH151" s="179" t="s">
        <v>1946</v>
      </c>
      <c r="AI151" s="179" t="s">
        <v>1946</v>
      </c>
      <c r="AJ151" s="178"/>
      <c r="AK151" s="33" t="s">
        <v>310</v>
      </c>
      <c r="AL151" s="150">
        <f t="shared" si="5"/>
        <v>37.5</v>
      </c>
      <c r="AM151" s="147" t="s">
        <v>1855</v>
      </c>
      <c r="AN151" s="150">
        <f>2+1.5+2+1.1+0.9</f>
        <v>7.5</v>
      </c>
      <c r="AO151" s="6" t="s">
        <v>306</v>
      </c>
      <c r="AP151" s="6" t="s">
        <v>307</v>
      </c>
      <c r="AQ151" s="6" t="s">
        <v>19</v>
      </c>
      <c r="AR151" s="6" t="s">
        <v>90</v>
      </c>
      <c r="AS151" s="6" t="s">
        <v>10</v>
      </c>
    </row>
    <row r="152" spans="1:48" s="7" customFormat="1" ht="45" customHeight="1">
      <c r="A152" s="76" t="s">
        <v>1300</v>
      </c>
      <c r="B152" s="74" t="s">
        <v>305</v>
      </c>
      <c r="C152" s="31">
        <v>9</v>
      </c>
      <c r="D152" s="31"/>
      <c r="E152" s="118">
        <f t="shared" si="4"/>
        <v>253</v>
      </c>
      <c r="F152" s="141">
        <v>21</v>
      </c>
      <c r="G152" s="137">
        <v>37</v>
      </c>
      <c r="H152" s="141">
        <v>34</v>
      </c>
      <c r="I152" s="138">
        <v>27</v>
      </c>
      <c r="J152" s="139">
        <v>18</v>
      </c>
      <c r="K152" s="140">
        <v>25</v>
      </c>
      <c r="L152" s="139">
        <v>35</v>
      </c>
      <c r="M152" s="138">
        <v>26</v>
      </c>
      <c r="N152" s="140">
        <v>30</v>
      </c>
      <c r="O152" s="32"/>
      <c r="P152" s="32"/>
      <c r="Q152" s="32"/>
      <c r="R152" s="32"/>
      <c r="S152" s="32"/>
      <c r="T152" s="32"/>
      <c r="U152" s="32"/>
      <c r="V152" s="32"/>
      <c r="W152" s="32"/>
      <c r="X152" s="32"/>
      <c r="Y152" s="32"/>
      <c r="Z152" s="32"/>
      <c r="AA152" s="32"/>
      <c r="AB152" s="32"/>
      <c r="AC152" s="32"/>
      <c r="AD152" s="32"/>
      <c r="AE152" s="32"/>
      <c r="AF152" s="32"/>
      <c r="AG152" s="33" t="s">
        <v>57</v>
      </c>
      <c r="AH152" s="179" t="s">
        <v>1982</v>
      </c>
      <c r="AI152" s="179" t="s">
        <v>1982</v>
      </c>
      <c r="AJ152" s="178"/>
      <c r="AK152" s="33" t="s">
        <v>311</v>
      </c>
      <c r="AL152" s="150">
        <f t="shared" si="5"/>
        <v>50</v>
      </c>
      <c r="AM152" s="147" t="s">
        <v>1856</v>
      </c>
      <c r="AN152" s="150">
        <f>2+1.5+2.5+2+2</f>
        <v>10</v>
      </c>
      <c r="AO152" s="6" t="s">
        <v>306</v>
      </c>
      <c r="AP152" s="6" t="s">
        <v>307</v>
      </c>
      <c r="AQ152" s="6" t="s">
        <v>19</v>
      </c>
      <c r="AR152" s="6" t="s">
        <v>38</v>
      </c>
      <c r="AS152" s="6" t="s">
        <v>10</v>
      </c>
    </row>
    <row r="153" spans="1:48" s="7" customFormat="1" ht="45" customHeight="1">
      <c r="A153" s="76" t="s">
        <v>1301</v>
      </c>
      <c r="B153" s="74" t="s">
        <v>305</v>
      </c>
      <c r="C153" s="31">
        <v>10</v>
      </c>
      <c r="D153" s="31"/>
      <c r="E153" s="118">
        <f t="shared" si="4"/>
        <v>205</v>
      </c>
      <c r="F153" s="141">
        <v>14</v>
      </c>
      <c r="G153" s="137">
        <v>16</v>
      </c>
      <c r="H153" s="138">
        <v>21</v>
      </c>
      <c r="I153" s="139">
        <v>22</v>
      </c>
      <c r="J153" s="139">
        <v>18</v>
      </c>
      <c r="K153" s="141">
        <v>27</v>
      </c>
      <c r="L153" s="138">
        <v>19</v>
      </c>
      <c r="M153" s="137">
        <v>26</v>
      </c>
      <c r="N153" s="140">
        <v>21</v>
      </c>
      <c r="O153" s="140">
        <v>21</v>
      </c>
      <c r="P153" s="32"/>
      <c r="Q153" s="32"/>
      <c r="R153" s="32"/>
      <c r="S153" s="32"/>
      <c r="T153" s="32"/>
      <c r="U153" s="32"/>
      <c r="V153" s="32"/>
      <c r="W153" s="32"/>
      <c r="X153" s="32"/>
      <c r="Y153" s="32"/>
      <c r="Z153" s="32"/>
      <c r="AA153" s="32"/>
      <c r="AB153" s="32"/>
      <c r="AC153" s="32"/>
      <c r="AD153" s="32"/>
      <c r="AE153" s="32"/>
      <c r="AF153" s="32"/>
      <c r="AG153" s="33" t="s">
        <v>57</v>
      </c>
      <c r="AH153" s="179" t="s">
        <v>1983</v>
      </c>
      <c r="AI153" s="179" t="s">
        <v>1983</v>
      </c>
      <c r="AJ153" s="178"/>
      <c r="AK153" s="33" t="s">
        <v>312</v>
      </c>
      <c r="AL153" s="150">
        <f t="shared" si="5"/>
        <v>57.5</v>
      </c>
      <c r="AM153" s="147" t="s">
        <v>1857</v>
      </c>
      <c r="AN153" s="150">
        <f>2.5+2+2.5+2+2.5</f>
        <v>11.5</v>
      </c>
      <c r="AO153" s="6" t="s">
        <v>306</v>
      </c>
      <c r="AP153" s="6" t="s">
        <v>307</v>
      </c>
      <c r="AQ153" s="6" t="s">
        <v>19</v>
      </c>
      <c r="AR153" s="6" t="s">
        <v>38</v>
      </c>
      <c r="AS153" s="6" t="s">
        <v>10</v>
      </c>
    </row>
    <row r="154" spans="1:48" s="7" customFormat="1" ht="45" customHeight="1">
      <c r="A154" s="76" t="s">
        <v>1302</v>
      </c>
      <c r="B154" s="74" t="s">
        <v>305</v>
      </c>
      <c r="C154" s="31">
        <v>10</v>
      </c>
      <c r="D154" s="31"/>
      <c r="E154" s="118">
        <f t="shared" si="4"/>
        <v>201</v>
      </c>
      <c r="F154" s="141">
        <v>15</v>
      </c>
      <c r="G154" s="141">
        <v>23</v>
      </c>
      <c r="H154" s="137">
        <v>23</v>
      </c>
      <c r="I154" s="138">
        <v>14</v>
      </c>
      <c r="J154" s="139">
        <v>22</v>
      </c>
      <c r="K154" s="138">
        <v>26</v>
      </c>
      <c r="L154" s="139">
        <v>21</v>
      </c>
      <c r="M154" s="140">
        <v>28</v>
      </c>
      <c r="N154" s="140">
        <v>10</v>
      </c>
      <c r="O154" s="137">
        <v>19</v>
      </c>
      <c r="P154" s="32"/>
      <c r="Q154" s="32"/>
      <c r="R154" s="32"/>
      <c r="S154" s="32"/>
      <c r="T154" s="32"/>
      <c r="U154" s="32"/>
      <c r="V154" s="32"/>
      <c r="W154" s="32"/>
      <c r="X154" s="32"/>
      <c r="Y154" s="32"/>
      <c r="Z154" s="32"/>
      <c r="AA154" s="32"/>
      <c r="AB154" s="32"/>
      <c r="AC154" s="32"/>
      <c r="AD154" s="32"/>
      <c r="AE154" s="32"/>
      <c r="AF154" s="32"/>
      <c r="AG154" s="33" t="s">
        <v>57</v>
      </c>
      <c r="AH154" s="179" t="s">
        <v>1984</v>
      </c>
      <c r="AI154" s="179" t="s">
        <v>1984</v>
      </c>
      <c r="AJ154" s="178"/>
      <c r="AK154" s="33" t="s">
        <v>313</v>
      </c>
      <c r="AL154" s="150">
        <f t="shared" si="5"/>
        <v>52.5</v>
      </c>
      <c r="AM154" s="147" t="s">
        <v>1859</v>
      </c>
      <c r="AN154" s="150">
        <f>2+2+2+2.5+2</f>
        <v>10.5</v>
      </c>
      <c r="AO154" s="6" t="s">
        <v>306</v>
      </c>
      <c r="AP154" s="6" t="s">
        <v>307</v>
      </c>
      <c r="AQ154" s="6" t="s">
        <v>19</v>
      </c>
      <c r="AR154" s="6" t="s">
        <v>38</v>
      </c>
      <c r="AS154" s="6" t="s">
        <v>10</v>
      </c>
    </row>
    <row r="155" spans="1:48" s="7" customFormat="1" ht="45" customHeight="1">
      <c r="A155" s="76" t="s">
        <v>1303</v>
      </c>
      <c r="B155" s="74" t="s">
        <v>305</v>
      </c>
      <c r="C155" s="35"/>
      <c r="D155" s="31">
        <v>1</v>
      </c>
      <c r="E155" s="118">
        <f t="shared" si="4"/>
        <v>2</v>
      </c>
      <c r="F155" s="32">
        <v>2</v>
      </c>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3" t="s">
        <v>308</v>
      </c>
      <c r="AH155" s="179" t="s">
        <v>1972</v>
      </c>
      <c r="AI155" s="179" t="s">
        <v>1972</v>
      </c>
      <c r="AJ155" s="178"/>
      <c r="AK155" s="33" t="s">
        <v>309</v>
      </c>
      <c r="AL155" s="147">
        <f t="shared" si="5"/>
        <v>0.25</v>
      </c>
      <c r="AM155" s="147" t="s">
        <v>1858</v>
      </c>
      <c r="AN155" s="147">
        <v>0.05</v>
      </c>
      <c r="AO155" s="6" t="s">
        <v>306</v>
      </c>
      <c r="AP155" s="6" t="s">
        <v>307</v>
      </c>
      <c r="AQ155" s="6" t="s">
        <v>10</v>
      </c>
      <c r="AR155" s="6" t="s">
        <v>10</v>
      </c>
      <c r="AS155" s="6" t="s">
        <v>31</v>
      </c>
    </row>
    <row r="156" spans="1:48" ht="32" customHeight="1">
      <c r="E156" s="119" t="s">
        <v>1789</v>
      </c>
    </row>
    <row r="157" spans="1:48" ht="32" customHeight="1">
      <c r="E157" s="119" t="s">
        <v>1796</v>
      </c>
    </row>
    <row r="158" spans="1:48" ht="32" customHeight="1">
      <c r="E158" s="119" t="s">
        <v>1797</v>
      </c>
    </row>
  </sheetData>
  <phoneticPr fontId="2" type="noConversion"/>
  <printOptions horizontalCentered="1"/>
  <pageMargins left="0" right="0" top="0.39000000000000007" bottom="0.39000000000000007" header="0" footer="0"/>
  <pageSetup paperSize="9" scale="50" fitToHeight="9" orientation="landscape" horizontalDpi="200" verticalDpi="200" r:id="rId1"/>
  <headerFooter>
    <oddFooter>&amp;R&amp;"宋体,常规"&amp;K000000双柏县 &amp;N/&amp;N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127"/>
  <sheetViews>
    <sheetView zoomScale="85" zoomScaleNormal="85" zoomScaleSheetLayoutView="100" zoomScalePageLayoutView="85" workbookViewId="0">
      <pane xSplit="1" ySplit="1" topLeftCell="B119" activePane="bottomRight" state="frozen"/>
      <selection pane="topRight" activeCell="B1" sqref="B1"/>
      <selection pane="bottomLeft" activeCell="A2" sqref="A2"/>
      <selection pane="bottomRight" activeCell="B123" sqref="B123"/>
    </sheetView>
  </sheetViews>
  <sheetFormatPr baseColWidth="10" defaultColWidth="13.6640625" defaultRowHeight="25" customHeight="1"/>
  <cols>
    <col min="1" max="1" width="9.6640625" style="78" customWidth="1"/>
    <col min="2" max="2" width="9.1640625" style="78" customWidth="1"/>
    <col min="3" max="4" width="5.1640625" style="22" bestFit="1" customWidth="1"/>
    <col min="5" max="5" width="5.6640625" style="116" customWidth="1"/>
    <col min="6" max="14" width="4.6640625" style="22" customWidth="1"/>
    <col min="15" max="24" width="5.6640625" style="22" customWidth="1"/>
    <col min="25" max="25" width="6.1640625" style="22" bestFit="1" customWidth="1"/>
    <col min="26" max="32" width="6.1640625" style="22" customWidth="1"/>
    <col min="33" max="33" width="12.5" style="16" customWidth="1"/>
    <col min="34" max="34" width="12" style="188" bestFit="1" customWidth="1"/>
    <col min="35" max="35" width="13.83203125" style="188" customWidth="1"/>
    <col min="36" max="36" width="10.5" style="188" customWidth="1"/>
    <col min="37" max="37" width="17.33203125" style="16" customWidth="1"/>
    <col min="38" max="38" width="6.6640625" style="23" customWidth="1"/>
    <col min="39" max="39" width="27.5" style="23" customWidth="1"/>
    <col min="40" max="40" width="6.6640625" style="23" customWidth="1"/>
    <col min="41" max="42" width="21.1640625" style="20" bestFit="1" customWidth="1"/>
    <col min="43" max="43" width="6.6640625" style="23" customWidth="1"/>
    <col min="44" max="44" width="6.6640625" style="20" customWidth="1"/>
    <col min="45" max="16384" width="13.6640625" style="20"/>
  </cols>
  <sheetData>
    <row r="1" spans="1:44" s="19" customFormat="1" ht="40" customHeight="1">
      <c r="A1" s="81" t="s">
        <v>1304</v>
      </c>
      <c r="B1" s="77" t="s">
        <v>855</v>
      </c>
      <c r="C1" s="17" t="s">
        <v>930</v>
      </c>
      <c r="D1" s="17" t="s">
        <v>929</v>
      </c>
      <c r="E1" s="114" t="s">
        <v>931</v>
      </c>
      <c r="F1" s="17" t="s">
        <v>754</v>
      </c>
      <c r="G1" s="17" t="s">
        <v>755</v>
      </c>
      <c r="H1" s="17" t="s">
        <v>756</v>
      </c>
      <c r="I1" s="17" t="s">
        <v>757</v>
      </c>
      <c r="J1" s="17" t="s">
        <v>758</v>
      </c>
      <c r="K1" s="17" t="s">
        <v>759</v>
      </c>
      <c r="L1" s="17" t="s">
        <v>760</v>
      </c>
      <c r="M1" s="17" t="s">
        <v>761</v>
      </c>
      <c r="N1" s="17" t="s">
        <v>762</v>
      </c>
      <c r="O1" s="17" t="s">
        <v>763</v>
      </c>
      <c r="P1" s="17" t="s">
        <v>1132</v>
      </c>
      <c r="Q1" s="17" t="s">
        <v>1133</v>
      </c>
      <c r="R1" s="17" t="s">
        <v>1134</v>
      </c>
      <c r="S1" s="17" t="s">
        <v>1135</v>
      </c>
      <c r="T1" s="17" t="s">
        <v>1136</v>
      </c>
      <c r="U1" s="17" t="s">
        <v>1137</v>
      </c>
      <c r="V1" s="17" t="s">
        <v>1138</v>
      </c>
      <c r="W1" s="17" t="s">
        <v>1139</v>
      </c>
      <c r="X1" s="17" t="s">
        <v>1140</v>
      </c>
      <c r="Y1" s="17" t="s">
        <v>1141</v>
      </c>
      <c r="Z1" s="168" t="s">
        <v>1924</v>
      </c>
      <c r="AA1" s="17" t="s">
        <v>1143</v>
      </c>
      <c r="AB1" s="168" t="s">
        <v>1144</v>
      </c>
      <c r="AC1" s="17" t="s">
        <v>1145</v>
      </c>
      <c r="AD1" s="168" t="s">
        <v>1146</v>
      </c>
      <c r="AE1" s="17" t="s">
        <v>1147</v>
      </c>
      <c r="AF1" s="168" t="s">
        <v>1148</v>
      </c>
      <c r="AG1" s="16" t="s">
        <v>5</v>
      </c>
      <c r="AH1" s="174" t="s">
        <v>1930</v>
      </c>
      <c r="AI1" s="175" t="s">
        <v>1931</v>
      </c>
      <c r="AJ1" s="176" t="s">
        <v>2017</v>
      </c>
      <c r="AK1" s="16" t="s">
        <v>6</v>
      </c>
      <c r="AL1" s="18" t="s">
        <v>1428</v>
      </c>
      <c r="AM1" s="170" t="s">
        <v>2020</v>
      </c>
      <c r="AN1" s="170" t="s">
        <v>1928</v>
      </c>
      <c r="AO1" s="19" t="s">
        <v>853</v>
      </c>
      <c r="AP1" s="19" t="s">
        <v>854</v>
      </c>
      <c r="AQ1" s="18" t="s">
        <v>764</v>
      </c>
      <c r="AR1" s="16" t="s">
        <v>9</v>
      </c>
    </row>
    <row r="2" spans="1:44" ht="70" customHeight="1">
      <c r="A2" s="82" t="s">
        <v>1329</v>
      </c>
      <c r="B2" s="78" t="s">
        <v>432</v>
      </c>
      <c r="C2" s="21">
        <v>6</v>
      </c>
      <c r="D2" s="21"/>
      <c r="E2" s="115">
        <f>SUM(F2:Y2)</f>
        <v>73</v>
      </c>
      <c r="F2" s="21">
        <v>13</v>
      </c>
      <c r="G2" s="21">
        <v>12</v>
      </c>
      <c r="H2" s="21">
        <v>15</v>
      </c>
      <c r="I2" s="21">
        <v>8</v>
      </c>
      <c r="J2" s="21">
        <v>14</v>
      </c>
      <c r="K2" s="21">
        <v>11</v>
      </c>
      <c r="L2" s="21"/>
      <c r="M2" s="21"/>
      <c r="N2" s="21"/>
      <c r="O2" s="21"/>
      <c r="P2" s="21"/>
      <c r="Q2" s="21"/>
      <c r="R2" s="21"/>
      <c r="S2" s="21"/>
      <c r="T2" s="21"/>
      <c r="U2" s="21"/>
      <c r="V2" s="21"/>
      <c r="W2" s="21"/>
      <c r="X2" s="21"/>
      <c r="Y2" s="21"/>
      <c r="Z2" s="21"/>
      <c r="AA2" s="21"/>
      <c r="AB2" s="21"/>
      <c r="AC2" s="21"/>
      <c r="AD2" s="21"/>
      <c r="AE2" s="21"/>
      <c r="AF2" s="21"/>
      <c r="AG2" s="16" t="s">
        <v>427</v>
      </c>
      <c r="AH2" s="188" t="s">
        <v>99</v>
      </c>
      <c r="AK2" s="16" t="s">
        <v>436</v>
      </c>
      <c r="AL2" s="28">
        <f>5*AN2</f>
        <v>15</v>
      </c>
      <c r="AM2" s="28"/>
      <c r="AN2" s="28">
        <v>3</v>
      </c>
      <c r="AO2" s="20" t="s">
        <v>433</v>
      </c>
      <c r="AP2" s="20" t="s">
        <v>434</v>
      </c>
      <c r="AQ2" s="21">
        <v>10</v>
      </c>
      <c r="AR2" s="20" t="s">
        <v>10</v>
      </c>
    </row>
    <row r="3" spans="1:44" ht="70" customHeight="1">
      <c r="A3" s="82" t="s">
        <v>1330</v>
      </c>
      <c r="B3" s="78" t="s">
        <v>432</v>
      </c>
      <c r="C3" s="21">
        <v>3</v>
      </c>
      <c r="D3" s="21"/>
      <c r="E3" s="115">
        <f t="shared" ref="E3:E66" si="0">SUM(F3:Y3)</f>
        <v>47</v>
      </c>
      <c r="F3" s="21">
        <v>19</v>
      </c>
      <c r="G3" s="21">
        <v>14</v>
      </c>
      <c r="H3" s="21">
        <v>14</v>
      </c>
      <c r="I3" s="21"/>
      <c r="J3" s="21"/>
      <c r="K3" s="21"/>
      <c r="L3" s="21"/>
      <c r="M3" s="21"/>
      <c r="N3" s="21"/>
      <c r="O3" s="21"/>
      <c r="P3" s="21"/>
      <c r="Q3" s="21"/>
      <c r="R3" s="21"/>
      <c r="S3" s="21"/>
      <c r="T3" s="21"/>
      <c r="U3" s="21"/>
      <c r="V3" s="21"/>
      <c r="W3" s="21"/>
      <c r="X3" s="21"/>
      <c r="Y3" s="21"/>
      <c r="Z3" s="21"/>
      <c r="AA3" s="21"/>
      <c r="AB3" s="21"/>
      <c r="AC3" s="21"/>
      <c r="AD3" s="21"/>
      <c r="AE3" s="21"/>
      <c r="AF3" s="21"/>
      <c r="AG3" s="16" t="s">
        <v>427</v>
      </c>
      <c r="AH3" s="188" t="s">
        <v>99</v>
      </c>
      <c r="AK3" s="16" t="s">
        <v>437</v>
      </c>
      <c r="AL3" s="28">
        <f t="shared" ref="AL3:AL66" si="1">5*AN3</f>
        <v>6</v>
      </c>
      <c r="AM3" s="28"/>
      <c r="AN3" s="28">
        <v>1.2</v>
      </c>
      <c r="AO3" s="20" t="s">
        <v>433</v>
      </c>
      <c r="AP3" s="20" t="s">
        <v>434</v>
      </c>
      <c r="AQ3" s="21">
        <v>10</v>
      </c>
      <c r="AR3" s="20" t="s">
        <v>10</v>
      </c>
    </row>
    <row r="4" spans="1:44" ht="70" customHeight="1">
      <c r="A4" s="82" t="s">
        <v>1331</v>
      </c>
      <c r="B4" s="78" t="s">
        <v>432</v>
      </c>
      <c r="C4" s="21">
        <v>4</v>
      </c>
      <c r="D4" s="21"/>
      <c r="E4" s="115">
        <f t="shared" si="0"/>
        <v>51</v>
      </c>
      <c r="F4" s="21">
        <v>10</v>
      </c>
      <c r="G4" s="21">
        <v>13</v>
      </c>
      <c r="H4" s="21">
        <v>12</v>
      </c>
      <c r="I4" s="21">
        <v>16</v>
      </c>
      <c r="J4" s="21"/>
      <c r="K4" s="21"/>
      <c r="L4" s="21"/>
      <c r="M4" s="21"/>
      <c r="N4" s="21"/>
      <c r="O4" s="21"/>
      <c r="P4" s="21"/>
      <c r="Q4" s="21"/>
      <c r="R4" s="21"/>
      <c r="S4" s="21"/>
      <c r="T4" s="21"/>
      <c r="U4" s="21"/>
      <c r="V4" s="21"/>
      <c r="W4" s="21"/>
      <c r="X4" s="21"/>
      <c r="Y4" s="21"/>
      <c r="Z4" s="21"/>
      <c r="AA4" s="21"/>
      <c r="AB4" s="21"/>
      <c r="AC4" s="21"/>
      <c r="AD4" s="21"/>
      <c r="AE4" s="21"/>
      <c r="AF4" s="21"/>
      <c r="AG4" s="16" t="s">
        <v>427</v>
      </c>
      <c r="AH4" s="188" t="s">
        <v>435</v>
      </c>
      <c r="AK4" s="16" t="s">
        <v>438</v>
      </c>
      <c r="AL4" s="28">
        <f t="shared" si="1"/>
        <v>10</v>
      </c>
      <c r="AM4" s="28"/>
      <c r="AN4" s="28">
        <v>2</v>
      </c>
      <c r="AO4" s="20" t="s">
        <v>433</v>
      </c>
      <c r="AP4" s="20" t="s">
        <v>434</v>
      </c>
      <c r="AQ4" s="21">
        <v>10</v>
      </c>
      <c r="AR4" s="20" t="s">
        <v>10</v>
      </c>
    </row>
    <row r="5" spans="1:44" ht="70" customHeight="1">
      <c r="A5" s="82" t="s">
        <v>1332</v>
      </c>
      <c r="B5" s="78" t="s">
        <v>432</v>
      </c>
      <c r="C5" s="21">
        <v>4</v>
      </c>
      <c r="D5" s="21"/>
      <c r="E5" s="115">
        <f t="shared" si="0"/>
        <v>44</v>
      </c>
      <c r="F5" s="21">
        <v>14</v>
      </c>
      <c r="G5" s="21">
        <v>15</v>
      </c>
      <c r="H5" s="21">
        <v>8</v>
      </c>
      <c r="I5" s="21">
        <v>7</v>
      </c>
      <c r="J5" s="21"/>
      <c r="K5" s="21"/>
      <c r="L5" s="21"/>
      <c r="M5" s="21"/>
      <c r="N5" s="21"/>
      <c r="O5" s="21"/>
      <c r="P5" s="21"/>
      <c r="Q5" s="21"/>
      <c r="R5" s="21"/>
      <c r="S5" s="21"/>
      <c r="T5" s="21"/>
      <c r="U5" s="21"/>
      <c r="V5" s="21"/>
      <c r="W5" s="21"/>
      <c r="X5" s="21"/>
      <c r="Y5" s="21"/>
      <c r="Z5" s="21"/>
      <c r="AA5" s="21"/>
      <c r="AB5" s="21"/>
      <c r="AC5" s="21"/>
      <c r="AD5" s="21"/>
      <c r="AE5" s="21"/>
      <c r="AF5" s="21"/>
      <c r="AG5" s="16" t="s">
        <v>427</v>
      </c>
      <c r="AH5" s="188" t="s">
        <v>435</v>
      </c>
      <c r="AK5" s="16" t="s">
        <v>439</v>
      </c>
      <c r="AL5" s="28">
        <f t="shared" si="1"/>
        <v>10</v>
      </c>
      <c r="AM5" s="28"/>
      <c r="AN5" s="28">
        <v>2</v>
      </c>
      <c r="AO5" s="20" t="s">
        <v>433</v>
      </c>
      <c r="AP5" s="20" t="s">
        <v>434</v>
      </c>
      <c r="AQ5" s="21">
        <v>10</v>
      </c>
      <c r="AR5" s="20" t="s">
        <v>10</v>
      </c>
    </row>
    <row r="6" spans="1:44" s="25" customFormat="1" ht="70" customHeight="1">
      <c r="A6" s="82" t="s">
        <v>1333</v>
      </c>
      <c r="B6" s="79" t="s">
        <v>432</v>
      </c>
      <c r="C6" s="27">
        <v>3</v>
      </c>
      <c r="D6" s="27"/>
      <c r="E6" s="115">
        <f t="shared" si="0"/>
        <v>39</v>
      </c>
      <c r="F6" s="27">
        <v>15</v>
      </c>
      <c r="G6" s="27">
        <v>9</v>
      </c>
      <c r="H6" s="27">
        <v>15</v>
      </c>
      <c r="I6" s="27"/>
      <c r="J6" s="27"/>
      <c r="K6" s="27"/>
      <c r="L6" s="27"/>
      <c r="M6" s="27"/>
      <c r="N6" s="27"/>
      <c r="O6" s="27"/>
      <c r="P6" s="27"/>
      <c r="Q6" s="27"/>
      <c r="R6" s="27"/>
      <c r="S6" s="27"/>
      <c r="T6" s="27"/>
      <c r="U6" s="27"/>
      <c r="V6" s="27"/>
      <c r="W6" s="27"/>
      <c r="X6" s="27"/>
      <c r="Y6" s="27"/>
      <c r="Z6" s="27"/>
      <c r="AA6" s="27"/>
      <c r="AB6" s="27"/>
      <c r="AC6" s="27"/>
      <c r="AD6" s="27"/>
      <c r="AE6" s="27"/>
      <c r="AF6" s="27"/>
      <c r="AG6" s="26" t="s">
        <v>427</v>
      </c>
      <c r="AH6" s="188" t="s">
        <v>447</v>
      </c>
      <c r="AI6" s="188"/>
      <c r="AJ6" s="188"/>
      <c r="AK6" s="26" t="s">
        <v>397</v>
      </c>
      <c r="AL6" s="121">
        <f t="shared" si="1"/>
        <v>7.5</v>
      </c>
      <c r="AM6" s="121"/>
      <c r="AN6" s="121">
        <v>1.5</v>
      </c>
      <c r="AO6" s="25" t="s">
        <v>433</v>
      </c>
      <c r="AP6" s="25" t="s">
        <v>434</v>
      </c>
      <c r="AQ6" s="27">
        <v>10</v>
      </c>
      <c r="AR6" s="25" t="s">
        <v>10</v>
      </c>
    </row>
    <row r="7" spans="1:44" s="25" customFormat="1" ht="70" customHeight="1">
      <c r="A7" s="82" t="s">
        <v>1334</v>
      </c>
      <c r="B7" s="79" t="s">
        <v>432</v>
      </c>
      <c r="C7" s="27">
        <v>3</v>
      </c>
      <c r="D7" s="27"/>
      <c r="E7" s="115">
        <f t="shared" si="0"/>
        <v>59</v>
      </c>
      <c r="F7" s="27">
        <v>22</v>
      </c>
      <c r="G7" s="27">
        <v>25</v>
      </c>
      <c r="H7" s="27">
        <v>12</v>
      </c>
      <c r="I7" s="27"/>
      <c r="J7" s="27"/>
      <c r="K7" s="27"/>
      <c r="L7" s="27"/>
      <c r="M7" s="27"/>
      <c r="N7" s="27"/>
      <c r="O7" s="27"/>
      <c r="P7" s="27"/>
      <c r="Q7" s="27"/>
      <c r="R7" s="27"/>
      <c r="S7" s="27"/>
      <c r="T7" s="27"/>
      <c r="U7" s="27"/>
      <c r="V7" s="27"/>
      <c r="W7" s="27"/>
      <c r="X7" s="27"/>
      <c r="Y7" s="27"/>
      <c r="Z7" s="27"/>
      <c r="AA7" s="27"/>
      <c r="AB7" s="27"/>
      <c r="AC7" s="27"/>
      <c r="AD7" s="27"/>
      <c r="AE7" s="27"/>
      <c r="AF7" s="27"/>
      <c r="AG7" s="26" t="s">
        <v>427</v>
      </c>
      <c r="AH7" s="188" t="s">
        <v>448</v>
      </c>
      <c r="AI7" s="188"/>
      <c r="AJ7" s="188"/>
      <c r="AK7" s="26" t="s">
        <v>765</v>
      </c>
      <c r="AL7" s="121">
        <f t="shared" si="1"/>
        <v>10</v>
      </c>
      <c r="AM7" s="121"/>
      <c r="AN7" s="121">
        <v>2</v>
      </c>
      <c r="AO7" s="25" t="s">
        <v>433</v>
      </c>
      <c r="AP7" s="25" t="s">
        <v>434</v>
      </c>
      <c r="AQ7" s="27">
        <v>15</v>
      </c>
      <c r="AR7" s="25" t="s">
        <v>10</v>
      </c>
    </row>
    <row r="8" spans="1:44" s="25" customFormat="1" ht="70" customHeight="1">
      <c r="A8" s="82" t="s">
        <v>1335</v>
      </c>
      <c r="B8" s="79" t="s">
        <v>432</v>
      </c>
      <c r="C8" s="27">
        <v>2</v>
      </c>
      <c r="D8" s="27"/>
      <c r="E8" s="115">
        <f t="shared" si="0"/>
        <v>23</v>
      </c>
      <c r="F8" s="27">
        <v>8</v>
      </c>
      <c r="G8" s="27">
        <v>15</v>
      </c>
      <c r="H8" s="27"/>
      <c r="I8" s="27"/>
      <c r="J8" s="27"/>
      <c r="K8" s="27"/>
      <c r="L8" s="27"/>
      <c r="M8" s="27"/>
      <c r="N8" s="27"/>
      <c r="O8" s="27"/>
      <c r="P8" s="27"/>
      <c r="Q8" s="27"/>
      <c r="R8" s="27"/>
      <c r="S8" s="27"/>
      <c r="T8" s="27"/>
      <c r="U8" s="27"/>
      <c r="V8" s="27"/>
      <c r="W8" s="27"/>
      <c r="X8" s="27"/>
      <c r="Y8" s="27"/>
      <c r="Z8" s="27"/>
      <c r="AA8" s="27"/>
      <c r="AB8" s="27"/>
      <c r="AC8" s="27"/>
      <c r="AD8" s="27"/>
      <c r="AE8" s="27"/>
      <c r="AF8" s="27"/>
      <c r="AG8" s="26" t="s">
        <v>427</v>
      </c>
      <c r="AH8" s="188" t="s">
        <v>448</v>
      </c>
      <c r="AI8" s="188"/>
      <c r="AJ8" s="188"/>
      <c r="AK8" s="26" t="s">
        <v>398</v>
      </c>
      <c r="AL8" s="121">
        <f t="shared" si="1"/>
        <v>5</v>
      </c>
      <c r="AM8" s="121"/>
      <c r="AN8" s="121">
        <v>1</v>
      </c>
      <c r="AO8" s="25" t="s">
        <v>433</v>
      </c>
      <c r="AP8" s="25" t="s">
        <v>434</v>
      </c>
      <c r="AQ8" s="27">
        <v>20</v>
      </c>
      <c r="AR8" s="25" t="s">
        <v>10</v>
      </c>
    </row>
    <row r="9" spans="1:44" s="25" customFormat="1" ht="70" customHeight="1">
      <c r="A9" s="82" t="s">
        <v>1336</v>
      </c>
      <c r="B9" s="79" t="s">
        <v>432</v>
      </c>
      <c r="C9" s="27">
        <v>3</v>
      </c>
      <c r="D9" s="27"/>
      <c r="E9" s="115">
        <f t="shared" si="0"/>
        <v>49</v>
      </c>
      <c r="F9" s="27">
        <v>19</v>
      </c>
      <c r="G9" s="27">
        <v>19</v>
      </c>
      <c r="H9" s="27">
        <v>11</v>
      </c>
      <c r="I9" s="27"/>
      <c r="J9" s="27"/>
      <c r="K9" s="27"/>
      <c r="L9" s="27"/>
      <c r="M9" s="27"/>
      <c r="N9" s="27"/>
      <c r="O9" s="27"/>
      <c r="P9" s="27"/>
      <c r="Q9" s="27"/>
      <c r="R9" s="27"/>
      <c r="S9" s="27"/>
      <c r="T9" s="27"/>
      <c r="U9" s="27"/>
      <c r="V9" s="27"/>
      <c r="W9" s="27"/>
      <c r="X9" s="27"/>
      <c r="Y9" s="27"/>
      <c r="Z9" s="27"/>
      <c r="AA9" s="27"/>
      <c r="AB9" s="27"/>
      <c r="AC9" s="27"/>
      <c r="AD9" s="27"/>
      <c r="AE9" s="27"/>
      <c r="AF9" s="27"/>
      <c r="AG9" s="26" t="s">
        <v>427</v>
      </c>
      <c r="AH9" s="188" t="s">
        <v>448</v>
      </c>
      <c r="AI9" s="188"/>
      <c r="AJ9" s="188"/>
      <c r="AK9" s="26" t="s">
        <v>450</v>
      </c>
      <c r="AL9" s="121">
        <f t="shared" si="1"/>
        <v>7.5</v>
      </c>
      <c r="AM9" s="121"/>
      <c r="AN9" s="121">
        <v>1.5</v>
      </c>
      <c r="AO9" s="25" t="s">
        <v>433</v>
      </c>
      <c r="AP9" s="25" t="s">
        <v>434</v>
      </c>
      <c r="AQ9" s="27">
        <v>20</v>
      </c>
      <c r="AR9" s="25" t="s">
        <v>10</v>
      </c>
    </row>
    <row r="10" spans="1:44" ht="70" customHeight="1">
      <c r="A10" s="82" t="s">
        <v>1337</v>
      </c>
      <c r="B10" s="78" t="s">
        <v>331</v>
      </c>
      <c r="C10" s="21">
        <v>10</v>
      </c>
      <c r="D10" s="21"/>
      <c r="E10" s="115">
        <f t="shared" si="0"/>
        <v>86</v>
      </c>
      <c r="F10" s="21">
        <v>2</v>
      </c>
      <c r="G10" s="21">
        <v>6</v>
      </c>
      <c r="H10" s="21">
        <v>7</v>
      </c>
      <c r="I10" s="21">
        <v>8</v>
      </c>
      <c r="J10" s="21">
        <v>8</v>
      </c>
      <c r="K10" s="21">
        <v>9</v>
      </c>
      <c r="L10" s="21">
        <v>10</v>
      </c>
      <c r="M10" s="21">
        <v>11</v>
      </c>
      <c r="N10" s="21">
        <v>12</v>
      </c>
      <c r="O10" s="21">
        <v>13</v>
      </c>
      <c r="P10" s="21"/>
      <c r="Q10" s="21"/>
      <c r="R10" s="21"/>
      <c r="S10" s="21"/>
      <c r="T10" s="21"/>
      <c r="U10" s="21"/>
      <c r="V10" s="21"/>
      <c r="W10" s="21"/>
      <c r="X10" s="21"/>
      <c r="Y10" s="21"/>
      <c r="Z10" s="21"/>
      <c r="AA10" s="21"/>
      <c r="AB10" s="21"/>
      <c r="AC10" s="21"/>
      <c r="AD10" s="21"/>
      <c r="AE10" s="21"/>
      <c r="AF10" s="21"/>
      <c r="AG10" s="16" t="s">
        <v>467</v>
      </c>
      <c r="AH10" s="188" t="s">
        <v>334</v>
      </c>
      <c r="AK10" s="16" t="s">
        <v>337</v>
      </c>
      <c r="AL10" s="28">
        <f t="shared" si="1"/>
        <v>10</v>
      </c>
      <c r="AM10" s="28"/>
      <c r="AN10" s="28">
        <v>2</v>
      </c>
      <c r="AO10" s="20" t="s">
        <v>332</v>
      </c>
      <c r="AP10" s="20" t="s">
        <v>333</v>
      </c>
      <c r="AQ10" s="21">
        <v>10</v>
      </c>
      <c r="AR10" s="20" t="s">
        <v>10</v>
      </c>
    </row>
    <row r="11" spans="1:44" ht="70" customHeight="1">
      <c r="A11" s="82" t="s">
        <v>1338</v>
      </c>
      <c r="B11" s="78" t="s">
        <v>331</v>
      </c>
      <c r="C11" s="21">
        <v>10</v>
      </c>
      <c r="D11" s="21"/>
      <c r="E11" s="115">
        <f t="shared" si="0"/>
        <v>94</v>
      </c>
      <c r="F11" s="21">
        <v>3</v>
      </c>
      <c r="G11" s="21">
        <v>4</v>
      </c>
      <c r="H11" s="21">
        <v>7</v>
      </c>
      <c r="I11" s="21">
        <v>7</v>
      </c>
      <c r="J11" s="21">
        <v>8</v>
      </c>
      <c r="K11" s="21">
        <v>11</v>
      </c>
      <c r="L11" s="21">
        <v>11</v>
      </c>
      <c r="M11" s="21">
        <v>12</v>
      </c>
      <c r="N11" s="21">
        <v>14</v>
      </c>
      <c r="O11" s="21">
        <v>17</v>
      </c>
      <c r="P11" s="21"/>
      <c r="Q11" s="21"/>
      <c r="R11" s="21"/>
      <c r="S11" s="21"/>
      <c r="T11" s="21"/>
      <c r="U11" s="21"/>
      <c r="V11" s="21"/>
      <c r="W11" s="21"/>
      <c r="X11" s="21"/>
      <c r="Y11" s="21"/>
      <c r="Z11" s="21"/>
      <c r="AA11" s="21"/>
      <c r="AB11" s="21"/>
      <c r="AC11" s="21"/>
      <c r="AD11" s="21"/>
      <c r="AE11" s="21"/>
      <c r="AF11" s="21"/>
      <c r="AG11" s="16" t="s">
        <v>467</v>
      </c>
      <c r="AH11" s="188" t="s">
        <v>223</v>
      </c>
      <c r="AK11" s="16" t="s">
        <v>337</v>
      </c>
      <c r="AL11" s="28">
        <f t="shared" si="1"/>
        <v>12.5</v>
      </c>
      <c r="AM11" s="28"/>
      <c r="AN11" s="28">
        <v>2.5</v>
      </c>
      <c r="AO11" s="20" t="s">
        <v>332</v>
      </c>
      <c r="AP11" s="20" t="s">
        <v>333</v>
      </c>
      <c r="AQ11" s="21">
        <v>10</v>
      </c>
      <c r="AR11" s="20" t="s">
        <v>10</v>
      </c>
    </row>
    <row r="12" spans="1:44" ht="70" customHeight="1">
      <c r="A12" s="82" t="s">
        <v>1339</v>
      </c>
      <c r="B12" s="78" t="s">
        <v>331</v>
      </c>
      <c r="C12" s="21">
        <v>10</v>
      </c>
      <c r="D12" s="21"/>
      <c r="E12" s="115">
        <f t="shared" si="0"/>
        <v>89</v>
      </c>
      <c r="F12" s="21">
        <v>7</v>
      </c>
      <c r="G12" s="21">
        <v>7</v>
      </c>
      <c r="H12" s="21">
        <v>7</v>
      </c>
      <c r="I12" s="21">
        <v>7</v>
      </c>
      <c r="J12" s="21">
        <v>8</v>
      </c>
      <c r="K12" s="21">
        <v>8</v>
      </c>
      <c r="L12" s="21">
        <v>9</v>
      </c>
      <c r="M12" s="21">
        <v>9</v>
      </c>
      <c r="N12" s="21">
        <v>12</v>
      </c>
      <c r="O12" s="21">
        <v>15</v>
      </c>
      <c r="P12" s="21"/>
      <c r="Q12" s="21"/>
      <c r="R12" s="21"/>
      <c r="S12" s="21"/>
      <c r="T12" s="21"/>
      <c r="U12" s="21"/>
      <c r="V12" s="21"/>
      <c r="W12" s="21"/>
      <c r="X12" s="21"/>
      <c r="Y12" s="21"/>
      <c r="Z12" s="21"/>
      <c r="AA12" s="21"/>
      <c r="AB12" s="21"/>
      <c r="AC12" s="21"/>
      <c r="AD12" s="21"/>
      <c r="AE12" s="21"/>
      <c r="AF12" s="21"/>
      <c r="AG12" s="16" t="s">
        <v>338</v>
      </c>
      <c r="AH12" s="188" t="s">
        <v>187</v>
      </c>
      <c r="AK12" s="16" t="s">
        <v>339</v>
      </c>
      <c r="AL12" s="28">
        <f t="shared" si="1"/>
        <v>6</v>
      </c>
      <c r="AM12" s="28"/>
      <c r="AN12" s="28">
        <v>1.2</v>
      </c>
      <c r="AO12" s="20" t="s">
        <v>332</v>
      </c>
      <c r="AP12" s="20" t="s">
        <v>333</v>
      </c>
      <c r="AQ12" s="21">
        <v>10</v>
      </c>
      <c r="AR12" s="20" t="s">
        <v>10</v>
      </c>
    </row>
    <row r="13" spans="1:44" ht="70" customHeight="1">
      <c r="A13" s="82" t="s">
        <v>1340</v>
      </c>
      <c r="B13" s="78" t="s">
        <v>331</v>
      </c>
      <c r="C13" s="21">
        <v>10</v>
      </c>
      <c r="D13" s="21"/>
      <c r="E13" s="115">
        <f t="shared" si="0"/>
        <v>75</v>
      </c>
      <c r="F13" s="21">
        <v>5</v>
      </c>
      <c r="G13" s="21">
        <v>6</v>
      </c>
      <c r="H13" s="21">
        <v>6</v>
      </c>
      <c r="I13" s="21">
        <v>7</v>
      </c>
      <c r="J13" s="21">
        <v>8</v>
      </c>
      <c r="K13" s="21">
        <v>8</v>
      </c>
      <c r="L13" s="21">
        <v>8</v>
      </c>
      <c r="M13" s="21">
        <v>8</v>
      </c>
      <c r="N13" s="21">
        <v>9</v>
      </c>
      <c r="O13" s="21">
        <v>10</v>
      </c>
      <c r="P13" s="21"/>
      <c r="Q13" s="21"/>
      <c r="R13" s="21"/>
      <c r="S13" s="21"/>
      <c r="T13" s="21"/>
      <c r="U13" s="21"/>
      <c r="V13" s="21"/>
      <c r="W13" s="21"/>
      <c r="X13" s="21"/>
      <c r="Y13" s="21"/>
      <c r="Z13" s="21"/>
      <c r="AA13" s="21"/>
      <c r="AB13" s="21"/>
      <c r="AC13" s="21"/>
      <c r="AD13" s="21"/>
      <c r="AE13" s="21"/>
      <c r="AF13" s="21"/>
      <c r="AG13" s="16" t="s">
        <v>340</v>
      </c>
      <c r="AH13" s="188" t="s">
        <v>98</v>
      </c>
      <c r="AK13" s="16" t="s">
        <v>337</v>
      </c>
      <c r="AL13" s="28">
        <f t="shared" si="1"/>
        <v>7.5</v>
      </c>
      <c r="AM13" s="28"/>
      <c r="AN13" s="28">
        <v>1.5</v>
      </c>
      <c r="AO13" s="20" t="s">
        <v>332</v>
      </c>
      <c r="AP13" s="20" t="s">
        <v>333</v>
      </c>
      <c r="AQ13" s="21">
        <v>10</v>
      </c>
      <c r="AR13" s="20" t="s">
        <v>10</v>
      </c>
    </row>
    <row r="14" spans="1:44" ht="70" customHeight="1">
      <c r="A14" s="82" t="s">
        <v>1341</v>
      </c>
      <c r="B14" s="78" t="s">
        <v>331</v>
      </c>
      <c r="C14" s="21"/>
      <c r="D14" s="21">
        <v>20</v>
      </c>
      <c r="E14" s="115">
        <f t="shared" si="0"/>
        <v>160</v>
      </c>
      <c r="F14" s="21">
        <v>4</v>
      </c>
      <c r="G14" s="142">
        <v>6</v>
      </c>
      <c r="H14" s="143">
        <v>6</v>
      </c>
      <c r="I14" s="143">
        <v>6</v>
      </c>
      <c r="J14" s="143">
        <v>6</v>
      </c>
      <c r="K14" s="143">
        <v>7</v>
      </c>
      <c r="L14" s="143">
        <v>7</v>
      </c>
      <c r="M14" s="145">
        <v>8</v>
      </c>
      <c r="N14" s="145">
        <v>8</v>
      </c>
      <c r="O14" s="145">
        <v>8</v>
      </c>
      <c r="P14" s="145">
        <v>8</v>
      </c>
      <c r="Q14" s="142">
        <v>8</v>
      </c>
      <c r="R14" s="142">
        <v>9</v>
      </c>
      <c r="S14" s="142">
        <v>9</v>
      </c>
      <c r="T14" s="21">
        <v>9</v>
      </c>
      <c r="U14" s="21">
        <v>9</v>
      </c>
      <c r="V14" s="21">
        <v>10</v>
      </c>
      <c r="W14" s="144">
        <v>10</v>
      </c>
      <c r="X14" s="144">
        <v>11</v>
      </c>
      <c r="Y14" s="144">
        <v>11</v>
      </c>
      <c r="Z14" s="144"/>
      <c r="AA14" s="144"/>
      <c r="AB14" s="144"/>
      <c r="AC14" s="144"/>
      <c r="AD14" s="144"/>
      <c r="AE14" s="144"/>
      <c r="AF14" s="144"/>
      <c r="AG14" s="16" t="s">
        <v>342</v>
      </c>
      <c r="AH14" s="188" t="s">
        <v>344</v>
      </c>
      <c r="AK14" s="16" t="s">
        <v>344</v>
      </c>
      <c r="AL14" s="28">
        <f t="shared" si="1"/>
        <v>14.499999999999996</v>
      </c>
      <c r="AM14" s="153" t="s">
        <v>1860</v>
      </c>
      <c r="AN14" s="28">
        <f>0.7+0.5+0.7+0.7+0.3</f>
        <v>2.8999999999999995</v>
      </c>
      <c r="AO14" s="20" t="s">
        <v>332</v>
      </c>
      <c r="AP14" s="20" t="s">
        <v>333</v>
      </c>
      <c r="AQ14" s="21" t="s">
        <v>10</v>
      </c>
      <c r="AR14" s="20" t="s">
        <v>90</v>
      </c>
    </row>
    <row r="15" spans="1:44" s="25" customFormat="1" ht="70" customHeight="1">
      <c r="A15" s="82" t="s">
        <v>1342</v>
      </c>
      <c r="B15" s="79" t="s">
        <v>331</v>
      </c>
      <c r="C15" s="27">
        <v>10</v>
      </c>
      <c r="D15" s="27"/>
      <c r="E15" s="115">
        <f t="shared" si="0"/>
        <v>96</v>
      </c>
      <c r="F15" s="27">
        <v>7</v>
      </c>
      <c r="G15" s="27">
        <v>8</v>
      </c>
      <c r="H15" s="27">
        <v>8</v>
      </c>
      <c r="I15" s="27">
        <v>9</v>
      </c>
      <c r="J15" s="27">
        <v>10</v>
      </c>
      <c r="K15" s="27">
        <v>10</v>
      </c>
      <c r="L15" s="27">
        <v>11</v>
      </c>
      <c r="M15" s="27">
        <v>11</v>
      </c>
      <c r="N15" s="27">
        <v>11</v>
      </c>
      <c r="O15" s="27">
        <v>11</v>
      </c>
      <c r="P15" s="27"/>
      <c r="Q15" s="27"/>
      <c r="R15" s="27"/>
      <c r="S15" s="27"/>
      <c r="T15" s="27"/>
      <c r="U15" s="27"/>
      <c r="V15" s="27"/>
      <c r="W15" s="27"/>
      <c r="X15" s="27"/>
      <c r="Y15" s="27"/>
      <c r="Z15" s="27"/>
      <c r="AA15" s="27"/>
      <c r="AB15" s="27"/>
      <c r="AC15" s="27"/>
      <c r="AD15" s="27"/>
      <c r="AE15" s="27"/>
      <c r="AF15" s="27"/>
      <c r="AG15" s="26" t="s">
        <v>346</v>
      </c>
      <c r="AH15" s="188" t="s">
        <v>345</v>
      </c>
      <c r="AI15" s="188"/>
      <c r="AJ15" s="188"/>
      <c r="AK15" s="26" t="s">
        <v>337</v>
      </c>
      <c r="AL15" s="121">
        <f t="shared" si="1"/>
        <v>10</v>
      </c>
      <c r="AN15" s="121">
        <v>2</v>
      </c>
      <c r="AO15" s="25" t="s">
        <v>332</v>
      </c>
      <c r="AP15" s="25" t="s">
        <v>333</v>
      </c>
      <c r="AQ15" s="27">
        <v>10</v>
      </c>
      <c r="AR15" s="25" t="s">
        <v>10</v>
      </c>
    </row>
    <row r="16" spans="1:44" s="25" customFormat="1" ht="70" customHeight="1">
      <c r="A16" s="82" t="s">
        <v>1343</v>
      </c>
      <c r="B16" s="79" t="s">
        <v>331</v>
      </c>
      <c r="C16" s="27"/>
      <c r="D16" s="27">
        <v>19</v>
      </c>
      <c r="E16" s="115">
        <f t="shared" si="0"/>
        <v>146</v>
      </c>
      <c r="F16" s="146">
        <v>2</v>
      </c>
      <c r="G16" s="146">
        <v>3</v>
      </c>
      <c r="H16" s="142">
        <v>4</v>
      </c>
      <c r="I16" s="143">
        <v>5</v>
      </c>
      <c r="J16" s="146">
        <v>5</v>
      </c>
      <c r="K16" s="145">
        <v>6</v>
      </c>
      <c r="L16" s="146">
        <v>6</v>
      </c>
      <c r="M16" s="146">
        <v>7</v>
      </c>
      <c r="N16" s="146">
        <v>7</v>
      </c>
      <c r="O16" s="143">
        <v>7</v>
      </c>
      <c r="P16" s="143">
        <v>7</v>
      </c>
      <c r="Q16" s="144">
        <v>8</v>
      </c>
      <c r="R16" s="143">
        <v>10</v>
      </c>
      <c r="S16" s="144">
        <v>10</v>
      </c>
      <c r="T16" s="144">
        <v>11</v>
      </c>
      <c r="U16" s="145">
        <v>11</v>
      </c>
      <c r="V16" s="145">
        <v>12</v>
      </c>
      <c r="W16" s="142">
        <v>12</v>
      </c>
      <c r="X16" s="142">
        <v>13</v>
      </c>
      <c r="Y16" s="27"/>
      <c r="Z16" s="27"/>
      <c r="AA16" s="27"/>
      <c r="AB16" s="27"/>
      <c r="AC16" s="27"/>
      <c r="AD16" s="27"/>
      <c r="AE16" s="27"/>
      <c r="AF16" s="27"/>
      <c r="AG16" s="26" t="s">
        <v>347</v>
      </c>
      <c r="AH16" s="188" t="s">
        <v>97</v>
      </c>
      <c r="AI16" s="188"/>
      <c r="AJ16" s="188"/>
      <c r="AK16" s="26" t="s">
        <v>348</v>
      </c>
      <c r="AL16" s="121">
        <f t="shared" si="1"/>
        <v>16.5</v>
      </c>
      <c r="AM16" s="154" t="s">
        <v>1861</v>
      </c>
      <c r="AN16" s="121">
        <f>0.9+0.3+0.7+0.7+0.7</f>
        <v>3.3</v>
      </c>
      <c r="AO16" s="25" t="s">
        <v>332</v>
      </c>
      <c r="AP16" s="25" t="s">
        <v>333</v>
      </c>
      <c r="AQ16" s="27">
        <v>10</v>
      </c>
      <c r="AR16" s="25" t="s">
        <v>10</v>
      </c>
    </row>
    <row r="17" spans="1:44" s="25" customFormat="1" ht="70" customHeight="1">
      <c r="A17" s="82" t="s">
        <v>1344</v>
      </c>
      <c r="B17" s="79" t="s">
        <v>331</v>
      </c>
      <c r="C17" s="27">
        <v>10</v>
      </c>
      <c r="D17" s="27"/>
      <c r="E17" s="115">
        <f t="shared" si="0"/>
        <v>87</v>
      </c>
      <c r="F17" s="27">
        <v>7</v>
      </c>
      <c r="G17" s="27">
        <v>8</v>
      </c>
      <c r="H17" s="27">
        <v>8</v>
      </c>
      <c r="I17" s="27">
        <v>8</v>
      </c>
      <c r="J17" s="27">
        <v>8</v>
      </c>
      <c r="K17" s="27">
        <v>9</v>
      </c>
      <c r="L17" s="27">
        <v>9</v>
      </c>
      <c r="M17" s="27">
        <v>9</v>
      </c>
      <c r="N17" s="27">
        <v>10</v>
      </c>
      <c r="O17" s="27">
        <v>11</v>
      </c>
      <c r="P17" s="27"/>
      <c r="Q17" s="27"/>
      <c r="R17" s="27"/>
      <c r="S17" s="27"/>
      <c r="T17" s="27"/>
      <c r="U17" s="27"/>
      <c r="V17" s="27"/>
      <c r="W17" s="27"/>
      <c r="X17" s="27"/>
      <c r="Y17" s="27"/>
      <c r="Z17" s="27"/>
      <c r="AA17" s="27"/>
      <c r="AB17" s="27"/>
      <c r="AC17" s="27"/>
      <c r="AD17" s="27"/>
      <c r="AE17" s="27"/>
      <c r="AF17" s="27"/>
      <c r="AG17" s="26" t="s">
        <v>349</v>
      </c>
      <c r="AH17" s="188" t="s">
        <v>3</v>
      </c>
      <c r="AI17" s="188"/>
      <c r="AJ17" s="188"/>
      <c r="AK17" s="26" t="s">
        <v>337</v>
      </c>
      <c r="AL17" s="121">
        <f t="shared" si="1"/>
        <v>10</v>
      </c>
      <c r="AM17" s="121"/>
      <c r="AN17" s="121">
        <v>2</v>
      </c>
      <c r="AO17" s="25" t="s">
        <v>332</v>
      </c>
      <c r="AP17" s="25" t="s">
        <v>333</v>
      </c>
      <c r="AQ17" s="27">
        <v>10</v>
      </c>
      <c r="AR17" s="25" t="s">
        <v>10</v>
      </c>
    </row>
    <row r="18" spans="1:44" s="25" customFormat="1" ht="70" customHeight="1">
      <c r="A18" s="82" t="s">
        <v>1345</v>
      </c>
      <c r="B18" s="79" t="s">
        <v>331</v>
      </c>
      <c r="C18" s="27">
        <v>10</v>
      </c>
      <c r="D18" s="27"/>
      <c r="E18" s="115">
        <f t="shared" si="0"/>
        <v>67</v>
      </c>
      <c r="F18" s="27">
        <v>5</v>
      </c>
      <c r="G18" s="27">
        <v>6</v>
      </c>
      <c r="H18" s="27">
        <v>6</v>
      </c>
      <c r="I18" s="27">
        <v>6</v>
      </c>
      <c r="J18" s="27">
        <v>6</v>
      </c>
      <c r="K18" s="27">
        <v>7</v>
      </c>
      <c r="L18" s="27">
        <v>7</v>
      </c>
      <c r="M18" s="27">
        <v>7</v>
      </c>
      <c r="N18" s="27">
        <v>8</v>
      </c>
      <c r="O18" s="27">
        <v>9</v>
      </c>
      <c r="P18" s="27"/>
      <c r="Q18" s="27"/>
      <c r="R18" s="27"/>
      <c r="S18" s="27"/>
      <c r="T18" s="27"/>
      <c r="U18" s="27"/>
      <c r="V18" s="27"/>
      <c r="W18" s="27"/>
      <c r="X18" s="27"/>
      <c r="Y18" s="27"/>
      <c r="Z18" s="27"/>
      <c r="AA18" s="27"/>
      <c r="AB18" s="27"/>
      <c r="AC18" s="27"/>
      <c r="AD18" s="27"/>
      <c r="AE18" s="27"/>
      <c r="AF18" s="27"/>
      <c r="AG18" s="26" t="s">
        <v>350</v>
      </c>
      <c r="AH18" s="188" t="s">
        <v>99</v>
      </c>
      <c r="AI18" s="188"/>
      <c r="AJ18" s="188"/>
      <c r="AK18" s="26" t="s">
        <v>351</v>
      </c>
      <c r="AL18" s="121">
        <f t="shared" si="1"/>
        <v>10</v>
      </c>
      <c r="AM18" s="121"/>
      <c r="AN18" s="121">
        <v>2</v>
      </c>
      <c r="AO18" s="25" t="s">
        <v>332</v>
      </c>
      <c r="AP18" s="25" t="s">
        <v>333</v>
      </c>
      <c r="AQ18" s="27">
        <v>10</v>
      </c>
      <c r="AR18" s="25" t="s">
        <v>10</v>
      </c>
    </row>
    <row r="19" spans="1:44" s="25" customFormat="1" ht="70" customHeight="1">
      <c r="A19" s="82" t="s">
        <v>1346</v>
      </c>
      <c r="B19" s="79" t="s">
        <v>331</v>
      </c>
      <c r="C19" s="27">
        <v>10</v>
      </c>
      <c r="D19" s="27"/>
      <c r="E19" s="115">
        <f t="shared" si="0"/>
        <v>88</v>
      </c>
      <c r="F19" s="27">
        <v>3</v>
      </c>
      <c r="G19" s="27">
        <v>7</v>
      </c>
      <c r="H19" s="27">
        <v>7</v>
      </c>
      <c r="I19" s="27">
        <v>8</v>
      </c>
      <c r="J19" s="27">
        <v>9</v>
      </c>
      <c r="K19" s="27">
        <v>10</v>
      </c>
      <c r="L19" s="27">
        <v>10</v>
      </c>
      <c r="M19" s="27">
        <v>10</v>
      </c>
      <c r="N19" s="27">
        <v>11</v>
      </c>
      <c r="O19" s="27">
        <v>13</v>
      </c>
      <c r="P19" s="27"/>
      <c r="Q19" s="27"/>
      <c r="R19" s="27"/>
      <c r="S19" s="27"/>
      <c r="T19" s="27"/>
      <c r="U19" s="27"/>
      <c r="V19" s="27"/>
      <c r="W19" s="27"/>
      <c r="X19" s="27"/>
      <c r="Y19" s="27"/>
      <c r="Z19" s="27"/>
      <c r="AA19" s="27"/>
      <c r="AB19" s="27"/>
      <c r="AC19" s="27"/>
      <c r="AD19" s="27"/>
      <c r="AE19" s="27"/>
      <c r="AF19" s="27"/>
      <c r="AG19" s="26" t="s">
        <v>352</v>
      </c>
      <c r="AH19" s="188" t="s">
        <v>353</v>
      </c>
      <c r="AI19" s="188"/>
      <c r="AJ19" s="188"/>
      <c r="AK19" s="26" t="s">
        <v>354</v>
      </c>
      <c r="AL19" s="121">
        <f t="shared" si="1"/>
        <v>10</v>
      </c>
      <c r="AM19" s="121"/>
      <c r="AN19" s="121">
        <v>2</v>
      </c>
      <c r="AO19" s="25" t="s">
        <v>332</v>
      </c>
      <c r="AP19" s="25" t="s">
        <v>333</v>
      </c>
      <c r="AQ19" s="27">
        <v>10</v>
      </c>
      <c r="AR19" s="25" t="s">
        <v>10</v>
      </c>
    </row>
    <row r="20" spans="1:44" ht="70" customHeight="1">
      <c r="A20" s="82" t="s">
        <v>1347</v>
      </c>
      <c r="B20" s="78" t="s">
        <v>372</v>
      </c>
      <c r="C20" s="21">
        <v>5</v>
      </c>
      <c r="D20" s="21"/>
      <c r="E20" s="115">
        <f t="shared" si="0"/>
        <v>13</v>
      </c>
      <c r="F20" s="21">
        <v>1</v>
      </c>
      <c r="G20" s="21">
        <v>1</v>
      </c>
      <c r="H20" s="21">
        <v>4</v>
      </c>
      <c r="I20" s="21">
        <v>4</v>
      </c>
      <c r="J20" s="21">
        <v>3</v>
      </c>
      <c r="K20" s="21"/>
      <c r="L20" s="21"/>
      <c r="M20" s="21"/>
      <c r="N20" s="21"/>
      <c r="O20" s="21"/>
      <c r="P20" s="21"/>
      <c r="Q20" s="21"/>
      <c r="R20" s="21"/>
      <c r="S20" s="21"/>
      <c r="T20" s="21"/>
      <c r="U20" s="21"/>
      <c r="V20" s="21"/>
      <c r="W20" s="21"/>
      <c r="X20" s="21"/>
      <c r="Y20" s="21"/>
      <c r="Z20" s="21"/>
      <c r="AA20" s="21"/>
      <c r="AB20" s="21"/>
      <c r="AC20" s="21"/>
      <c r="AD20" s="21"/>
      <c r="AE20" s="21"/>
      <c r="AF20" s="21"/>
      <c r="AG20" s="16" t="s">
        <v>377</v>
      </c>
      <c r="AH20" s="188" t="s">
        <v>375</v>
      </c>
      <c r="AK20" s="16" t="s">
        <v>376</v>
      </c>
      <c r="AL20" s="28">
        <f t="shared" si="1"/>
        <v>3</v>
      </c>
      <c r="AM20" s="28"/>
      <c r="AN20" s="28">
        <v>0.6</v>
      </c>
      <c r="AO20" s="20" t="s">
        <v>373</v>
      </c>
      <c r="AP20" s="20" t="s">
        <v>374</v>
      </c>
      <c r="AQ20" s="21">
        <v>5</v>
      </c>
      <c r="AR20" s="20" t="s">
        <v>10</v>
      </c>
    </row>
    <row r="21" spans="1:44" ht="70" customHeight="1">
      <c r="A21" s="82" t="s">
        <v>1348</v>
      </c>
      <c r="B21" s="78" t="s">
        <v>372</v>
      </c>
      <c r="C21" s="21">
        <v>5</v>
      </c>
      <c r="D21" s="21"/>
      <c r="E21" s="115">
        <f t="shared" si="0"/>
        <v>10</v>
      </c>
      <c r="F21" s="21">
        <v>2</v>
      </c>
      <c r="G21" s="21">
        <v>1</v>
      </c>
      <c r="H21" s="21">
        <v>1</v>
      </c>
      <c r="I21" s="21">
        <v>2</v>
      </c>
      <c r="J21" s="21">
        <v>4</v>
      </c>
      <c r="K21" s="21"/>
      <c r="L21" s="21"/>
      <c r="M21" s="21"/>
      <c r="N21" s="21"/>
      <c r="O21" s="21"/>
      <c r="P21" s="21"/>
      <c r="Q21" s="21"/>
      <c r="R21" s="21"/>
      <c r="S21" s="21"/>
      <c r="T21" s="21"/>
      <c r="U21" s="21"/>
      <c r="V21" s="21"/>
      <c r="W21" s="21"/>
      <c r="X21" s="21"/>
      <c r="Y21" s="21"/>
      <c r="Z21" s="21"/>
      <c r="AA21" s="21"/>
      <c r="AB21" s="21"/>
      <c r="AC21" s="21"/>
      <c r="AD21" s="21"/>
      <c r="AE21" s="21"/>
      <c r="AF21" s="21"/>
      <c r="AG21" s="16" t="s">
        <v>377</v>
      </c>
      <c r="AH21" s="188" t="s">
        <v>375</v>
      </c>
      <c r="AK21" s="16" t="s">
        <v>378</v>
      </c>
      <c r="AL21" s="28">
        <f t="shared" si="1"/>
        <v>3</v>
      </c>
      <c r="AM21" s="28"/>
      <c r="AN21" s="28">
        <v>0.6</v>
      </c>
      <c r="AO21" s="20" t="s">
        <v>373</v>
      </c>
      <c r="AP21" s="20" t="s">
        <v>374</v>
      </c>
      <c r="AQ21" s="21">
        <v>5</v>
      </c>
      <c r="AR21" s="20" t="s">
        <v>10</v>
      </c>
    </row>
    <row r="22" spans="1:44" ht="70" customHeight="1">
      <c r="A22" s="82" t="s">
        <v>1349</v>
      </c>
      <c r="B22" s="78" t="s">
        <v>372</v>
      </c>
      <c r="C22" s="21">
        <v>5</v>
      </c>
      <c r="D22" s="21"/>
      <c r="E22" s="115">
        <f t="shared" si="0"/>
        <v>16</v>
      </c>
      <c r="F22" s="21">
        <v>1</v>
      </c>
      <c r="G22" s="21">
        <v>4</v>
      </c>
      <c r="H22" s="21">
        <v>5</v>
      </c>
      <c r="I22" s="21">
        <v>5</v>
      </c>
      <c r="J22" s="21">
        <v>1</v>
      </c>
      <c r="K22" s="21"/>
      <c r="L22" s="21"/>
      <c r="M22" s="21"/>
      <c r="N22" s="21"/>
      <c r="O22" s="21"/>
      <c r="P22" s="21"/>
      <c r="Q22" s="21"/>
      <c r="R22" s="21"/>
      <c r="S22" s="21"/>
      <c r="T22" s="21"/>
      <c r="U22" s="21"/>
      <c r="V22" s="21"/>
      <c r="W22" s="21"/>
      <c r="X22" s="21"/>
      <c r="Y22" s="21"/>
      <c r="Z22" s="21"/>
      <c r="AA22" s="21"/>
      <c r="AB22" s="21"/>
      <c r="AC22" s="21"/>
      <c r="AD22" s="21"/>
      <c r="AE22" s="21"/>
      <c r="AF22" s="21"/>
      <c r="AG22" s="16" t="s">
        <v>377</v>
      </c>
      <c r="AH22" s="188" t="s">
        <v>379</v>
      </c>
      <c r="AK22" s="16" t="s">
        <v>380</v>
      </c>
      <c r="AL22" s="28">
        <f t="shared" si="1"/>
        <v>3</v>
      </c>
      <c r="AM22" s="28"/>
      <c r="AN22" s="28">
        <v>0.6</v>
      </c>
      <c r="AO22" s="20" t="s">
        <v>373</v>
      </c>
      <c r="AP22" s="20" t="s">
        <v>374</v>
      </c>
      <c r="AQ22" s="21">
        <v>5</v>
      </c>
      <c r="AR22" s="20" t="s">
        <v>10</v>
      </c>
    </row>
    <row r="23" spans="1:44" ht="70" customHeight="1">
      <c r="A23" s="82" t="s">
        <v>1350</v>
      </c>
      <c r="B23" s="78" t="s">
        <v>372</v>
      </c>
      <c r="C23" s="21">
        <v>5</v>
      </c>
      <c r="D23" s="21"/>
      <c r="E23" s="115">
        <f t="shared" si="0"/>
        <v>25</v>
      </c>
      <c r="F23" s="21">
        <v>3</v>
      </c>
      <c r="G23" s="21">
        <v>4</v>
      </c>
      <c r="H23" s="21">
        <v>8</v>
      </c>
      <c r="I23" s="21">
        <v>5</v>
      </c>
      <c r="J23" s="21">
        <v>5</v>
      </c>
      <c r="K23" s="21"/>
      <c r="L23" s="21"/>
      <c r="M23" s="21"/>
      <c r="N23" s="21"/>
      <c r="O23" s="21"/>
      <c r="P23" s="21"/>
      <c r="Q23" s="21"/>
      <c r="R23" s="21"/>
      <c r="S23" s="21"/>
      <c r="T23" s="21"/>
      <c r="U23" s="21"/>
      <c r="V23" s="21"/>
      <c r="W23" s="21"/>
      <c r="X23" s="21"/>
      <c r="Y23" s="21"/>
      <c r="Z23" s="21"/>
      <c r="AA23" s="21"/>
      <c r="AB23" s="21"/>
      <c r="AC23" s="21"/>
      <c r="AD23" s="21"/>
      <c r="AE23" s="21"/>
      <c r="AF23" s="21"/>
      <c r="AG23" s="16" t="s">
        <v>377</v>
      </c>
      <c r="AH23" s="188" t="s">
        <v>379</v>
      </c>
      <c r="AK23" s="16" t="s">
        <v>381</v>
      </c>
      <c r="AL23" s="28">
        <f t="shared" si="1"/>
        <v>6</v>
      </c>
      <c r="AM23" s="28"/>
      <c r="AN23" s="28">
        <v>1.2</v>
      </c>
      <c r="AO23" s="20" t="s">
        <v>373</v>
      </c>
      <c r="AP23" s="20" t="s">
        <v>374</v>
      </c>
      <c r="AQ23" s="21">
        <v>5</v>
      </c>
      <c r="AR23" s="20" t="s">
        <v>10</v>
      </c>
    </row>
    <row r="24" spans="1:44" ht="70" customHeight="1">
      <c r="A24" s="82" t="s">
        <v>1351</v>
      </c>
      <c r="B24" s="78" t="s">
        <v>372</v>
      </c>
      <c r="C24" s="21"/>
      <c r="D24" s="21">
        <v>7</v>
      </c>
      <c r="E24" s="115">
        <f t="shared" si="0"/>
        <v>17</v>
      </c>
      <c r="F24" s="21">
        <v>1</v>
      </c>
      <c r="G24" s="21">
        <v>1</v>
      </c>
      <c r="H24" s="21">
        <v>2</v>
      </c>
      <c r="I24" s="21">
        <v>2</v>
      </c>
      <c r="J24" s="21">
        <v>3</v>
      </c>
      <c r="K24" s="21">
        <v>4</v>
      </c>
      <c r="L24" s="21">
        <v>4</v>
      </c>
      <c r="M24" s="21"/>
      <c r="N24" s="21"/>
      <c r="O24" s="21"/>
      <c r="P24" s="21"/>
      <c r="Q24" s="21"/>
      <c r="R24" s="21"/>
      <c r="S24" s="21"/>
      <c r="T24" s="21"/>
      <c r="U24" s="21"/>
      <c r="V24" s="21"/>
      <c r="W24" s="21"/>
      <c r="X24" s="21"/>
      <c r="Y24" s="21"/>
      <c r="Z24" s="21"/>
      <c r="AA24" s="21"/>
      <c r="AB24" s="21"/>
      <c r="AC24" s="21"/>
      <c r="AD24" s="21"/>
      <c r="AE24" s="21"/>
      <c r="AF24" s="21"/>
      <c r="AG24" s="16" t="s">
        <v>342</v>
      </c>
      <c r="AL24" s="28">
        <f t="shared" si="1"/>
        <v>3</v>
      </c>
      <c r="AM24" s="28"/>
      <c r="AN24" s="28">
        <v>0.6</v>
      </c>
      <c r="AO24" s="20" t="s">
        <v>373</v>
      </c>
      <c r="AP24" s="20" t="s">
        <v>374</v>
      </c>
      <c r="AQ24" s="21" t="s">
        <v>10</v>
      </c>
      <c r="AR24" s="20" t="s">
        <v>92</v>
      </c>
    </row>
    <row r="25" spans="1:44" s="25" customFormat="1" ht="70" customHeight="1">
      <c r="A25" s="82" t="s">
        <v>1352</v>
      </c>
      <c r="B25" s="79" t="s">
        <v>372</v>
      </c>
      <c r="C25" s="27">
        <v>4</v>
      </c>
      <c r="D25" s="27"/>
      <c r="E25" s="115">
        <f t="shared" si="0"/>
        <v>16</v>
      </c>
      <c r="F25" s="27">
        <v>3</v>
      </c>
      <c r="G25" s="27">
        <v>5</v>
      </c>
      <c r="H25" s="27">
        <v>4</v>
      </c>
      <c r="I25" s="27">
        <v>4</v>
      </c>
      <c r="J25" s="27"/>
      <c r="K25" s="27"/>
      <c r="L25" s="27"/>
      <c r="M25" s="27"/>
      <c r="N25" s="27"/>
      <c r="O25" s="27"/>
      <c r="P25" s="27"/>
      <c r="Q25" s="27"/>
      <c r="R25" s="27"/>
      <c r="S25" s="27"/>
      <c r="T25" s="27"/>
      <c r="U25" s="27"/>
      <c r="V25" s="27"/>
      <c r="W25" s="27"/>
      <c r="X25" s="27"/>
      <c r="Y25" s="27"/>
      <c r="Z25" s="27"/>
      <c r="AA25" s="27"/>
      <c r="AB25" s="27"/>
      <c r="AC25" s="27"/>
      <c r="AD25" s="27"/>
      <c r="AE25" s="27"/>
      <c r="AF25" s="27"/>
      <c r="AG25" s="26" t="s">
        <v>377</v>
      </c>
      <c r="AH25" s="188" t="s">
        <v>447</v>
      </c>
      <c r="AI25" s="188"/>
      <c r="AJ25" s="188"/>
      <c r="AK25" s="26" t="s">
        <v>412</v>
      </c>
      <c r="AL25" s="121">
        <f t="shared" si="1"/>
        <v>3</v>
      </c>
      <c r="AM25" s="121"/>
      <c r="AN25" s="121">
        <v>0.6</v>
      </c>
      <c r="AO25" s="25" t="s">
        <v>373</v>
      </c>
      <c r="AP25" s="25" t="s">
        <v>374</v>
      </c>
      <c r="AQ25" s="27">
        <v>5</v>
      </c>
      <c r="AR25" s="25" t="s">
        <v>10</v>
      </c>
    </row>
    <row r="26" spans="1:44" s="25" customFormat="1" ht="70" customHeight="1">
      <c r="A26" s="82" t="s">
        <v>1353</v>
      </c>
      <c r="B26" s="79" t="s">
        <v>372</v>
      </c>
      <c r="C26" s="27">
        <v>4</v>
      </c>
      <c r="D26" s="27"/>
      <c r="E26" s="115">
        <f t="shared" si="0"/>
        <v>37</v>
      </c>
      <c r="F26" s="27">
        <v>11</v>
      </c>
      <c r="G26" s="27">
        <v>5</v>
      </c>
      <c r="H26" s="27">
        <v>9</v>
      </c>
      <c r="I26" s="27">
        <v>12</v>
      </c>
      <c r="J26" s="27"/>
      <c r="K26" s="27"/>
      <c r="L26" s="27"/>
      <c r="M26" s="27"/>
      <c r="N26" s="27"/>
      <c r="O26" s="27"/>
      <c r="P26" s="27"/>
      <c r="Q26" s="27"/>
      <c r="R26" s="27"/>
      <c r="S26" s="27"/>
      <c r="T26" s="27"/>
      <c r="U26" s="27"/>
      <c r="V26" s="27"/>
      <c r="W26" s="27"/>
      <c r="X26" s="27"/>
      <c r="Y26" s="27"/>
      <c r="Z26" s="27"/>
      <c r="AA26" s="27"/>
      <c r="AB26" s="27"/>
      <c r="AC26" s="27"/>
      <c r="AD26" s="27"/>
      <c r="AE26" s="27"/>
      <c r="AF26" s="27"/>
      <c r="AG26" s="26" t="s">
        <v>377</v>
      </c>
      <c r="AH26" s="188" t="s">
        <v>447</v>
      </c>
      <c r="AI26" s="188"/>
      <c r="AJ26" s="188"/>
      <c r="AK26" s="26" t="s">
        <v>411</v>
      </c>
      <c r="AL26" s="121">
        <f t="shared" si="1"/>
        <v>5</v>
      </c>
      <c r="AM26" s="121"/>
      <c r="AN26" s="121">
        <v>1</v>
      </c>
      <c r="AO26" s="25" t="s">
        <v>373</v>
      </c>
      <c r="AP26" s="25" t="s">
        <v>374</v>
      </c>
      <c r="AQ26" s="27">
        <v>10</v>
      </c>
      <c r="AR26" s="25" t="s">
        <v>10</v>
      </c>
    </row>
    <row r="27" spans="1:44" s="25" customFormat="1" ht="70" customHeight="1">
      <c r="A27" s="82" t="s">
        <v>1354</v>
      </c>
      <c r="B27" s="79" t="s">
        <v>372</v>
      </c>
      <c r="C27" s="27">
        <v>6</v>
      </c>
      <c r="D27" s="27"/>
      <c r="E27" s="115">
        <f t="shared" si="0"/>
        <v>49</v>
      </c>
      <c r="F27" s="27">
        <v>7</v>
      </c>
      <c r="G27" s="27">
        <v>12</v>
      </c>
      <c r="H27" s="27">
        <v>7</v>
      </c>
      <c r="I27" s="27">
        <v>10</v>
      </c>
      <c r="J27" s="27">
        <v>7</v>
      </c>
      <c r="K27" s="27">
        <v>6</v>
      </c>
      <c r="L27" s="27"/>
      <c r="M27" s="27"/>
      <c r="N27" s="27"/>
      <c r="O27" s="27"/>
      <c r="P27" s="27"/>
      <c r="Q27" s="27"/>
      <c r="R27" s="27"/>
      <c r="S27" s="27"/>
      <c r="T27" s="27"/>
      <c r="U27" s="27"/>
      <c r="V27" s="27"/>
      <c r="W27" s="27"/>
      <c r="X27" s="27"/>
      <c r="Y27" s="27"/>
      <c r="Z27" s="27"/>
      <c r="AA27" s="27"/>
      <c r="AB27" s="27"/>
      <c r="AC27" s="27"/>
      <c r="AD27" s="27"/>
      <c r="AE27" s="27"/>
      <c r="AF27" s="27"/>
      <c r="AG27" s="26" t="s">
        <v>377</v>
      </c>
      <c r="AH27" s="188" t="s">
        <v>448</v>
      </c>
      <c r="AI27" s="188"/>
      <c r="AJ27" s="188"/>
      <c r="AK27" s="26" t="s">
        <v>449</v>
      </c>
      <c r="AL27" s="121">
        <f t="shared" si="1"/>
        <v>7.5</v>
      </c>
      <c r="AM27" s="121"/>
      <c r="AN27" s="121">
        <v>1.5</v>
      </c>
      <c r="AO27" s="25" t="s">
        <v>373</v>
      </c>
      <c r="AP27" s="25" t="s">
        <v>374</v>
      </c>
      <c r="AQ27" s="27">
        <v>15</v>
      </c>
      <c r="AR27" s="25" t="s">
        <v>10</v>
      </c>
    </row>
    <row r="28" spans="1:44" s="25" customFormat="1" ht="70" customHeight="1">
      <c r="A28" s="82" t="s">
        <v>1355</v>
      </c>
      <c r="B28" s="79" t="s">
        <v>372</v>
      </c>
      <c r="C28" s="27">
        <v>6</v>
      </c>
      <c r="D28" s="27"/>
      <c r="E28" s="115">
        <f t="shared" si="0"/>
        <v>45</v>
      </c>
      <c r="F28" s="27">
        <v>8</v>
      </c>
      <c r="G28" s="27">
        <v>7</v>
      </c>
      <c r="H28" s="27">
        <v>8</v>
      </c>
      <c r="I28" s="27">
        <v>8</v>
      </c>
      <c r="J28" s="27">
        <v>10</v>
      </c>
      <c r="K28" s="27">
        <v>4</v>
      </c>
      <c r="L28" s="27"/>
      <c r="M28" s="27"/>
      <c r="N28" s="27"/>
      <c r="O28" s="27"/>
      <c r="P28" s="27"/>
      <c r="Q28" s="27"/>
      <c r="R28" s="27"/>
      <c r="S28" s="27"/>
      <c r="T28" s="27"/>
      <c r="U28" s="27"/>
      <c r="V28" s="27"/>
      <c r="W28" s="27"/>
      <c r="X28" s="27"/>
      <c r="Y28" s="27"/>
      <c r="Z28" s="27"/>
      <c r="AA28" s="27"/>
      <c r="AB28" s="27"/>
      <c r="AC28" s="27"/>
      <c r="AD28" s="27"/>
      <c r="AE28" s="27"/>
      <c r="AF28" s="27"/>
      <c r="AG28" s="26" t="s">
        <v>377</v>
      </c>
      <c r="AH28" s="188" t="s">
        <v>448</v>
      </c>
      <c r="AI28" s="188"/>
      <c r="AJ28" s="188"/>
      <c r="AK28" s="26" t="s">
        <v>414</v>
      </c>
      <c r="AL28" s="121">
        <f t="shared" si="1"/>
        <v>6</v>
      </c>
      <c r="AM28" s="121"/>
      <c r="AN28" s="121">
        <v>1.2</v>
      </c>
      <c r="AO28" s="25" t="s">
        <v>373</v>
      </c>
      <c r="AP28" s="25" t="s">
        <v>374</v>
      </c>
      <c r="AQ28" s="27">
        <v>10</v>
      </c>
      <c r="AR28" s="25" t="s">
        <v>10</v>
      </c>
    </row>
    <row r="29" spans="1:44" ht="70" customHeight="1">
      <c r="A29" s="82" t="s">
        <v>1356</v>
      </c>
      <c r="B29" s="78" t="s">
        <v>392</v>
      </c>
      <c r="C29" s="21">
        <v>7</v>
      </c>
      <c r="D29" s="21"/>
      <c r="E29" s="115">
        <f t="shared" si="0"/>
        <v>120</v>
      </c>
      <c r="F29" s="21">
        <v>22</v>
      </c>
      <c r="G29" s="142">
        <v>14</v>
      </c>
      <c r="H29" s="143">
        <v>9</v>
      </c>
      <c r="I29" s="143">
        <v>18</v>
      </c>
      <c r="J29" s="145">
        <v>22</v>
      </c>
      <c r="K29" s="144">
        <v>25</v>
      </c>
      <c r="L29" s="142">
        <v>10</v>
      </c>
      <c r="M29" s="21"/>
      <c r="N29" s="21"/>
      <c r="O29" s="21"/>
      <c r="P29" s="21"/>
      <c r="Q29" s="21"/>
      <c r="R29" s="21"/>
      <c r="S29" s="21"/>
      <c r="T29" s="21"/>
      <c r="U29" s="21"/>
      <c r="V29" s="21"/>
      <c r="W29" s="21"/>
      <c r="X29" s="21"/>
      <c r="Y29" s="21"/>
      <c r="Z29" s="21"/>
      <c r="AA29" s="21"/>
      <c r="AB29" s="21"/>
      <c r="AC29" s="21"/>
      <c r="AD29" s="21"/>
      <c r="AE29" s="21"/>
      <c r="AF29" s="21"/>
      <c r="AG29" s="16" t="s">
        <v>395</v>
      </c>
      <c r="AH29" s="188" t="s">
        <v>98</v>
      </c>
      <c r="AK29" s="16" t="s">
        <v>397</v>
      </c>
      <c r="AL29" s="28">
        <f t="shared" si="1"/>
        <v>21.500000000000004</v>
      </c>
      <c r="AM29" s="153" t="s">
        <v>1862</v>
      </c>
      <c r="AN29" s="28">
        <f>0.9+0.9+1.1+0.5+0.9</f>
        <v>4.3000000000000007</v>
      </c>
      <c r="AO29" s="20" t="s">
        <v>393</v>
      </c>
      <c r="AP29" s="20" t="s">
        <v>468</v>
      </c>
      <c r="AQ29" s="21">
        <v>10</v>
      </c>
      <c r="AR29" s="20" t="s">
        <v>10</v>
      </c>
    </row>
    <row r="30" spans="1:44" ht="70" customHeight="1">
      <c r="A30" s="82" t="s">
        <v>1357</v>
      </c>
      <c r="B30" s="78" t="s">
        <v>392</v>
      </c>
      <c r="C30" s="21">
        <v>5</v>
      </c>
      <c r="D30" s="21"/>
      <c r="E30" s="115">
        <f t="shared" si="0"/>
        <v>73</v>
      </c>
      <c r="F30" s="21">
        <v>14</v>
      </c>
      <c r="G30" s="21">
        <v>11</v>
      </c>
      <c r="H30" s="21">
        <v>11</v>
      </c>
      <c r="I30" s="21">
        <v>21</v>
      </c>
      <c r="J30" s="21">
        <v>16</v>
      </c>
      <c r="K30" s="21"/>
      <c r="L30" s="21"/>
      <c r="M30" s="21"/>
      <c r="N30" s="21"/>
      <c r="O30" s="21"/>
      <c r="P30" s="21"/>
      <c r="Q30" s="21"/>
      <c r="R30" s="21"/>
      <c r="S30" s="21"/>
      <c r="T30" s="21"/>
      <c r="U30" s="21"/>
      <c r="V30" s="21"/>
      <c r="W30" s="21"/>
      <c r="X30" s="21"/>
      <c r="Y30" s="21"/>
      <c r="Z30" s="21"/>
      <c r="AA30" s="21"/>
      <c r="AB30" s="21"/>
      <c r="AC30" s="21"/>
      <c r="AD30" s="21"/>
      <c r="AE30" s="21"/>
      <c r="AF30" s="21"/>
      <c r="AG30" s="16" t="s">
        <v>395</v>
      </c>
      <c r="AH30" s="188" t="s">
        <v>98</v>
      </c>
      <c r="AK30" s="16" t="s">
        <v>398</v>
      </c>
      <c r="AL30" s="28">
        <f t="shared" si="1"/>
        <v>12.5</v>
      </c>
      <c r="AM30" s="28"/>
      <c r="AN30" s="28">
        <v>2.5</v>
      </c>
      <c r="AO30" s="20" t="s">
        <v>393</v>
      </c>
      <c r="AP30" s="20" t="s">
        <v>468</v>
      </c>
      <c r="AQ30" s="21">
        <v>15</v>
      </c>
      <c r="AR30" s="20" t="s">
        <v>10</v>
      </c>
    </row>
    <row r="31" spans="1:44" ht="70" customHeight="1">
      <c r="A31" s="82" t="s">
        <v>1358</v>
      </c>
      <c r="B31" s="78" t="s">
        <v>392</v>
      </c>
      <c r="C31" s="21">
        <v>5</v>
      </c>
      <c r="D31" s="21"/>
      <c r="E31" s="115">
        <f t="shared" si="0"/>
        <v>67</v>
      </c>
      <c r="F31" s="21">
        <v>14</v>
      </c>
      <c r="G31" s="21">
        <v>18</v>
      </c>
      <c r="H31" s="21">
        <v>8</v>
      </c>
      <c r="I31" s="21">
        <v>11</v>
      </c>
      <c r="J31" s="21">
        <v>16</v>
      </c>
      <c r="K31" s="21"/>
      <c r="L31" s="21"/>
      <c r="M31" s="21"/>
      <c r="N31" s="21"/>
      <c r="O31" s="21"/>
      <c r="P31" s="21"/>
      <c r="Q31" s="21"/>
      <c r="R31" s="21"/>
      <c r="S31" s="21"/>
      <c r="T31" s="21"/>
      <c r="U31" s="21"/>
      <c r="V31" s="21"/>
      <c r="W31" s="21"/>
      <c r="X31" s="21"/>
      <c r="Y31" s="21"/>
      <c r="Z31" s="21"/>
      <c r="AA31" s="21"/>
      <c r="AB31" s="21"/>
      <c r="AC31" s="21"/>
      <c r="AD31" s="21"/>
      <c r="AE31" s="21"/>
      <c r="AF31" s="21"/>
      <c r="AG31" s="16" t="s">
        <v>395</v>
      </c>
      <c r="AH31" s="188" t="s">
        <v>396</v>
      </c>
      <c r="AK31" s="16" t="s">
        <v>399</v>
      </c>
      <c r="AL31" s="28">
        <f t="shared" si="1"/>
        <v>10</v>
      </c>
      <c r="AM31" s="28"/>
      <c r="AN31" s="28">
        <v>2</v>
      </c>
      <c r="AO31" s="20" t="s">
        <v>393</v>
      </c>
      <c r="AP31" s="20" t="s">
        <v>468</v>
      </c>
      <c r="AQ31" s="21">
        <v>20</v>
      </c>
      <c r="AR31" s="20" t="s">
        <v>10</v>
      </c>
    </row>
    <row r="32" spans="1:44" ht="70" customHeight="1">
      <c r="A32" s="82" t="s">
        <v>1359</v>
      </c>
      <c r="B32" s="78" t="s">
        <v>392</v>
      </c>
      <c r="C32" s="21">
        <v>4</v>
      </c>
      <c r="D32" s="21"/>
      <c r="E32" s="115">
        <f t="shared" si="0"/>
        <v>57</v>
      </c>
      <c r="F32" s="21">
        <v>12</v>
      </c>
      <c r="G32" s="21">
        <v>17</v>
      </c>
      <c r="H32" s="21">
        <v>13</v>
      </c>
      <c r="I32" s="21">
        <v>15</v>
      </c>
      <c r="J32" s="21"/>
      <c r="K32" s="21"/>
      <c r="L32" s="21"/>
      <c r="M32" s="21"/>
      <c r="N32" s="21"/>
      <c r="O32" s="21"/>
      <c r="P32" s="21"/>
      <c r="Q32" s="21"/>
      <c r="R32" s="21"/>
      <c r="S32" s="21"/>
      <c r="T32" s="21"/>
      <c r="U32" s="21"/>
      <c r="V32" s="21"/>
      <c r="W32" s="21"/>
      <c r="X32" s="21"/>
      <c r="Y32" s="21"/>
      <c r="Z32" s="21"/>
      <c r="AA32" s="21"/>
      <c r="AB32" s="21"/>
      <c r="AC32" s="21"/>
      <c r="AD32" s="21"/>
      <c r="AE32" s="21"/>
      <c r="AF32" s="21"/>
      <c r="AG32" s="16" t="s">
        <v>395</v>
      </c>
      <c r="AH32" s="188" t="s">
        <v>396</v>
      </c>
      <c r="AK32" s="16" t="s">
        <v>400</v>
      </c>
      <c r="AL32" s="28">
        <f t="shared" si="1"/>
        <v>12.5</v>
      </c>
      <c r="AM32" s="28"/>
      <c r="AN32" s="28">
        <v>2.5</v>
      </c>
      <c r="AO32" s="20" t="s">
        <v>393</v>
      </c>
      <c r="AP32" s="20" t="s">
        <v>468</v>
      </c>
      <c r="AQ32" s="21">
        <v>10</v>
      </c>
      <c r="AR32" s="20" t="s">
        <v>10</v>
      </c>
    </row>
    <row r="33" spans="1:44" s="25" customFormat="1" ht="70" customHeight="1">
      <c r="A33" s="82" t="s">
        <v>1360</v>
      </c>
      <c r="B33" s="79" t="s">
        <v>392</v>
      </c>
      <c r="C33" s="27">
        <v>2</v>
      </c>
      <c r="D33" s="27"/>
      <c r="E33" s="115">
        <f t="shared" si="0"/>
        <v>43</v>
      </c>
      <c r="F33" s="27">
        <v>25</v>
      </c>
      <c r="G33" s="27">
        <v>18</v>
      </c>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6" t="s">
        <v>395</v>
      </c>
      <c r="AH33" s="188" t="s">
        <v>455</v>
      </c>
      <c r="AI33" s="188"/>
      <c r="AJ33" s="188"/>
      <c r="AK33" s="26" t="s">
        <v>436</v>
      </c>
      <c r="AL33" s="121">
        <f t="shared" si="1"/>
        <v>7.5</v>
      </c>
      <c r="AM33" s="121"/>
      <c r="AN33" s="121">
        <v>1.5</v>
      </c>
      <c r="AO33" s="25" t="s">
        <v>393</v>
      </c>
      <c r="AP33" s="25" t="s">
        <v>468</v>
      </c>
      <c r="AQ33" s="27">
        <v>15</v>
      </c>
      <c r="AR33" s="25" t="s">
        <v>10</v>
      </c>
    </row>
    <row r="34" spans="1:44" s="25" customFormat="1" ht="70" customHeight="1">
      <c r="A34" s="82" t="s">
        <v>1361</v>
      </c>
      <c r="B34" s="79" t="s">
        <v>392</v>
      </c>
      <c r="C34" s="27">
        <v>2</v>
      </c>
      <c r="D34" s="27"/>
      <c r="E34" s="115">
        <f t="shared" si="0"/>
        <v>34</v>
      </c>
      <c r="F34" s="27">
        <v>18</v>
      </c>
      <c r="G34" s="27">
        <v>16</v>
      </c>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6" t="s">
        <v>395</v>
      </c>
      <c r="AH34" s="188" t="s">
        <v>455</v>
      </c>
      <c r="AI34" s="188"/>
      <c r="AJ34" s="188"/>
      <c r="AK34" s="26" t="s">
        <v>437</v>
      </c>
      <c r="AL34" s="121">
        <f t="shared" si="1"/>
        <v>5</v>
      </c>
      <c r="AM34" s="121"/>
      <c r="AN34" s="121">
        <v>1</v>
      </c>
      <c r="AO34" s="25" t="s">
        <v>393</v>
      </c>
      <c r="AP34" s="25" t="s">
        <v>468</v>
      </c>
      <c r="AQ34" s="27">
        <v>15</v>
      </c>
      <c r="AR34" s="25" t="s">
        <v>10</v>
      </c>
    </row>
    <row r="35" spans="1:44" s="25" customFormat="1" ht="70" customHeight="1">
      <c r="A35" s="82" t="s">
        <v>1362</v>
      </c>
      <c r="B35" s="79" t="s">
        <v>392</v>
      </c>
      <c r="C35" s="27">
        <v>5</v>
      </c>
      <c r="D35" s="27"/>
      <c r="E35" s="115">
        <f t="shared" si="0"/>
        <v>102</v>
      </c>
      <c r="F35" s="146">
        <v>10</v>
      </c>
      <c r="G35" s="142">
        <v>20</v>
      </c>
      <c r="H35" s="143">
        <v>28</v>
      </c>
      <c r="I35" s="145">
        <v>24</v>
      </c>
      <c r="J35" s="144">
        <v>20</v>
      </c>
      <c r="K35" s="27"/>
      <c r="L35" s="27"/>
      <c r="M35" s="27"/>
      <c r="N35" s="27"/>
      <c r="O35" s="27"/>
      <c r="P35" s="27"/>
      <c r="Q35" s="27"/>
      <c r="R35" s="27"/>
      <c r="S35" s="27"/>
      <c r="T35" s="27"/>
      <c r="U35" s="27"/>
      <c r="V35" s="27"/>
      <c r="W35" s="27"/>
      <c r="X35" s="27"/>
      <c r="Y35" s="27"/>
      <c r="Z35" s="27"/>
      <c r="AA35" s="27"/>
      <c r="AB35" s="27"/>
      <c r="AC35" s="27"/>
      <c r="AD35" s="27"/>
      <c r="AE35" s="27"/>
      <c r="AF35" s="27"/>
      <c r="AG35" s="26" t="s">
        <v>395</v>
      </c>
      <c r="AH35" s="188" t="s">
        <v>456</v>
      </c>
      <c r="AI35" s="188"/>
      <c r="AJ35" s="188"/>
      <c r="AK35" s="26" t="s">
        <v>439</v>
      </c>
      <c r="AL35" s="121">
        <f t="shared" si="1"/>
        <v>20.5</v>
      </c>
      <c r="AM35" s="154" t="s">
        <v>1863</v>
      </c>
      <c r="AN35" s="121">
        <f>0.5+0.9+1.1+0.9+0.7</f>
        <v>4.0999999999999996</v>
      </c>
      <c r="AO35" s="25" t="s">
        <v>393</v>
      </c>
      <c r="AP35" s="25" t="s">
        <v>468</v>
      </c>
      <c r="AQ35" s="27" t="s">
        <v>38</v>
      </c>
      <c r="AR35" s="25" t="s">
        <v>10</v>
      </c>
    </row>
    <row r="36" spans="1:44" ht="70" customHeight="1">
      <c r="A36" s="82" t="s">
        <v>1363</v>
      </c>
      <c r="B36" s="78" t="s">
        <v>470</v>
      </c>
      <c r="C36" s="21">
        <v>13</v>
      </c>
      <c r="D36" s="21">
        <v>1</v>
      </c>
      <c r="E36" s="115">
        <f t="shared" si="0"/>
        <v>122</v>
      </c>
      <c r="F36" s="21">
        <v>12</v>
      </c>
      <c r="G36" s="142">
        <v>16</v>
      </c>
      <c r="H36" s="143">
        <v>6</v>
      </c>
      <c r="I36" s="142">
        <v>8</v>
      </c>
      <c r="J36" s="21">
        <v>12</v>
      </c>
      <c r="K36" s="143">
        <v>10</v>
      </c>
      <c r="L36" s="143">
        <v>9</v>
      </c>
      <c r="M36" s="145">
        <v>10</v>
      </c>
      <c r="N36" s="145">
        <v>7</v>
      </c>
      <c r="O36" s="144">
        <v>5</v>
      </c>
      <c r="P36" s="145">
        <v>7</v>
      </c>
      <c r="Q36" s="144">
        <v>11</v>
      </c>
      <c r="R36" s="144">
        <v>6</v>
      </c>
      <c r="S36" s="144">
        <v>3</v>
      </c>
      <c r="T36" s="21"/>
      <c r="U36" s="21"/>
      <c r="V36" s="21"/>
      <c r="W36" s="21"/>
      <c r="X36" s="21"/>
      <c r="Y36" s="21"/>
      <c r="Z36" s="21"/>
      <c r="AA36" s="21"/>
      <c r="AB36" s="21"/>
      <c r="AC36" s="21"/>
      <c r="AD36" s="21"/>
      <c r="AE36" s="21"/>
      <c r="AF36" s="21"/>
      <c r="AG36" s="16" t="s">
        <v>324</v>
      </c>
      <c r="AH36" s="188" t="s">
        <v>41</v>
      </c>
      <c r="AK36" s="16" t="s">
        <v>325</v>
      </c>
      <c r="AL36" s="28">
        <f t="shared" si="1"/>
        <v>40.5</v>
      </c>
      <c r="AM36" s="153" t="s">
        <v>1864</v>
      </c>
      <c r="AN36" s="28">
        <f>1.5+1.1+1.5+2+2</f>
        <v>8.1</v>
      </c>
      <c r="AO36" s="20" t="s">
        <v>321</v>
      </c>
      <c r="AP36" s="20" t="s">
        <v>322</v>
      </c>
      <c r="AQ36" s="21">
        <v>15</v>
      </c>
      <c r="AR36" s="20" t="s">
        <v>10</v>
      </c>
    </row>
    <row r="37" spans="1:44" ht="70" customHeight="1">
      <c r="A37" s="82" t="s">
        <v>1364</v>
      </c>
      <c r="B37" s="78" t="s">
        <v>470</v>
      </c>
      <c r="C37" s="21">
        <v>9</v>
      </c>
      <c r="D37" s="21"/>
      <c r="E37" s="115">
        <f t="shared" si="0"/>
        <v>71</v>
      </c>
      <c r="F37" s="21">
        <v>9</v>
      </c>
      <c r="G37" s="21">
        <v>7</v>
      </c>
      <c r="H37" s="21">
        <v>6</v>
      </c>
      <c r="I37" s="21">
        <v>11</v>
      </c>
      <c r="J37" s="21">
        <v>12</v>
      </c>
      <c r="K37" s="21">
        <v>7</v>
      </c>
      <c r="L37" s="21">
        <v>8</v>
      </c>
      <c r="M37" s="21">
        <v>5</v>
      </c>
      <c r="N37" s="21">
        <v>6</v>
      </c>
      <c r="O37" s="21"/>
      <c r="P37" s="21"/>
      <c r="Q37" s="21"/>
      <c r="R37" s="21"/>
      <c r="S37" s="21"/>
      <c r="T37" s="21"/>
      <c r="U37" s="21"/>
      <c r="V37" s="21"/>
      <c r="W37" s="21"/>
      <c r="X37" s="21"/>
      <c r="Y37" s="21"/>
      <c r="Z37" s="21"/>
      <c r="AA37" s="21"/>
      <c r="AB37" s="21"/>
      <c r="AC37" s="21"/>
      <c r="AD37" s="21"/>
      <c r="AE37" s="21"/>
      <c r="AF37" s="21"/>
      <c r="AG37" s="16" t="s">
        <v>324</v>
      </c>
      <c r="AH37" s="188" t="s">
        <v>326</v>
      </c>
      <c r="AK37" s="16" t="s">
        <v>327</v>
      </c>
      <c r="AL37" s="28">
        <f t="shared" si="1"/>
        <v>25</v>
      </c>
      <c r="AM37" s="28"/>
      <c r="AN37" s="28">
        <v>5</v>
      </c>
      <c r="AO37" s="20" t="s">
        <v>321</v>
      </c>
      <c r="AP37" s="20" t="s">
        <v>322</v>
      </c>
      <c r="AQ37" s="21">
        <v>10</v>
      </c>
      <c r="AR37" s="20" t="s">
        <v>10</v>
      </c>
    </row>
    <row r="38" spans="1:44" ht="70" customHeight="1">
      <c r="A38" s="82" t="s">
        <v>1365</v>
      </c>
      <c r="B38" s="78" t="s">
        <v>470</v>
      </c>
      <c r="C38" s="21">
        <v>9</v>
      </c>
      <c r="D38" s="21"/>
      <c r="E38" s="115">
        <f t="shared" si="0"/>
        <v>93</v>
      </c>
      <c r="F38" s="21">
        <v>7</v>
      </c>
      <c r="G38" s="21">
        <v>13</v>
      </c>
      <c r="H38" s="21">
        <v>9</v>
      </c>
      <c r="I38" s="21">
        <v>12</v>
      </c>
      <c r="J38" s="21">
        <v>14</v>
      </c>
      <c r="K38" s="21">
        <v>13</v>
      </c>
      <c r="L38" s="21">
        <v>7</v>
      </c>
      <c r="M38" s="21">
        <v>8</v>
      </c>
      <c r="N38" s="21">
        <v>10</v>
      </c>
      <c r="O38" s="21"/>
      <c r="P38" s="21"/>
      <c r="Q38" s="21"/>
      <c r="R38" s="21"/>
      <c r="S38" s="21"/>
      <c r="T38" s="21"/>
      <c r="U38" s="21"/>
      <c r="V38" s="21"/>
      <c r="W38" s="21"/>
      <c r="X38" s="21"/>
      <c r="Y38" s="21"/>
      <c r="Z38" s="21"/>
      <c r="AA38" s="21"/>
      <c r="AB38" s="21"/>
      <c r="AC38" s="21"/>
      <c r="AD38" s="21"/>
      <c r="AE38" s="21"/>
      <c r="AF38" s="21"/>
      <c r="AG38" s="16" t="s">
        <v>323</v>
      </c>
      <c r="AH38" s="188" t="s">
        <v>100</v>
      </c>
      <c r="AK38" s="16" t="s">
        <v>328</v>
      </c>
      <c r="AL38" s="28">
        <f t="shared" si="1"/>
        <v>30</v>
      </c>
      <c r="AM38" s="28"/>
      <c r="AN38" s="28">
        <v>6</v>
      </c>
      <c r="AO38" s="20" t="s">
        <v>321</v>
      </c>
      <c r="AP38" s="20" t="s">
        <v>322</v>
      </c>
      <c r="AQ38" s="21">
        <v>15</v>
      </c>
      <c r="AR38" s="20" t="s">
        <v>10</v>
      </c>
    </row>
    <row r="39" spans="1:44" ht="70" customHeight="1">
      <c r="A39" s="82" t="s">
        <v>1366</v>
      </c>
      <c r="B39" s="78" t="s">
        <v>470</v>
      </c>
      <c r="C39" s="21">
        <v>8</v>
      </c>
      <c r="D39" s="21"/>
      <c r="E39" s="115">
        <f t="shared" si="0"/>
        <v>92</v>
      </c>
      <c r="F39" s="21">
        <v>9</v>
      </c>
      <c r="G39" s="21">
        <v>12</v>
      </c>
      <c r="H39" s="21">
        <v>9</v>
      </c>
      <c r="I39" s="21">
        <v>7</v>
      </c>
      <c r="J39" s="21">
        <v>6</v>
      </c>
      <c r="K39" s="21">
        <v>26</v>
      </c>
      <c r="L39" s="21">
        <v>12</v>
      </c>
      <c r="M39" s="21">
        <v>11</v>
      </c>
      <c r="N39" s="21"/>
      <c r="O39" s="21"/>
      <c r="P39" s="21"/>
      <c r="Q39" s="21"/>
      <c r="R39" s="21"/>
      <c r="S39" s="21"/>
      <c r="T39" s="21"/>
      <c r="U39" s="21"/>
      <c r="V39" s="21"/>
      <c r="W39" s="21"/>
      <c r="X39" s="21"/>
      <c r="Y39" s="21"/>
      <c r="Z39" s="21"/>
      <c r="AA39" s="21"/>
      <c r="AB39" s="21"/>
      <c r="AC39" s="21"/>
      <c r="AD39" s="21"/>
      <c r="AE39" s="21"/>
      <c r="AF39" s="21"/>
      <c r="AG39" s="16" t="s">
        <v>323</v>
      </c>
      <c r="AH39" s="188" t="s">
        <v>100</v>
      </c>
      <c r="AK39" s="16" t="s">
        <v>325</v>
      </c>
      <c r="AL39" s="28">
        <f t="shared" si="1"/>
        <v>25</v>
      </c>
      <c r="AM39" s="28"/>
      <c r="AN39" s="28">
        <v>5</v>
      </c>
      <c r="AO39" s="20" t="s">
        <v>321</v>
      </c>
      <c r="AP39" s="20" t="s">
        <v>322</v>
      </c>
      <c r="AQ39" s="21">
        <v>10</v>
      </c>
      <c r="AR39" s="20" t="s">
        <v>10</v>
      </c>
    </row>
    <row r="40" spans="1:44" ht="70" customHeight="1">
      <c r="A40" s="82" t="s">
        <v>1367</v>
      </c>
      <c r="B40" s="78" t="s">
        <v>470</v>
      </c>
      <c r="C40" s="21"/>
      <c r="D40" s="21">
        <v>19</v>
      </c>
      <c r="E40" s="115">
        <f t="shared" si="0"/>
        <v>72</v>
      </c>
      <c r="F40" s="21">
        <v>2</v>
      </c>
      <c r="G40" s="21">
        <v>3</v>
      </c>
      <c r="H40" s="21">
        <v>3</v>
      </c>
      <c r="I40" s="21">
        <v>3</v>
      </c>
      <c r="J40" s="21">
        <v>3</v>
      </c>
      <c r="K40" s="21">
        <v>3</v>
      </c>
      <c r="L40" s="21">
        <v>3</v>
      </c>
      <c r="M40" s="21">
        <v>3</v>
      </c>
      <c r="N40" s="21">
        <v>3</v>
      </c>
      <c r="O40" s="21">
        <v>4</v>
      </c>
      <c r="P40" s="21">
        <v>4</v>
      </c>
      <c r="Q40" s="21">
        <v>4</v>
      </c>
      <c r="R40" s="21">
        <v>4</v>
      </c>
      <c r="S40" s="21">
        <v>4</v>
      </c>
      <c r="T40" s="21">
        <v>4</v>
      </c>
      <c r="U40" s="21">
        <v>5</v>
      </c>
      <c r="V40" s="21">
        <v>5</v>
      </c>
      <c r="W40" s="21">
        <v>6</v>
      </c>
      <c r="X40" s="21">
        <v>6</v>
      </c>
      <c r="Y40" s="21"/>
      <c r="Z40" s="21"/>
      <c r="AA40" s="21"/>
      <c r="AB40" s="21"/>
      <c r="AC40" s="21"/>
      <c r="AD40" s="21"/>
      <c r="AE40" s="21"/>
      <c r="AF40" s="21"/>
      <c r="AG40" s="16" t="s">
        <v>323</v>
      </c>
      <c r="AH40" s="188" t="s">
        <v>329</v>
      </c>
      <c r="AK40" s="16" t="s">
        <v>327</v>
      </c>
      <c r="AL40" s="28">
        <f t="shared" si="1"/>
        <v>30</v>
      </c>
      <c r="AM40" s="28"/>
      <c r="AN40" s="28">
        <v>6</v>
      </c>
      <c r="AO40" s="20" t="s">
        <v>321</v>
      </c>
      <c r="AP40" s="20" t="s">
        <v>322</v>
      </c>
      <c r="AQ40" s="21">
        <v>10</v>
      </c>
      <c r="AR40" s="20" t="s">
        <v>10</v>
      </c>
    </row>
    <row r="41" spans="1:44" s="48" customFormat="1" ht="70" customHeight="1">
      <c r="A41" s="82" t="s">
        <v>1368</v>
      </c>
      <c r="B41" s="80" t="s">
        <v>364</v>
      </c>
      <c r="C41" s="24">
        <v>2</v>
      </c>
      <c r="D41" s="24"/>
      <c r="E41" s="115">
        <f t="shared" si="0"/>
        <v>6</v>
      </c>
      <c r="F41" s="24">
        <v>3</v>
      </c>
      <c r="G41" s="24">
        <v>3</v>
      </c>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49" t="s">
        <v>367</v>
      </c>
      <c r="AH41" s="188" t="s">
        <v>366</v>
      </c>
      <c r="AI41" s="188"/>
      <c r="AJ41" s="188"/>
      <c r="AK41" s="49"/>
      <c r="AL41" s="38">
        <f t="shared" si="1"/>
        <v>2</v>
      </c>
      <c r="AM41" s="38"/>
      <c r="AN41" s="38">
        <v>0.4</v>
      </c>
      <c r="AO41" s="48" t="s">
        <v>365</v>
      </c>
      <c r="AP41" s="48" t="s">
        <v>471</v>
      </c>
      <c r="AQ41" s="24">
        <v>5</v>
      </c>
      <c r="AR41" s="48" t="s">
        <v>10</v>
      </c>
    </row>
    <row r="42" spans="1:44" s="48" customFormat="1" ht="70" customHeight="1">
      <c r="A42" s="82" t="s">
        <v>1369</v>
      </c>
      <c r="B42" s="80" t="s">
        <v>364</v>
      </c>
      <c r="C42" s="24">
        <v>2</v>
      </c>
      <c r="D42" s="24"/>
      <c r="E42" s="115">
        <f t="shared" si="0"/>
        <v>4</v>
      </c>
      <c r="F42" s="24">
        <v>2</v>
      </c>
      <c r="G42" s="24">
        <v>2</v>
      </c>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49" t="s">
        <v>368</v>
      </c>
      <c r="AH42" s="188" t="s">
        <v>369</v>
      </c>
      <c r="AI42" s="188"/>
      <c r="AJ42" s="188"/>
      <c r="AK42" s="49"/>
      <c r="AL42" s="38">
        <f t="shared" si="1"/>
        <v>2</v>
      </c>
      <c r="AM42" s="38"/>
      <c r="AN42" s="38">
        <v>0.4</v>
      </c>
      <c r="AO42" s="48" t="s">
        <v>365</v>
      </c>
      <c r="AP42" s="48" t="s">
        <v>471</v>
      </c>
      <c r="AQ42" s="24">
        <v>2</v>
      </c>
      <c r="AR42" s="48" t="s">
        <v>10</v>
      </c>
    </row>
    <row r="43" spans="1:44" s="48" customFormat="1" ht="70" customHeight="1">
      <c r="A43" s="82" t="s">
        <v>1370</v>
      </c>
      <c r="B43" s="80" t="s">
        <v>364</v>
      </c>
      <c r="C43" s="24">
        <v>2</v>
      </c>
      <c r="D43" s="24"/>
      <c r="E43" s="115">
        <f t="shared" si="0"/>
        <v>7</v>
      </c>
      <c r="F43" s="24">
        <v>2</v>
      </c>
      <c r="G43" s="24">
        <v>5</v>
      </c>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49" t="s">
        <v>371</v>
      </c>
      <c r="AH43" s="188" t="s">
        <v>370</v>
      </c>
      <c r="AI43" s="188"/>
      <c r="AJ43" s="188"/>
      <c r="AK43" s="49"/>
      <c r="AL43" s="38">
        <f t="shared" si="1"/>
        <v>2</v>
      </c>
      <c r="AM43" s="38"/>
      <c r="AN43" s="38">
        <v>0.4</v>
      </c>
      <c r="AO43" s="48" t="s">
        <v>365</v>
      </c>
      <c r="AP43" s="48" t="s">
        <v>471</v>
      </c>
      <c r="AQ43" s="24">
        <v>5</v>
      </c>
      <c r="AR43" s="48" t="s">
        <v>10</v>
      </c>
    </row>
    <row r="44" spans="1:44" ht="70" customHeight="1">
      <c r="A44" s="82" t="s">
        <v>1371</v>
      </c>
      <c r="B44" s="78" t="s">
        <v>355</v>
      </c>
      <c r="C44" s="21">
        <v>10</v>
      </c>
      <c r="D44" s="21"/>
      <c r="E44" s="115">
        <f t="shared" si="0"/>
        <v>150</v>
      </c>
      <c r="F44" s="21">
        <v>9</v>
      </c>
      <c r="G44" s="21">
        <v>19</v>
      </c>
      <c r="H44" s="142">
        <v>17</v>
      </c>
      <c r="I44" s="143">
        <v>16</v>
      </c>
      <c r="J44" s="145">
        <v>17</v>
      </c>
      <c r="K44" s="144">
        <v>17</v>
      </c>
      <c r="L44" s="142">
        <v>12</v>
      </c>
      <c r="M44" s="145">
        <v>12</v>
      </c>
      <c r="N44" s="144">
        <v>15</v>
      </c>
      <c r="O44" s="143">
        <v>16</v>
      </c>
      <c r="P44" s="21"/>
      <c r="Q44" s="21"/>
      <c r="R44" s="21"/>
      <c r="S44" s="21"/>
      <c r="T44" s="21"/>
      <c r="U44" s="21"/>
      <c r="V44" s="21"/>
      <c r="W44" s="21"/>
      <c r="X44" s="21"/>
      <c r="Y44" s="21"/>
      <c r="Z44" s="21"/>
      <c r="AA44" s="21"/>
      <c r="AB44" s="21"/>
      <c r="AC44" s="21"/>
      <c r="AD44" s="21"/>
      <c r="AE44" s="21"/>
      <c r="AF44" s="21"/>
      <c r="AG44" s="16" t="s">
        <v>359</v>
      </c>
      <c r="AH44" s="188" t="s">
        <v>358</v>
      </c>
      <c r="AL44" s="28">
        <f t="shared" si="1"/>
        <v>29.5</v>
      </c>
      <c r="AM44" s="153" t="s">
        <v>1865</v>
      </c>
      <c r="AN44" s="28">
        <f>1.1+1.1+1.5+1.1+1.1</f>
        <v>5.9</v>
      </c>
      <c r="AO44" s="20" t="s">
        <v>356</v>
      </c>
      <c r="AP44" s="20" t="s">
        <v>357</v>
      </c>
      <c r="AQ44" s="21">
        <v>10</v>
      </c>
      <c r="AR44" s="20" t="s">
        <v>10</v>
      </c>
    </row>
    <row r="45" spans="1:44" ht="70" customHeight="1">
      <c r="A45" s="82" t="s">
        <v>1372</v>
      </c>
      <c r="B45" s="78" t="s">
        <v>355</v>
      </c>
      <c r="C45" s="21">
        <v>10</v>
      </c>
      <c r="D45" s="21"/>
      <c r="E45" s="115">
        <f t="shared" si="0"/>
        <v>135</v>
      </c>
      <c r="F45" s="21">
        <v>16</v>
      </c>
      <c r="G45" s="142">
        <v>17</v>
      </c>
      <c r="H45" s="142">
        <v>11</v>
      </c>
      <c r="I45" s="143">
        <v>8</v>
      </c>
      <c r="J45" s="145">
        <v>13</v>
      </c>
      <c r="K45" s="21">
        <v>10</v>
      </c>
      <c r="L45" s="144">
        <v>18</v>
      </c>
      <c r="M45" s="144">
        <v>10</v>
      </c>
      <c r="N45" s="143">
        <v>19</v>
      </c>
      <c r="O45" s="145">
        <v>13</v>
      </c>
      <c r="P45" s="21"/>
      <c r="Q45" s="21"/>
      <c r="R45" s="21"/>
      <c r="S45" s="21"/>
      <c r="T45" s="21"/>
      <c r="U45" s="21"/>
      <c r="V45" s="21"/>
      <c r="W45" s="21"/>
      <c r="X45" s="21"/>
      <c r="Y45" s="21"/>
      <c r="Z45" s="21"/>
      <c r="AA45" s="21"/>
      <c r="AB45" s="21"/>
      <c r="AC45" s="21"/>
      <c r="AD45" s="21"/>
      <c r="AE45" s="21"/>
      <c r="AF45" s="21"/>
      <c r="AG45" s="16" t="s">
        <v>359</v>
      </c>
      <c r="AH45" s="188" t="s">
        <v>360</v>
      </c>
      <c r="AL45" s="28">
        <f t="shared" si="1"/>
        <v>23.5</v>
      </c>
      <c r="AM45" s="153" t="s">
        <v>1866</v>
      </c>
      <c r="AN45" s="28">
        <f>0.9*4+1.1</f>
        <v>4.7</v>
      </c>
      <c r="AO45" s="20" t="s">
        <v>356</v>
      </c>
      <c r="AP45" s="20" t="s">
        <v>357</v>
      </c>
      <c r="AQ45" s="21">
        <v>10</v>
      </c>
      <c r="AR45" s="20" t="s">
        <v>10</v>
      </c>
    </row>
    <row r="46" spans="1:44" ht="70" customHeight="1">
      <c r="A46" s="82" t="s">
        <v>1373</v>
      </c>
      <c r="B46" s="78" t="s">
        <v>355</v>
      </c>
      <c r="C46" s="21">
        <v>10</v>
      </c>
      <c r="D46" s="21"/>
      <c r="E46" s="115">
        <f t="shared" si="0"/>
        <v>95</v>
      </c>
      <c r="F46" s="21">
        <v>9</v>
      </c>
      <c r="G46" s="21">
        <v>7</v>
      </c>
      <c r="H46" s="21">
        <v>17</v>
      </c>
      <c r="I46" s="21">
        <v>7</v>
      </c>
      <c r="J46" s="21">
        <v>6</v>
      </c>
      <c r="K46" s="21">
        <v>10</v>
      </c>
      <c r="L46" s="21">
        <v>8</v>
      </c>
      <c r="M46" s="21">
        <v>10</v>
      </c>
      <c r="N46" s="21">
        <v>12</v>
      </c>
      <c r="O46" s="21">
        <v>9</v>
      </c>
      <c r="P46" s="21"/>
      <c r="Q46" s="21"/>
      <c r="R46" s="21"/>
      <c r="S46" s="21"/>
      <c r="T46" s="21"/>
      <c r="U46" s="21"/>
      <c r="V46" s="21"/>
      <c r="W46" s="21"/>
      <c r="X46" s="21"/>
      <c r="Y46" s="21"/>
      <c r="Z46" s="21"/>
      <c r="AA46" s="21"/>
      <c r="AB46" s="21"/>
      <c r="AC46" s="21"/>
      <c r="AD46" s="21"/>
      <c r="AE46" s="21"/>
      <c r="AF46" s="21"/>
      <c r="AG46" s="16" t="s">
        <v>359</v>
      </c>
      <c r="AH46" s="188" t="s">
        <v>361</v>
      </c>
      <c r="AL46" s="28">
        <f t="shared" si="1"/>
        <v>25</v>
      </c>
      <c r="AM46" s="28"/>
      <c r="AN46" s="28">
        <v>5</v>
      </c>
      <c r="AO46" s="20" t="s">
        <v>356</v>
      </c>
      <c r="AP46" s="20" t="s">
        <v>357</v>
      </c>
      <c r="AQ46" s="21">
        <v>10</v>
      </c>
      <c r="AR46" s="20" t="s">
        <v>10</v>
      </c>
    </row>
    <row r="47" spans="1:44" ht="70" customHeight="1">
      <c r="A47" s="82" t="s">
        <v>1374</v>
      </c>
      <c r="B47" s="78" t="s">
        <v>355</v>
      </c>
      <c r="C47" s="21">
        <v>10</v>
      </c>
      <c r="D47" s="21"/>
      <c r="E47" s="115">
        <f t="shared" si="0"/>
        <v>159</v>
      </c>
      <c r="F47" s="21">
        <v>30</v>
      </c>
      <c r="G47" s="142">
        <v>15</v>
      </c>
      <c r="H47" s="143">
        <v>20</v>
      </c>
      <c r="I47" s="145">
        <v>15</v>
      </c>
      <c r="J47" s="143">
        <v>13</v>
      </c>
      <c r="K47" s="142">
        <v>19</v>
      </c>
      <c r="L47" s="145">
        <v>15</v>
      </c>
      <c r="M47" s="144">
        <v>11</v>
      </c>
      <c r="N47" s="144">
        <v>10</v>
      </c>
      <c r="O47" s="144">
        <v>11</v>
      </c>
      <c r="P47" s="21"/>
      <c r="Q47" s="21"/>
      <c r="R47" s="21"/>
      <c r="S47" s="21"/>
      <c r="T47" s="21"/>
      <c r="U47" s="21"/>
      <c r="V47" s="21"/>
      <c r="W47" s="21"/>
      <c r="X47" s="21"/>
      <c r="Y47" s="21"/>
      <c r="Z47" s="21"/>
      <c r="AA47" s="21"/>
      <c r="AB47" s="21"/>
      <c r="AC47" s="21"/>
      <c r="AD47" s="21"/>
      <c r="AE47" s="21"/>
      <c r="AF47" s="21"/>
      <c r="AG47" s="16" t="s">
        <v>359</v>
      </c>
      <c r="AH47" s="188" t="s">
        <v>362</v>
      </c>
      <c r="AL47" s="28">
        <f t="shared" si="1"/>
        <v>26.500000000000004</v>
      </c>
      <c r="AM47" s="153" t="s">
        <v>1867</v>
      </c>
      <c r="AN47" s="28">
        <f>0.7+1.1+1.1+0.9+1.5</f>
        <v>5.3000000000000007</v>
      </c>
      <c r="AO47" s="20" t="s">
        <v>356</v>
      </c>
      <c r="AP47" s="20" t="s">
        <v>357</v>
      </c>
      <c r="AQ47" s="21">
        <v>10</v>
      </c>
      <c r="AR47" s="20" t="s">
        <v>10</v>
      </c>
    </row>
    <row r="48" spans="1:44" ht="70" customHeight="1">
      <c r="A48" s="82" t="s">
        <v>1375</v>
      </c>
      <c r="B48" s="78" t="s">
        <v>355</v>
      </c>
      <c r="C48" s="21"/>
      <c r="D48" s="21">
        <v>20</v>
      </c>
      <c r="E48" s="115">
        <f t="shared" si="0"/>
        <v>201</v>
      </c>
      <c r="F48" s="146">
        <v>11</v>
      </c>
      <c r="G48" s="146">
        <v>11</v>
      </c>
      <c r="H48" s="142">
        <v>5</v>
      </c>
      <c r="I48" s="143">
        <v>15</v>
      </c>
      <c r="J48" s="146">
        <v>10</v>
      </c>
      <c r="K48" s="142">
        <v>10</v>
      </c>
      <c r="L48" s="145">
        <v>9</v>
      </c>
      <c r="M48" s="145">
        <v>12</v>
      </c>
      <c r="N48" s="146">
        <v>8</v>
      </c>
      <c r="O48" s="145">
        <v>13</v>
      </c>
      <c r="P48" s="142">
        <v>10</v>
      </c>
      <c r="Q48" s="142">
        <v>8</v>
      </c>
      <c r="R48" s="142">
        <v>7</v>
      </c>
      <c r="S48" s="145">
        <v>7</v>
      </c>
      <c r="T48" s="144">
        <v>9</v>
      </c>
      <c r="U48" s="144">
        <v>10</v>
      </c>
      <c r="V48" s="143">
        <v>12</v>
      </c>
      <c r="W48" s="143">
        <v>13</v>
      </c>
      <c r="X48" s="144">
        <v>10</v>
      </c>
      <c r="Y48" s="144">
        <v>11</v>
      </c>
      <c r="Z48" s="144"/>
      <c r="AA48" s="144"/>
      <c r="AB48" s="144"/>
      <c r="AC48" s="144"/>
      <c r="AD48" s="144"/>
      <c r="AE48" s="144"/>
      <c r="AF48" s="144"/>
      <c r="AG48" s="16" t="s">
        <v>359</v>
      </c>
      <c r="AH48" s="188" t="s">
        <v>363</v>
      </c>
      <c r="AL48" s="28">
        <f t="shared" si="1"/>
        <v>40.5</v>
      </c>
      <c r="AM48" s="153" t="s">
        <v>1868</v>
      </c>
      <c r="AN48" s="28">
        <f>1.5+2+1.1+1.5+2</f>
        <v>8.1</v>
      </c>
      <c r="AO48" s="20" t="s">
        <v>356</v>
      </c>
      <c r="AP48" s="20" t="s">
        <v>357</v>
      </c>
      <c r="AQ48" s="21">
        <v>10</v>
      </c>
      <c r="AR48" s="20" t="s">
        <v>10</v>
      </c>
    </row>
    <row r="49" spans="1:44" s="48" customFormat="1" ht="70" customHeight="1">
      <c r="A49" s="82" t="s">
        <v>1376</v>
      </c>
      <c r="B49" s="80" t="s">
        <v>382</v>
      </c>
      <c r="C49" s="24">
        <v>5</v>
      </c>
      <c r="D49" s="24"/>
      <c r="E49" s="115">
        <f t="shared" si="0"/>
        <v>27</v>
      </c>
      <c r="F49" s="24">
        <v>5</v>
      </c>
      <c r="G49" s="24">
        <v>5</v>
      </c>
      <c r="H49" s="24">
        <v>8</v>
      </c>
      <c r="I49" s="24">
        <v>4</v>
      </c>
      <c r="J49" s="24">
        <v>5</v>
      </c>
      <c r="K49" s="24"/>
      <c r="L49" s="24"/>
      <c r="M49" s="24"/>
      <c r="N49" s="24"/>
      <c r="O49" s="24"/>
      <c r="P49" s="24"/>
      <c r="Q49" s="24"/>
      <c r="R49" s="24"/>
      <c r="S49" s="24"/>
      <c r="T49" s="24"/>
      <c r="U49" s="24"/>
      <c r="V49" s="24"/>
      <c r="W49" s="24"/>
      <c r="X49" s="24"/>
      <c r="Y49" s="24"/>
      <c r="Z49" s="24"/>
      <c r="AA49" s="24"/>
      <c r="AB49" s="24"/>
      <c r="AC49" s="24"/>
      <c r="AD49" s="24"/>
      <c r="AE49" s="24"/>
      <c r="AF49" s="24"/>
      <c r="AG49" s="49" t="s">
        <v>387</v>
      </c>
      <c r="AH49" s="188" t="s">
        <v>385</v>
      </c>
      <c r="AI49" s="188"/>
      <c r="AJ49" s="188"/>
      <c r="AK49" s="49" t="s">
        <v>388</v>
      </c>
      <c r="AL49" s="38">
        <f t="shared" si="1"/>
        <v>5</v>
      </c>
      <c r="AM49" s="38"/>
      <c r="AN49" s="38">
        <v>1</v>
      </c>
      <c r="AO49" s="48" t="s">
        <v>383</v>
      </c>
      <c r="AP49" s="48" t="s">
        <v>384</v>
      </c>
      <c r="AQ49" s="24">
        <v>10</v>
      </c>
      <c r="AR49" s="48" t="s">
        <v>10</v>
      </c>
    </row>
    <row r="50" spans="1:44" s="48" customFormat="1" ht="70" customHeight="1">
      <c r="A50" s="82" t="s">
        <v>1377</v>
      </c>
      <c r="B50" s="80" t="s">
        <v>382</v>
      </c>
      <c r="C50" s="24">
        <v>5</v>
      </c>
      <c r="D50" s="24"/>
      <c r="E50" s="115">
        <f t="shared" si="0"/>
        <v>33</v>
      </c>
      <c r="F50" s="24">
        <v>5</v>
      </c>
      <c r="G50" s="24">
        <v>10</v>
      </c>
      <c r="H50" s="24">
        <v>8</v>
      </c>
      <c r="I50" s="24">
        <v>4</v>
      </c>
      <c r="J50" s="24">
        <v>6</v>
      </c>
      <c r="K50" s="24"/>
      <c r="L50" s="24"/>
      <c r="M50" s="24"/>
      <c r="N50" s="24"/>
      <c r="O50" s="24"/>
      <c r="P50" s="24"/>
      <c r="Q50" s="24"/>
      <c r="R50" s="24"/>
      <c r="S50" s="24"/>
      <c r="T50" s="24"/>
      <c r="U50" s="24"/>
      <c r="V50" s="24"/>
      <c r="W50" s="24"/>
      <c r="X50" s="24"/>
      <c r="Y50" s="24"/>
      <c r="Z50" s="24"/>
      <c r="AA50" s="24"/>
      <c r="AB50" s="24"/>
      <c r="AC50" s="24"/>
      <c r="AD50" s="24"/>
      <c r="AE50" s="24"/>
      <c r="AF50" s="24"/>
      <c r="AG50" s="49" t="s">
        <v>387</v>
      </c>
      <c r="AH50" s="188" t="s">
        <v>385</v>
      </c>
      <c r="AI50" s="188"/>
      <c r="AJ50" s="188"/>
      <c r="AK50" s="49" t="s">
        <v>389</v>
      </c>
      <c r="AL50" s="38">
        <f t="shared" si="1"/>
        <v>6</v>
      </c>
      <c r="AM50" s="38"/>
      <c r="AN50" s="38">
        <v>1.2</v>
      </c>
      <c r="AO50" s="48" t="s">
        <v>383</v>
      </c>
      <c r="AP50" s="48" t="s">
        <v>384</v>
      </c>
      <c r="AQ50" s="24">
        <v>10</v>
      </c>
      <c r="AR50" s="48" t="s">
        <v>10</v>
      </c>
    </row>
    <row r="51" spans="1:44" s="48" customFormat="1" ht="70" customHeight="1">
      <c r="A51" s="82" t="s">
        <v>1378</v>
      </c>
      <c r="B51" s="80" t="s">
        <v>382</v>
      </c>
      <c r="C51" s="24">
        <v>5</v>
      </c>
      <c r="D51" s="24"/>
      <c r="E51" s="115">
        <f t="shared" si="0"/>
        <v>23</v>
      </c>
      <c r="F51" s="24">
        <v>3</v>
      </c>
      <c r="G51" s="24">
        <v>4</v>
      </c>
      <c r="H51" s="24">
        <v>6</v>
      </c>
      <c r="I51" s="24">
        <v>5</v>
      </c>
      <c r="J51" s="24">
        <v>5</v>
      </c>
      <c r="K51" s="24"/>
      <c r="L51" s="24"/>
      <c r="M51" s="24"/>
      <c r="N51" s="24"/>
      <c r="O51" s="24"/>
      <c r="P51" s="24"/>
      <c r="Q51" s="24"/>
      <c r="R51" s="24"/>
      <c r="S51" s="24"/>
      <c r="T51" s="24"/>
      <c r="U51" s="24"/>
      <c r="V51" s="24"/>
      <c r="W51" s="24"/>
      <c r="X51" s="24"/>
      <c r="Y51" s="24"/>
      <c r="Z51" s="24"/>
      <c r="AA51" s="24"/>
      <c r="AB51" s="24"/>
      <c r="AC51" s="24"/>
      <c r="AD51" s="24"/>
      <c r="AE51" s="24"/>
      <c r="AF51" s="24"/>
      <c r="AG51" s="49" t="s">
        <v>387</v>
      </c>
      <c r="AH51" s="188" t="s">
        <v>98</v>
      </c>
      <c r="AI51" s="188"/>
      <c r="AJ51" s="188"/>
      <c r="AK51" s="49" t="s">
        <v>390</v>
      </c>
      <c r="AL51" s="38">
        <f t="shared" si="1"/>
        <v>6</v>
      </c>
      <c r="AM51" s="38"/>
      <c r="AN51" s="38">
        <v>1.2</v>
      </c>
      <c r="AO51" s="48" t="s">
        <v>383</v>
      </c>
      <c r="AP51" s="48" t="s">
        <v>384</v>
      </c>
      <c r="AQ51" s="24">
        <v>5</v>
      </c>
      <c r="AR51" s="48" t="s">
        <v>10</v>
      </c>
    </row>
    <row r="52" spans="1:44" s="48" customFormat="1" ht="70" customHeight="1">
      <c r="A52" s="82" t="s">
        <v>1379</v>
      </c>
      <c r="B52" s="80" t="s">
        <v>382</v>
      </c>
      <c r="C52" s="24">
        <v>5</v>
      </c>
      <c r="D52" s="24"/>
      <c r="E52" s="115">
        <f t="shared" si="0"/>
        <v>33</v>
      </c>
      <c r="F52" s="24">
        <v>4</v>
      </c>
      <c r="G52" s="24">
        <v>7</v>
      </c>
      <c r="H52" s="24">
        <v>8</v>
      </c>
      <c r="I52" s="24">
        <v>8</v>
      </c>
      <c r="J52" s="24">
        <v>6</v>
      </c>
      <c r="K52" s="24"/>
      <c r="L52" s="24"/>
      <c r="M52" s="24"/>
      <c r="N52" s="24"/>
      <c r="O52" s="24"/>
      <c r="P52" s="24"/>
      <c r="Q52" s="24"/>
      <c r="R52" s="24"/>
      <c r="S52" s="24"/>
      <c r="T52" s="24"/>
      <c r="U52" s="24"/>
      <c r="V52" s="24"/>
      <c r="W52" s="24"/>
      <c r="X52" s="24"/>
      <c r="Y52" s="24"/>
      <c r="Z52" s="24"/>
      <c r="AA52" s="24"/>
      <c r="AB52" s="24"/>
      <c r="AC52" s="24"/>
      <c r="AD52" s="24"/>
      <c r="AE52" s="24"/>
      <c r="AF52" s="24"/>
      <c r="AG52" s="49" t="s">
        <v>387</v>
      </c>
      <c r="AH52" s="188" t="s">
        <v>98</v>
      </c>
      <c r="AI52" s="188"/>
      <c r="AJ52" s="188"/>
      <c r="AK52" s="49" t="s">
        <v>391</v>
      </c>
      <c r="AL52" s="38">
        <f t="shared" si="1"/>
        <v>7.5</v>
      </c>
      <c r="AM52" s="38"/>
      <c r="AN52" s="38">
        <v>1.5</v>
      </c>
      <c r="AO52" s="48" t="s">
        <v>383</v>
      </c>
      <c r="AP52" s="48" t="s">
        <v>384</v>
      </c>
      <c r="AQ52" s="24">
        <v>10</v>
      </c>
      <c r="AR52" s="48" t="s">
        <v>10</v>
      </c>
    </row>
    <row r="53" spans="1:44" ht="70" customHeight="1">
      <c r="A53" s="82" t="s">
        <v>1380</v>
      </c>
      <c r="B53" s="78" t="s">
        <v>408</v>
      </c>
      <c r="C53" s="21">
        <v>5</v>
      </c>
      <c r="D53" s="21"/>
      <c r="E53" s="115">
        <f t="shared" si="0"/>
        <v>30</v>
      </c>
      <c r="F53" s="21">
        <v>10</v>
      </c>
      <c r="G53" s="21">
        <v>7</v>
      </c>
      <c r="H53" s="21">
        <v>3</v>
      </c>
      <c r="I53" s="21">
        <v>5</v>
      </c>
      <c r="J53" s="21">
        <v>5</v>
      </c>
      <c r="K53" s="21"/>
      <c r="L53" s="21"/>
      <c r="M53" s="21"/>
      <c r="N53" s="21"/>
      <c r="O53" s="21"/>
      <c r="P53" s="21"/>
      <c r="Q53" s="21"/>
      <c r="R53" s="21"/>
      <c r="S53" s="21"/>
      <c r="T53" s="21"/>
      <c r="U53" s="21"/>
      <c r="V53" s="21"/>
      <c r="W53" s="21"/>
      <c r="X53" s="21"/>
      <c r="Y53" s="21"/>
      <c r="Z53" s="21"/>
      <c r="AA53" s="21"/>
      <c r="AB53" s="21"/>
      <c r="AC53" s="21"/>
      <c r="AD53" s="21"/>
      <c r="AE53" s="21"/>
      <c r="AF53" s="21"/>
      <c r="AG53" s="16" t="s">
        <v>386</v>
      </c>
      <c r="AH53" s="188" t="s">
        <v>396</v>
      </c>
      <c r="AK53" s="16" t="s">
        <v>411</v>
      </c>
      <c r="AL53" s="28">
        <f t="shared" si="1"/>
        <v>10</v>
      </c>
      <c r="AM53" s="28"/>
      <c r="AN53" s="28">
        <v>2</v>
      </c>
      <c r="AO53" s="20" t="s">
        <v>409</v>
      </c>
      <c r="AP53" s="20" t="s">
        <v>410</v>
      </c>
      <c r="AQ53" s="21">
        <v>10</v>
      </c>
      <c r="AR53" s="20" t="s">
        <v>10</v>
      </c>
    </row>
    <row r="54" spans="1:44" ht="70" customHeight="1">
      <c r="A54" s="82" t="s">
        <v>1381</v>
      </c>
      <c r="B54" s="78" t="s">
        <v>408</v>
      </c>
      <c r="C54" s="21">
        <v>5</v>
      </c>
      <c r="D54" s="21"/>
      <c r="E54" s="115">
        <f t="shared" si="0"/>
        <v>24</v>
      </c>
      <c r="F54" s="21">
        <v>5</v>
      </c>
      <c r="G54" s="21">
        <v>4</v>
      </c>
      <c r="H54" s="21">
        <v>6</v>
      </c>
      <c r="I54" s="21">
        <v>4</v>
      </c>
      <c r="J54" s="21">
        <v>5</v>
      </c>
      <c r="K54" s="21"/>
      <c r="L54" s="21"/>
      <c r="M54" s="21"/>
      <c r="N54" s="21"/>
      <c r="O54" s="21"/>
      <c r="P54" s="21"/>
      <c r="Q54" s="21"/>
      <c r="R54" s="21"/>
      <c r="S54" s="21"/>
      <c r="T54" s="21"/>
      <c r="U54" s="21"/>
      <c r="V54" s="21"/>
      <c r="W54" s="21"/>
      <c r="X54" s="21"/>
      <c r="Y54" s="21"/>
      <c r="Z54" s="21"/>
      <c r="AA54" s="21"/>
      <c r="AB54" s="21"/>
      <c r="AC54" s="21"/>
      <c r="AD54" s="21"/>
      <c r="AE54" s="21"/>
      <c r="AF54" s="21"/>
      <c r="AG54" s="16" t="s">
        <v>386</v>
      </c>
      <c r="AH54" s="188" t="s">
        <v>396</v>
      </c>
      <c r="AK54" s="16" t="s">
        <v>412</v>
      </c>
      <c r="AL54" s="28">
        <f t="shared" si="1"/>
        <v>5</v>
      </c>
      <c r="AM54" s="28"/>
      <c r="AN54" s="28">
        <v>1</v>
      </c>
      <c r="AO54" s="20" t="s">
        <v>409</v>
      </c>
      <c r="AP54" s="20" t="s">
        <v>410</v>
      </c>
      <c r="AQ54" s="21">
        <v>2</v>
      </c>
      <c r="AR54" s="20" t="s">
        <v>10</v>
      </c>
    </row>
    <row r="55" spans="1:44" ht="70" customHeight="1">
      <c r="A55" s="82" t="s">
        <v>1382</v>
      </c>
      <c r="B55" s="78" t="s">
        <v>408</v>
      </c>
      <c r="C55" s="21">
        <v>5</v>
      </c>
      <c r="D55" s="21"/>
      <c r="E55" s="115">
        <f t="shared" si="0"/>
        <v>34</v>
      </c>
      <c r="F55" s="21">
        <v>10</v>
      </c>
      <c r="G55" s="21">
        <v>7</v>
      </c>
      <c r="H55" s="21">
        <v>2</v>
      </c>
      <c r="I55" s="21">
        <v>12</v>
      </c>
      <c r="J55" s="21">
        <v>3</v>
      </c>
      <c r="K55" s="21"/>
      <c r="L55" s="21"/>
      <c r="M55" s="21"/>
      <c r="N55" s="21"/>
      <c r="O55" s="21"/>
      <c r="P55" s="21"/>
      <c r="Q55" s="21"/>
      <c r="R55" s="21"/>
      <c r="S55" s="21"/>
      <c r="T55" s="21"/>
      <c r="U55" s="21"/>
      <c r="V55" s="21"/>
      <c r="W55" s="21"/>
      <c r="X55" s="21"/>
      <c r="Y55" s="21"/>
      <c r="Z55" s="21"/>
      <c r="AA55" s="21"/>
      <c r="AB55" s="21"/>
      <c r="AC55" s="21"/>
      <c r="AD55" s="21"/>
      <c r="AE55" s="21"/>
      <c r="AF55" s="21"/>
      <c r="AG55" s="16" t="s">
        <v>386</v>
      </c>
      <c r="AH55" s="188" t="s">
        <v>99</v>
      </c>
      <c r="AK55" s="16" t="s">
        <v>413</v>
      </c>
      <c r="AL55" s="28">
        <f t="shared" si="1"/>
        <v>6</v>
      </c>
      <c r="AM55" s="28"/>
      <c r="AN55" s="28">
        <v>1.2</v>
      </c>
      <c r="AO55" s="20" t="s">
        <v>409</v>
      </c>
      <c r="AP55" s="20" t="s">
        <v>410</v>
      </c>
      <c r="AQ55" s="21">
        <v>10</v>
      </c>
      <c r="AR55" s="20" t="s">
        <v>10</v>
      </c>
    </row>
    <row r="56" spans="1:44" ht="70" customHeight="1">
      <c r="A56" s="82" t="s">
        <v>1383</v>
      </c>
      <c r="B56" s="78" t="s">
        <v>408</v>
      </c>
      <c r="C56" s="21">
        <v>5</v>
      </c>
      <c r="D56" s="21"/>
      <c r="E56" s="115">
        <f t="shared" si="0"/>
        <v>31</v>
      </c>
      <c r="F56" s="21">
        <v>12</v>
      </c>
      <c r="G56" s="21">
        <v>7</v>
      </c>
      <c r="H56" s="21">
        <v>2</v>
      </c>
      <c r="I56" s="21">
        <v>3</v>
      </c>
      <c r="J56" s="21">
        <v>7</v>
      </c>
      <c r="K56" s="21"/>
      <c r="L56" s="21"/>
      <c r="M56" s="21"/>
      <c r="N56" s="21"/>
      <c r="O56" s="21"/>
      <c r="P56" s="21"/>
      <c r="Q56" s="21"/>
      <c r="R56" s="21"/>
      <c r="S56" s="21"/>
      <c r="T56" s="21"/>
      <c r="U56" s="21"/>
      <c r="V56" s="21"/>
      <c r="W56" s="21"/>
      <c r="X56" s="21"/>
      <c r="Y56" s="21"/>
      <c r="Z56" s="21"/>
      <c r="AA56" s="21"/>
      <c r="AB56" s="21"/>
      <c r="AC56" s="21"/>
      <c r="AD56" s="21"/>
      <c r="AE56" s="21"/>
      <c r="AF56" s="21"/>
      <c r="AG56" s="16" t="s">
        <v>386</v>
      </c>
      <c r="AH56" s="188" t="s">
        <v>99</v>
      </c>
      <c r="AK56" s="16" t="s">
        <v>414</v>
      </c>
      <c r="AL56" s="28">
        <f t="shared" si="1"/>
        <v>7.5</v>
      </c>
      <c r="AM56" s="28"/>
      <c r="AN56" s="28">
        <v>1.5</v>
      </c>
      <c r="AO56" s="20" t="s">
        <v>409</v>
      </c>
      <c r="AP56" s="20" t="s">
        <v>410</v>
      </c>
      <c r="AQ56" s="21">
        <v>10</v>
      </c>
      <c r="AR56" s="20" t="s">
        <v>10</v>
      </c>
    </row>
    <row r="57" spans="1:44" s="48" customFormat="1" ht="70" customHeight="1">
      <c r="A57" s="82" t="s">
        <v>1384</v>
      </c>
      <c r="B57" s="80" t="s">
        <v>415</v>
      </c>
      <c r="C57" s="24">
        <v>6</v>
      </c>
      <c r="D57" s="24"/>
      <c r="E57" s="115">
        <f t="shared" si="0"/>
        <v>42</v>
      </c>
      <c r="F57" s="24">
        <v>7</v>
      </c>
      <c r="G57" s="24">
        <v>10</v>
      </c>
      <c r="H57" s="24">
        <v>4</v>
      </c>
      <c r="I57" s="24">
        <v>6</v>
      </c>
      <c r="J57" s="24">
        <v>8</v>
      </c>
      <c r="K57" s="24">
        <v>7</v>
      </c>
      <c r="L57" s="24"/>
      <c r="M57" s="24"/>
      <c r="N57" s="24"/>
      <c r="O57" s="24"/>
      <c r="P57" s="24"/>
      <c r="Q57" s="24"/>
      <c r="R57" s="24"/>
      <c r="S57" s="24"/>
      <c r="T57" s="24"/>
      <c r="U57" s="24"/>
      <c r="V57" s="24"/>
      <c r="W57" s="24"/>
      <c r="X57" s="24"/>
      <c r="Y57" s="24"/>
      <c r="Z57" s="24"/>
      <c r="AA57" s="24"/>
      <c r="AB57" s="24"/>
      <c r="AC57" s="24"/>
      <c r="AD57" s="24"/>
      <c r="AE57" s="24"/>
      <c r="AF57" s="24"/>
      <c r="AG57" s="49" t="s">
        <v>394</v>
      </c>
      <c r="AH57" s="188" t="s">
        <v>418</v>
      </c>
      <c r="AI57" s="188"/>
      <c r="AJ57" s="188"/>
      <c r="AK57" s="49" t="s">
        <v>420</v>
      </c>
      <c r="AL57" s="38">
        <f t="shared" si="1"/>
        <v>7.5</v>
      </c>
      <c r="AM57" s="38"/>
      <c r="AN57" s="38">
        <v>1.5</v>
      </c>
      <c r="AO57" s="48" t="s">
        <v>416</v>
      </c>
      <c r="AP57" s="48" t="s">
        <v>417</v>
      </c>
      <c r="AQ57" s="24">
        <v>10</v>
      </c>
      <c r="AR57" s="48" t="s">
        <v>10</v>
      </c>
    </row>
    <row r="58" spans="1:44" s="48" customFormat="1" ht="70" customHeight="1">
      <c r="A58" s="82" t="s">
        <v>1385</v>
      </c>
      <c r="B58" s="80" t="s">
        <v>415</v>
      </c>
      <c r="C58" s="24">
        <v>5</v>
      </c>
      <c r="D58" s="24"/>
      <c r="E58" s="115">
        <f t="shared" si="0"/>
        <v>34</v>
      </c>
      <c r="F58" s="24">
        <v>5</v>
      </c>
      <c r="G58" s="24">
        <v>17</v>
      </c>
      <c r="H58" s="24">
        <v>5</v>
      </c>
      <c r="I58" s="24">
        <v>3</v>
      </c>
      <c r="J58" s="24">
        <v>4</v>
      </c>
      <c r="K58" s="24"/>
      <c r="L58" s="24"/>
      <c r="M58" s="24"/>
      <c r="N58" s="24"/>
      <c r="O58" s="24"/>
      <c r="P58" s="24"/>
      <c r="Q58" s="24"/>
      <c r="R58" s="24"/>
      <c r="S58" s="24"/>
      <c r="T58" s="24"/>
      <c r="U58" s="24"/>
      <c r="V58" s="24"/>
      <c r="W58" s="24"/>
      <c r="X58" s="24"/>
      <c r="Y58" s="24"/>
      <c r="Z58" s="24"/>
      <c r="AA58" s="24"/>
      <c r="AB58" s="24"/>
      <c r="AC58" s="24"/>
      <c r="AD58" s="24"/>
      <c r="AE58" s="24"/>
      <c r="AF58" s="24"/>
      <c r="AG58" s="49" t="s">
        <v>394</v>
      </c>
      <c r="AH58" s="188" t="s">
        <v>418</v>
      </c>
      <c r="AI58" s="188"/>
      <c r="AJ58" s="188"/>
      <c r="AK58" s="49" t="s">
        <v>421</v>
      </c>
      <c r="AL58" s="38">
        <f t="shared" si="1"/>
        <v>10</v>
      </c>
      <c r="AM58" s="38"/>
      <c r="AN58" s="38">
        <v>2</v>
      </c>
      <c r="AO58" s="48" t="s">
        <v>416</v>
      </c>
      <c r="AP58" s="48" t="s">
        <v>417</v>
      </c>
      <c r="AQ58" s="24">
        <v>10</v>
      </c>
      <c r="AR58" s="48" t="s">
        <v>10</v>
      </c>
    </row>
    <row r="59" spans="1:44" s="48" customFormat="1" ht="70" customHeight="1">
      <c r="A59" s="82" t="s">
        <v>1386</v>
      </c>
      <c r="B59" s="80" t="s">
        <v>415</v>
      </c>
      <c r="C59" s="24">
        <v>5</v>
      </c>
      <c r="D59" s="24"/>
      <c r="E59" s="115">
        <f t="shared" si="0"/>
        <v>43</v>
      </c>
      <c r="F59" s="24">
        <v>21</v>
      </c>
      <c r="G59" s="24">
        <v>12</v>
      </c>
      <c r="H59" s="24">
        <v>7</v>
      </c>
      <c r="I59" s="24">
        <v>2</v>
      </c>
      <c r="J59" s="24">
        <v>1</v>
      </c>
      <c r="K59" s="24"/>
      <c r="L59" s="24"/>
      <c r="M59" s="24"/>
      <c r="N59" s="24"/>
      <c r="O59" s="24"/>
      <c r="P59" s="24"/>
      <c r="Q59" s="24"/>
      <c r="R59" s="24"/>
      <c r="S59" s="24"/>
      <c r="T59" s="24"/>
      <c r="U59" s="24"/>
      <c r="V59" s="24"/>
      <c r="W59" s="24"/>
      <c r="X59" s="24"/>
      <c r="Y59" s="24"/>
      <c r="Z59" s="24"/>
      <c r="AA59" s="24"/>
      <c r="AB59" s="24"/>
      <c r="AC59" s="24"/>
      <c r="AD59" s="24"/>
      <c r="AE59" s="24"/>
      <c r="AF59" s="24"/>
      <c r="AG59" s="49" t="s">
        <v>394</v>
      </c>
      <c r="AH59" s="188" t="s">
        <v>419</v>
      </c>
      <c r="AI59" s="188"/>
      <c r="AJ59" s="188"/>
      <c r="AK59" s="49" t="s">
        <v>422</v>
      </c>
      <c r="AL59" s="38">
        <f t="shared" si="1"/>
        <v>12.5</v>
      </c>
      <c r="AM59" s="38"/>
      <c r="AN59" s="38">
        <v>2.5</v>
      </c>
      <c r="AO59" s="48" t="s">
        <v>416</v>
      </c>
      <c r="AP59" s="48" t="s">
        <v>417</v>
      </c>
      <c r="AQ59" s="24">
        <v>10</v>
      </c>
      <c r="AR59" s="48" t="s">
        <v>10</v>
      </c>
    </row>
    <row r="60" spans="1:44" s="48" customFormat="1" ht="70" customHeight="1">
      <c r="A60" s="82" t="s">
        <v>1387</v>
      </c>
      <c r="B60" s="80" t="s">
        <v>415</v>
      </c>
      <c r="C60" s="24">
        <v>6</v>
      </c>
      <c r="D60" s="24"/>
      <c r="E60" s="115">
        <f t="shared" si="0"/>
        <v>70</v>
      </c>
      <c r="F60" s="24">
        <v>14</v>
      </c>
      <c r="G60" s="24">
        <v>19</v>
      </c>
      <c r="H60" s="24">
        <v>17</v>
      </c>
      <c r="I60" s="24">
        <v>13</v>
      </c>
      <c r="J60" s="24">
        <v>4</v>
      </c>
      <c r="K60" s="24">
        <v>3</v>
      </c>
      <c r="L60" s="24"/>
      <c r="M60" s="24"/>
      <c r="N60" s="24"/>
      <c r="O60" s="24"/>
      <c r="P60" s="24"/>
      <c r="Q60" s="24"/>
      <c r="R60" s="24"/>
      <c r="S60" s="24"/>
      <c r="T60" s="24"/>
      <c r="U60" s="24"/>
      <c r="V60" s="24"/>
      <c r="W60" s="24"/>
      <c r="X60" s="24"/>
      <c r="Y60" s="24"/>
      <c r="Z60" s="24"/>
      <c r="AA60" s="24"/>
      <c r="AB60" s="24"/>
      <c r="AC60" s="24"/>
      <c r="AD60" s="24"/>
      <c r="AE60" s="24"/>
      <c r="AF60" s="24"/>
      <c r="AG60" s="49" t="s">
        <v>394</v>
      </c>
      <c r="AH60" s="188" t="s">
        <v>419</v>
      </c>
      <c r="AI60" s="188"/>
      <c r="AJ60" s="188"/>
      <c r="AK60" s="49" t="s">
        <v>423</v>
      </c>
      <c r="AL60" s="38">
        <f t="shared" si="1"/>
        <v>15</v>
      </c>
      <c r="AM60" s="38"/>
      <c r="AN60" s="38">
        <v>3</v>
      </c>
      <c r="AO60" s="48" t="s">
        <v>416</v>
      </c>
      <c r="AP60" s="48" t="s">
        <v>417</v>
      </c>
      <c r="AQ60" s="24">
        <v>10</v>
      </c>
      <c r="AR60" s="48" t="s">
        <v>10</v>
      </c>
    </row>
    <row r="61" spans="1:44" ht="70" customHeight="1">
      <c r="A61" s="82" t="s">
        <v>1388</v>
      </c>
      <c r="B61" s="78" t="s">
        <v>424</v>
      </c>
      <c r="C61" s="21">
        <v>2</v>
      </c>
      <c r="D61" s="21"/>
      <c r="E61" s="115">
        <f t="shared" si="0"/>
        <v>25</v>
      </c>
      <c r="F61" s="21">
        <v>12</v>
      </c>
      <c r="G61" s="21">
        <v>13</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16" t="s">
        <v>428</v>
      </c>
      <c r="AH61" s="188" t="s">
        <v>101</v>
      </c>
      <c r="AK61" s="16" t="s">
        <v>429</v>
      </c>
      <c r="AL61" s="28">
        <f t="shared" si="1"/>
        <v>6</v>
      </c>
      <c r="AM61" s="28"/>
      <c r="AN61" s="28">
        <v>1.2</v>
      </c>
      <c r="AO61" s="20" t="s">
        <v>425</v>
      </c>
      <c r="AP61" s="20" t="s">
        <v>426</v>
      </c>
      <c r="AQ61" s="21">
        <v>10</v>
      </c>
      <c r="AR61" s="20" t="s">
        <v>10</v>
      </c>
    </row>
    <row r="62" spans="1:44" ht="70" customHeight="1">
      <c r="A62" s="82" t="s">
        <v>1389</v>
      </c>
      <c r="B62" s="78" t="s">
        <v>424</v>
      </c>
      <c r="C62" s="21">
        <v>3</v>
      </c>
      <c r="D62" s="21"/>
      <c r="E62" s="115">
        <f t="shared" si="0"/>
        <v>29</v>
      </c>
      <c r="F62" s="21">
        <v>8</v>
      </c>
      <c r="G62" s="21">
        <v>9</v>
      </c>
      <c r="H62" s="21">
        <v>12</v>
      </c>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16" t="s">
        <v>428</v>
      </c>
      <c r="AH62" s="188" t="s">
        <v>101</v>
      </c>
      <c r="AK62" s="16" t="s">
        <v>430</v>
      </c>
      <c r="AL62" s="28">
        <f t="shared" si="1"/>
        <v>6</v>
      </c>
      <c r="AM62" s="28"/>
      <c r="AN62" s="28">
        <v>1.2</v>
      </c>
      <c r="AO62" s="20" t="s">
        <v>425</v>
      </c>
      <c r="AP62" s="20" t="s">
        <v>426</v>
      </c>
      <c r="AQ62" s="21">
        <v>10</v>
      </c>
      <c r="AR62" s="20" t="s">
        <v>10</v>
      </c>
    </row>
    <row r="63" spans="1:44" ht="70" customHeight="1">
      <c r="A63" s="82" t="s">
        <v>1390</v>
      </c>
      <c r="B63" s="78" t="s">
        <v>424</v>
      </c>
      <c r="C63" s="21">
        <v>2</v>
      </c>
      <c r="D63" s="21"/>
      <c r="E63" s="115">
        <f t="shared" si="0"/>
        <v>39</v>
      </c>
      <c r="F63" s="21">
        <v>26</v>
      </c>
      <c r="G63" s="21">
        <v>13</v>
      </c>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16" t="s">
        <v>428</v>
      </c>
      <c r="AH63" s="188" t="s">
        <v>227</v>
      </c>
      <c r="AK63" s="16" t="s">
        <v>421</v>
      </c>
      <c r="AL63" s="28">
        <f t="shared" si="1"/>
        <v>7.5</v>
      </c>
      <c r="AM63" s="28"/>
      <c r="AN63" s="28">
        <v>1.5</v>
      </c>
      <c r="AO63" s="20" t="s">
        <v>425</v>
      </c>
      <c r="AP63" s="20" t="s">
        <v>426</v>
      </c>
      <c r="AQ63" s="21">
        <v>15</v>
      </c>
      <c r="AR63" s="20" t="s">
        <v>10</v>
      </c>
    </row>
    <row r="64" spans="1:44" ht="70" customHeight="1">
      <c r="A64" s="82" t="s">
        <v>1391</v>
      </c>
      <c r="B64" s="78" t="s">
        <v>424</v>
      </c>
      <c r="C64" s="21">
        <v>3</v>
      </c>
      <c r="D64" s="21"/>
      <c r="E64" s="115">
        <f t="shared" si="0"/>
        <v>43</v>
      </c>
      <c r="F64" s="21">
        <v>12</v>
      </c>
      <c r="G64" s="21">
        <v>12</v>
      </c>
      <c r="H64" s="21">
        <v>19</v>
      </c>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16" t="s">
        <v>428</v>
      </c>
      <c r="AH64" s="188" t="s">
        <v>227</v>
      </c>
      <c r="AK64" s="16" t="s">
        <v>431</v>
      </c>
      <c r="AL64" s="28">
        <f t="shared" si="1"/>
        <v>10</v>
      </c>
      <c r="AM64" s="28"/>
      <c r="AN64" s="28">
        <v>2</v>
      </c>
      <c r="AO64" s="20" t="s">
        <v>425</v>
      </c>
      <c r="AP64" s="20" t="s">
        <v>426</v>
      </c>
      <c r="AQ64" s="21">
        <v>15</v>
      </c>
      <c r="AR64" s="20" t="s">
        <v>10</v>
      </c>
    </row>
    <row r="65" spans="1:44" s="48" customFormat="1" ht="70" customHeight="1">
      <c r="A65" s="82" t="s">
        <v>1392</v>
      </c>
      <c r="B65" s="80" t="s">
        <v>401</v>
      </c>
      <c r="C65" s="24">
        <v>7</v>
      </c>
      <c r="D65" s="24"/>
      <c r="E65" s="115">
        <f t="shared" si="0"/>
        <v>144</v>
      </c>
      <c r="F65" s="146">
        <v>19</v>
      </c>
      <c r="G65" s="142">
        <v>27</v>
      </c>
      <c r="H65" s="143">
        <v>22</v>
      </c>
      <c r="I65" s="146">
        <v>21</v>
      </c>
      <c r="J65" s="145">
        <v>12</v>
      </c>
      <c r="K65" s="145">
        <v>21</v>
      </c>
      <c r="L65" s="144">
        <v>22</v>
      </c>
      <c r="M65" s="24"/>
      <c r="N65" s="24"/>
      <c r="O65" s="24"/>
      <c r="P65" s="24"/>
      <c r="Q65" s="24"/>
      <c r="R65" s="24"/>
      <c r="S65" s="24"/>
      <c r="T65" s="24"/>
      <c r="U65" s="24"/>
      <c r="V65" s="24"/>
      <c r="W65" s="24"/>
      <c r="X65" s="24"/>
      <c r="Y65" s="24"/>
      <c r="Z65" s="24"/>
      <c r="AA65" s="24"/>
      <c r="AB65" s="24"/>
      <c r="AC65" s="24"/>
      <c r="AD65" s="24"/>
      <c r="AE65" s="24"/>
      <c r="AF65" s="24"/>
      <c r="AG65" s="49" t="s">
        <v>472</v>
      </c>
      <c r="AH65" s="188" t="s">
        <v>375</v>
      </c>
      <c r="AI65" s="188"/>
      <c r="AJ65" s="188"/>
      <c r="AK65" s="49" t="s">
        <v>404</v>
      </c>
      <c r="AL65" s="38">
        <f t="shared" si="1"/>
        <v>25.500000000000004</v>
      </c>
      <c r="AM65" s="155" t="s">
        <v>1869</v>
      </c>
      <c r="AN65" s="38">
        <f>1.5+0.7+0.7+1.5+0.7</f>
        <v>5.1000000000000005</v>
      </c>
      <c r="AO65" s="48" t="s">
        <v>402</v>
      </c>
      <c r="AP65" s="48" t="s">
        <v>403</v>
      </c>
      <c r="AQ65" s="24" t="s">
        <v>38</v>
      </c>
      <c r="AR65" s="48" t="s">
        <v>10</v>
      </c>
    </row>
    <row r="66" spans="1:44" s="48" customFormat="1" ht="70" customHeight="1">
      <c r="A66" s="82" t="s">
        <v>1393</v>
      </c>
      <c r="B66" s="80" t="s">
        <v>401</v>
      </c>
      <c r="C66" s="24">
        <v>6</v>
      </c>
      <c r="D66" s="24"/>
      <c r="E66" s="115">
        <f t="shared" si="0"/>
        <v>116</v>
      </c>
      <c r="F66" s="146">
        <v>20</v>
      </c>
      <c r="G66" s="142">
        <v>24</v>
      </c>
      <c r="H66" s="143">
        <v>24</v>
      </c>
      <c r="I66" s="145">
        <v>18</v>
      </c>
      <c r="J66" s="144">
        <v>14</v>
      </c>
      <c r="K66" s="144">
        <v>16</v>
      </c>
      <c r="L66" s="24"/>
      <c r="M66" s="24"/>
      <c r="N66" s="24"/>
      <c r="O66" s="24"/>
      <c r="P66" s="24"/>
      <c r="Q66" s="24"/>
      <c r="R66" s="24"/>
      <c r="S66" s="24"/>
      <c r="T66" s="24"/>
      <c r="U66" s="24"/>
      <c r="V66" s="24"/>
      <c r="W66" s="24"/>
      <c r="X66" s="24"/>
      <c r="Y66" s="24"/>
      <c r="Z66" s="24"/>
      <c r="AA66" s="24"/>
      <c r="AB66" s="24"/>
      <c r="AC66" s="24"/>
      <c r="AD66" s="24"/>
      <c r="AE66" s="24"/>
      <c r="AF66" s="24"/>
      <c r="AG66" s="49" t="s">
        <v>472</v>
      </c>
      <c r="AH66" s="188" t="s">
        <v>375</v>
      </c>
      <c r="AI66" s="188"/>
      <c r="AJ66" s="188"/>
      <c r="AK66" s="49" t="s">
        <v>405</v>
      </c>
      <c r="AL66" s="38">
        <f t="shared" si="1"/>
        <v>21.5</v>
      </c>
      <c r="AM66" s="155" t="s">
        <v>1870</v>
      </c>
      <c r="AN66" s="38">
        <f>0.7+0.7+0.9+0.9+1.1</f>
        <v>4.3</v>
      </c>
      <c r="AO66" s="48" t="s">
        <v>402</v>
      </c>
      <c r="AP66" s="48" t="s">
        <v>403</v>
      </c>
      <c r="AQ66" s="24" t="s">
        <v>38</v>
      </c>
      <c r="AR66" s="48" t="s">
        <v>10</v>
      </c>
    </row>
    <row r="67" spans="1:44" s="48" customFormat="1" ht="70" customHeight="1">
      <c r="A67" s="82" t="s">
        <v>1394</v>
      </c>
      <c r="B67" s="80" t="s">
        <v>401</v>
      </c>
      <c r="C67" s="24">
        <v>2</v>
      </c>
      <c r="D67" s="24"/>
      <c r="E67" s="115">
        <f t="shared" ref="E67:E124" si="2">SUM(F67:Y67)</f>
        <v>56</v>
      </c>
      <c r="F67" s="24">
        <v>31</v>
      </c>
      <c r="G67" s="24">
        <v>25</v>
      </c>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49" t="s">
        <v>472</v>
      </c>
      <c r="AH67" s="188" t="s">
        <v>379</v>
      </c>
      <c r="AI67" s="188"/>
      <c r="AJ67" s="188"/>
      <c r="AK67" s="49" t="s">
        <v>406</v>
      </c>
      <c r="AL67" s="38">
        <f t="shared" ref="AL67:AL124" si="3">5*AN67</f>
        <v>7.5</v>
      </c>
      <c r="AM67" s="38"/>
      <c r="AN67" s="38">
        <v>1.5</v>
      </c>
      <c r="AO67" s="48" t="s">
        <v>402</v>
      </c>
      <c r="AP67" s="48" t="s">
        <v>403</v>
      </c>
      <c r="AQ67" s="24">
        <v>10</v>
      </c>
      <c r="AR67" s="48" t="s">
        <v>10</v>
      </c>
    </row>
    <row r="68" spans="1:44" s="48" customFormat="1" ht="70" customHeight="1">
      <c r="A68" s="82" t="s">
        <v>1395</v>
      </c>
      <c r="B68" s="80" t="s">
        <v>401</v>
      </c>
      <c r="C68" s="24">
        <v>3</v>
      </c>
      <c r="D68" s="24"/>
      <c r="E68" s="115">
        <f t="shared" si="2"/>
        <v>45</v>
      </c>
      <c r="F68" s="24">
        <v>22</v>
      </c>
      <c r="G68" s="24">
        <v>9</v>
      </c>
      <c r="H68" s="24">
        <v>14</v>
      </c>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49" t="s">
        <v>472</v>
      </c>
      <c r="AH68" s="188" t="s">
        <v>379</v>
      </c>
      <c r="AI68" s="188"/>
      <c r="AJ68" s="188"/>
      <c r="AK68" s="49" t="s">
        <v>407</v>
      </c>
      <c r="AL68" s="38">
        <f t="shared" si="3"/>
        <v>6</v>
      </c>
      <c r="AM68" s="38"/>
      <c r="AN68" s="38">
        <v>1.2</v>
      </c>
      <c r="AO68" s="48" t="s">
        <v>402</v>
      </c>
      <c r="AP68" s="48" t="s">
        <v>403</v>
      </c>
      <c r="AQ68" s="24">
        <v>20</v>
      </c>
      <c r="AR68" s="48" t="s">
        <v>10</v>
      </c>
    </row>
    <row r="69" spans="1:44" ht="70" customHeight="1">
      <c r="A69" s="82" t="s">
        <v>1396</v>
      </c>
      <c r="B69" s="78" t="s">
        <v>440</v>
      </c>
      <c r="C69" s="21">
        <v>4</v>
      </c>
      <c r="D69" s="21"/>
      <c r="E69" s="115">
        <f t="shared" si="2"/>
        <v>55</v>
      </c>
      <c r="F69" s="21">
        <v>8</v>
      </c>
      <c r="G69" s="21">
        <v>17</v>
      </c>
      <c r="H69" s="21">
        <v>16</v>
      </c>
      <c r="I69" s="21">
        <v>14</v>
      </c>
      <c r="J69" s="21"/>
      <c r="K69" s="21"/>
      <c r="L69" s="21"/>
      <c r="M69" s="21"/>
      <c r="N69" s="21"/>
      <c r="O69" s="21"/>
      <c r="P69" s="21"/>
      <c r="Q69" s="21"/>
      <c r="R69" s="21"/>
      <c r="S69" s="21"/>
      <c r="T69" s="21"/>
      <c r="U69" s="21"/>
      <c r="V69" s="21"/>
      <c r="W69" s="21"/>
      <c r="X69" s="21"/>
      <c r="Y69" s="21"/>
      <c r="Z69" s="21"/>
      <c r="AA69" s="21"/>
      <c r="AB69" s="21"/>
      <c r="AC69" s="21"/>
      <c r="AD69" s="21"/>
      <c r="AE69" s="21"/>
      <c r="AF69" s="21"/>
      <c r="AG69" s="16" t="s">
        <v>441</v>
      </c>
      <c r="AH69" s="188" t="s">
        <v>379</v>
      </c>
      <c r="AK69" s="16" t="s">
        <v>443</v>
      </c>
      <c r="AL69" s="28">
        <f t="shared" si="3"/>
        <v>10</v>
      </c>
      <c r="AM69" s="28"/>
      <c r="AN69" s="28">
        <v>2</v>
      </c>
      <c r="AO69" s="20" t="s">
        <v>442</v>
      </c>
      <c r="AP69" s="20" t="s">
        <v>434</v>
      </c>
      <c r="AQ69" s="21">
        <v>15</v>
      </c>
      <c r="AR69" s="20" t="s">
        <v>10</v>
      </c>
    </row>
    <row r="70" spans="1:44" ht="70" customHeight="1">
      <c r="A70" s="82" t="s">
        <v>1397</v>
      </c>
      <c r="B70" s="78" t="s">
        <v>440</v>
      </c>
      <c r="C70" s="21">
        <v>6</v>
      </c>
      <c r="D70" s="21"/>
      <c r="E70" s="115">
        <f t="shared" si="2"/>
        <v>66</v>
      </c>
      <c r="F70" s="21">
        <v>18</v>
      </c>
      <c r="G70" s="21">
        <v>7</v>
      </c>
      <c r="H70" s="21">
        <v>11</v>
      </c>
      <c r="I70" s="21">
        <v>11</v>
      </c>
      <c r="J70" s="21">
        <v>9</v>
      </c>
      <c r="K70" s="21">
        <v>10</v>
      </c>
      <c r="L70" s="21"/>
      <c r="M70" s="21"/>
      <c r="N70" s="21"/>
      <c r="O70" s="21"/>
      <c r="P70" s="21"/>
      <c r="Q70" s="21"/>
      <c r="R70" s="21"/>
      <c r="S70" s="21"/>
      <c r="T70" s="21"/>
      <c r="U70" s="21"/>
      <c r="V70" s="21"/>
      <c r="W70" s="21"/>
      <c r="X70" s="21"/>
      <c r="Y70" s="21"/>
      <c r="Z70" s="21"/>
      <c r="AA70" s="21"/>
      <c r="AB70" s="21"/>
      <c r="AC70" s="21"/>
      <c r="AD70" s="21"/>
      <c r="AE70" s="21"/>
      <c r="AF70" s="21"/>
      <c r="AG70" s="16" t="s">
        <v>441</v>
      </c>
      <c r="AH70" s="188" t="s">
        <v>379</v>
      </c>
      <c r="AK70" s="16" t="s">
        <v>444</v>
      </c>
      <c r="AL70" s="28">
        <f t="shared" si="3"/>
        <v>10</v>
      </c>
      <c r="AM70" s="28"/>
      <c r="AN70" s="28">
        <v>2</v>
      </c>
      <c r="AO70" s="20" t="s">
        <v>442</v>
      </c>
      <c r="AP70" s="20" t="s">
        <v>434</v>
      </c>
      <c r="AQ70" s="21">
        <v>15</v>
      </c>
      <c r="AR70" s="20" t="s">
        <v>10</v>
      </c>
    </row>
    <row r="71" spans="1:44" ht="70" customHeight="1">
      <c r="A71" s="82" t="s">
        <v>1398</v>
      </c>
      <c r="B71" s="78" t="s">
        <v>440</v>
      </c>
      <c r="C71" s="21">
        <v>6</v>
      </c>
      <c r="D71" s="21"/>
      <c r="E71" s="115">
        <f t="shared" si="2"/>
        <v>81</v>
      </c>
      <c r="F71" s="21">
        <v>12</v>
      </c>
      <c r="G71" s="21">
        <v>13</v>
      </c>
      <c r="H71" s="21">
        <v>14</v>
      </c>
      <c r="I71" s="21">
        <v>14</v>
      </c>
      <c r="J71" s="21">
        <v>14</v>
      </c>
      <c r="K71" s="21">
        <v>14</v>
      </c>
      <c r="L71" s="21"/>
      <c r="M71" s="21"/>
      <c r="N71" s="21"/>
      <c r="O71" s="21"/>
      <c r="P71" s="21"/>
      <c r="Q71" s="21"/>
      <c r="R71" s="21"/>
      <c r="S71" s="21"/>
      <c r="T71" s="21"/>
      <c r="U71" s="21"/>
      <c r="V71" s="21"/>
      <c r="W71" s="21"/>
      <c r="X71" s="21"/>
      <c r="Y71" s="21"/>
      <c r="Z71" s="21"/>
      <c r="AA71" s="21"/>
      <c r="AB71" s="21"/>
      <c r="AC71" s="21"/>
      <c r="AD71" s="21"/>
      <c r="AE71" s="21"/>
      <c r="AF71" s="21"/>
      <c r="AG71" s="16" t="s">
        <v>441</v>
      </c>
      <c r="AH71" s="188" t="s">
        <v>418</v>
      </c>
      <c r="AK71" s="16" t="s">
        <v>445</v>
      </c>
      <c r="AL71" s="28">
        <f t="shared" si="3"/>
        <v>12.5</v>
      </c>
      <c r="AM71" s="28"/>
      <c r="AN71" s="28">
        <v>2.5</v>
      </c>
      <c r="AO71" s="20" t="s">
        <v>442</v>
      </c>
      <c r="AP71" s="20" t="s">
        <v>434</v>
      </c>
      <c r="AQ71" s="21">
        <v>15</v>
      </c>
      <c r="AR71" s="20" t="s">
        <v>10</v>
      </c>
    </row>
    <row r="72" spans="1:44" ht="70" customHeight="1">
      <c r="A72" s="82" t="s">
        <v>1399</v>
      </c>
      <c r="B72" s="78" t="s">
        <v>440</v>
      </c>
      <c r="C72" s="21">
        <v>3</v>
      </c>
      <c r="D72" s="21"/>
      <c r="E72" s="115">
        <f t="shared" si="2"/>
        <v>43</v>
      </c>
      <c r="F72" s="21">
        <v>16</v>
      </c>
      <c r="G72" s="21">
        <v>14</v>
      </c>
      <c r="H72" s="21">
        <v>13</v>
      </c>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16" t="s">
        <v>441</v>
      </c>
      <c r="AH72" s="188" t="s">
        <v>418</v>
      </c>
      <c r="AK72" s="16" t="s">
        <v>446</v>
      </c>
      <c r="AL72" s="28">
        <f t="shared" si="3"/>
        <v>6</v>
      </c>
      <c r="AM72" s="28"/>
      <c r="AN72" s="28">
        <v>1.2</v>
      </c>
      <c r="AO72" s="20" t="s">
        <v>442</v>
      </c>
      <c r="AP72" s="20" t="s">
        <v>434</v>
      </c>
      <c r="AQ72" s="21">
        <v>15</v>
      </c>
      <c r="AR72" s="20" t="s">
        <v>10</v>
      </c>
    </row>
    <row r="73" spans="1:44" s="48" customFormat="1" ht="70" customHeight="1">
      <c r="A73" s="82" t="s">
        <v>1400</v>
      </c>
      <c r="B73" s="80" t="s">
        <v>451</v>
      </c>
      <c r="C73" s="24">
        <v>10</v>
      </c>
      <c r="D73" s="24"/>
      <c r="E73" s="115">
        <f t="shared" si="2"/>
        <v>68</v>
      </c>
      <c r="F73" s="24">
        <v>4</v>
      </c>
      <c r="G73" s="24">
        <v>4</v>
      </c>
      <c r="H73" s="24">
        <v>7</v>
      </c>
      <c r="I73" s="24">
        <v>16</v>
      </c>
      <c r="J73" s="24">
        <v>10</v>
      </c>
      <c r="K73" s="24">
        <v>4</v>
      </c>
      <c r="L73" s="24">
        <v>6</v>
      </c>
      <c r="M73" s="24">
        <v>4</v>
      </c>
      <c r="N73" s="24">
        <v>6</v>
      </c>
      <c r="O73" s="24">
        <v>7</v>
      </c>
      <c r="P73" s="24"/>
      <c r="Q73" s="24"/>
      <c r="R73" s="24"/>
      <c r="S73" s="24"/>
      <c r="T73" s="24"/>
      <c r="U73" s="24"/>
      <c r="V73" s="24"/>
      <c r="W73" s="24"/>
      <c r="X73" s="24"/>
      <c r="Y73" s="24"/>
      <c r="Z73" s="24"/>
      <c r="AA73" s="24"/>
      <c r="AB73" s="24"/>
      <c r="AC73" s="24"/>
      <c r="AD73" s="24"/>
      <c r="AE73" s="24"/>
      <c r="AF73" s="24"/>
      <c r="AG73" s="49" t="s">
        <v>465</v>
      </c>
      <c r="AH73" s="188" t="s">
        <v>219</v>
      </c>
      <c r="AI73" s="188"/>
      <c r="AJ73" s="188"/>
      <c r="AK73" s="49" t="s">
        <v>454</v>
      </c>
      <c r="AL73" s="38">
        <f t="shared" si="3"/>
        <v>10</v>
      </c>
      <c r="AM73" s="38"/>
      <c r="AN73" s="38">
        <v>2</v>
      </c>
      <c r="AO73" s="48" t="s">
        <v>452</v>
      </c>
      <c r="AP73" s="48" t="s">
        <v>453</v>
      </c>
      <c r="AQ73" s="24">
        <v>10</v>
      </c>
      <c r="AR73" s="48" t="s">
        <v>10</v>
      </c>
    </row>
    <row r="74" spans="1:44" s="48" customFormat="1" ht="70" customHeight="1">
      <c r="A74" s="82" t="s">
        <v>1401</v>
      </c>
      <c r="B74" s="80" t="s">
        <v>451</v>
      </c>
      <c r="C74" s="24">
        <v>10</v>
      </c>
      <c r="D74" s="24"/>
      <c r="E74" s="115">
        <f t="shared" si="2"/>
        <v>131</v>
      </c>
      <c r="F74" s="146">
        <v>38</v>
      </c>
      <c r="G74" s="142">
        <v>8</v>
      </c>
      <c r="H74" s="143">
        <v>9</v>
      </c>
      <c r="I74" s="145">
        <v>6</v>
      </c>
      <c r="J74" s="142">
        <v>4</v>
      </c>
      <c r="K74" s="144">
        <v>35</v>
      </c>
      <c r="L74" s="145">
        <v>7</v>
      </c>
      <c r="M74" s="143">
        <v>9</v>
      </c>
      <c r="N74" s="142">
        <v>8</v>
      </c>
      <c r="O74" s="145">
        <v>7</v>
      </c>
      <c r="P74" s="24"/>
      <c r="Q74" s="24"/>
      <c r="R74" s="24"/>
      <c r="S74" s="24"/>
      <c r="T74" s="24"/>
      <c r="U74" s="24"/>
      <c r="V74" s="24"/>
      <c r="W74" s="24"/>
      <c r="X74" s="24"/>
      <c r="Y74" s="24"/>
      <c r="Z74" s="24"/>
      <c r="AA74" s="24"/>
      <c r="AB74" s="24"/>
      <c r="AC74" s="24"/>
      <c r="AD74" s="24"/>
      <c r="AE74" s="24"/>
      <c r="AF74" s="24"/>
      <c r="AG74" s="181" t="s">
        <v>1929</v>
      </c>
      <c r="AH74" s="189" t="s">
        <v>1929</v>
      </c>
      <c r="AI74" s="188"/>
      <c r="AJ74" s="188"/>
      <c r="AK74" s="49"/>
      <c r="AL74" s="38">
        <f t="shared" si="3"/>
        <v>20.500000000000004</v>
      </c>
      <c r="AM74" s="155" t="s">
        <v>1871</v>
      </c>
      <c r="AN74" s="38">
        <f>0.7+1.1+0.9+1.1+0.3</f>
        <v>4.1000000000000005</v>
      </c>
      <c r="AO74" s="48" t="s">
        <v>452</v>
      </c>
      <c r="AP74" s="48" t="s">
        <v>453</v>
      </c>
      <c r="AQ74" s="24">
        <v>10</v>
      </c>
      <c r="AR74" s="48" t="s">
        <v>10</v>
      </c>
    </row>
    <row r="75" spans="1:44" s="48" customFormat="1" ht="70" customHeight="1">
      <c r="A75" s="82" t="s">
        <v>1402</v>
      </c>
      <c r="B75" s="80" t="s">
        <v>451</v>
      </c>
      <c r="C75" s="24">
        <v>10</v>
      </c>
      <c r="D75" s="24"/>
      <c r="E75" s="115">
        <f t="shared" si="2"/>
        <v>119</v>
      </c>
      <c r="F75" s="146">
        <v>12</v>
      </c>
      <c r="G75" s="142">
        <v>15</v>
      </c>
      <c r="H75" s="142">
        <v>9</v>
      </c>
      <c r="I75" s="146">
        <v>10</v>
      </c>
      <c r="J75" s="143">
        <v>10</v>
      </c>
      <c r="K75" s="145">
        <v>10</v>
      </c>
      <c r="L75" s="143">
        <v>15</v>
      </c>
      <c r="M75" s="145">
        <v>8</v>
      </c>
      <c r="N75" s="144">
        <v>20</v>
      </c>
      <c r="O75" s="145">
        <v>10</v>
      </c>
      <c r="P75" s="24"/>
      <c r="Q75" s="24"/>
      <c r="R75" s="24"/>
      <c r="S75" s="24"/>
      <c r="T75" s="24"/>
      <c r="U75" s="24"/>
      <c r="V75" s="24"/>
      <c r="W75" s="24"/>
      <c r="X75" s="24"/>
      <c r="Y75" s="24"/>
      <c r="Z75" s="24"/>
      <c r="AA75" s="24"/>
      <c r="AB75" s="24"/>
      <c r="AC75" s="24"/>
      <c r="AD75" s="24"/>
      <c r="AE75" s="24"/>
      <c r="AF75" s="24"/>
      <c r="AG75" s="181" t="s">
        <v>1929</v>
      </c>
      <c r="AH75" s="189" t="s">
        <v>1929</v>
      </c>
      <c r="AI75" s="188"/>
      <c r="AJ75" s="188"/>
      <c r="AK75" s="49"/>
      <c r="AL75" s="38">
        <f t="shared" si="3"/>
        <v>18.5</v>
      </c>
      <c r="AM75" s="155" t="s">
        <v>1872</v>
      </c>
      <c r="AN75" s="38">
        <f>0.9+1.1+0.5+0.9+0.3</f>
        <v>3.6999999999999997</v>
      </c>
      <c r="AO75" s="48" t="s">
        <v>452</v>
      </c>
      <c r="AP75" s="48" t="s">
        <v>453</v>
      </c>
      <c r="AQ75" s="24">
        <v>10</v>
      </c>
      <c r="AR75" s="48" t="s">
        <v>10</v>
      </c>
    </row>
    <row r="76" spans="1:44" s="48" customFormat="1" ht="70" customHeight="1">
      <c r="A76" s="82" t="s">
        <v>1403</v>
      </c>
      <c r="B76" s="80" t="s">
        <v>451</v>
      </c>
      <c r="C76" s="24">
        <v>10</v>
      </c>
      <c r="D76" s="24"/>
      <c r="E76" s="115">
        <f t="shared" si="2"/>
        <v>75</v>
      </c>
      <c r="F76" s="24">
        <v>8</v>
      </c>
      <c r="G76" s="24">
        <v>5</v>
      </c>
      <c r="H76" s="24">
        <v>9</v>
      </c>
      <c r="I76" s="24">
        <v>9</v>
      </c>
      <c r="J76" s="24">
        <v>7</v>
      </c>
      <c r="K76" s="24">
        <v>6</v>
      </c>
      <c r="L76" s="24">
        <v>8</v>
      </c>
      <c r="M76" s="24">
        <v>10</v>
      </c>
      <c r="N76" s="24">
        <v>8</v>
      </c>
      <c r="O76" s="24">
        <v>5</v>
      </c>
      <c r="P76" s="24"/>
      <c r="Q76" s="24"/>
      <c r="R76" s="24"/>
      <c r="S76" s="24"/>
      <c r="T76" s="24"/>
      <c r="U76" s="24"/>
      <c r="V76" s="24"/>
      <c r="W76" s="24"/>
      <c r="X76" s="24"/>
      <c r="Y76" s="24"/>
      <c r="Z76" s="24"/>
      <c r="AA76" s="24"/>
      <c r="AB76" s="24"/>
      <c r="AC76" s="24"/>
      <c r="AD76" s="24"/>
      <c r="AE76" s="24"/>
      <c r="AF76" s="24"/>
      <c r="AG76" s="181" t="s">
        <v>1929</v>
      </c>
      <c r="AH76" s="189" t="s">
        <v>1929</v>
      </c>
      <c r="AI76" s="188"/>
      <c r="AJ76" s="188"/>
      <c r="AK76" s="49"/>
      <c r="AL76" s="38">
        <f t="shared" si="3"/>
        <v>10</v>
      </c>
      <c r="AM76" s="38"/>
      <c r="AN76" s="38">
        <v>2</v>
      </c>
      <c r="AO76" s="48" t="s">
        <v>452</v>
      </c>
      <c r="AP76" s="48" t="s">
        <v>453</v>
      </c>
      <c r="AQ76" s="24">
        <v>15</v>
      </c>
      <c r="AR76" s="48" t="s">
        <v>10</v>
      </c>
    </row>
    <row r="77" spans="1:44" s="48" customFormat="1" ht="70" customHeight="1">
      <c r="A77" s="82" t="s">
        <v>1404</v>
      </c>
      <c r="B77" s="80" t="s">
        <v>451</v>
      </c>
      <c r="C77" s="24"/>
      <c r="D77" s="24">
        <v>20</v>
      </c>
      <c r="E77" s="115">
        <f t="shared" si="2"/>
        <v>78</v>
      </c>
      <c r="F77" s="24">
        <v>13</v>
      </c>
      <c r="G77" s="24">
        <v>1</v>
      </c>
      <c r="H77" s="24">
        <v>1</v>
      </c>
      <c r="I77" s="24">
        <v>2</v>
      </c>
      <c r="J77" s="24">
        <v>2</v>
      </c>
      <c r="K77" s="24">
        <v>2</v>
      </c>
      <c r="L77" s="24">
        <v>2</v>
      </c>
      <c r="M77" s="24">
        <v>3</v>
      </c>
      <c r="N77" s="24">
        <v>3</v>
      </c>
      <c r="O77" s="24">
        <v>3</v>
      </c>
      <c r="P77" s="24">
        <v>3</v>
      </c>
      <c r="Q77" s="24">
        <v>3</v>
      </c>
      <c r="R77" s="24">
        <v>3</v>
      </c>
      <c r="S77" s="24">
        <v>4</v>
      </c>
      <c r="T77" s="24">
        <v>5</v>
      </c>
      <c r="U77" s="24">
        <v>5</v>
      </c>
      <c r="V77" s="24">
        <v>5</v>
      </c>
      <c r="W77" s="24">
        <v>6</v>
      </c>
      <c r="X77" s="24">
        <v>6</v>
      </c>
      <c r="Y77" s="24">
        <v>6</v>
      </c>
      <c r="Z77" s="24"/>
      <c r="AA77" s="24"/>
      <c r="AB77" s="24"/>
      <c r="AC77" s="24"/>
      <c r="AD77" s="24"/>
      <c r="AE77" s="24"/>
      <c r="AF77" s="24"/>
      <c r="AG77" s="181" t="s">
        <v>1929</v>
      </c>
      <c r="AH77" s="189" t="s">
        <v>1929</v>
      </c>
      <c r="AI77" s="188"/>
      <c r="AJ77" s="188"/>
      <c r="AK77" s="49"/>
      <c r="AL77" s="38">
        <f t="shared" si="3"/>
        <v>20</v>
      </c>
      <c r="AM77" s="38"/>
      <c r="AN77" s="38">
        <v>4</v>
      </c>
      <c r="AO77" s="48" t="s">
        <v>452</v>
      </c>
      <c r="AP77" s="48" t="s">
        <v>453</v>
      </c>
      <c r="AQ77" s="24">
        <v>3</v>
      </c>
      <c r="AR77" s="48" t="s">
        <v>10</v>
      </c>
    </row>
    <row r="78" spans="1:44" ht="70" customHeight="1">
      <c r="A78" s="82" t="s">
        <v>1405</v>
      </c>
      <c r="B78" s="78" t="s">
        <v>342</v>
      </c>
      <c r="C78" s="21">
        <v>11</v>
      </c>
      <c r="D78" s="21"/>
      <c r="E78" s="115">
        <f t="shared" si="2"/>
        <v>38</v>
      </c>
      <c r="F78" s="21">
        <v>3</v>
      </c>
      <c r="G78" s="21">
        <v>3</v>
      </c>
      <c r="H78" s="21">
        <v>3</v>
      </c>
      <c r="I78" s="21">
        <v>3</v>
      </c>
      <c r="J78" s="21">
        <v>3</v>
      </c>
      <c r="K78" s="21">
        <v>3</v>
      </c>
      <c r="L78" s="21">
        <v>4</v>
      </c>
      <c r="M78" s="21">
        <v>4</v>
      </c>
      <c r="N78" s="21">
        <v>4</v>
      </c>
      <c r="O78" s="21">
        <v>4</v>
      </c>
      <c r="P78" s="21">
        <v>4</v>
      </c>
      <c r="Q78" s="21"/>
      <c r="R78" s="21"/>
      <c r="S78" s="21"/>
      <c r="T78" s="21"/>
      <c r="U78" s="21"/>
      <c r="V78" s="21"/>
      <c r="W78" s="21"/>
      <c r="X78" s="21"/>
      <c r="Y78" s="21"/>
      <c r="Z78" s="21"/>
      <c r="AA78" s="21"/>
      <c r="AB78" s="21"/>
      <c r="AC78" s="21"/>
      <c r="AD78" s="21"/>
      <c r="AE78" s="21"/>
      <c r="AF78" s="21"/>
      <c r="AG78" s="16" t="s">
        <v>336</v>
      </c>
      <c r="AH78" s="188" t="s">
        <v>469</v>
      </c>
      <c r="AL78" s="28">
        <f t="shared" si="3"/>
        <v>7.5</v>
      </c>
      <c r="AM78" s="28"/>
      <c r="AN78" s="28">
        <v>1.5</v>
      </c>
      <c r="AQ78" s="21">
        <v>5</v>
      </c>
      <c r="AR78" s="20" t="s">
        <v>10</v>
      </c>
    </row>
    <row r="79" spans="1:44" ht="70" customHeight="1">
      <c r="A79" s="82" t="s">
        <v>1406</v>
      </c>
      <c r="B79" s="78" t="s">
        <v>342</v>
      </c>
      <c r="C79" s="21">
        <v>12</v>
      </c>
      <c r="D79" s="21"/>
      <c r="E79" s="115">
        <f t="shared" si="2"/>
        <v>43</v>
      </c>
      <c r="F79" s="21">
        <v>1</v>
      </c>
      <c r="G79" s="21">
        <v>1</v>
      </c>
      <c r="H79" s="21">
        <v>3</v>
      </c>
      <c r="I79" s="21">
        <v>3</v>
      </c>
      <c r="J79" s="21">
        <v>3</v>
      </c>
      <c r="K79" s="21">
        <v>3</v>
      </c>
      <c r="L79" s="21">
        <v>3</v>
      </c>
      <c r="M79" s="21">
        <v>4</v>
      </c>
      <c r="N79" s="21">
        <v>4</v>
      </c>
      <c r="O79" s="21">
        <v>5</v>
      </c>
      <c r="P79" s="21">
        <v>5</v>
      </c>
      <c r="Q79" s="21">
        <v>8</v>
      </c>
      <c r="R79" s="21"/>
      <c r="S79" s="21"/>
      <c r="T79" s="21"/>
      <c r="U79" s="21"/>
      <c r="V79" s="21"/>
      <c r="W79" s="21"/>
      <c r="X79" s="21"/>
      <c r="Y79" s="21"/>
      <c r="Z79" s="21"/>
      <c r="AA79" s="21"/>
      <c r="AB79" s="21"/>
      <c r="AC79" s="21"/>
      <c r="AD79" s="21"/>
      <c r="AE79" s="21"/>
      <c r="AF79" s="21"/>
      <c r="AG79" s="16" t="s">
        <v>335</v>
      </c>
      <c r="AH79" s="188" t="s">
        <v>319</v>
      </c>
      <c r="AK79" s="16" t="s">
        <v>320</v>
      </c>
      <c r="AL79" s="28">
        <f t="shared" si="3"/>
        <v>6</v>
      </c>
      <c r="AM79" s="28"/>
      <c r="AN79" s="28">
        <v>1.2</v>
      </c>
      <c r="AQ79" s="21">
        <v>2</v>
      </c>
      <c r="AR79" s="20" t="s">
        <v>10</v>
      </c>
    </row>
    <row r="80" spans="1:44" s="48" customFormat="1" ht="70" customHeight="1">
      <c r="A80" s="82" t="s">
        <v>1407</v>
      </c>
      <c r="B80" s="80" t="s">
        <v>457</v>
      </c>
      <c r="C80" s="24">
        <v>10</v>
      </c>
      <c r="D80" s="24"/>
      <c r="E80" s="115">
        <f t="shared" si="2"/>
        <v>17</v>
      </c>
      <c r="F80" s="24">
        <v>1</v>
      </c>
      <c r="G80" s="24">
        <v>1</v>
      </c>
      <c r="H80" s="24">
        <v>1</v>
      </c>
      <c r="I80" s="24">
        <v>1</v>
      </c>
      <c r="J80" s="24">
        <v>2</v>
      </c>
      <c r="K80" s="24">
        <v>2</v>
      </c>
      <c r="L80" s="24">
        <v>2</v>
      </c>
      <c r="M80" s="24">
        <v>2</v>
      </c>
      <c r="N80" s="24">
        <v>2</v>
      </c>
      <c r="O80" s="24">
        <v>3</v>
      </c>
      <c r="P80" s="24"/>
      <c r="Q80" s="24"/>
      <c r="R80" s="24"/>
      <c r="S80" s="24"/>
      <c r="T80" s="24"/>
      <c r="U80" s="24"/>
      <c r="V80" s="24"/>
      <c r="W80" s="24"/>
      <c r="X80" s="24"/>
      <c r="Y80" s="24"/>
      <c r="Z80" s="24"/>
      <c r="AA80" s="24"/>
      <c r="AB80" s="24"/>
      <c r="AC80" s="24"/>
      <c r="AD80" s="24"/>
      <c r="AE80" s="24"/>
      <c r="AF80" s="24"/>
      <c r="AG80" s="49" t="s">
        <v>341</v>
      </c>
      <c r="AH80" s="188" t="s">
        <v>766</v>
      </c>
      <c r="AI80" s="188"/>
      <c r="AJ80" s="188"/>
      <c r="AK80" s="49" t="s">
        <v>767</v>
      </c>
      <c r="AL80" s="38">
        <f t="shared" si="3"/>
        <v>6</v>
      </c>
      <c r="AM80" s="38"/>
      <c r="AN80" s="38">
        <v>1.2</v>
      </c>
      <c r="AO80" s="48" t="s">
        <v>769</v>
      </c>
      <c r="AP80" s="48" t="s">
        <v>770</v>
      </c>
      <c r="AQ80" s="24">
        <v>5</v>
      </c>
      <c r="AR80" s="48" t="s">
        <v>768</v>
      </c>
    </row>
    <row r="81" spans="1:44" s="48" customFormat="1" ht="70" customHeight="1">
      <c r="A81" s="82" t="s">
        <v>1408</v>
      </c>
      <c r="B81" s="80" t="s">
        <v>771</v>
      </c>
      <c r="C81" s="24">
        <v>10</v>
      </c>
      <c r="D81" s="24"/>
      <c r="E81" s="115">
        <f t="shared" si="2"/>
        <v>19</v>
      </c>
      <c r="F81" s="24">
        <v>1</v>
      </c>
      <c r="G81" s="24">
        <v>2</v>
      </c>
      <c r="H81" s="24">
        <v>2</v>
      </c>
      <c r="I81" s="24">
        <v>2</v>
      </c>
      <c r="J81" s="24">
        <v>2</v>
      </c>
      <c r="K81" s="24">
        <v>2</v>
      </c>
      <c r="L81" s="24">
        <v>2</v>
      </c>
      <c r="M81" s="24">
        <v>2</v>
      </c>
      <c r="N81" s="24">
        <v>2</v>
      </c>
      <c r="O81" s="24">
        <v>2</v>
      </c>
      <c r="P81" s="24"/>
      <c r="Q81" s="24"/>
      <c r="R81" s="24"/>
      <c r="S81" s="24"/>
      <c r="T81" s="24"/>
      <c r="U81" s="24"/>
      <c r="V81" s="24"/>
      <c r="W81" s="24"/>
      <c r="X81" s="24"/>
      <c r="Y81" s="24"/>
      <c r="Z81" s="24"/>
      <c r="AA81" s="24"/>
      <c r="AB81" s="24"/>
      <c r="AC81" s="24"/>
      <c r="AD81" s="24"/>
      <c r="AE81" s="24"/>
      <c r="AF81" s="24"/>
      <c r="AG81" s="49" t="s">
        <v>341</v>
      </c>
      <c r="AH81" s="188" t="s">
        <v>772</v>
      </c>
      <c r="AI81" s="188"/>
      <c r="AJ81" s="188"/>
      <c r="AK81" s="49" t="s">
        <v>767</v>
      </c>
      <c r="AL81" s="38">
        <f t="shared" si="3"/>
        <v>3</v>
      </c>
      <c r="AM81" s="38"/>
      <c r="AN81" s="38">
        <v>0.6</v>
      </c>
      <c r="AO81" s="48" t="s">
        <v>769</v>
      </c>
      <c r="AP81" s="48" t="s">
        <v>770</v>
      </c>
      <c r="AQ81" s="24">
        <v>2</v>
      </c>
      <c r="AR81" s="48" t="s">
        <v>768</v>
      </c>
    </row>
    <row r="82" spans="1:44" s="48" customFormat="1" ht="70" customHeight="1">
      <c r="A82" s="82" t="s">
        <v>1409</v>
      </c>
      <c r="B82" s="80" t="s">
        <v>771</v>
      </c>
      <c r="C82" s="24">
        <v>10</v>
      </c>
      <c r="D82" s="24"/>
      <c r="E82" s="115">
        <f t="shared" si="2"/>
        <v>16</v>
      </c>
      <c r="F82" s="24">
        <v>1</v>
      </c>
      <c r="G82" s="24">
        <v>1</v>
      </c>
      <c r="H82" s="24">
        <v>1</v>
      </c>
      <c r="I82" s="24">
        <v>1</v>
      </c>
      <c r="J82" s="24">
        <v>2</v>
      </c>
      <c r="K82" s="24">
        <v>2</v>
      </c>
      <c r="L82" s="24">
        <v>2</v>
      </c>
      <c r="M82" s="24">
        <v>2</v>
      </c>
      <c r="N82" s="24">
        <v>2</v>
      </c>
      <c r="O82" s="24">
        <v>2</v>
      </c>
      <c r="P82" s="24"/>
      <c r="Q82" s="24"/>
      <c r="R82" s="24"/>
      <c r="S82" s="24"/>
      <c r="T82" s="24"/>
      <c r="U82" s="24"/>
      <c r="V82" s="24"/>
      <c r="W82" s="24"/>
      <c r="X82" s="24"/>
      <c r="Y82" s="24"/>
      <c r="Z82" s="24"/>
      <c r="AA82" s="24"/>
      <c r="AB82" s="24"/>
      <c r="AC82" s="24"/>
      <c r="AD82" s="24"/>
      <c r="AE82" s="24"/>
      <c r="AF82" s="24"/>
      <c r="AG82" s="49" t="s">
        <v>341</v>
      </c>
      <c r="AH82" s="188" t="s">
        <v>773</v>
      </c>
      <c r="AI82" s="188"/>
      <c r="AJ82" s="188"/>
      <c r="AK82" s="49" t="s">
        <v>767</v>
      </c>
      <c r="AL82" s="38">
        <f t="shared" si="3"/>
        <v>2</v>
      </c>
      <c r="AM82" s="38"/>
      <c r="AN82" s="38">
        <v>0.4</v>
      </c>
      <c r="AO82" s="48" t="s">
        <v>769</v>
      </c>
      <c r="AP82" s="48" t="s">
        <v>770</v>
      </c>
      <c r="AQ82" s="24">
        <v>2</v>
      </c>
      <c r="AR82" s="48" t="s">
        <v>768</v>
      </c>
    </row>
    <row r="83" spans="1:44" s="48" customFormat="1" ht="70" customHeight="1">
      <c r="A83" s="82" t="s">
        <v>1410</v>
      </c>
      <c r="B83" s="80" t="s">
        <v>771</v>
      </c>
      <c r="C83" s="24">
        <v>10</v>
      </c>
      <c r="D83" s="24"/>
      <c r="E83" s="115">
        <f t="shared" si="2"/>
        <v>19</v>
      </c>
      <c r="F83" s="24">
        <v>1</v>
      </c>
      <c r="G83" s="24">
        <v>1</v>
      </c>
      <c r="H83" s="24">
        <v>1</v>
      </c>
      <c r="I83" s="24">
        <v>2</v>
      </c>
      <c r="J83" s="24">
        <v>2</v>
      </c>
      <c r="K83" s="24">
        <v>2</v>
      </c>
      <c r="L83" s="24">
        <v>2</v>
      </c>
      <c r="M83" s="24">
        <v>2</v>
      </c>
      <c r="N83" s="24">
        <v>2</v>
      </c>
      <c r="O83" s="24">
        <v>4</v>
      </c>
      <c r="P83" s="24"/>
      <c r="Q83" s="24"/>
      <c r="R83" s="24"/>
      <c r="S83" s="24"/>
      <c r="T83" s="24"/>
      <c r="U83" s="24"/>
      <c r="V83" s="24"/>
      <c r="W83" s="24"/>
      <c r="X83" s="24"/>
      <c r="Y83" s="24"/>
      <c r="Z83" s="24"/>
      <c r="AA83" s="24"/>
      <c r="AB83" s="24"/>
      <c r="AC83" s="24"/>
      <c r="AD83" s="24"/>
      <c r="AE83" s="24"/>
      <c r="AF83" s="24"/>
      <c r="AG83" s="49" t="s">
        <v>341</v>
      </c>
      <c r="AH83" s="188" t="s">
        <v>774</v>
      </c>
      <c r="AI83" s="188"/>
      <c r="AJ83" s="188"/>
      <c r="AK83" s="49" t="s">
        <v>767</v>
      </c>
      <c r="AL83" s="38">
        <f t="shared" si="3"/>
        <v>6</v>
      </c>
      <c r="AM83" s="38"/>
      <c r="AN83" s="38">
        <v>1.2</v>
      </c>
      <c r="AO83" s="48" t="s">
        <v>769</v>
      </c>
      <c r="AP83" s="48" t="s">
        <v>770</v>
      </c>
      <c r="AQ83" s="24">
        <v>2</v>
      </c>
      <c r="AR83" s="48" t="s">
        <v>768</v>
      </c>
    </row>
    <row r="84" spans="1:44" s="48" customFormat="1" ht="70" customHeight="1">
      <c r="A84" s="82" t="s">
        <v>1411</v>
      </c>
      <c r="B84" s="80" t="s">
        <v>771</v>
      </c>
      <c r="C84" s="24"/>
      <c r="D84" s="24">
        <v>20</v>
      </c>
      <c r="E84" s="115">
        <f t="shared" si="2"/>
        <v>63</v>
      </c>
      <c r="F84" s="24">
        <v>1</v>
      </c>
      <c r="G84" s="24">
        <v>2</v>
      </c>
      <c r="H84" s="24">
        <v>2</v>
      </c>
      <c r="I84" s="24">
        <v>2</v>
      </c>
      <c r="J84" s="24">
        <v>2</v>
      </c>
      <c r="K84" s="24">
        <v>2</v>
      </c>
      <c r="L84" s="24">
        <v>3</v>
      </c>
      <c r="M84" s="24">
        <v>3</v>
      </c>
      <c r="N84" s="24">
        <v>3</v>
      </c>
      <c r="O84" s="24">
        <v>3</v>
      </c>
      <c r="P84" s="24">
        <v>3</v>
      </c>
      <c r="Q84" s="24">
        <v>3</v>
      </c>
      <c r="R84" s="24">
        <v>3</v>
      </c>
      <c r="S84" s="24">
        <v>3</v>
      </c>
      <c r="T84" s="24">
        <v>4</v>
      </c>
      <c r="U84" s="24">
        <v>4</v>
      </c>
      <c r="V84" s="24">
        <v>4</v>
      </c>
      <c r="W84" s="24">
        <v>4</v>
      </c>
      <c r="X84" s="24">
        <v>5</v>
      </c>
      <c r="Y84" s="24">
        <v>7</v>
      </c>
      <c r="Z84" s="24"/>
      <c r="AA84" s="24"/>
      <c r="AB84" s="24"/>
      <c r="AC84" s="24"/>
      <c r="AD84" s="24"/>
      <c r="AE84" s="24"/>
      <c r="AF84" s="24"/>
      <c r="AG84" s="49" t="s">
        <v>775</v>
      </c>
      <c r="AH84" s="188" t="s">
        <v>776</v>
      </c>
      <c r="AI84" s="188"/>
      <c r="AJ84" s="188"/>
      <c r="AK84" s="49" t="s">
        <v>767</v>
      </c>
      <c r="AL84" s="38">
        <f t="shared" si="3"/>
        <v>7.5</v>
      </c>
      <c r="AM84" s="38"/>
      <c r="AN84" s="38">
        <v>1.5</v>
      </c>
      <c r="AO84" s="48" t="s">
        <v>769</v>
      </c>
      <c r="AP84" s="48" t="s">
        <v>770</v>
      </c>
      <c r="AQ84" s="24">
        <v>2</v>
      </c>
      <c r="AR84" s="48" t="s">
        <v>768</v>
      </c>
    </row>
    <row r="85" spans="1:44" ht="70" customHeight="1">
      <c r="A85" s="82" t="s">
        <v>1412</v>
      </c>
      <c r="B85" s="78" t="s">
        <v>777</v>
      </c>
      <c r="C85" s="21">
        <v>10</v>
      </c>
      <c r="D85" s="21"/>
      <c r="E85" s="115">
        <f t="shared" si="2"/>
        <v>216</v>
      </c>
      <c r="F85" s="21">
        <v>9</v>
      </c>
      <c r="G85" s="142">
        <v>16</v>
      </c>
      <c r="H85" s="142">
        <v>27</v>
      </c>
      <c r="I85" s="143">
        <v>21</v>
      </c>
      <c r="J85" s="145">
        <v>20</v>
      </c>
      <c r="K85" s="21">
        <v>29</v>
      </c>
      <c r="L85" s="145">
        <v>26</v>
      </c>
      <c r="M85" s="144">
        <v>20</v>
      </c>
      <c r="N85" s="144">
        <v>27</v>
      </c>
      <c r="O85" s="143">
        <v>21</v>
      </c>
      <c r="P85" s="21"/>
      <c r="Q85" s="21"/>
      <c r="R85" s="21"/>
      <c r="S85" s="21"/>
      <c r="T85" s="21"/>
      <c r="U85" s="21"/>
      <c r="V85" s="21"/>
      <c r="W85" s="21"/>
      <c r="X85" s="21"/>
      <c r="Y85" s="21"/>
      <c r="Z85" s="21"/>
      <c r="AA85" s="21"/>
      <c r="AB85" s="21"/>
      <c r="AC85" s="21"/>
      <c r="AD85" s="21"/>
      <c r="AE85" s="21"/>
      <c r="AF85" s="21"/>
      <c r="AG85" s="16" t="s">
        <v>778</v>
      </c>
      <c r="AH85" s="188" t="s">
        <v>779</v>
      </c>
      <c r="AK85" s="16" t="s">
        <v>780</v>
      </c>
      <c r="AL85" s="28">
        <f t="shared" si="3"/>
        <v>40.5</v>
      </c>
      <c r="AM85" s="153" t="s">
        <v>1873</v>
      </c>
      <c r="AN85" s="28">
        <f>2+1.5+1.5+2+1.1</f>
        <v>8.1</v>
      </c>
      <c r="AO85" s="20" t="s">
        <v>782</v>
      </c>
      <c r="AP85" s="20" t="s">
        <v>783</v>
      </c>
      <c r="AQ85" s="21" t="s">
        <v>781</v>
      </c>
      <c r="AR85" s="20" t="s">
        <v>768</v>
      </c>
    </row>
    <row r="86" spans="1:44" ht="70" customHeight="1">
      <c r="A86" s="82" t="s">
        <v>1413</v>
      </c>
      <c r="B86" s="78" t="s">
        <v>777</v>
      </c>
      <c r="C86" s="21">
        <v>10</v>
      </c>
      <c r="D86" s="21"/>
      <c r="E86" s="115">
        <f t="shared" si="2"/>
        <v>167</v>
      </c>
      <c r="F86" s="21">
        <v>12</v>
      </c>
      <c r="G86" s="21">
        <v>20</v>
      </c>
      <c r="H86" s="142">
        <v>24</v>
      </c>
      <c r="I86" s="143">
        <v>19</v>
      </c>
      <c r="J86" s="143">
        <v>15</v>
      </c>
      <c r="K86" s="145">
        <v>22</v>
      </c>
      <c r="L86" s="144">
        <v>14</v>
      </c>
      <c r="M86" s="144">
        <v>20</v>
      </c>
      <c r="N86" s="145">
        <v>12</v>
      </c>
      <c r="O86" s="142">
        <v>9</v>
      </c>
      <c r="P86" s="21"/>
      <c r="Q86" s="21"/>
      <c r="R86" s="21"/>
      <c r="S86" s="21"/>
      <c r="T86" s="21"/>
      <c r="U86" s="21"/>
      <c r="V86" s="21"/>
      <c r="W86" s="21"/>
      <c r="X86" s="21"/>
      <c r="Y86" s="21"/>
      <c r="Z86" s="21"/>
      <c r="AA86" s="21"/>
      <c r="AB86" s="21"/>
      <c r="AC86" s="21"/>
      <c r="AD86" s="21"/>
      <c r="AE86" s="21"/>
      <c r="AF86" s="21"/>
      <c r="AG86" s="16" t="s">
        <v>778</v>
      </c>
      <c r="AH86" s="188" t="s">
        <v>779</v>
      </c>
      <c r="AK86" s="16" t="s">
        <v>784</v>
      </c>
      <c r="AL86" s="28">
        <f t="shared" si="3"/>
        <v>38</v>
      </c>
      <c r="AM86" s="153" t="s">
        <v>1874</v>
      </c>
      <c r="AN86" s="28">
        <f>2+1.5+1.5+1.5+1.1</f>
        <v>7.6</v>
      </c>
      <c r="AO86" s="20" t="s">
        <v>782</v>
      </c>
      <c r="AP86" s="20" t="s">
        <v>783</v>
      </c>
      <c r="AQ86" s="21">
        <v>20</v>
      </c>
      <c r="AR86" s="20" t="s">
        <v>768</v>
      </c>
    </row>
    <row r="87" spans="1:44" ht="70" customHeight="1">
      <c r="A87" s="82" t="s">
        <v>1414</v>
      </c>
      <c r="B87" s="78" t="s">
        <v>777</v>
      </c>
      <c r="C87" s="21">
        <v>10</v>
      </c>
      <c r="D87" s="21"/>
      <c r="E87" s="115">
        <f t="shared" si="2"/>
        <v>172</v>
      </c>
      <c r="F87" s="21">
        <v>9</v>
      </c>
      <c r="G87" s="142">
        <v>15</v>
      </c>
      <c r="H87" s="21">
        <v>25</v>
      </c>
      <c r="I87" s="143">
        <v>17</v>
      </c>
      <c r="J87" s="142">
        <v>20</v>
      </c>
      <c r="K87" s="143">
        <v>16</v>
      </c>
      <c r="L87" s="145">
        <v>14</v>
      </c>
      <c r="M87" s="144">
        <v>13</v>
      </c>
      <c r="N87" s="145">
        <v>20</v>
      </c>
      <c r="O87" s="144">
        <v>23</v>
      </c>
      <c r="P87" s="21"/>
      <c r="Q87" s="21"/>
      <c r="R87" s="21"/>
      <c r="S87" s="21"/>
      <c r="T87" s="21"/>
      <c r="U87" s="21"/>
      <c r="V87" s="21"/>
      <c r="W87" s="21"/>
      <c r="X87" s="21"/>
      <c r="Y87" s="21"/>
      <c r="Z87" s="21"/>
      <c r="AA87" s="21"/>
      <c r="AB87" s="21"/>
      <c r="AC87" s="21"/>
      <c r="AD87" s="21"/>
      <c r="AE87" s="21"/>
      <c r="AF87" s="21"/>
      <c r="AG87" s="16" t="s">
        <v>778</v>
      </c>
      <c r="AH87" s="188" t="s">
        <v>779</v>
      </c>
      <c r="AK87" s="16" t="s">
        <v>785</v>
      </c>
      <c r="AL87" s="28">
        <f t="shared" si="3"/>
        <v>37.5</v>
      </c>
      <c r="AM87" s="153" t="s">
        <v>1875</v>
      </c>
      <c r="AN87" s="28">
        <f>1.5*5</f>
        <v>7.5</v>
      </c>
      <c r="AO87" s="20" t="s">
        <v>782</v>
      </c>
      <c r="AP87" s="20" t="s">
        <v>783</v>
      </c>
      <c r="AQ87" s="21">
        <v>20</v>
      </c>
      <c r="AR87" s="20" t="s">
        <v>768</v>
      </c>
    </row>
    <row r="88" spans="1:44" ht="70" customHeight="1">
      <c r="A88" s="82" t="s">
        <v>1415</v>
      </c>
      <c r="B88" s="78" t="s">
        <v>777</v>
      </c>
      <c r="C88" s="21">
        <v>10</v>
      </c>
      <c r="D88" s="21"/>
      <c r="E88" s="115">
        <f t="shared" si="2"/>
        <v>189</v>
      </c>
      <c r="F88" s="21">
        <v>22</v>
      </c>
      <c r="G88" s="142">
        <v>23</v>
      </c>
      <c r="H88" s="142">
        <v>12</v>
      </c>
      <c r="I88" s="143">
        <v>20</v>
      </c>
      <c r="J88" s="143">
        <v>20</v>
      </c>
      <c r="K88" s="21">
        <v>17</v>
      </c>
      <c r="L88" s="145">
        <v>18</v>
      </c>
      <c r="M88" s="144">
        <v>23</v>
      </c>
      <c r="N88" s="144">
        <v>14</v>
      </c>
      <c r="O88" s="145">
        <v>20</v>
      </c>
      <c r="P88" s="21"/>
      <c r="Q88" s="21"/>
      <c r="R88" s="21"/>
      <c r="S88" s="21"/>
      <c r="T88" s="21"/>
      <c r="U88" s="21"/>
      <c r="V88" s="21"/>
      <c r="W88" s="21"/>
      <c r="X88" s="21"/>
      <c r="Y88" s="21"/>
      <c r="Z88" s="21"/>
      <c r="AA88" s="21"/>
      <c r="AB88" s="21"/>
      <c r="AC88" s="21"/>
      <c r="AD88" s="21"/>
      <c r="AE88" s="21"/>
      <c r="AF88" s="21"/>
      <c r="AG88" s="16" t="s">
        <v>778</v>
      </c>
      <c r="AH88" s="188" t="s">
        <v>779</v>
      </c>
      <c r="AK88" s="16" t="s">
        <v>786</v>
      </c>
      <c r="AL88" s="28">
        <f t="shared" si="3"/>
        <v>38</v>
      </c>
      <c r="AM88" s="153" t="s">
        <v>1876</v>
      </c>
      <c r="AN88" s="28">
        <f>1.5+1.1+1.5+1.5+2</f>
        <v>7.6</v>
      </c>
      <c r="AO88" s="20" t="s">
        <v>782</v>
      </c>
      <c r="AP88" s="20" t="s">
        <v>783</v>
      </c>
      <c r="AQ88" s="21">
        <v>20</v>
      </c>
      <c r="AR88" s="20" t="s">
        <v>768</v>
      </c>
    </row>
    <row r="89" spans="1:44" ht="70" customHeight="1">
      <c r="A89" s="82" t="s">
        <v>1416</v>
      </c>
      <c r="B89" s="78" t="s">
        <v>777</v>
      </c>
      <c r="C89" s="21"/>
      <c r="D89" s="21">
        <v>19</v>
      </c>
      <c r="E89" s="115">
        <f t="shared" si="2"/>
        <v>206</v>
      </c>
      <c r="F89" s="146">
        <v>6</v>
      </c>
      <c r="G89" s="146">
        <v>9</v>
      </c>
      <c r="H89" s="146">
        <v>11</v>
      </c>
      <c r="I89" s="142">
        <v>9</v>
      </c>
      <c r="J89" s="146">
        <v>15</v>
      </c>
      <c r="K89" s="142">
        <v>19</v>
      </c>
      <c r="L89" s="143">
        <v>12</v>
      </c>
      <c r="M89" s="145">
        <v>6</v>
      </c>
      <c r="N89" s="145">
        <v>11</v>
      </c>
      <c r="O89" s="145">
        <v>8</v>
      </c>
      <c r="P89" s="143">
        <v>9</v>
      </c>
      <c r="Q89" s="142">
        <v>13</v>
      </c>
      <c r="R89" s="144">
        <v>7</v>
      </c>
      <c r="S89" s="144">
        <v>11</v>
      </c>
      <c r="T89" s="144">
        <v>12</v>
      </c>
      <c r="U89" s="143">
        <v>9</v>
      </c>
      <c r="V89" s="144">
        <v>11</v>
      </c>
      <c r="W89" s="143">
        <v>12</v>
      </c>
      <c r="X89" s="145">
        <v>16</v>
      </c>
      <c r="Y89" s="21"/>
      <c r="Z89" s="21"/>
      <c r="AA89" s="21"/>
      <c r="AB89" s="21"/>
      <c r="AC89" s="21"/>
      <c r="AD89" s="21"/>
      <c r="AE89" s="21"/>
      <c r="AF89" s="21"/>
      <c r="AG89" s="16" t="s">
        <v>787</v>
      </c>
      <c r="AH89" s="188" t="s">
        <v>779</v>
      </c>
      <c r="AK89" s="16" t="s">
        <v>788</v>
      </c>
      <c r="AL89" s="28">
        <f t="shared" si="3"/>
        <v>47.5</v>
      </c>
      <c r="AM89" s="153" t="s">
        <v>1877</v>
      </c>
      <c r="AN89" s="28">
        <f>2+1.5+2+2+2</f>
        <v>9.5</v>
      </c>
      <c r="AO89" s="20" t="s">
        <v>782</v>
      </c>
      <c r="AP89" s="20" t="s">
        <v>783</v>
      </c>
      <c r="AQ89" s="21" t="s">
        <v>789</v>
      </c>
      <c r="AR89" s="20" t="s">
        <v>768</v>
      </c>
    </row>
    <row r="90" spans="1:44" s="48" customFormat="1" ht="70" customHeight="1">
      <c r="A90" s="82" t="s">
        <v>1417</v>
      </c>
      <c r="B90" s="80" t="s">
        <v>790</v>
      </c>
      <c r="C90" s="24">
        <v>9</v>
      </c>
      <c r="D90" s="24"/>
      <c r="E90" s="115">
        <f t="shared" si="2"/>
        <v>56</v>
      </c>
      <c r="F90" s="24">
        <v>2</v>
      </c>
      <c r="G90" s="24">
        <v>4</v>
      </c>
      <c r="H90" s="24">
        <v>5</v>
      </c>
      <c r="I90" s="24">
        <v>5</v>
      </c>
      <c r="J90" s="24">
        <v>5</v>
      </c>
      <c r="K90" s="24">
        <v>7</v>
      </c>
      <c r="L90" s="24">
        <v>7</v>
      </c>
      <c r="M90" s="24">
        <v>10</v>
      </c>
      <c r="N90" s="24">
        <v>11</v>
      </c>
      <c r="O90" s="24"/>
      <c r="P90" s="24"/>
      <c r="Q90" s="24"/>
      <c r="R90" s="24"/>
      <c r="S90" s="24"/>
      <c r="T90" s="24"/>
      <c r="U90" s="24"/>
      <c r="V90" s="24"/>
      <c r="W90" s="24"/>
      <c r="X90" s="24"/>
      <c r="Y90" s="24"/>
      <c r="Z90" s="24"/>
      <c r="AA90" s="24"/>
      <c r="AB90" s="24"/>
      <c r="AC90" s="24"/>
      <c r="AD90" s="24"/>
      <c r="AE90" s="24"/>
      <c r="AF90" s="24"/>
      <c r="AG90" s="49" t="s">
        <v>791</v>
      </c>
      <c r="AH90" s="188" t="s">
        <v>792</v>
      </c>
      <c r="AI90" s="188"/>
      <c r="AJ90" s="188"/>
      <c r="AK90" s="49" t="s">
        <v>792</v>
      </c>
      <c r="AL90" s="38">
        <f t="shared" si="3"/>
        <v>7.5</v>
      </c>
      <c r="AM90" s="38"/>
      <c r="AN90" s="38">
        <v>1.5</v>
      </c>
      <c r="AO90" s="48" t="s">
        <v>793</v>
      </c>
      <c r="AP90" s="48" t="s">
        <v>794</v>
      </c>
      <c r="AQ90" s="24">
        <v>5</v>
      </c>
      <c r="AR90" s="48" t="s">
        <v>768</v>
      </c>
    </row>
    <row r="91" spans="1:44" s="48" customFormat="1" ht="70" customHeight="1">
      <c r="A91" s="82" t="s">
        <v>1418</v>
      </c>
      <c r="B91" s="80" t="s">
        <v>790</v>
      </c>
      <c r="C91" s="38">
        <v>10</v>
      </c>
      <c r="D91" s="37"/>
      <c r="E91" s="115">
        <f t="shared" si="2"/>
        <v>104</v>
      </c>
      <c r="F91" s="146">
        <v>2</v>
      </c>
      <c r="G91" s="142">
        <v>4</v>
      </c>
      <c r="H91" s="142">
        <v>5</v>
      </c>
      <c r="I91" s="142">
        <v>5</v>
      </c>
      <c r="J91" s="143">
        <v>6</v>
      </c>
      <c r="K91" s="145">
        <v>6</v>
      </c>
      <c r="L91" s="145">
        <v>7</v>
      </c>
      <c r="M91" s="143">
        <v>9</v>
      </c>
      <c r="N91" s="146">
        <v>11</v>
      </c>
      <c r="O91" s="144">
        <v>49</v>
      </c>
      <c r="P91" s="24"/>
      <c r="Q91" s="24"/>
      <c r="R91" s="24"/>
      <c r="S91" s="24"/>
      <c r="T91" s="24"/>
      <c r="U91" s="24"/>
      <c r="V91" s="24"/>
      <c r="W91" s="24"/>
      <c r="X91" s="24"/>
      <c r="Y91" s="24"/>
      <c r="Z91" s="24"/>
      <c r="AA91" s="24"/>
      <c r="AB91" s="24"/>
      <c r="AC91" s="24"/>
      <c r="AD91" s="24"/>
      <c r="AE91" s="24"/>
      <c r="AF91" s="24"/>
      <c r="AG91" s="49" t="s">
        <v>791</v>
      </c>
      <c r="AH91" s="188" t="s">
        <v>858</v>
      </c>
      <c r="AI91" s="188"/>
      <c r="AJ91" s="188"/>
      <c r="AK91" s="49" t="s">
        <v>792</v>
      </c>
      <c r="AL91" s="38">
        <f t="shared" si="3"/>
        <v>17.499999999999996</v>
      </c>
      <c r="AM91" s="155" t="s">
        <v>1878</v>
      </c>
      <c r="AN91" s="38">
        <f>0.5+0.9+0.5+0.7+0.9</f>
        <v>3.4999999999999996</v>
      </c>
      <c r="AO91" s="48" t="s">
        <v>793</v>
      </c>
      <c r="AP91" s="48" t="s">
        <v>794</v>
      </c>
      <c r="AQ91" s="24">
        <v>10</v>
      </c>
      <c r="AR91" s="48" t="s">
        <v>768</v>
      </c>
    </row>
    <row r="92" spans="1:44" s="48" customFormat="1" ht="70" customHeight="1">
      <c r="A92" s="82" t="s">
        <v>1419</v>
      </c>
      <c r="B92" s="80" t="s">
        <v>790</v>
      </c>
      <c r="C92" s="38">
        <v>10</v>
      </c>
      <c r="D92" s="37"/>
      <c r="E92" s="115">
        <f t="shared" si="2"/>
        <v>134</v>
      </c>
      <c r="F92" s="146">
        <v>8</v>
      </c>
      <c r="G92" s="146">
        <v>8</v>
      </c>
      <c r="H92" s="142">
        <v>10</v>
      </c>
      <c r="I92" s="146">
        <v>11</v>
      </c>
      <c r="J92" s="143">
        <v>13</v>
      </c>
      <c r="K92" s="145">
        <v>14</v>
      </c>
      <c r="L92" s="145">
        <v>14</v>
      </c>
      <c r="M92" s="143">
        <v>15</v>
      </c>
      <c r="N92" s="142">
        <v>17</v>
      </c>
      <c r="O92" s="144">
        <v>24</v>
      </c>
      <c r="P92" s="24"/>
      <c r="Q92" s="24"/>
      <c r="R92" s="24"/>
      <c r="S92" s="24"/>
      <c r="T92" s="24"/>
      <c r="U92" s="24"/>
      <c r="V92" s="24"/>
      <c r="W92" s="24"/>
      <c r="X92" s="24"/>
      <c r="Y92" s="24"/>
      <c r="Z92" s="24"/>
      <c r="AA92" s="24"/>
      <c r="AB92" s="24"/>
      <c r="AC92" s="24"/>
      <c r="AD92" s="24"/>
      <c r="AE92" s="24"/>
      <c r="AF92" s="24"/>
      <c r="AG92" s="49" t="s">
        <v>791</v>
      </c>
      <c r="AH92" s="188" t="s">
        <v>859</v>
      </c>
      <c r="AI92" s="188"/>
      <c r="AJ92" s="188"/>
      <c r="AK92" s="49" t="s">
        <v>792</v>
      </c>
      <c r="AL92" s="38">
        <f t="shared" si="3"/>
        <v>17.5</v>
      </c>
      <c r="AM92" s="155" t="s">
        <v>1879</v>
      </c>
      <c r="AN92" s="38">
        <f>0.9+0.7+0.7+0.7+0.5</f>
        <v>3.5</v>
      </c>
      <c r="AO92" s="48" t="s">
        <v>793</v>
      </c>
      <c r="AP92" s="48" t="s">
        <v>794</v>
      </c>
      <c r="AQ92" s="24">
        <v>10</v>
      </c>
      <c r="AR92" s="48" t="s">
        <v>768</v>
      </c>
    </row>
    <row r="93" spans="1:44" s="48" customFormat="1" ht="70" customHeight="1">
      <c r="A93" s="82" t="s">
        <v>1420</v>
      </c>
      <c r="B93" s="80" t="s">
        <v>790</v>
      </c>
      <c r="C93" s="24">
        <v>10</v>
      </c>
      <c r="D93" s="24"/>
      <c r="E93" s="115">
        <f t="shared" si="2"/>
        <v>142</v>
      </c>
      <c r="F93" s="146">
        <v>23</v>
      </c>
      <c r="G93" s="142">
        <v>13</v>
      </c>
      <c r="H93" s="142">
        <v>12</v>
      </c>
      <c r="I93" s="146">
        <v>10</v>
      </c>
      <c r="J93" s="143">
        <v>8</v>
      </c>
      <c r="K93" s="143">
        <v>23</v>
      </c>
      <c r="L93" s="145">
        <v>13</v>
      </c>
      <c r="M93" s="145">
        <v>12</v>
      </c>
      <c r="N93" s="144">
        <v>14</v>
      </c>
      <c r="O93" s="144">
        <v>14</v>
      </c>
      <c r="P93" s="24"/>
      <c r="Q93" s="24"/>
      <c r="R93" s="24"/>
      <c r="S93" s="24"/>
      <c r="T93" s="24"/>
      <c r="U93" s="24"/>
      <c r="V93" s="24"/>
      <c r="W93" s="24"/>
      <c r="X93" s="24"/>
      <c r="Y93" s="24"/>
      <c r="Z93" s="24"/>
      <c r="AA93" s="24"/>
      <c r="AB93" s="24"/>
      <c r="AC93" s="24"/>
      <c r="AD93" s="24"/>
      <c r="AE93" s="24"/>
      <c r="AF93" s="24"/>
      <c r="AG93" s="49" t="s">
        <v>791</v>
      </c>
      <c r="AH93" s="188" t="s">
        <v>792</v>
      </c>
      <c r="AI93" s="188"/>
      <c r="AJ93" s="188"/>
      <c r="AK93" s="49" t="s">
        <v>792</v>
      </c>
      <c r="AL93" s="38">
        <f t="shared" si="3"/>
        <v>16.5</v>
      </c>
      <c r="AM93" s="155" t="s">
        <v>1880</v>
      </c>
      <c r="AN93" s="38">
        <f>0.7*4+0.5</f>
        <v>3.3</v>
      </c>
      <c r="AO93" s="48" t="s">
        <v>793</v>
      </c>
      <c r="AP93" s="48" t="s">
        <v>794</v>
      </c>
      <c r="AQ93" s="24">
        <v>15</v>
      </c>
      <c r="AR93" s="48" t="s">
        <v>768</v>
      </c>
    </row>
    <row r="94" spans="1:44" s="48" customFormat="1" ht="70" customHeight="1">
      <c r="A94" s="82" t="s">
        <v>1421</v>
      </c>
      <c r="B94" s="80" t="s">
        <v>790</v>
      </c>
      <c r="C94" s="24"/>
      <c r="D94" s="24">
        <v>20</v>
      </c>
      <c r="E94" s="115">
        <f t="shared" si="2"/>
        <v>137</v>
      </c>
      <c r="F94" s="24">
        <v>1</v>
      </c>
      <c r="G94" s="142">
        <v>3</v>
      </c>
      <c r="H94" s="142">
        <v>3</v>
      </c>
      <c r="I94" s="142">
        <v>5</v>
      </c>
      <c r="J94" s="142">
        <v>5</v>
      </c>
      <c r="K94" s="142">
        <v>5</v>
      </c>
      <c r="L94" s="143">
        <v>5</v>
      </c>
      <c r="M94" s="142">
        <v>6</v>
      </c>
      <c r="N94" s="24">
        <v>6</v>
      </c>
      <c r="O94" s="24">
        <v>6</v>
      </c>
      <c r="P94" s="24">
        <v>7</v>
      </c>
      <c r="Q94" s="24">
        <v>7</v>
      </c>
      <c r="R94" s="145">
        <v>8</v>
      </c>
      <c r="S94" s="144">
        <v>9</v>
      </c>
      <c r="T94" s="144">
        <v>9</v>
      </c>
      <c r="U94" s="144">
        <v>9</v>
      </c>
      <c r="V94" s="145">
        <v>10</v>
      </c>
      <c r="W94" s="145">
        <v>10</v>
      </c>
      <c r="X94" s="143">
        <v>11</v>
      </c>
      <c r="Y94" s="143">
        <v>12</v>
      </c>
      <c r="Z94" s="143"/>
      <c r="AA94" s="143"/>
      <c r="AB94" s="143"/>
      <c r="AC94" s="143"/>
      <c r="AD94" s="143"/>
      <c r="AE94" s="143"/>
      <c r="AF94" s="143"/>
      <c r="AG94" s="49" t="s">
        <v>795</v>
      </c>
      <c r="AH94" s="188" t="s">
        <v>796</v>
      </c>
      <c r="AI94" s="188"/>
      <c r="AJ94" s="188"/>
      <c r="AK94" s="49" t="s">
        <v>797</v>
      </c>
      <c r="AL94" s="38">
        <f t="shared" si="3"/>
        <v>17.5</v>
      </c>
      <c r="AM94" s="155" t="s">
        <v>1881</v>
      </c>
      <c r="AN94" s="38">
        <f>0.7*5</f>
        <v>3.5</v>
      </c>
      <c r="AO94" s="48" t="s">
        <v>793</v>
      </c>
      <c r="AP94" s="48" t="s">
        <v>794</v>
      </c>
      <c r="AQ94" s="24">
        <v>5</v>
      </c>
      <c r="AR94" s="48" t="s">
        <v>768</v>
      </c>
    </row>
    <row r="95" spans="1:44" ht="70" customHeight="1">
      <c r="A95" s="82" t="s">
        <v>1422</v>
      </c>
      <c r="B95" s="78" t="s">
        <v>798</v>
      </c>
      <c r="C95" s="21">
        <v>10</v>
      </c>
      <c r="D95" s="21"/>
      <c r="E95" s="115">
        <f t="shared" si="2"/>
        <v>231</v>
      </c>
      <c r="F95" s="21">
        <v>26</v>
      </c>
      <c r="G95" s="142">
        <v>15</v>
      </c>
      <c r="H95" s="143">
        <v>22</v>
      </c>
      <c r="I95" s="145">
        <v>19</v>
      </c>
      <c r="J95" s="142">
        <v>33</v>
      </c>
      <c r="K95" s="145">
        <v>26</v>
      </c>
      <c r="L95" s="144">
        <v>32</v>
      </c>
      <c r="M95" s="143">
        <v>24</v>
      </c>
      <c r="N95" s="21">
        <v>18</v>
      </c>
      <c r="O95" s="144">
        <v>16</v>
      </c>
      <c r="P95" s="21"/>
      <c r="Q95" s="21"/>
      <c r="R95" s="21"/>
      <c r="S95" s="21"/>
      <c r="T95" s="21"/>
      <c r="U95" s="21"/>
      <c r="V95" s="21"/>
      <c r="W95" s="21"/>
      <c r="X95" s="21"/>
      <c r="Y95" s="21"/>
      <c r="Z95" s="21"/>
      <c r="AA95" s="21"/>
      <c r="AB95" s="21"/>
      <c r="AC95" s="21"/>
      <c r="AD95" s="21"/>
      <c r="AE95" s="21"/>
      <c r="AF95" s="21"/>
      <c r="AG95" s="16" t="s">
        <v>799</v>
      </c>
      <c r="AH95" s="188" t="s">
        <v>800</v>
      </c>
      <c r="AK95" s="16" t="s">
        <v>801</v>
      </c>
      <c r="AL95" s="28">
        <f t="shared" si="3"/>
        <v>50</v>
      </c>
      <c r="AM95" s="153" t="s">
        <v>1882</v>
      </c>
      <c r="AN95" s="28">
        <f>2*5</f>
        <v>10</v>
      </c>
      <c r="AO95" s="20" t="s">
        <v>802</v>
      </c>
      <c r="AP95" s="20" t="s">
        <v>803</v>
      </c>
      <c r="AQ95" s="21">
        <v>15</v>
      </c>
      <c r="AR95" s="20" t="s">
        <v>768</v>
      </c>
    </row>
    <row r="96" spans="1:44" ht="70" customHeight="1">
      <c r="A96" s="82" t="s">
        <v>1423</v>
      </c>
      <c r="B96" s="78" t="s">
        <v>798</v>
      </c>
      <c r="C96" s="21">
        <v>10</v>
      </c>
      <c r="D96" s="21"/>
      <c r="E96" s="115">
        <f t="shared" si="2"/>
        <v>186</v>
      </c>
      <c r="F96" s="21">
        <v>16</v>
      </c>
      <c r="G96" s="142">
        <v>16</v>
      </c>
      <c r="H96" s="143">
        <v>16</v>
      </c>
      <c r="I96" s="143">
        <v>22</v>
      </c>
      <c r="J96" s="21">
        <v>22</v>
      </c>
      <c r="K96" s="142">
        <v>21</v>
      </c>
      <c r="L96" s="145">
        <v>19</v>
      </c>
      <c r="M96" s="144">
        <v>14</v>
      </c>
      <c r="N96" s="144">
        <v>23</v>
      </c>
      <c r="O96" s="145">
        <v>17</v>
      </c>
      <c r="P96" s="21"/>
      <c r="Q96" s="21"/>
      <c r="R96" s="21"/>
      <c r="S96" s="21"/>
      <c r="T96" s="21"/>
      <c r="U96" s="21"/>
      <c r="V96" s="21"/>
      <c r="W96" s="21"/>
      <c r="X96" s="21"/>
      <c r="Y96" s="21"/>
      <c r="Z96" s="21"/>
      <c r="AA96" s="21"/>
      <c r="AB96" s="21"/>
      <c r="AC96" s="21"/>
      <c r="AD96" s="21"/>
      <c r="AE96" s="21"/>
      <c r="AF96" s="21"/>
      <c r="AG96" s="16" t="s">
        <v>804</v>
      </c>
      <c r="AH96" s="188" t="s">
        <v>800</v>
      </c>
      <c r="AK96" s="16" t="s">
        <v>805</v>
      </c>
      <c r="AL96" s="28">
        <f t="shared" si="3"/>
        <v>47.5</v>
      </c>
      <c r="AM96" s="153" t="s">
        <v>1883</v>
      </c>
      <c r="AN96" s="28">
        <f>1.5+2*4</f>
        <v>9.5</v>
      </c>
      <c r="AO96" s="20" t="s">
        <v>802</v>
      </c>
      <c r="AP96" s="20" t="s">
        <v>803</v>
      </c>
      <c r="AQ96" s="21">
        <v>15</v>
      </c>
      <c r="AR96" s="20" t="s">
        <v>768</v>
      </c>
    </row>
    <row r="97" spans="1:44" ht="70" customHeight="1">
      <c r="A97" s="82" t="s">
        <v>1424</v>
      </c>
      <c r="B97" s="78" t="s">
        <v>798</v>
      </c>
      <c r="C97" s="21">
        <v>10</v>
      </c>
      <c r="D97" s="21"/>
      <c r="E97" s="115">
        <f t="shared" si="2"/>
        <v>178</v>
      </c>
      <c r="F97" s="21">
        <v>13</v>
      </c>
      <c r="G97" s="21">
        <v>20</v>
      </c>
      <c r="H97" s="142">
        <v>20</v>
      </c>
      <c r="I97" s="143">
        <v>25</v>
      </c>
      <c r="J97" s="142">
        <v>16</v>
      </c>
      <c r="K97" s="145">
        <v>17</v>
      </c>
      <c r="L97" s="145">
        <v>19</v>
      </c>
      <c r="M97" s="144">
        <v>19</v>
      </c>
      <c r="N97" s="144">
        <v>19</v>
      </c>
      <c r="O97" s="143">
        <v>10</v>
      </c>
      <c r="P97" s="21"/>
      <c r="Q97" s="21"/>
      <c r="R97" s="21"/>
      <c r="S97" s="21"/>
      <c r="T97" s="21"/>
      <c r="U97" s="21"/>
      <c r="V97" s="21"/>
      <c r="W97" s="21"/>
      <c r="X97" s="21"/>
      <c r="Y97" s="21"/>
      <c r="Z97" s="21"/>
      <c r="AA97" s="21"/>
      <c r="AB97" s="21"/>
      <c r="AC97" s="21"/>
      <c r="AD97" s="21"/>
      <c r="AE97" s="21"/>
      <c r="AF97" s="21"/>
      <c r="AG97" s="16" t="s">
        <v>806</v>
      </c>
      <c r="AH97" s="188" t="s">
        <v>800</v>
      </c>
      <c r="AK97" s="16" t="s">
        <v>807</v>
      </c>
      <c r="AL97" s="28">
        <f t="shared" si="3"/>
        <v>42</v>
      </c>
      <c r="AM97" s="153" t="s">
        <v>1884</v>
      </c>
      <c r="AN97" s="28">
        <f>0.9+2+2+2+1.5</f>
        <v>8.4</v>
      </c>
      <c r="AO97" s="20" t="s">
        <v>802</v>
      </c>
      <c r="AP97" s="20" t="s">
        <v>803</v>
      </c>
      <c r="AQ97" s="21">
        <v>15</v>
      </c>
      <c r="AR97" s="20" t="s">
        <v>768</v>
      </c>
    </row>
    <row r="98" spans="1:44" ht="70" customHeight="1">
      <c r="A98" s="82" t="s">
        <v>1425</v>
      </c>
      <c r="B98" s="78" t="s">
        <v>798</v>
      </c>
      <c r="C98" s="21">
        <v>10</v>
      </c>
      <c r="D98" s="21"/>
      <c r="E98" s="115">
        <f t="shared" si="2"/>
        <v>226</v>
      </c>
      <c r="F98" s="21">
        <v>20</v>
      </c>
      <c r="G98" s="142">
        <v>28</v>
      </c>
      <c r="H98" s="143">
        <v>25</v>
      </c>
      <c r="I98" s="21">
        <v>27</v>
      </c>
      <c r="J98" s="142">
        <v>19</v>
      </c>
      <c r="K98" s="145">
        <v>23</v>
      </c>
      <c r="L98" s="143">
        <v>21</v>
      </c>
      <c r="M98" s="145">
        <v>21</v>
      </c>
      <c r="N98" s="144">
        <v>21</v>
      </c>
      <c r="O98" s="144">
        <v>21</v>
      </c>
      <c r="P98" s="21"/>
      <c r="Q98" s="21"/>
      <c r="R98" s="21"/>
      <c r="S98" s="21"/>
      <c r="T98" s="21"/>
      <c r="U98" s="21"/>
      <c r="V98" s="21"/>
      <c r="W98" s="21"/>
      <c r="X98" s="21"/>
      <c r="Y98" s="21"/>
      <c r="Z98" s="21"/>
      <c r="AA98" s="21"/>
      <c r="AB98" s="21"/>
      <c r="AC98" s="21"/>
      <c r="AD98" s="21"/>
      <c r="AE98" s="21"/>
      <c r="AF98" s="21"/>
      <c r="AG98" s="16" t="s">
        <v>806</v>
      </c>
      <c r="AH98" s="188" t="s">
        <v>800</v>
      </c>
      <c r="AK98" s="16" t="s">
        <v>808</v>
      </c>
      <c r="AL98" s="28">
        <f t="shared" si="3"/>
        <v>33.5</v>
      </c>
      <c r="AM98" s="153" t="s">
        <v>1885</v>
      </c>
      <c r="AN98" s="28">
        <f>1.5+1.1+1.5+1.1+1.5</f>
        <v>6.6999999999999993</v>
      </c>
      <c r="AO98" s="20" t="s">
        <v>802</v>
      </c>
      <c r="AP98" s="20" t="s">
        <v>803</v>
      </c>
      <c r="AQ98" s="21">
        <v>15</v>
      </c>
      <c r="AR98" s="20" t="s">
        <v>768</v>
      </c>
    </row>
    <row r="99" spans="1:44" ht="70" customHeight="1">
      <c r="A99" s="82" t="s">
        <v>1426</v>
      </c>
      <c r="B99" s="78" t="s">
        <v>798</v>
      </c>
      <c r="C99" s="21"/>
      <c r="D99" s="21">
        <v>20</v>
      </c>
      <c r="E99" s="115">
        <f t="shared" si="2"/>
        <v>58</v>
      </c>
      <c r="F99" s="21">
        <v>1</v>
      </c>
      <c r="G99" s="21">
        <v>1</v>
      </c>
      <c r="H99" s="21">
        <v>1</v>
      </c>
      <c r="I99" s="21">
        <v>1</v>
      </c>
      <c r="J99" s="21">
        <v>2</v>
      </c>
      <c r="K99" s="21">
        <v>2</v>
      </c>
      <c r="L99" s="21">
        <v>2</v>
      </c>
      <c r="M99" s="21">
        <v>2</v>
      </c>
      <c r="N99" s="21">
        <v>2</v>
      </c>
      <c r="O99" s="21">
        <v>2</v>
      </c>
      <c r="P99" s="21">
        <v>3</v>
      </c>
      <c r="Q99" s="21">
        <v>3</v>
      </c>
      <c r="R99" s="21">
        <v>3</v>
      </c>
      <c r="S99" s="21">
        <v>3</v>
      </c>
      <c r="T99" s="21">
        <v>3</v>
      </c>
      <c r="U99" s="21">
        <v>4</v>
      </c>
      <c r="V99" s="21">
        <v>5</v>
      </c>
      <c r="W99" s="21">
        <v>5</v>
      </c>
      <c r="X99" s="21">
        <v>6</v>
      </c>
      <c r="Y99" s="21">
        <v>7</v>
      </c>
      <c r="Z99" s="21"/>
      <c r="AA99" s="21"/>
      <c r="AB99" s="21"/>
      <c r="AC99" s="21"/>
      <c r="AD99" s="21"/>
      <c r="AE99" s="21"/>
      <c r="AF99" s="21"/>
      <c r="AG99" s="16" t="s">
        <v>809</v>
      </c>
      <c r="AH99" s="188" t="s">
        <v>800</v>
      </c>
      <c r="AK99" s="16" t="s">
        <v>810</v>
      </c>
      <c r="AL99" s="28">
        <f t="shared" si="3"/>
        <v>7.5</v>
      </c>
      <c r="AM99" s="28"/>
      <c r="AN99" s="28">
        <v>1.5</v>
      </c>
      <c r="AO99" s="20" t="s">
        <v>802</v>
      </c>
      <c r="AP99" s="20" t="s">
        <v>803</v>
      </c>
      <c r="AQ99" s="21">
        <v>2</v>
      </c>
      <c r="AR99" s="20" t="s">
        <v>768</v>
      </c>
    </row>
    <row r="100" spans="1:44" s="48" customFormat="1" ht="70" customHeight="1">
      <c r="A100" s="82" t="s">
        <v>1427</v>
      </c>
      <c r="B100" s="80" t="s">
        <v>811</v>
      </c>
      <c r="C100" s="24">
        <v>10</v>
      </c>
      <c r="D100" s="24"/>
      <c r="E100" s="115">
        <f t="shared" si="2"/>
        <v>43</v>
      </c>
      <c r="F100" s="24">
        <v>4</v>
      </c>
      <c r="G100" s="24">
        <v>4</v>
      </c>
      <c r="H100" s="24">
        <v>4</v>
      </c>
      <c r="I100" s="24">
        <v>4</v>
      </c>
      <c r="J100" s="24">
        <v>4</v>
      </c>
      <c r="K100" s="24">
        <v>4</v>
      </c>
      <c r="L100" s="24">
        <v>4</v>
      </c>
      <c r="M100" s="24">
        <v>5</v>
      </c>
      <c r="N100" s="24">
        <v>5</v>
      </c>
      <c r="O100" s="24">
        <v>5</v>
      </c>
      <c r="P100" s="24"/>
      <c r="Q100" s="24"/>
      <c r="R100" s="24"/>
      <c r="S100" s="24"/>
      <c r="T100" s="24"/>
      <c r="U100" s="24"/>
      <c r="V100" s="24"/>
      <c r="W100" s="24"/>
      <c r="X100" s="24"/>
      <c r="Y100" s="24"/>
      <c r="Z100" s="24"/>
      <c r="AA100" s="24"/>
      <c r="AB100" s="24"/>
      <c r="AC100" s="24"/>
      <c r="AD100" s="24"/>
      <c r="AE100" s="24"/>
      <c r="AF100" s="24"/>
      <c r="AG100" s="49" t="s">
        <v>812</v>
      </c>
      <c r="AH100" s="188" t="s">
        <v>776</v>
      </c>
      <c r="AI100" s="188"/>
      <c r="AJ100" s="188"/>
      <c r="AK100" s="49" t="s">
        <v>813</v>
      </c>
      <c r="AL100" s="38">
        <f t="shared" si="3"/>
        <v>10</v>
      </c>
      <c r="AM100" s="38"/>
      <c r="AN100" s="38">
        <v>2</v>
      </c>
      <c r="AO100" s="48" t="s">
        <v>814</v>
      </c>
      <c r="AP100" s="48" t="s">
        <v>815</v>
      </c>
      <c r="AQ100" s="24">
        <v>5</v>
      </c>
      <c r="AR100" s="48" t="s">
        <v>768</v>
      </c>
    </row>
    <row r="101" spans="1:44" s="48" customFormat="1" ht="70" customHeight="1">
      <c r="A101" s="82" t="s">
        <v>1305</v>
      </c>
      <c r="B101" s="80" t="s">
        <v>811</v>
      </c>
      <c r="C101" s="24">
        <v>10</v>
      </c>
      <c r="D101" s="24"/>
      <c r="E101" s="115">
        <f t="shared" si="2"/>
        <v>37</v>
      </c>
      <c r="F101" s="24">
        <v>3</v>
      </c>
      <c r="G101" s="24">
        <v>3</v>
      </c>
      <c r="H101" s="24">
        <v>3</v>
      </c>
      <c r="I101" s="24">
        <v>4</v>
      </c>
      <c r="J101" s="24">
        <v>4</v>
      </c>
      <c r="K101" s="24">
        <v>4</v>
      </c>
      <c r="L101" s="24">
        <v>4</v>
      </c>
      <c r="M101" s="24">
        <v>4</v>
      </c>
      <c r="N101" s="24">
        <v>4</v>
      </c>
      <c r="O101" s="24">
        <v>4</v>
      </c>
      <c r="P101" s="24"/>
      <c r="Q101" s="24"/>
      <c r="R101" s="24"/>
      <c r="S101" s="24"/>
      <c r="T101" s="24"/>
      <c r="U101" s="24"/>
      <c r="V101" s="24"/>
      <c r="W101" s="24"/>
      <c r="X101" s="24"/>
      <c r="Y101" s="24"/>
      <c r="Z101" s="24"/>
      <c r="AA101" s="24"/>
      <c r="AB101" s="24"/>
      <c r="AC101" s="24"/>
      <c r="AD101" s="24"/>
      <c r="AE101" s="24"/>
      <c r="AF101" s="24"/>
      <c r="AG101" s="49" t="s">
        <v>791</v>
      </c>
      <c r="AH101" s="188" t="s">
        <v>858</v>
      </c>
      <c r="AI101" s="188"/>
      <c r="AJ101" s="188"/>
      <c r="AK101" s="49"/>
      <c r="AL101" s="38">
        <f t="shared" si="3"/>
        <v>10</v>
      </c>
      <c r="AM101" s="38"/>
      <c r="AN101" s="38">
        <v>2</v>
      </c>
      <c r="AO101" s="48" t="s">
        <v>814</v>
      </c>
      <c r="AP101" s="48" t="s">
        <v>815</v>
      </c>
      <c r="AQ101" s="24">
        <v>5</v>
      </c>
      <c r="AR101" s="48" t="s">
        <v>768</v>
      </c>
    </row>
    <row r="102" spans="1:44" s="48" customFormat="1" ht="70" customHeight="1">
      <c r="A102" s="82" t="s">
        <v>1306</v>
      </c>
      <c r="B102" s="80" t="s">
        <v>811</v>
      </c>
      <c r="C102" s="24">
        <v>10</v>
      </c>
      <c r="D102" s="24"/>
      <c r="E102" s="115">
        <f t="shared" si="2"/>
        <v>59</v>
      </c>
      <c r="F102" s="24">
        <v>4</v>
      </c>
      <c r="G102" s="24">
        <v>4</v>
      </c>
      <c r="H102" s="24">
        <v>4</v>
      </c>
      <c r="I102" s="24">
        <v>4</v>
      </c>
      <c r="J102" s="24">
        <v>4</v>
      </c>
      <c r="K102" s="24">
        <v>4</v>
      </c>
      <c r="L102" s="24">
        <v>4</v>
      </c>
      <c r="M102" s="24">
        <v>6</v>
      </c>
      <c r="N102" s="24">
        <v>8</v>
      </c>
      <c r="O102" s="24">
        <v>17</v>
      </c>
      <c r="P102" s="24"/>
      <c r="Q102" s="24"/>
      <c r="R102" s="24"/>
      <c r="S102" s="24"/>
      <c r="T102" s="24"/>
      <c r="U102" s="24"/>
      <c r="V102" s="24"/>
      <c r="W102" s="24"/>
      <c r="X102" s="24"/>
      <c r="Y102" s="24"/>
      <c r="Z102" s="24"/>
      <c r="AA102" s="24"/>
      <c r="AB102" s="24"/>
      <c r="AC102" s="24"/>
      <c r="AD102" s="24"/>
      <c r="AE102" s="24"/>
      <c r="AF102" s="24"/>
      <c r="AG102" s="49" t="s">
        <v>791</v>
      </c>
      <c r="AH102" s="188" t="s">
        <v>859</v>
      </c>
      <c r="AI102" s="188"/>
      <c r="AJ102" s="188"/>
      <c r="AK102" s="49"/>
      <c r="AL102" s="38">
        <f t="shared" si="3"/>
        <v>10</v>
      </c>
      <c r="AM102" s="38"/>
      <c r="AN102" s="38">
        <v>2</v>
      </c>
      <c r="AO102" s="48" t="s">
        <v>814</v>
      </c>
      <c r="AP102" s="48" t="s">
        <v>815</v>
      </c>
      <c r="AQ102" s="24">
        <v>5</v>
      </c>
      <c r="AR102" s="48" t="s">
        <v>768</v>
      </c>
    </row>
    <row r="103" spans="1:44" s="48" customFormat="1" ht="70" customHeight="1">
      <c r="A103" s="82" t="s">
        <v>1307</v>
      </c>
      <c r="B103" s="80" t="s">
        <v>811</v>
      </c>
      <c r="C103" s="24">
        <v>10</v>
      </c>
      <c r="D103" s="24"/>
      <c r="E103" s="115">
        <f t="shared" si="2"/>
        <v>33</v>
      </c>
      <c r="F103" s="24">
        <v>3</v>
      </c>
      <c r="G103" s="24">
        <v>3</v>
      </c>
      <c r="H103" s="24">
        <v>3</v>
      </c>
      <c r="I103" s="24">
        <v>3</v>
      </c>
      <c r="J103" s="24">
        <v>3</v>
      </c>
      <c r="K103" s="24">
        <v>3</v>
      </c>
      <c r="L103" s="24">
        <v>3</v>
      </c>
      <c r="M103" s="24">
        <v>4</v>
      </c>
      <c r="N103" s="24">
        <v>4</v>
      </c>
      <c r="O103" s="24">
        <v>4</v>
      </c>
      <c r="P103" s="24"/>
      <c r="Q103" s="24"/>
      <c r="R103" s="24"/>
      <c r="S103" s="24"/>
      <c r="T103" s="24"/>
      <c r="U103" s="24"/>
      <c r="V103" s="24"/>
      <c r="W103" s="24"/>
      <c r="X103" s="24"/>
      <c r="Y103" s="24"/>
      <c r="Z103" s="24"/>
      <c r="AA103" s="24"/>
      <c r="AB103" s="24"/>
      <c r="AC103" s="24"/>
      <c r="AD103" s="24"/>
      <c r="AE103" s="24"/>
      <c r="AF103" s="24"/>
      <c r="AG103" s="49" t="s">
        <v>791</v>
      </c>
      <c r="AH103" s="188" t="s">
        <v>860</v>
      </c>
      <c r="AI103" s="188"/>
      <c r="AJ103" s="188"/>
      <c r="AK103" s="49"/>
      <c r="AL103" s="38">
        <f t="shared" si="3"/>
        <v>5</v>
      </c>
      <c r="AM103" s="38"/>
      <c r="AN103" s="38">
        <v>1</v>
      </c>
      <c r="AO103" s="48" t="s">
        <v>814</v>
      </c>
      <c r="AP103" s="48" t="s">
        <v>815</v>
      </c>
      <c r="AQ103" s="24">
        <v>5</v>
      </c>
      <c r="AR103" s="48" t="s">
        <v>768</v>
      </c>
    </row>
    <row r="104" spans="1:44" s="48" customFormat="1" ht="70" customHeight="1">
      <c r="A104" s="82" t="s">
        <v>1308</v>
      </c>
      <c r="B104" s="80" t="s">
        <v>811</v>
      </c>
      <c r="C104" s="24"/>
      <c r="D104" s="24">
        <v>20</v>
      </c>
      <c r="E104" s="115">
        <f t="shared" si="2"/>
        <v>52</v>
      </c>
      <c r="F104" s="24">
        <v>2</v>
      </c>
      <c r="G104" s="24">
        <v>2</v>
      </c>
      <c r="H104" s="24">
        <v>2</v>
      </c>
      <c r="I104" s="24">
        <v>2</v>
      </c>
      <c r="J104" s="24">
        <v>2</v>
      </c>
      <c r="K104" s="24">
        <v>2</v>
      </c>
      <c r="L104" s="24">
        <v>2</v>
      </c>
      <c r="M104" s="24">
        <v>2</v>
      </c>
      <c r="N104" s="24">
        <v>2</v>
      </c>
      <c r="O104" s="24">
        <v>2</v>
      </c>
      <c r="P104" s="24">
        <v>2</v>
      </c>
      <c r="Q104" s="24">
        <v>2</v>
      </c>
      <c r="R104" s="24">
        <v>3</v>
      </c>
      <c r="S104" s="24">
        <v>3</v>
      </c>
      <c r="T104" s="24">
        <v>3</v>
      </c>
      <c r="U104" s="24">
        <v>3</v>
      </c>
      <c r="V104" s="24">
        <v>3</v>
      </c>
      <c r="W104" s="24">
        <v>4</v>
      </c>
      <c r="X104" s="24">
        <v>4</v>
      </c>
      <c r="Y104" s="24">
        <v>5</v>
      </c>
      <c r="Z104" s="24"/>
      <c r="AA104" s="24"/>
      <c r="AB104" s="24"/>
      <c r="AC104" s="24"/>
      <c r="AD104" s="24"/>
      <c r="AE104" s="24"/>
      <c r="AF104" s="24"/>
      <c r="AG104" s="49" t="s">
        <v>791</v>
      </c>
      <c r="AH104" s="188" t="s">
        <v>792</v>
      </c>
      <c r="AI104" s="188"/>
      <c r="AJ104" s="188"/>
      <c r="AK104" s="49"/>
      <c r="AL104" s="38">
        <f t="shared" si="3"/>
        <v>10</v>
      </c>
      <c r="AM104" s="38"/>
      <c r="AN104" s="38">
        <v>2</v>
      </c>
      <c r="AO104" s="48" t="s">
        <v>814</v>
      </c>
      <c r="AP104" s="48" t="s">
        <v>815</v>
      </c>
      <c r="AQ104" s="24">
        <v>3</v>
      </c>
      <c r="AR104" s="48" t="s">
        <v>768</v>
      </c>
    </row>
    <row r="105" spans="1:44" ht="70" customHeight="1">
      <c r="A105" s="82" t="s">
        <v>1309</v>
      </c>
      <c r="B105" s="78" t="s">
        <v>816</v>
      </c>
      <c r="C105" s="21">
        <v>10</v>
      </c>
      <c r="D105" s="21"/>
      <c r="E105" s="115">
        <f t="shared" si="2"/>
        <v>32</v>
      </c>
      <c r="F105" s="21">
        <v>2</v>
      </c>
      <c r="G105" s="21">
        <v>2</v>
      </c>
      <c r="H105" s="21">
        <v>3</v>
      </c>
      <c r="I105" s="21">
        <v>3</v>
      </c>
      <c r="J105" s="21">
        <v>3</v>
      </c>
      <c r="K105" s="21">
        <v>3</v>
      </c>
      <c r="L105" s="21">
        <v>3</v>
      </c>
      <c r="M105" s="21">
        <v>3</v>
      </c>
      <c r="N105" s="21">
        <v>5</v>
      </c>
      <c r="O105" s="21">
        <v>5</v>
      </c>
      <c r="P105" s="21"/>
      <c r="Q105" s="21"/>
      <c r="R105" s="21"/>
      <c r="S105" s="21"/>
      <c r="T105" s="21"/>
      <c r="U105" s="21"/>
      <c r="V105" s="21"/>
      <c r="W105" s="21"/>
      <c r="X105" s="21"/>
      <c r="Y105" s="21"/>
      <c r="Z105" s="21"/>
      <c r="AA105" s="21"/>
      <c r="AB105" s="21"/>
      <c r="AC105" s="21"/>
      <c r="AD105" s="21"/>
      <c r="AE105" s="21"/>
      <c r="AF105" s="21"/>
      <c r="AG105" s="16" t="s">
        <v>817</v>
      </c>
      <c r="AH105" s="188" t="s">
        <v>818</v>
      </c>
      <c r="AK105" s="16" t="s">
        <v>819</v>
      </c>
      <c r="AL105" s="28">
        <f t="shared" si="3"/>
        <v>5</v>
      </c>
      <c r="AM105" s="28"/>
      <c r="AN105" s="28">
        <v>1</v>
      </c>
      <c r="AO105" s="20" t="s">
        <v>820</v>
      </c>
      <c r="AP105" s="20" t="s">
        <v>821</v>
      </c>
      <c r="AQ105" s="21">
        <v>5</v>
      </c>
      <c r="AR105" s="20" t="s">
        <v>768</v>
      </c>
    </row>
    <row r="106" spans="1:44" ht="70" customHeight="1">
      <c r="A106" s="82" t="s">
        <v>1310</v>
      </c>
      <c r="B106" s="78" t="s">
        <v>816</v>
      </c>
      <c r="C106" s="21">
        <v>10</v>
      </c>
      <c r="D106" s="21"/>
      <c r="E106" s="115">
        <f t="shared" si="2"/>
        <v>59</v>
      </c>
      <c r="F106" s="21">
        <v>5</v>
      </c>
      <c r="G106" s="21">
        <v>6</v>
      </c>
      <c r="H106" s="21">
        <v>6</v>
      </c>
      <c r="I106" s="21">
        <v>6</v>
      </c>
      <c r="J106" s="21">
        <v>6</v>
      </c>
      <c r="K106" s="21">
        <v>6</v>
      </c>
      <c r="L106" s="21">
        <v>6</v>
      </c>
      <c r="M106" s="21">
        <v>6</v>
      </c>
      <c r="N106" s="21">
        <v>6</v>
      </c>
      <c r="O106" s="21">
        <v>6</v>
      </c>
      <c r="P106" s="21"/>
      <c r="Q106" s="21"/>
      <c r="R106" s="21"/>
      <c r="S106" s="21"/>
      <c r="T106" s="21"/>
      <c r="U106" s="21"/>
      <c r="V106" s="21"/>
      <c r="W106" s="21"/>
      <c r="X106" s="21"/>
      <c r="Y106" s="21"/>
      <c r="Z106" s="21"/>
      <c r="AA106" s="21"/>
      <c r="AB106" s="21"/>
      <c r="AC106" s="21"/>
      <c r="AD106" s="21"/>
      <c r="AE106" s="21"/>
      <c r="AF106" s="21"/>
      <c r="AG106" s="16" t="s">
        <v>463</v>
      </c>
      <c r="AH106" s="188" t="s">
        <v>818</v>
      </c>
      <c r="AK106" s="16" t="s">
        <v>822</v>
      </c>
      <c r="AL106" s="28">
        <f t="shared" si="3"/>
        <v>7.5</v>
      </c>
      <c r="AM106" s="28"/>
      <c r="AN106" s="28">
        <v>1.5</v>
      </c>
      <c r="AO106" s="20" t="s">
        <v>820</v>
      </c>
      <c r="AP106" s="20" t="s">
        <v>821</v>
      </c>
      <c r="AQ106" s="21">
        <v>5</v>
      </c>
      <c r="AR106" s="20" t="s">
        <v>768</v>
      </c>
    </row>
    <row r="107" spans="1:44" ht="70" customHeight="1">
      <c r="A107" s="82" t="s">
        <v>1311</v>
      </c>
      <c r="B107" s="78" t="s">
        <v>816</v>
      </c>
      <c r="C107" s="21">
        <v>10</v>
      </c>
      <c r="D107" s="21"/>
      <c r="E107" s="115">
        <f t="shared" si="2"/>
        <v>80</v>
      </c>
      <c r="F107" s="21">
        <v>5</v>
      </c>
      <c r="G107" s="21">
        <v>6</v>
      </c>
      <c r="H107" s="21">
        <v>6</v>
      </c>
      <c r="I107" s="21">
        <v>6</v>
      </c>
      <c r="J107" s="21">
        <v>8</v>
      </c>
      <c r="K107" s="21">
        <v>8</v>
      </c>
      <c r="L107" s="21">
        <v>10</v>
      </c>
      <c r="M107" s="21">
        <v>10</v>
      </c>
      <c r="N107" s="21">
        <v>10</v>
      </c>
      <c r="O107" s="21">
        <v>11</v>
      </c>
      <c r="P107" s="21"/>
      <c r="Q107" s="21"/>
      <c r="R107" s="21"/>
      <c r="S107" s="21"/>
      <c r="T107" s="21"/>
      <c r="U107" s="21"/>
      <c r="V107" s="21"/>
      <c r="W107" s="21"/>
      <c r="X107" s="21"/>
      <c r="Y107" s="21"/>
      <c r="Z107" s="21"/>
      <c r="AA107" s="21"/>
      <c r="AB107" s="21"/>
      <c r="AC107" s="21"/>
      <c r="AD107" s="21"/>
      <c r="AE107" s="21"/>
      <c r="AF107" s="21"/>
      <c r="AG107" s="16" t="s">
        <v>463</v>
      </c>
      <c r="AH107" s="188" t="s">
        <v>818</v>
      </c>
      <c r="AK107" s="16" t="s">
        <v>823</v>
      </c>
      <c r="AL107" s="28">
        <f t="shared" si="3"/>
        <v>10</v>
      </c>
      <c r="AM107" s="28"/>
      <c r="AN107" s="28">
        <v>2</v>
      </c>
      <c r="AO107" s="20" t="s">
        <v>820</v>
      </c>
      <c r="AP107" s="20" t="s">
        <v>821</v>
      </c>
      <c r="AQ107" s="21">
        <v>5</v>
      </c>
      <c r="AR107" s="20" t="s">
        <v>768</v>
      </c>
    </row>
    <row r="108" spans="1:44" ht="70" customHeight="1">
      <c r="A108" s="82" t="s">
        <v>1312</v>
      </c>
      <c r="B108" s="78" t="s">
        <v>816</v>
      </c>
      <c r="C108" s="21">
        <v>10</v>
      </c>
      <c r="D108" s="21"/>
      <c r="E108" s="115">
        <f t="shared" si="2"/>
        <v>30</v>
      </c>
      <c r="F108" s="21">
        <v>2</v>
      </c>
      <c r="G108" s="21">
        <v>3</v>
      </c>
      <c r="H108" s="21">
        <v>3</v>
      </c>
      <c r="I108" s="21">
        <v>3</v>
      </c>
      <c r="J108" s="21">
        <v>3</v>
      </c>
      <c r="K108" s="21">
        <v>3</v>
      </c>
      <c r="L108" s="21">
        <v>3</v>
      </c>
      <c r="M108" s="21">
        <v>3</v>
      </c>
      <c r="N108" s="21">
        <v>3</v>
      </c>
      <c r="O108" s="21">
        <v>4</v>
      </c>
      <c r="P108" s="21"/>
      <c r="Q108" s="21"/>
      <c r="R108" s="21"/>
      <c r="S108" s="21"/>
      <c r="T108" s="21"/>
      <c r="U108" s="21"/>
      <c r="V108" s="21"/>
      <c r="W108" s="21"/>
      <c r="X108" s="21"/>
      <c r="Y108" s="21"/>
      <c r="Z108" s="21"/>
      <c r="AA108" s="21"/>
      <c r="AB108" s="21"/>
      <c r="AC108" s="21"/>
      <c r="AD108" s="21"/>
      <c r="AE108" s="21"/>
      <c r="AF108" s="21"/>
      <c r="AG108" s="16" t="s">
        <v>791</v>
      </c>
      <c r="AH108" s="188" t="s">
        <v>792</v>
      </c>
      <c r="AK108" s="16" t="s">
        <v>824</v>
      </c>
      <c r="AL108" s="28">
        <f t="shared" si="3"/>
        <v>6</v>
      </c>
      <c r="AM108" s="28"/>
      <c r="AN108" s="28">
        <v>1.2</v>
      </c>
      <c r="AO108" s="20" t="s">
        <v>820</v>
      </c>
      <c r="AP108" s="20" t="s">
        <v>821</v>
      </c>
      <c r="AQ108" s="21">
        <v>2</v>
      </c>
      <c r="AR108" s="20" t="s">
        <v>768</v>
      </c>
    </row>
    <row r="109" spans="1:44" ht="70" customHeight="1">
      <c r="A109" s="82" t="s">
        <v>1313</v>
      </c>
      <c r="B109" s="78" t="s">
        <v>816</v>
      </c>
      <c r="C109" s="21"/>
      <c r="D109" s="21">
        <v>20</v>
      </c>
      <c r="E109" s="115">
        <f t="shared" si="2"/>
        <v>34</v>
      </c>
      <c r="F109" s="21">
        <v>1</v>
      </c>
      <c r="G109" s="21">
        <v>1</v>
      </c>
      <c r="H109" s="21">
        <v>1</v>
      </c>
      <c r="I109" s="21">
        <v>1</v>
      </c>
      <c r="J109" s="21">
        <v>1</v>
      </c>
      <c r="K109" s="21">
        <v>1</v>
      </c>
      <c r="L109" s="21">
        <v>1</v>
      </c>
      <c r="M109" s="21">
        <v>2</v>
      </c>
      <c r="N109" s="21">
        <v>2</v>
      </c>
      <c r="O109" s="21">
        <v>2</v>
      </c>
      <c r="P109" s="21">
        <v>2</v>
      </c>
      <c r="Q109" s="21">
        <v>2</v>
      </c>
      <c r="R109" s="21">
        <v>2</v>
      </c>
      <c r="S109" s="21">
        <v>2</v>
      </c>
      <c r="T109" s="21">
        <v>2</v>
      </c>
      <c r="U109" s="21">
        <v>2</v>
      </c>
      <c r="V109" s="21">
        <v>2</v>
      </c>
      <c r="W109" s="21">
        <v>2</v>
      </c>
      <c r="X109" s="21">
        <v>2</v>
      </c>
      <c r="Y109" s="21">
        <v>3</v>
      </c>
      <c r="Z109" s="21"/>
      <c r="AA109" s="21"/>
      <c r="AB109" s="21"/>
      <c r="AC109" s="21"/>
      <c r="AD109" s="21"/>
      <c r="AE109" s="21"/>
      <c r="AF109" s="21"/>
      <c r="AG109" s="16" t="s">
        <v>463</v>
      </c>
      <c r="AH109" s="188" t="s">
        <v>818</v>
      </c>
      <c r="AK109" s="16" t="s">
        <v>856</v>
      </c>
      <c r="AL109" s="28">
        <f t="shared" si="3"/>
        <v>7.5</v>
      </c>
      <c r="AM109" s="28"/>
      <c r="AN109" s="28">
        <v>1.5</v>
      </c>
      <c r="AO109" s="20" t="s">
        <v>820</v>
      </c>
      <c r="AP109" s="20" t="s">
        <v>821</v>
      </c>
      <c r="AQ109" s="21">
        <v>2</v>
      </c>
      <c r="AR109" s="20" t="s">
        <v>768</v>
      </c>
    </row>
    <row r="110" spans="1:44" s="48" customFormat="1" ht="70" customHeight="1">
      <c r="A110" s="82" t="s">
        <v>1314</v>
      </c>
      <c r="B110" s="80" t="s">
        <v>464</v>
      </c>
      <c r="C110" s="38">
        <v>9</v>
      </c>
      <c r="D110" s="37"/>
      <c r="E110" s="115">
        <f t="shared" si="2"/>
        <v>109</v>
      </c>
      <c r="F110" s="146">
        <v>9</v>
      </c>
      <c r="G110" s="142">
        <v>16</v>
      </c>
      <c r="H110" s="146">
        <v>11</v>
      </c>
      <c r="I110" s="143">
        <v>13</v>
      </c>
      <c r="J110" s="142">
        <v>6</v>
      </c>
      <c r="K110" s="145">
        <v>11</v>
      </c>
      <c r="L110" s="143">
        <v>7</v>
      </c>
      <c r="M110" s="145">
        <v>9</v>
      </c>
      <c r="N110" s="144">
        <v>27</v>
      </c>
      <c r="O110" s="24"/>
      <c r="P110" s="24"/>
      <c r="Q110" s="24"/>
      <c r="R110" s="24"/>
      <c r="S110" s="24"/>
      <c r="T110" s="24"/>
      <c r="U110" s="24"/>
      <c r="V110" s="24"/>
      <c r="W110" s="24"/>
      <c r="X110" s="24"/>
      <c r="Y110" s="24"/>
      <c r="Z110" s="24"/>
      <c r="AA110" s="24"/>
      <c r="AB110" s="24"/>
      <c r="AC110" s="24"/>
      <c r="AD110" s="24"/>
      <c r="AE110" s="24"/>
      <c r="AF110" s="24"/>
      <c r="AG110" s="49" t="s">
        <v>791</v>
      </c>
      <c r="AH110" s="188" t="s">
        <v>861</v>
      </c>
      <c r="AI110" s="188"/>
      <c r="AJ110" s="188"/>
      <c r="AK110" s="49"/>
      <c r="AL110" s="38">
        <f t="shared" si="3"/>
        <v>15.499999999999998</v>
      </c>
      <c r="AM110" s="155" t="s">
        <v>1886</v>
      </c>
      <c r="AN110" s="38">
        <f>0.5+0.7+0.7+0.7+0.5</f>
        <v>3.0999999999999996</v>
      </c>
      <c r="AO110" s="48" t="s">
        <v>826</v>
      </c>
      <c r="AP110" s="48" t="s">
        <v>827</v>
      </c>
      <c r="AQ110" s="24">
        <v>15</v>
      </c>
      <c r="AR110" s="48" t="s">
        <v>768</v>
      </c>
    </row>
    <row r="111" spans="1:44" s="48" customFormat="1" ht="70" customHeight="1">
      <c r="A111" s="82" t="s">
        <v>1315</v>
      </c>
      <c r="B111" s="80" t="s">
        <v>825</v>
      </c>
      <c r="C111" s="38">
        <v>9</v>
      </c>
      <c r="D111" s="37"/>
      <c r="E111" s="115">
        <f t="shared" si="2"/>
        <v>25</v>
      </c>
      <c r="F111" s="24">
        <v>1</v>
      </c>
      <c r="G111" s="24">
        <v>2</v>
      </c>
      <c r="H111" s="24">
        <v>2</v>
      </c>
      <c r="I111" s="24">
        <v>3</v>
      </c>
      <c r="J111" s="24">
        <v>3</v>
      </c>
      <c r="K111" s="24">
        <v>3</v>
      </c>
      <c r="L111" s="24">
        <v>3</v>
      </c>
      <c r="M111" s="24">
        <v>4</v>
      </c>
      <c r="N111" s="24">
        <v>4</v>
      </c>
      <c r="O111" s="24"/>
      <c r="P111" s="24"/>
      <c r="Q111" s="24"/>
      <c r="R111" s="24"/>
      <c r="S111" s="24"/>
      <c r="T111" s="24"/>
      <c r="U111" s="24"/>
      <c r="V111" s="24"/>
      <c r="W111" s="24"/>
      <c r="X111" s="24"/>
      <c r="Y111" s="24"/>
      <c r="Z111" s="24"/>
      <c r="AA111" s="24"/>
      <c r="AB111" s="24"/>
      <c r="AC111" s="24"/>
      <c r="AD111" s="24"/>
      <c r="AE111" s="24"/>
      <c r="AF111" s="24"/>
      <c r="AG111" s="49" t="s">
        <v>341</v>
      </c>
      <c r="AH111" s="188" t="s">
        <v>862</v>
      </c>
      <c r="AI111" s="188"/>
      <c r="AJ111" s="188"/>
      <c r="AK111" s="49"/>
      <c r="AL111" s="38">
        <f t="shared" si="3"/>
        <v>10</v>
      </c>
      <c r="AM111" s="38"/>
      <c r="AN111" s="38">
        <v>2</v>
      </c>
      <c r="AO111" s="48" t="s">
        <v>826</v>
      </c>
      <c r="AP111" s="48" t="s">
        <v>827</v>
      </c>
      <c r="AQ111" s="24">
        <v>15</v>
      </c>
      <c r="AR111" s="48" t="s">
        <v>768</v>
      </c>
    </row>
    <row r="112" spans="1:44" s="48" customFormat="1" ht="70" customHeight="1">
      <c r="A112" s="82" t="s">
        <v>1316</v>
      </c>
      <c r="B112" s="80" t="s">
        <v>825</v>
      </c>
      <c r="C112" s="38">
        <v>11</v>
      </c>
      <c r="D112" s="37"/>
      <c r="E112" s="115">
        <f t="shared" si="2"/>
        <v>171</v>
      </c>
      <c r="F112" s="146">
        <v>11</v>
      </c>
      <c r="G112" s="142">
        <v>21</v>
      </c>
      <c r="H112" s="146">
        <v>10</v>
      </c>
      <c r="I112" s="142">
        <v>4</v>
      </c>
      <c r="J112" s="146">
        <v>10</v>
      </c>
      <c r="K112" s="142">
        <v>6</v>
      </c>
      <c r="L112" s="143">
        <v>45</v>
      </c>
      <c r="M112" s="145">
        <v>3</v>
      </c>
      <c r="N112" s="144">
        <v>36</v>
      </c>
      <c r="O112" s="145">
        <v>15</v>
      </c>
      <c r="P112" s="145">
        <v>10</v>
      </c>
      <c r="Q112" s="24"/>
      <c r="R112" s="24"/>
      <c r="S112" s="24"/>
      <c r="T112" s="24"/>
      <c r="U112" s="24"/>
      <c r="V112" s="24"/>
      <c r="W112" s="24"/>
      <c r="X112" s="24"/>
      <c r="Y112" s="24"/>
      <c r="Z112" s="24"/>
      <c r="AA112" s="24"/>
      <c r="AB112" s="24"/>
      <c r="AC112" s="24"/>
      <c r="AD112" s="24"/>
      <c r="AE112" s="24"/>
      <c r="AF112" s="24"/>
      <c r="AG112" s="49" t="s">
        <v>341</v>
      </c>
      <c r="AH112" s="188" t="s">
        <v>863</v>
      </c>
      <c r="AI112" s="188"/>
      <c r="AJ112" s="188"/>
      <c r="AK112" s="49"/>
      <c r="AL112" s="38">
        <f t="shared" si="3"/>
        <v>30</v>
      </c>
      <c r="AM112" s="155" t="s">
        <v>1887</v>
      </c>
      <c r="AN112" s="38">
        <f>1.5+1.1+0.7+2+0.7</f>
        <v>6</v>
      </c>
      <c r="AO112" s="48" t="s">
        <v>826</v>
      </c>
      <c r="AP112" s="48" t="s">
        <v>827</v>
      </c>
      <c r="AQ112" s="24">
        <v>15</v>
      </c>
      <c r="AR112" s="48" t="s">
        <v>768</v>
      </c>
    </row>
    <row r="113" spans="1:44" s="48" customFormat="1" ht="70" customHeight="1">
      <c r="A113" s="82" t="s">
        <v>1317</v>
      </c>
      <c r="B113" s="80" t="s">
        <v>825</v>
      </c>
      <c r="C113" s="38">
        <v>10</v>
      </c>
      <c r="D113" s="37"/>
      <c r="E113" s="115">
        <f t="shared" si="2"/>
        <v>37</v>
      </c>
      <c r="F113" s="24">
        <v>2</v>
      </c>
      <c r="G113" s="24">
        <v>3</v>
      </c>
      <c r="H113" s="24">
        <v>3</v>
      </c>
      <c r="I113" s="24">
        <v>3</v>
      </c>
      <c r="J113" s="24">
        <v>3</v>
      </c>
      <c r="K113" s="24">
        <v>4</v>
      </c>
      <c r="L113" s="24">
        <v>4</v>
      </c>
      <c r="M113" s="24">
        <v>4</v>
      </c>
      <c r="N113" s="24">
        <v>5</v>
      </c>
      <c r="O113" s="24">
        <v>6</v>
      </c>
      <c r="P113" s="24"/>
      <c r="Q113" s="24"/>
      <c r="R113" s="24"/>
      <c r="S113" s="24"/>
      <c r="T113" s="24"/>
      <c r="U113" s="24"/>
      <c r="V113" s="24"/>
      <c r="W113" s="24"/>
      <c r="X113" s="24"/>
      <c r="Y113" s="24"/>
      <c r="Z113" s="24"/>
      <c r="AA113" s="24"/>
      <c r="AB113" s="24"/>
      <c r="AC113" s="24"/>
      <c r="AD113" s="24"/>
      <c r="AE113" s="24"/>
      <c r="AF113" s="24"/>
      <c r="AG113" s="49" t="s">
        <v>341</v>
      </c>
      <c r="AH113" s="188" t="s">
        <v>864</v>
      </c>
      <c r="AI113" s="188"/>
      <c r="AJ113" s="188"/>
      <c r="AK113" s="49"/>
      <c r="AL113" s="38">
        <f t="shared" si="3"/>
        <v>6</v>
      </c>
      <c r="AM113" s="38"/>
      <c r="AN113" s="38">
        <v>1.2</v>
      </c>
      <c r="AO113" s="48" t="s">
        <v>826</v>
      </c>
      <c r="AP113" s="48" t="s">
        <v>827</v>
      </c>
      <c r="AQ113" s="24">
        <v>15</v>
      </c>
      <c r="AR113" s="48" t="s">
        <v>768</v>
      </c>
    </row>
    <row r="114" spans="1:44" s="48" customFormat="1" ht="70" customHeight="1">
      <c r="A114" s="82" t="s">
        <v>1318</v>
      </c>
      <c r="B114" s="80" t="s">
        <v>825</v>
      </c>
      <c r="C114" s="24"/>
      <c r="D114" s="24">
        <v>16</v>
      </c>
      <c r="E114" s="115">
        <f t="shared" si="2"/>
        <v>50</v>
      </c>
      <c r="F114" s="24">
        <v>11</v>
      </c>
      <c r="G114" s="24">
        <v>10</v>
      </c>
      <c r="H114" s="24">
        <v>1</v>
      </c>
      <c r="I114" s="24">
        <v>1</v>
      </c>
      <c r="J114" s="24">
        <v>1</v>
      </c>
      <c r="K114" s="24">
        <v>1</v>
      </c>
      <c r="L114" s="24">
        <v>1</v>
      </c>
      <c r="M114" s="24">
        <v>1</v>
      </c>
      <c r="N114" s="24">
        <v>1</v>
      </c>
      <c r="O114" s="24">
        <v>2</v>
      </c>
      <c r="P114" s="24">
        <v>2</v>
      </c>
      <c r="Q114" s="24">
        <v>3</v>
      </c>
      <c r="R114" s="24">
        <v>3</v>
      </c>
      <c r="S114" s="24">
        <v>3</v>
      </c>
      <c r="T114" s="24">
        <v>4</v>
      </c>
      <c r="U114" s="24">
        <v>5</v>
      </c>
      <c r="V114" s="24"/>
      <c r="W114" s="24"/>
      <c r="X114" s="24"/>
      <c r="Y114" s="24"/>
      <c r="Z114" s="24"/>
      <c r="AA114" s="24"/>
      <c r="AB114" s="24"/>
      <c r="AC114" s="24"/>
      <c r="AD114" s="24"/>
      <c r="AE114" s="24"/>
      <c r="AF114" s="24"/>
      <c r="AG114" s="49" t="s">
        <v>828</v>
      </c>
      <c r="AH114" s="188" t="s">
        <v>776</v>
      </c>
      <c r="AI114" s="188"/>
      <c r="AJ114" s="188"/>
      <c r="AK114" s="49" t="s">
        <v>829</v>
      </c>
      <c r="AL114" s="38">
        <f t="shared" si="3"/>
        <v>15</v>
      </c>
      <c r="AM114" s="38"/>
      <c r="AN114" s="38">
        <v>3</v>
      </c>
      <c r="AO114" s="48" t="s">
        <v>826</v>
      </c>
      <c r="AP114" s="48" t="s">
        <v>827</v>
      </c>
      <c r="AQ114" s="24">
        <v>2</v>
      </c>
      <c r="AR114" s="48" t="s">
        <v>768</v>
      </c>
    </row>
    <row r="115" spans="1:44" ht="70" customHeight="1">
      <c r="A115" s="82" t="s">
        <v>1319</v>
      </c>
      <c r="B115" s="78" t="s">
        <v>830</v>
      </c>
      <c r="C115" s="21">
        <v>10</v>
      </c>
      <c r="D115" s="21"/>
      <c r="E115" s="115">
        <f t="shared" si="2"/>
        <v>58</v>
      </c>
      <c r="F115" s="21">
        <v>4</v>
      </c>
      <c r="G115" s="21">
        <v>5</v>
      </c>
      <c r="H115" s="21">
        <v>5</v>
      </c>
      <c r="I115" s="21">
        <v>5</v>
      </c>
      <c r="J115" s="21">
        <v>6</v>
      </c>
      <c r="K115" s="21">
        <v>6</v>
      </c>
      <c r="L115" s="21">
        <v>6</v>
      </c>
      <c r="M115" s="21">
        <v>6</v>
      </c>
      <c r="N115" s="21">
        <v>7</v>
      </c>
      <c r="O115" s="21">
        <v>8</v>
      </c>
      <c r="P115" s="21"/>
      <c r="Q115" s="21"/>
      <c r="R115" s="21"/>
      <c r="S115" s="21"/>
      <c r="T115" s="21"/>
      <c r="U115" s="21"/>
      <c r="V115" s="21"/>
      <c r="W115" s="21"/>
      <c r="X115" s="21"/>
      <c r="Y115" s="21"/>
      <c r="Z115" s="21"/>
      <c r="AA115" s="21"/>
      <c r="AB115" s="21"/>
      <c r="AC115" s="21"/>
      <c r="AD115" s="21"/>
      <c r="AE115" s="21"/>
      <c r="AF115" s="21"/>
      <c r="AG115" s="16" t="s">
        <v>831</v>
      </c>
      <c r="AH115" s="188" t="s">
        <v>818</v>
      </c>
      <c r="AK115" s="16" t="s">
        <v>832</v>
      </c>
      <c r="AL115" s="28">
        <f t="shared" si="3"/>
        <v>7.5</v>
      </c>
      <c r="AM115" s="28"/>
      <c r="AN115" s="28">
        <v>1.5</v>
      </c>
      <c r="AO115" s="20" t="s">
        <v>833</v>
      </c>
      <c r="AP115" s="20" t="s">
        <v>834</v>
      </c>
      <c r="AQ115" s="21">
        <v>10</v>
      </c>
      <c r="AR115" s="20" t="s">
        <v>768</v>
      </c>
    </row>
    <row r="116" spans="1:44" ht="70" customHeight="1">
      <c r="A116" s="82" t="s">
        <v>1320</v>
      </c>
      <c r="B116" s="78" t="s">
        <v>830</v>
      </c>
      <c r="C116" s="21">
        <v>10</v>
      </c>
      <c r="D116" s="21"/>
      <c r="E116" s="115">
        <f t="shared" si="2"/>
        <v>57</v>
      </c>
      <c r="F116" s="21">
        <v>5</v>
      </c>
      <c r="G116" s="21">
        <v>5</v>
      </c>
      <c r="H116" s="21">
        <v>5</v>
      </c>
      <c r="I116" s="21">
        <v>6</v>
      </c>
      <c r="J116" s="21">
        <v>6</v>
      </c>
      <c r="K116" s="21">
        <v>6</v>
      </c>
      <c r="L116" s="21">
        <v>6</v>
      </c>
      <c r="M116" s="21">
        <v>6</v>
      </c>
      <c r="N116" s="21">
        <v>6</v>
      </c>
      <c r="O116" s="21">
        <v>6</v>
      </c>
      <c r="P116" s="21"/>
      <c r="Q116" s="21"/>
      <c r="R116" s="21"/>
      <c r="S116" s="21"/>
      <c r="T116" s="21"/>
      <c r="U116" s="21"/>
      <c r="V116" s="21"/>
      <c r="W116" s="21"/>
      <c r="X116" s="21"/>
      <c r="Y116" s="21"/>
      <c r="Z116" s="21"/>
      <c r="AA116" s="21"/>
      <c r="AB116" s="21"/>
      <c r="AC116" s="21"/>
      <c r="AD116" s="21"/>
      <c r="AE116" s="21"/>
      <c r="AF116" s="21"/>
      <c r="AG116" s="16" t="s">
        <v>835</v>
      </c>
      <c r="AH116" s="188" t="s">
        <v>818</v>
      </c>
      <c r="AK116" s="16" t="s">
        <v>836</v>
      </c>
      <c r="AL116" s="28">
        <f t="shared" si="3"/>
        <v>10</v>
      </c>
      <c r="AM116" s="28"/>
      <c r="AN116" s="28">
        <v>2</v>
      </c>
      <c r="AO116" s="20" t="s">
        <v>833</v>
      </c>
      <c r="AP116" s="20" t="s">
        <v>834</v>
      </c>
      <c r="AQ116" s="21" t="s">
        <v>789</v>
      </c>
      <c r="AR116" s="20" t="s">
        <v>768</v>
      </c>
    </row>
    <row r="117" spans="1:44" ht="70" customHeight="1">
      <c r="A117" s="82" t="s">
        <v>1321</v>
      </c>
      <c r="B117" s="78" t="s">
        <v>830</v>
      </c>
      <c r="C117" s="21">
        <v>10</v>
      </c>
      <c r="D117" s="21"/>
      <c r="E117" s="115">
        <f t="shared" si="2"/>
        <v>59</v>
      </c>
      <c r="F117" s="21">
        <v>5</v>
      </c>
      <c r="G117" s="21">
        <v>5</v>
      </c>
      <c r="H117" s="21">
        <v>6</v>
      </c>
      <c r="I117" s="21">
        <v>6</v>
      </c>
      <c r="J117" s="21">
        <v>6</v>
      </c>
      <c r="K117" s="21">
        <v>6</v>
      </c>
      <c r="L117" s="21">
        <v>6</v>
      </c>
      <c r="M117" s="21">
        <v>6</v>
      </c>
      <c r="N117" s="21">
        <v>6</v>
      </c>
      <c r="O117" s="21">
        <v>7</v>
      </c>
      <c r="P117" s="21"/>
      <c r="Q117" s="21"/>
      <c r="R117" s="21"/>
      <c r="S117" s="21"/>
      <c r="T117" s="21"/>
      <c r="U117" s="21"/>
      <c r="V117" s="21"/>
      <c r="W117" s="21"/>
      <c r="X117" s="21"/>
      <c r="Y117" s="21"/>
      <c r="Z117" s="21"/>
      <c r="AA117" s="21"/>
      <c r="AB117" s="21"/>
      <c r="AC117" s="21"/>
      <c r="AD117" s="21"/>
      <c r="AE117" s="21"/>
      <c r="AF117" s="21"/>
      <c r="AG117" s="16" t="s">
        <v>837</v>
      </c>
      <c r="AH117" s="188" t="s">
        <v>818</v>
      </c>
      <c r="AK117" s="16" t="s">
        <v>838</v>
      </c>
      <c r="AL117" s="28">
        <f t="shared" si="3"/>
        <v>5</v>
      </c>
      <c r="AM117" s="28"/>
      <c r="AN117" s="28">
        <v>1</v>
      </c>
      <c r="AO117" s="20" t="s">
        <v>833</v>
      </c>
      <c r="AP117" s="20" t="s">
        <v>834</v>
      </c>
      <c r="AQ117" s="21">
        <v>5</v>
      </c>
      <c r="AR117" s="20" t="s">
        <v>768</v>
      </c>
    </row>
    <row r="118" spans="1:44" ht="70" customHeight="1">
      <c r="A118" s="82" t="s">
        <v>1322</v>
      </c>
      <c r="B118" s="78" t="s">
        <v>830</v>
      </c>
      <c r="C118" s="21">
        <v>10</v>
      </c>
      <c r="D118" s="21"/>
      <c r="E118" s="115">
        <f t="shared" si="2"/>
        <v>63</v>
      </c>
      <c r="F118" s="21">
        <v>4</v>
      </c>
      <c r="G118" s="21">
        <v>5</v>
      </c>
      <c r="H118" s="21">
        <v>5</v>
      </c>
      <c r="I118" s="21">
        <v>5</v>
      </c>
      <c r="J118" s="21">
        <v>5</v>
      </c>
      <c r="K118" s="21">
        <v>6</v>
      </c>
      <c r="L118" s="21">
        <v>8</v>
      </c>
      <c r="M118" s="21">
        <v>8</v>
      </c>
      <c r="N118" s="21">
        <v>8</v>
      </c>
      <c r="O118" s="21">
        <v>9</v>
      </c>
      <c r="P118" s="21"/>
      <c r="Q118" s="21"/>
      <c r="R118" s="21"/>
      <c r="S118" s="21"/>
      <c r="T118" s="21"/>
      <c r="U118" s="21"/>
      <c r="V118" s="21"/>
      <c r="W118" s="21"/>
      <c r="X118" s="21"/>
      <c r="Y118" s="21"/>
      <c r="Z118" s="21"/>
      <c r="AA118" s="21"/>
      <c r="AB118" s="21"/>
      <c r="AC118" s="21"/>
      <c r="AD118" s="21"/>
      <c r="AE118" s="21"/>
      <c r="AF118" s="21"/>
      <c r="AG118" s="16" t="s">
        <v>839</v>
      </c>
      <c r="AH118" s="188" t="s">
        <v>818</v>
      </c>
      <c r="AK118" s="16" t="s">
        <v>840</v>
      </c>
      <c r="AL118" s="28">
        <f t="shared" si="3"/>
        <v>7.5</v>
      </c>
      <c r="AM118" s="28"/>
      <c r="AN118" s="28">
        <v>1.5</v>
      </c>
      <c r="AO118" s="20" t="s">
        <v>833</v>
      </c>
      <c r="AP118" s="20" t="s">
        <v>834</v>
      </c>
      <c r="AQ118" s="21">
        <v>5</v>
      </c>
      <c r="AR118" s="20" t="s">
        <v>768</v>
      </c>
    </row>
    <row r="119" spans="1:44" ht="70" customHeight="1">
      <c r="A119" s="82" t="s">
        <v>1323</v>
      </c>
      <c r="B119" s="78" t="s">
        <v>830</v>
      </c>
      <c r="C119" s="21"/>
      <c r="D119" s="21">
        <v>20</v>
      </c>
      <c r="E119" s="115">
        <f t="shared" si="2"/>
        <v>35</v>
      </c>
      <c r="F119" s="21">
        <v>1</v>
      </c>
      <c r="G119" s="21">
        <v>1</v>
      </c>
      <c r="H119" s="21">
        <v>1</v>
      </c>
      <c r="I119" s="21">
        <v>1</v>
      </c>
      <c r="J119" s="21">
        <v>1</v>
      </c>
      <c r="K119" s="21">
        <v>1</v>
      </c>
      <c r="L119" s="21">
        <v>1</v>
      </c>
      <c r="M119" s="21">
        <v>1</v>
      </c>
      <c r="N119" s="21">
        <v>1</v>
      </c>
      <c r="O119" s="21">
        <v>1</v>
      </c>
      <c r="P119" s="21">
        <v>2</v>
      </c>
      <c r="Q119" s="21">
        <v>2</v>
      </c>
      <c r="R119" s="21">
        <v>2</v>
      </c>
      <c r="S119" s="21">
        <v>2</v>
      </c>
      <c r="T119" s="21">
        <v>2</v>
      </c>
      <c r="U119" s="21">
        <v>2</v>
      </c>
      <c r="V119" s="21">
        <v>2</v>
      </c>
      <c r="W119" s="21">
        <v>3</v>
      </c>
      <c r="X119" s="21">
        <v>4</v>
      </c>
      <c r="Y119" s="21">
        <v>4</v>
      </c>
      <c r="Z119" s="21"/>
      <c r="AA119" s="21"/>
      <c r="AB119" s="21"/>
      <c r="AC119" s="21"/>
      <c r="AD119" s="21"/>
      <c r="AE119" s="21"/>
      <c r="AF119" s="21"/>
      <c r="AG119" s="16" t="s">
        <v>831</v>
      </c>
      <c r="AH119" s="188" t="s">
        <v>818</v>
      </c>
      <c r="AK119" s="16" t="s">
        <v>838</v>
      </c>
      <c r="AL119" s="28">
        <f t="shared" si="3"/>
        <v>10</v>
      </c>
      <c r="AM119" s="28"/>
      <c r="AN119" s="28">
        <v>2</v>
      </c>
      <c r="AO119" s="20" t="s">
        <v>833</v>
      </c>
      <c r="AP119" s="20" t="s">
        <v>834</v>
      </c>
      <c r="AQ119" s="21">
        <v>2</v>
      </c>
      <c r="AR119" s="20" t="s">
        <v>768</v>
      </c>
    </row>
    <row r="120" spans="1:44" s="48" customFormat="1" ht="70" customHeight="1">
      <c r="A120" s="82" t="s">
        <v>1324</v>
      </c>
      <c r="B120" s="80" t="s">
        <v>865</v>
      </c>
      <c r="C120" s="24">
        <v>10</v>
      </c>
      <c r="D120" s="24"/>
      <c r="E120" s="115">
        <f t="shared" si="2"/>
        <v>146</v>
      </c>
      <c r="F120" s="146">
        <v>13</v>
      </c>
      <c r="G120" s="142">
        <v>17</v>
      </c>
      <c r="H120" s="146">
        <v>13</v>
      </c>
      <c r="I120" s="143">
        <v>12</v>
      </c>
      <c r="J120" s="143">
        <v>15</v>
      </c>
      <c r="K120" s="142">
        <v>12</v>
      </c>
      <c r="L120" s="145">
        <v>12</v>
      </c>
      <c r="M120" s="145">
        <v>18</v>
      </c>
      <c r="N120" s="144">
        <v>25</v>
      </c>
      <c r="O120" s="144">
        <v>9</v>
      </c>
      <c r="P120" s="24"/>
      <c r="Q120" s="24"/>
      <c r="R120" s="24"/>
      <c r="S120" s="24"/>
      <c r="T120" s="24"/>
      <c r="U120" s="24"/>
      <c r="V120" s="24"/>
      <c r="W120" s="24"/>
      <c r="X120" s="24"/>
      <c r="Y120" s="24"/>
      <c r="Z120" s="24"/>
      <c r="AA120" s="24"/>
      <c r="AB120" s="24"/>
      <c r="AC120" s="24"/>
      <c r="AD120" s="24"/>
      <c r="AE120" s="24"/>
      <c r="AF120" s="24"/>
      <c r="AG120" s="49" t="s">
        <v>841</v>
      </c>
      <c r="AH120" s="188" t="s">
        <v>800</v>
      </c>
      <c r="AI120" s="188"/>
      <c r="AJ120" s="188"/>
      <c r="AK120" s="49" t="s">
        <v>842</v>
      </c>
      <c r="AL120" s="38">
        <f t="shared" si="3"/>
        <v>28.500000000000007</v>
      </c>
      <c r="AM120" s="155" t="s">
        <v>1888</v>
      </c>
      <c r="AN120" s="38">
        <f>1.5+1.1+1.1+1.1+0.9</f>
        <v>5.7000000000000011</v>
      </c>
      <c r="AO120" s="48" t="s">
        <v>524</v>
      </c>
      <c r="AP120" s="48" t="s">
        <v>843</v>
      </c>
      <c r="AQ120" s="24">
        <v>15</v>
      </c>
      <c r="AR120" s="48" t="s">
        <v>768</v>
      </c>
    </row>
    <row r="121" spans="1:44" s="48" customFormat="1" ht="70" customHeight="1">
      <c r="A121" s="82" t="s">
        <v>1325</v>
      </c>
      <c r="B121" s="80" t="s">
        <v>865</v>
      </c>
      <c r="C121" s="24"/>
      <c r="D121" s="24">
        <v>20</v>
      </c>
      <c r="E121" s="115">
        <f t="shared" si="2"/>
        <v>129</v>
      </c>
      <c r="F121" s="146">
        <v>4</v>
      </c>
      <c r="G121" s="146">
        <v>4</v>
      </c>
      <c r="H121" s="146">
        <v>5</v>
      </c>
      <c r="I121" s="142">
        <v>5</v>
      </c>
      <c r="J121" s="142">
        <v>5</v>
      </c>
      <c r="K121" s="142">
        <v>5</v>
      </c>
      <c r="L121" s="142">
        <v>5</v>
      </c>
      <c r="M121" s="143">
        <v>5</v>
      </c>
      <c r="N121" s="145">
        <v>5</v>
      </c>
      <c r="O121" s="144">
        <v>5</v>
      </c>
      <c r="P121" s="142">
        <v>6</v>
      </c>
      <c r="Q121" s="146">
        <v>6</v>
      </c>
      <c r="R121" s="146">
        <v>6</v>
      </c>
      <c r="S121" s="143">
        <v>6</v>
      </c>
      <c r="T121" s="143">
        <v>7</v>
      </c>
      <c r="U121" s="143">
        <v>8</v>
      </c>
      <c r="V121" s="145">
        <v>8</v>
      </c>
      <c r="W121" s="144">
        <v>10</v>
      </c>
      <c r="X121" s="144">
        <v>11</v>
      </c>
      <c r="Y121" s="145">
        <v>13</v>
      </c>
      <c r="Z121" s="145"/>
      <c r="AA121" s="145"/>
      <c r="AB121" s="145"/>
      <c r="AC121" s="145"/>
      <c r="AD121" s="145"/>
      <c r="AE121" s="145"/>
      <c r="AF121" s="145"/>
      <c r="AG121" s="49" t="s">
        <v>841</v>
      </c>
      <c r="AH121" s="188" t="s">
        <v>800</v>
      </c>
      <c r="AI121" s="188"/>
      <c r="AJ121" s="188"/>
      <c r="AK121" s="49" t="s">
        <v>844</v>
      </c>
      <c r="AL121" s="38">
        <f t="shared" si="3"/>
        <v>35.5</v>
      </c>
      <c r="AM121" s="155" t="s">
        <v>1889</v>
      </c>
      <c r="AN121" s="38">
        <f>1.5*4+1.1</f>
        <v>7.1</v>
      </c>
      <c r="AO121" s="48" t="s">
        <v>524</v>
      </c>
      <c r="AP121" s="48" t="s">
        <v>843</v>
      </c>
      <c r="AQ121" s="24">
        <v>5</v>
      </c>
      <c r="AR121" s="48" t="s">
        <v>768</v>
      </c>
    </row>
    <row r="122" spans="1:44" s="48" customFormat="1" ht="70" customHeight="1">
      <c r="A122" s="82" t="s">
        <v>1326</v>
      </c>
      <c r="B122" s="80" t="s">
        <v>3378</v>
      </c>
      <c r="C122" s="24">
        <v>10</v>
      </c>
      <c r="D122" s="24"/>
      <c r="E122" s="115">
        <f t="shared" si="2"/>
        <v>130</v>
      </c>
      <c r="F122" s="146">
        <v>18</v>
      </c>
      <c r="G122" s="142">
        <v>20</v>
      </c>
      <c r="H122" s="146">
        <v>9</v>
      </c>
      <c r="I122" s="142">
        <v>6</v>
      </c>
      <c r="J122" s="143">
        <v>11</v>
      </c>
      <c r="K122" s="145">
        <v>17</v>
      </c>
      <c r="L122" s="143">
        <v>15</v>
      </c>
      <c r="M122" s="145">
        <v>9</v>
      </c>
      <c r="N122" s="144">
        <v>12</v>
      </c>
      <c r="O122" s="144">
        <v>13</v>
      </c>
      <c r="P122" s="24"/>
      <c r="Q122" s="24"/>
      <c r="R122" s="24"/>
      <c r="S122" s="24"/>
      <c r="T122" s="24"/>
      <c r="U122" s="24"/>
      <c r="V122" s="24"/>
      <c r="W122" s="24"/>
      <c r="X122" s="24"/>
      <c r="Y122" s="24"/>
      <c r="Z122" s="24"/>
      <c r="AA122" s="24"/>
      <c r="AB122" s="24"/>
      <c r="AC122" s="24"/>
      <c r="AD122" s="24"/>
      <c r="AE122" s="24"/>
      <c r="AF122" s="24"/>
      <c r="AG122" s="49" t="s">
        <v>845</v>
      </c>
      <c r="AH122" s="188" t="s">
        <v>800</v>
      </c>
      <c r="AI122" s="188"/>
      <c r="AJ122" s="188"/>
      <c r="AK122" s="49" t="s">
        <v>846</v>
      </c>
      <c r="AL122" s="38">
        <f t="shared" si="3"/>
        <v>26.500000000000004</v>
      </c>
      <c r="AM122" s="155" t="s">
        <v>1890</v>
      </c>
      <c r="AN122" s="38">
        <f>1.1+1.5+1.1+0.7+0.9</f>
        <v>5.3000000000000007</v>
      </c>
      <c r="AO122" s="48" t="s">
        <v>528</v>
      </c>
      <c r="AP122" s="48" t="s">
        <v>847</v>
      </c>
      <c r="AQ122" s="24">
        <v>10</v>
      </c>
      <c r="AR122" s="48" t="s">
        <v>768</v>
      </c>
    </row>
    <row r="123" spans="1:44" s="48" customFormat="1" ht="70" customHeight="1">
      <c r="A123" s="82" t="s">
        <v>1327</v>
      </c>
      <c r="B123" s="80" t="s">
        <v>866</v>
      </c>
      <c r="C123" s="24">
        <v>10</v>
      </c>
      <c r="D123" s="24"/>
      <c r="E123" s="115">
        <f t="shared" si="2"/>
        <v>169</v>
      </c>
      <c r="F123" s="146">
        <v>10</v>
      </c>
      <c r="G123" s="142">
        <v>18</v>
      </c>
      <c r="H123" s="142">
        <v>17</v>
      </c>
      <c r="I123" s="143">
        <v>21</v>
      </c>
      <c r="J123" s="145">
        <v>19</v>
      </c>
      <c r="K123" s="145">
        <v>15</v>
      </c>
      <c r="L123" s="146">
        <v>25</v>
      </c>
      <c r="M123" s="144">
        <v>16</v>
      </c>
      <c r="N123" s="143">
        <v>10</v>
      </c>
      <c r="O123" s="144">
        <v>18</v>
      </c>
      <c r="P123" s="24"/>
      <c r="Q123" s="24"/>
      <c r="R123" s="24"/>
      <c r="S123" s="24"/>
      <c r="T123" s="24"/>
      <c r="U123" s="24"/>
      <c r="V123" s="24"/>
      <c r="W123" s="24"/>
      <c r="X123" s="24"/>
      <c r="Y123" s="24"/>
      <c r="Z123" s="24"/>
      <c r="AA123" s="24"/>
      <c r="AB123" s="24"/>
      <c r="AC123" s="24"/>
      <c r="AD123" s="24"/>
      <c r="AE123" s="24"/>
      <c r="AF123" s="24"/>
      <c r="AG123" s="49" t="s">
        <v>848</v>
      </c>
      <c r="AH123" s="188" t="s">
        <v>800</v>
      </c>
      <c r="AI123" s="188"/>
      <c r="AJ123" s="188"/>
      <c r="AK123" s="49" t="s">
        <v>849</v>
      </c>
      <c r="AL123" s="38">
        <f t="shared" si="3"/>
        <v>24.5</v>
      </c>
      <c r="AM123" s="155" t="s">
        <v>1891</v>
      </c>
      <c r="AN123" s="38">
        <f>0.9*3+1.1+1.1</f>
        <v>4.9000000000000004</v>
      </c>
      <c r="AO123" s="48" t="s">
        <v>531</v>
      </c>
      <c r="AP123" s="48" t="s">
        <v>782</v>
      </c>
      <c r="AQ123" s="24">
        <v>15</v>
      </c>
      <c r="AR123" s="48" t="s">
        <v>768</v>
      </c>
    </row>
    <row r="124" spans="1:44" s="48" customFormat="1" ht="70" customHeight="1">
      <c r="A124" s="82" t="s">
        <v>1328</v>
      </c>
      <c r="B124" s="80" t="s">
        <v>867</v>
      </c>
      <c r="C124" s="24">
        <v>10</v>
      </c>
      <c r="D124" s="24"/>
      <c r="E124" s="115">
        <f t="shared" si="2"/>
        <v>110</v>
      </c>
      <c r="F124" s="146">
        <v>7</v>
      </c>
      <c r="G124" s="142">
        <v>7</v>
      </c>
      <c r="H124" s="142">
        <v>14</v>
      </c>
      <c r="I124" s="143">
        <v>14</v>
      </c>
      <c r="J124" s="143">
        <v>9</v>
      </c>
      <c r="K124" s="145">
        <v>12</v>
      </c>
      <c r="L124" s="146">
        <v>16</v>
      </c>
      <c r="M124" s="144">
        <v>16</v>
      </c>
      <c r="N124" s="144">
        <v>5</v>
      </c>
      <c r="O124" s="145">
        <v>10</v>
      </c>
      <c r="P124" s="24"/>
      <c r="Q124" s="24"/>
      <c r="R124" s="24"/>
      <c r="S124" s="24"/>
      <c r="T124" s="24"/>
      <c r="U124" s="24"/>
      <c r="V124" s="24"/>
      <c r="W124" s="24"/>
      <c r="X124" s="24"/>
      <c r="Y124" s="24"/>
      <c r="Z124" s="24"/>
      <c r="AA124" s="24"/>
      <c r="AB124" s="24"/>
      <c r="AC124" s="24"/>
      <c r="AD124" s="24"/>
      <c r="AE124" s="24"/>
      <c r="AF124" s="24"/>
      <c r="AG124" s="49" t="s">
        <v>850</v>
      </c>
      <c r="AH124" s="188" t="s">
        <v>800</v>
      </c>
      <c r="AI124" s="188"/>
      <c r="AJ124" s="188"/>
      <c r="AK124" s="49" t="s">
        <v>851</v>
      </c>
      <c r="AL124" s="38">
        <f t="shared" si="3"/>
        <v>24.5</v>
      </c>
      <c r="AM124" s="155" t="s">
        <v>1892</v>
      </c>
      <c r="AN124" s="38">
        <f>1.1+0.7+1.1+0.9+1.1</f>
        <v>4.9000000000000004</v>
      </c>
      <c r="AO124" s="48" t="s">
        <v>534</v>
      </c>
      <c r="AP124" s="48" t="s">
        <v>852</v>
      </c>
      <c r="AQ124" s="24">
        <v>10</v>
      </c>
      <c r="AR124" s="48" t="s">
        <v>768</v>
      </c>
    </row>
    <row r="125" spans="1:44" ht="25" customHeight="1">
      <c r="C125" s="21"/>
      <c r="D125" s="21"/>
      <c r="E125" s="115" t="s">
        <v>1790</v>
      </c>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L125" s="28"/>
      <c r="AM125" s="28"/>
      <c r="AN125" s="28"/>
      <c r="AQ125" s="21"/>
    </row>
    <row r="126" spans="1:44" ht="25" customHeight="1">
      <c r="C126" s="21"/>
      <c r="D126" s="21"/>
      <c r="E126" s="115" t="s">
        <v>1795</v>
      </c>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L126" s="28"/>
      <c r="AM126" s="28"/>
      <c r="AN126" s="28"/>
      <c r="AQ126" s="21"/>
    </row>
    <row r="127" spans="1:44" ht="25" customHeight="1">
      <c r="E127" s="116" t="s">
        <v>1798</v>
      </c>
    </row>
  </sheetData>
  <phoneticPr fontId="2" type="noConversion"/>
  <printOptions horizontalCentered="1"/>
  <pageMargins left="0" right="0" top="0.59314960629921254" bottom="0.2" header="0.31" footer="0.31"/>
  <pageSetup paperSize="9" scale="60" fitToHeight="12" orientation="landscape" horizontalDpi="200" verticalDpi="200" r:id="rId1"/>
  <headerFooter>
    <oddFooter>&amp;R新平县 第 &amp;P 页，共 &amp;N 页</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T102"/>
  <sheetViews>
    <sheetView workbookViewId="0">
      <pane xSplit="1" ySplit="1" topLeftCell="R27" activePane="bottomRight" state="frozen"/>
      <selection pane="topRight" activeCell="B1" sqref="B1"/>
      <selection pane="bottomLeft" activeCell="A2" sqref="A2"/>
      <selection pane="bottomRight" activeCell="AM37" sqref="AM37"/>
    </sheetView>
  </sheetViews>
  <sheetFormatPr baseColWidth="10" defaultColWidth="8.83203125" defaultRowHeight="30" customHeight="1"/>
  <cols>
    <col min="1" max="2" width="7.83203125" style="84" customWidth="1"/>
    <col min="3" max="4" width="6.6640625" style="41" customWidth="1"/>
    <col min="5" max="5" width="6.6640625" style="113" customWidth="1"/>
    <col min="6" max="14" width="5" style="36" customWidth="1"/>
    <col min="15" max="32" width="5.33203125" style="36" customWidth="1"/>
    <col min="33" max="33" width="12.33203125" style="87" customWidth="1"/>
    <col min="34" max="35" width="14.1640625" style="179" customWidth="1"/>
    <col min="36" max="36" width="9" style="179" customWidth="1"/>
    <col min="37" max="37" width="17.33203125" style="87" customWidth="1"/>
    <col min="38" max="39" width="17.33203125" style="156" customWidth="1"/>
    <col min="40" max="40" width="9.6640625" style="156" customWidth="1"/>
    <col min="41" max="42" width="19" style="1" customWidth="1"/>
    <col min="43" max="43" width="5.33203125" style="1" customWidth="1"/>
    <col min="44" max="46" width="8.83203125" style="10"/>
    <col min="47" max="16384" width="8.83203125" style="9"/>
  </cols>
  <sheetData>
    <row r="1" spans="1:46" s="15" customFormat="1" ht="30" customHeight="1">
      <c r="A1" s="75" t="s">
        <v>1429</v>
      </c>
      <c r="B1" s="75" t="s">
        <v>855</v>
      </c>
      <c r="C1" s="17" t="s">
        <v>928</v>
      </c>
      <c r="D1" s="17" t="s">
        <v>929</v>
      </c>
      <c r="E1" s="109" t="s">
        <v>857</v>
      </c>
      <c r="F1" s="85" t="s">
        <v>754</v>
      </c>
      <c r="G1" s="85" t="s">
        <v>755</v>
      </c>
      <c r="H1" s="85" t="s">
        <v>756</v>
      </c>
      <c r="I1" s="85" t="s">
        <v>757</v>
      </c>
      <c r="J1" s="85" t="s">
        <v>758</v>
      </c>
      <c r="K1" s="85" t="s">
        <v>759</v>
      </c>
      <c r="L1" s="85" t="s">
        <v>760</v>
      </c>
      <c r="M1" s="85" t="s">
        <v>761</v>
      </c>
      <c r="N1" s="85" t="s">
        <v>762</v>
      </c>
      <c r="O1" s="86" t="s">
        <v>763</v>
      </c>
      <c r="P1" s="86" t="s">
        <v>1132</v>
      </c>
      <c r="Q1" s="86" t="s">
        <v>1133</v>
      </c>
      <c r="R1" s="86" t="s">
        <v>1134</v>
      </c>
      <c r="S1" s="86" t="s">
        <v>1135</v>
      </c>
      <c r="T1" s="86" t="s">
        <v>1136</v>
      </c>
      <c r="U1" s="86" t="s">
        <v>1137</v>
      </c>
      <c r="V1" s="86" t="s">
        <v>1138</v>
      </c>
      <c r="W1" s="86" t="s">
        <v>1139</v>
      </c>
      <c r="X1" s="86" t="s">
        <v>1140</v>
      </c>
      <c r="Y1" s="86" t="s">
        <v>1141</v>
      </c>
      <c r="Z1" s="86" t="s">
        <v>1142</v>
      </c>
      <c r="AA1" s="86" t="s">
        <v>1143</v>
      </c>
      <c r="AB1" s="86" t="s">
        <v>1144</v>
      </c>
      <c r="AC1" s="86" t="s">
        <v>1145</v>
      </c>
      <c r="AD1" s="86" t="s">
        <v>1146</v>
      </c>
      <c r="AE1" s="86" t="s">
        <v>1147</v>
      </c>
      <c r="AF1" s="86" t="s">
        <v>1148</v>
      </c>
      <c r="AG1" s="87" t="s">
        <v>5</v>
      </c>
      <c r="AH1" s="174" t="s">
        <v>1930</v>
      </c>
      <c r="AI1" s="175" t="s">
        <v>1931</v>
      </c>
      <c r="AJ1" s="176" t="s">
        <v>2017</v>
      </c>
      <c r="AK1" s="87" t="s">
        <v>6</v>
      </c>
      <c r="AL1" s="156" t="s">
        <v>1827</v>
      </c>
      <c r="AM1" s="156" t="s">
        <v>2020</v>
      </c>
      <c r="AN1" s="156" t="s">
        <v>1928</v>
      </c>
      <c r="AO1" s="19" t="s">
        <v>853</v>
      </c>
      <c r="AP1" s="19" t="s">
        <v>854</v>
      </c>
      <c r="AQ1" s="17" t="s">
        <v>877</v>
      </c>
    </row>
    <row r="2" spans="1:46" s="7" customFormat="1" ht="42" customHeight="1">
      <c r="A2" s="89" t="s">
        <v>1430</v>
      </c>
      <c r="B2" s="83" t="s">
        <v>539</v>
      </c>
      <c r="C2" s="31">
        <v>8</v>
      </c>
      <c r="D2" s="31"/>
      <c r="E2" s="110">
        <f>SUM(F2:Y2)</f>
        <v>36</v>
      </c>
      <c r="F2" s="31">
        <v>3</v>
      </c>
      <c r="G2" s="31">
        <v>6</v>
      </c>
      <c r="H2" s="31">
        <v>5</v>
      </c>
      <c r="I2" s="31">
        <v>3</v>
      </c>
      <c r="J2" s="31">
        <v>7</v>
      </c>
      <c r="K2" s="31">
        <v>4</v>
      </c>
      <c r="L2" s="31">
        <v>6</v>
      </c>
      <c r="M2" s="31">
        <v>2</v>
      </c>
      <c r="N2" s="35"/>
      <c r="O2" s="35"/>
      <c r="P2" s="31"/>
      <c r="Q2" s="31"/>
      <c r="R2" s="31"/>
      <c r="S2" s="31"/>
      <c r="T2" s="31"/>
      <c r="U2" s="31"/>
      <c r="V2" s="31"/>
      <c r="W2" s="31"/>
      <c r="X2" s="35"/>
      <c r="Y2" s="35"/>
      <c r="Z2" s="35"/>
      <c r="AA2" s="35"/>
      <c r="AB2" s="35"/>
      <c r="AC2" s="35"/>
      <c r="AD2" s="35"/>
      <c r="AE2" s="35"/>
      <c r="AF2" s="35"/>
      <c r="AG2" s="88" t="s">
        <v>604</v>
      </c>
      <c r="AH2" s="179" t="s">
        <v>252</v>
      </c>
      <c r="AI2" s="179"/>
      <c r="AJ2" s="179"/>
      <c r="AK2" s="88"/>
      <c r="AL2" s="157">
        <f>5*AN2</f>
        <v>7.5</v>
      </c>
      <c r="AM2" s="157"/>
      <c r="AN2" s="157">
        <v>1.5</v>
      </c>
      <c r="AO2" s="6" t="s">
        <v>602</v>
      </c>
      <c r="AP2" s="6" t="s">
        <v>603</v>
      </c>
      <c r="AQ2" s="6" t="s">
        <v>18</v>
      </c>
    </row>
    <row r="3" spans="1:46" s="7" customFormat="1" ht="42" customHeight="1">
      <c r="A3" s="89" t="s">
        <v>1431</v>
      </c>
      <c r="B3" s="83" t="s">
        <v>539</v>
      </c>
      <c r="C3" s="31">
        <v>8</v>
      </c>
      <c r="D3" s="31"/>
      <c r="E3" s="110">
        <f t="shared" ref="E3:E66" si="0">SUM(F3:Y3)</f>
        <v>47</v>
      </c>
      <c r="F3" s="31">
        <v>5</v>
      </c>
      <c r="G3" s="31">
        <v>6</v>
      </c>
      <c r="H3" s="31">
        <v>5</v>
      </c>
      <c r="I3" s="31">
        <v>5</v>
      </c>
      <c r="J3" s="31">
        <v>5</v>
      </c>
      <c r="K3" s="31">
        <v>8</v>
      </c>
      <c r="L3" s="31">
        <v>4</v>
      </c>
      <c r="M3" s="31">
        <v>9</v>
      </c>
      <c r="N3" s="35"/>
      <c r="O3" s="35"/>
      <c r="P3" s="31"/>
      <c r="Q3" s="31"/>
      <c r="R3" s="31"/>
      <c r="S3" s="31"/>
      <c r="T3" s="31"/>
      <c r="U3" s="31"/>
      <c r="V3" s="31"/>
      <c r="W3" s="31"/>
      <c r="X3" s="35"/>
      <c r="Y3" s="35"/>
      <c r="Z3" s="35"/>
      <c r="AA3" s="35"/>
      <c r="AB3" s="35"/>
      <c r="AC3" s="35"/>
      <c r="AD3" s="35"/>
      <c r="AE3" s="35"/>
      <c r="AF3" s="35"/>
      <c r="AG3" s="88" t="s">
        <v>604</v>
      </c>
      <c r="AH3" s="179" t="s">
        <v>221</v>
      </c>
      <c r="AI3" s="179"/>
      <c r="AJ3" s="179"/>
      <c r="AK3" s="88"/>
      <c r="AL3" s="157">
        <f t="shared" ref="AL3:AL66" si="1">5*AN3</f>
        <v>7.5</v>
      </c>
      <c r="AM3" s="157"/>
      <c r="AN3" s="157">
        <v>1.5</v>
      </c>
      <c r="AO3" s="6" t="s">
        <v>602</v>
      </c>
      <c r="AP3" s="6" t="s">
        <v>603</v>
      </c>
      <c r="AQ3" s="6" t="s">
        <v>18</v>
      </c>
    </row>
    <row r="4" spans="1:46" s="7" customFormat="1" ht="42" customHeight="1">
      <c r="A4" s="89" t="s">
        <v>1432</v>
      </c>
      <c r="B4" s="83" t="s">
        <v>539</v>
      </c>
      <c r="C4" s="31">
        <v>4</v>
      </c>
      <c r="D4" s="31"/>
      <c r="E4" s="110">
        <f t="shared" si="0"/>
        <v>54</v>
      </c>
      <c r="F4" s="31">
        <v>10</v>
      </c>
      <c r="G4" s="31">
        <v>19</v>
      </c>
      <c r="H4" s="31">
        <v>5</v>
      </c>
      <c r="I4" s="31">
        <v>20</v>
      </c>
      <c r="J4" s="35"/>
      <c r="K4" s="35"/>
      <c r="L4" s="35"/>
      <c r="M4" s="35"/>
      <c r="N4" s="35"/>
      <c r="O4" s="35"/>
      <c r="P4" s="31"/>
      <c r="Q4" s="31"/>
      <c r="R4" s="31"/>
      <c r="S4" s="31"/>
      <c r="T4" s="35"/>
      <c r="U4" s="35"/>
      <c r="V4" s="35"/>
      <c r="W4" s="35"/>
      <c r="X4" s="35"/>
      <c r="Y4" s="35"/>
      <c r="Z4" s="35"/>
      <c r="AA4" s="35"/>
      <c r="AB4" s="35"/>
      <c r="AC4" s="35"/>
      <c r="AD4" s="35"/>
      <c r="AE4" s="35"/>
      <c r="AF4" s="35"/>
      <c r="AG4" s="88" t="s">
        <v>605</v>
      </c>
      <c r="AH4" s="179" t="s">
        <v>353</v>
      </c>
      <c r="AI4" s="179"/>
      <c r="AJ4" s="179"/>
      <c r="AK4" s="88"/>
      <c r="AL4" s="157">
        <f t="shared" si="1"/>
        <v>7.5</v>
      </c>
      <c r="AM4" s="157"/>
      <c r="AN4" s="157">
        <v>1.5</v>
      </c>
      <c r="AO4" s="6" t="s">
        <v>602</v>
      </c>
      <c r="AP4" s="6" t="s">
        <v>603</v>
      </c>
      <c r="AQ4" s="6" t="s">
        <v>19</v>
      </c>
    </row>
    <row r="5" spans="1:46" s="7" customFormat="1" ht="42" customHeight="1">
      <c r="A5" s="89" t="s">
        <v>1433</v>
      </c>
      <c r="B5" s="83" t="s">
        <v>539</v>
      </c>
      <c r="C5" s="31">
        <v>2</v>
      </c>
      <c r="D5" s="31"/>
      <c r="E5" s="110">
        <f t="shared" si="0"/>
        <v>19</v>
      </c>
      <c r="F5" s="31">
        <v>10</v>
      </c>
      <c r="G5" s="31">
        <v>9</v>
      </c>
      <c r="H5" s="35"/>
      <c r="I5" s="35"/>
      <c r="J5" s="35"/>
      <c r="K5" s="35"/>
      <c r="L5" s="35"/>
      <c r="M5" s="35"/>
      <c r="N5" s="35"/>
      <c r="O5" s="35"/>
      <c r="P5" s="31"/>
      <c r="Q5" s="31"/>
      <c r="R5" s="35"/>
      <c r="S5" s="35"/>
      <c r="T5" s="35"/>
      <c r="U5" s="35"/>
      <c r="V5" s="35"/>
      <c r="W5" s="35"/>
      <c r="X5" s="35"/>
      <c r="Y5" s="35"/>
      <c r="Z5" s="35"/>
      <c r="AA5" s="35"/>
      <c r="AB5" s="35"/>
      <c r="AC5" s="35"/>
      <c r="AD5" s="35"/>
      <c r="AE5" s="35"/>
      <c r="AF5" s="35"/>
      <c r="AG5" s="88" t="s">
        <v>605</v>
      </c>
      <c r="AH5" s="179" t="s">
        <v>540</v>
      </c>
      <c r="AI5" s="179"/>
      <c r="AJ5" s="179"/>
      <c r="AK5" s="88"/>
      <c r="AL5" s="157">
        <f t="shared" si="1"/>
        <v>3</v>
      </c>
      <c r="AM5" s="157"/>
      <c r="AN5" s="157">
        <v>0.6</v>
      </c>
      <c r="AO5" s="6" t="s">
        <v>602</v>
      </c>
      <c r="AP5" s="6" t="s">
        <v>603</v>
      </c>
      <c r="AQ5" s="6" t="s">
        <v>19</v>
      </c>
    </row>
    <row r="6" spans="1:46" ht="42" customHeight="1">
      <c r="A6" s="89" t="s">
        <v>1434</v>
      </c>
      <c r="B6" s="84" t="s">
        <v>541</v>
      </c>
      <c r="C6" s="34">
        <v>6</v>
      </c>
      <c r="D6" s="34"/>
      <c r="E6" s="111">
        <f t="shared" si="0"/>
        <v>14</v>
      </c>
      <c r="F6" s="34">
        <v>1</v>
      </c>
      <c r="G6" s="34">
        <v>1</v>
      </c>
      <c r="H6" s="34">
        <v>2</v>
      </c>
      <c r="I6" s="34">
        <v>3</v>
      </c>
      <c r="J6" s="34">
        <v>3</v>
      </c>
      <c r="K6" s="34">
        <v>4</v>
      </c>
      <c r="P6" s="34"/>
      <c r="Q6" s="34"/>
      <c r="R6" s="34"/>
      <c r="S6" s="34"/>
      <c r="T6" s="34"/>
      <c r="U6" s="34"/>
      <c r="AG6" s="87" t="s">
        <v>609</v>
      </c>
      <c r="AH6" s="179" t="s">
        <v>66</v>
      </c>
      <c r="AL6" s="156">
        <f t="shared" si="1"/>
        <v>7.5</v>
      </c>
      <c r="AN6" s="156">
        <v>1.5</v>
      </c>
      <c r="AO6" s="1" t="s">
        <v>606</v>
      </c>
      <c r="AP6" s="1" t="s">
        <v>607</v>
      </c>
      <c r="AQ6" s="1" t="s">
        <v>31</v>
      </c>
      <c r="AR6" s="9"/>
      <c r="AS6" s="9"/>
      <c r="AT6" s="9"/>
    </row>
    <row r="7" spans="1:46" ht="42" customHeight="1">
      <c r="A7" s="89" t="s">
        <v>1435</v>
      </c>
      <c r="B7" s="84" t="s">
        <v>541</v>
      </c>
      <c r="C7" s="34">
        <v>6</v>
      </c>
      <c r="D7" s="34"/>
      <c r="E7" s="111">
        <f t="shared" si="0"/>
        <v>7</v>
      </c>
      <c r="F7" s="34">
        <v>1</v>
      </c>
      <c r="G7" s="34">
        <v>1</v>
      </c>
      <c r="H7" s="34">
        <v>1</v>
      </c>
      <c r="I7" s="34">
        <v>1</v>
      </c>
      <c r="J7" s="34">
        <v>1</v>
      </c>
      <c r="K7" s="34">
        <v>2</v>
      </c>
      <c r="P7" s="34"/>
      <c r="Q7" s="34"/>
      <c r="R7" s="34"/>
      <c r="S7" s="34"/>
      <c r="T7" s="34"/>
      <c r="U7" s="34"/>
      <c r="AG7" s="87" t="s">
        <v>608</v>
      </c>
      <c r="AH7" s="179" t="s">
        <v>97</v>
      </c>
      <c r="AK7" s="87" t="s">
        <v>610</v>
      </c>
      <c r="AL7" s="156">
        <f t="shared" si="1"/>
        <v>7.5</v>
      </c>
      <c r="AN7" s="156">
        <v>1.5</v>
      </c>
      <c r="AO7" s="1" t="s">
        <v>606</v>
      </c>
      <c r="AP7" s="1" t="s">
        <v>607</v>
      </c>
      <c r="AQ7" s="1" t="s">
        <v>31</v>
      </c>
      <c r="AR7" s="9"/>
      <c r="AS7" s="9"/>
      <c r="AT7" s="9"/>
    </row>
    <row r="8" spans="1:46" ht="42" customHeight="1">
      <c r="A8" s="89" t="s">
        <v>1436</v>
      </c>
      <c r="B8" s="84" t="s">
        <v>541</v>
      </c>
      <c r="C8" s="34">
        <v>7</v>
      </c>
      <c r="D8" s="34"/>
      <c r="E8" s="111">
        <f t="shared" si="0"/>
        <v>8</v>
      </c>
      <c r="F8" s="34">
        <v>1</v>
      </c>
      <c r="G8" s="34">
        <v>1</v>
      </c>
      <c r="H8" s="34">
        <v>1</v>
      </c>
      <c r="I8" s="34">
        <v>1</v>
      </c>
      <c r="J8" s="34">
        <v>1</v>
      </c>
      <c r="K8" s="34">
        <v>1</v>
      </c>
      <c r="L8" s="34">
        <v>2</v>
      </c>
      <c r="P8" s="34"/>
      <c r="Q8" s="34"/>
      <c r="R8" s="34"/>
      <c r="S8" s="34"/>
      <c r="T8" s="34"/>
      <c r="U8" s="34"/>
      <c r="V8" s="34"/>
      <c r="AG8" s="87" t="s">
        <v>609</v>
      </c>
      <c r="AH8" s="179" t="s">
        <v>353</v>
      </c>
      <c r="AK8" s="87" t="s">
        <v>611</v>
      </c>
      <c r="AL8" s="156">
        <f t="shared" si="1"/>
        <v>5</v>
      </c>
      <c r="AN8" s="156">
        <v>1</v>
      </c>
      <c r="AO8" s="1" t="s">
        <v>606</v>
      </c>
      <c r="AP8" s="1" t="s">
        <v>607</v>
      </c>
      <c r="AQ8" s="1" t="s">
        <v>31</v>
      </c>
      <c r="AR8" s="9"/>
      <c r="AS8" s="9"/>
      <c r="AT8" s="9"/>
    </row>
    <row r="9" spans="1:46" ht="42" customHeight="1">
      <c r="A9" s="89" t="s">
        <v>1437</v>
      </c>
      <c r="B9" s="84" t="s">
        <v>541</v>
      </c>
      <c r="C9" s="34">
        <v>5</v>
      </c>
      <c r="D9" s="34"/>
      <c r="E9" s="111">
        <f t="shared" si="0"/>
        <v>6</v>
      </c>
      <c r="F9" s="34">
        <v>1</v>
      </c>
      <c r="G9" s="34">
        <v>1</v>
      </c>
      <c r="H9" s="34">
        <v>1</v>
      </c>
      <c r="I9" s="34">
        <v>1</v>
      </c>
      <c r="J9" s="34">
        <v>2</v>
      </c>
      <c r="P9" s="34"/>
      <c r="Q9" s="34"/>
      <c r="R9" s="34"/>
      <c r="S9" s="34"/>
      <c r="T9" s="34"/>
      <c r="AG9" s="87" t="s">
        <v>609</v>
      </c>
      <c r="AH9" s="179" t="s">
        <v>542</v>
      </c>
      <c r="AK9" s="87" t="s">
        <v>610</v>
      </c>
      <c r="AL9" s="156">
        <f t="shared" si="1"/>
        <v>7.5</v>
      </c>
      <c r="AN9" s="156">
        <v>1.5</v>
      </c>
      <c r="AO9" s="1" t="s">
        <v>606</v>
      </c>
      <c r="AP9" s="1" t="s">
        <v>607</v>
      </c>
      <c r="AQ9" s="1" t="s">
        <v>31</v>
      </c>
      <c r="AR9" s="9"/>
      <c r="AS9" s="9"/>
      <c r="AT9" s="9"/>
    </row>
    <row r="10" spans="1:46" s="7" customFormat="1" ht="42" customHeight="1">
      <c r="A10" s="89" t="s">
        <v>1438</v>
      </c>
      <c r="B10" s="83" t="s">
        <v>543</v>
      </c>
      <c r="C10" s="31">
        <v>10</v>
      </c>
      <c r="D10" s="31"/>
      <c r="E10" s="110">
        <f t="shared" si="0"/>
        <v>111</v>
      </c>
      <c r="F10" s="131">
        <v>11</v>
      </c>
      <c r="G10" s="127">
        <v>8</v>
      </c>
      <c r="H10" s="128">
        <v>8</v>
      </c>
      <c r="I10" s="129">
        <v>8</v>
      </c>
      <c r="J10" s="130">
        <v>8</v>
      </c>
      <c r="K10" s="129">
        <v>13</v>
      </c>
      <c r="L10" s="131">
        <v>10</v>
      </c>
      <c r="M10" s="130">
        <v>12</v>
      </c>
      <c r="N10" s="127">
        <v>18</v>
      </c>
      <c r="O10" s="128">
        <v>15</v>
      </c>
      <c r="P10" s="31"/>
      <c r="Q10" s="31"/>
      <c r="R10" s="31"/>
      <c r="S10" s="31"/>
      <c r="T10" s="31"/>
      <c r="U10" s="31"/>
      <c r="V10" s="31"/>
      <c r="W10" s="31"/>
      <c r="X10" s="31"/>
      <c r="Y10" s="31"/>
      <c r="Z10" s="31"/>
      <c r="AA10" s="31"/>
      <c r="AB10" s="31"/>
      <c r="AC10" s="31"/>
      <c r="AD10" s="31"/>
      <c r="AE10" s="31"/>
      <c r="AF10" s="31"/>
      <c r="AG10" s="88" t="s">
        <v>614</v>
      </c>
      <c r="AH10" s="179" t="s">
        <v>544</v>
      </c>
      <c r="AI10" s="179"/>
      <c r="AJ10" s="179"/>
      <c r="AK10" s="88" t="s">
        <v>623</v>
      </c>
      <c r="AL10" s="157">
        <f t="shared" si="1"/>
        <v>21.5</v>
      </c>
      <c r="AM10" s="157" t="s">
        <v>1893</v>
      </c>
      <c r="AN10" s="157">
        <f>0.9+0.9+0.7+0.9+0.9</f>
        <v>4.3</v>
      </c>
      <c r="AO10" s="6" t="s">
        <v>612</v>
      </c>
      <c r="AP10" s="6" t="s">
        <v>613</v>
      </c>
      <c r="AQ10" s="6" t="s">
        <v>18</v>
      </c>
    </row>
    <row r="11" spans="1:46" s="7" customFormat="1" ht="42" customHeight="1">
      <c r="A11" s="89" t="s">
        <v>1439</v>
      </c>
      <c r="B11" s="83" t="s">
        <v>543</v>
      </c>
      <c r="C11" s="31">
        <v>10</v>
      </c>
      <c r="D11" s="31"/>
      <c r="E11" s="110">
        <f t="shared" si="0"/>
        <v>90</v>
      </c>
      <c r="F11" s="31">
        <v>7</v>
      </c>
      <c r="G11" s="31">
        <v>5</v>
      </c>
      <c r="H11" s="31">
        <v>3</v>
      </c>
      <c r="I11" s="31">
        <v>11</v>
      </c>
      <c r="J11" s="31">
        <v>9</v>
      </c>
      <c r="K11" s="31">
        <v>9</v>
      </c>
      <c r="L11" s="31">
        <v>9</v>
      </c>
      <c r="M11" s="31">
        <v>8</v>
      </c>
      <c r="N11" s="31">
        <v>18</v>
      </c>
      <c r="O11" s="31">
        <v>11</v>
      </c>
      <c r="P11" s="31"/>
      <c r="Q11" s="31"/>
      <c r="R11" s="31"/>
      <c r="S11" s="31"/>
      <c r="T11" s="31"/>
      <c r="U11" s="31"/>
      <c r="V11" s="31"/>
      <c r="W11" s="31"/>
      <c r="X11" s="31"/>
      <c r="Y11" s="31"/>
      <c r="Z11" s="31"/>
      <c r="AA11" s="31"/>
      <c r="AB11" s="31"/>
      <c r="AC11" s="31"/>
      <c r="AD11" s="31"/>
      <c r="AE11" s="31"/>
      <c r="AF11" s="31"/>
      <c r="AG11" s="88" t="s">
        <v>614</v>
      </c>
      <c r="AH11" s="179" t="s">
        <v>319</v>
      </c>
      <c r="AI11" s="179"/>
      <c r="AJ11" s="179"/>
      <c r="AK11" s="88" t="s">
        <v>622</v>
      </c>
      <c r="AL11" s="157">
        <f t="shared" si="1"/>
        <v>17.5</v>
      </c>
      <c r="AM11" s="157"/>
      <c r="AN11" s="157">
        <v>3.5</v>
      </c>
      <c r="AO11" s="6" t="s">
        <v>612</v>
      </c>
      <c r="AP11" s="6" t="s">
        <v>613</v>
      </c>
      <c r="AQ11" s="6" t="s">
        <v>19</v>
      </c>
    </row>
    <row r="12" spans="1:46" s="7" customFormat="1" ht="42" customHeight="1">
      <c r="A12" s="89" t="s">
        <v>1440</v>
      </c>
      <c r="B12" s="83" t="s">
        <v>543</v>
      </c>
      <c r="C12" s="31">
        <v>5</v>
      </c>
      <c r="D12" s="31"/>
      <c r="E12" s="110">
        <f t="shared" si="0"/>
        <v>66</v>
      </c>
      <c r="F12" s="31">
        <v>15</v>
      </c>
      <c r="G12" s="31">
        <v>13</v>
      </c>
      <c r="H12" s="31">
        <v>17</v>
      </c>
      <c r="I12" s="31">
        <v>12</v>
      </c>
      <c r="J12" s="31">
        <v>9</v>
      </c>
      <c r="K12" s="35"/>
      <c r="L12" s="35"/>
      <c r="M12" s="35"/>
      <c r="N12" s="35"/>
      <c r="O12" s="35"/>
      <c r="P12" s="31"/>
      <c r="Q12" s="31"/>
      <c r="R12" s="31"/>
      <c r="S12" s="31"/>
      <c r="T12" s="31"/>
      <c r="U12" s="35"/>
      <c r="V12" s="35"/>
      <c r="W12" s="35"/>
      <c r="X12" s="35"/>
      <c r="Y12" s="35"/>
      <c r="Z12" s="35"/>
      <c r="AA12" s="35"/>
      <c r="AB12" s="35"/>
      <c r="AC12" s="35"/>
      <c r="AD12" s="35"/>
      <c r="AE12" s="35"/>
      <c r="AF12" s="35"/>
      <c r="AG12" s="88" t="s">
        <v>614</v>
      </c>
      <c r="AH12" s="179" t="s">
        <v>448</v>
      </c>
      <c r="AI12" s="179"/>
      <c r="AJ12" s="179"/>
      <c r="AK12" s="88" t="s">
        <v>620</v>
      </c>
      <c r="AL12" s="157">
        <f t="shared" si="1"/>
        <v>10</v>
      </c>
      <c r="AM12" s="157"/>
      <c r="AN12" s="157">
        <v>2</v>
      </c>
      <c r="AO12" s="6" t="s">
        <v>612</v>
      </c>
      <c r="AP12" s="6" t="s">
        <v>613</v>
      </c>
      <c r="AQ12" s="6" t="s">
        <v>19</v>
      </c>
    </row>
    <row r="13" spans="1:46" s="7" customFormat="1" ht="42" customHeight="1">
      <c r="A13" s="89" t="s">
        <v>1441</v>
      </c>
      <c r="B13" s="83" t="s">
        <v>543</v>
      </c>
      <c r="C13" s="31">
        <v>10</v>
      </c>
      <c r="D13" s="31"/>
      <c r="E13" s="110">
        <f t="shared" si="0"/>
        <v>122</v>
      </c>
      <c r="F13" s="131">
        <v>12</v>
      </c>
      <c r="G13" s="127">
        <v>22</v>
      </c>
      <c r="H13" s="131">
        <v>15</v>
      </c>
      <c r="I13" s="128">
        <v>17</v>
      </c>
      <c r="J13" s="129">
        <v>9</v>
      </c>
      <c r="K13" s="130">
        <v>10</v>
      </c>
      <c r="L13" s="129">
        <v>16</v>
      </c>
      <c r="M13" s="128">
        <v>7</v>
      </c>
      <c r="N13" s="130">
        <v>7</v>
      </c>
      <c r="O13" s="130">
        <v>7</v>
      </c>
      <c r="P13" s="31"/>
      <c r="Q13" s="31"/>
      <c r="R13" s="31"/>
      <c r="S13" s="31"/>
      <c r="T13" s="31"/>
      <c r="U13" s="31"/>
      <c r="V13" s="31"/>
      <c r="W13" s="31"/>
      <c r="X13" s="31"/>
      <c r="Y13" s="31"/>
      <c r="Z13" s="31"/>
      <c r="AA13" s="31"/>
      <c r="AB13" s="31"/>
      <c r="AC13" s="31"/>
      <c r="AD13" s="31"/>
      <c r="AE13" s="31"/>
      <c r="AF13" s="31"/>
      <c r="AG13" s="88" t="s">
        <v>614</v>
      </c>
      <c r="AH13" s="179" t="s">
        <v>545</v>
      </c>
      <c r="AI13" s="179"/>
      <c r="AJ13" s="179"/>
      <c r="AK13" s="88" t="s">
        <v>621</v>
      </c>
      <c r="AL13" s="157">
        <f t="shared" si="1"/>
        <v>23.5</v>
      </c>
      <c r="AM13" s="157" t="s">
        <v>1894</v>
      </c>
      <c r="AN13" s="157">
        <f>1.1+0.7+0.7+1.1+1.1</f>
        <v>4.7</v>
      </c>
      <c r="AO13" s="6" t="s">
        <v>612</v>
      </c>
      <c r="AP13" s="6" t="s">
        <v>613</v>
      </c>
      <c r="AQ13" s="6" t="s">
        <v>159</v>
      </c>
    </row>
    <row r="14" spans="1:46" s="7" customFormat="1" ht="42" customHeight="1">
      <c r="A14" s="89" t="s">
        <v>1442</v>
      </c>
      <c r="B14" s="83" t="s">
        <v>543</v>
      </c>
      <c r="C14" s="31">
        <v>5</v>
      </c>
      <c r="D14" s="31"/>
      <c r="E14" s="110">
        <f t="shared" si="0"/>
        <v>20</v>
      </c>
      <c r="F14" s="31">
        <v>5</v>
      </c>
      <c r="G14" s="31">
        <v>8</v>
      </c>
      <c r="H14" s="31">
        <v>2</v>
      </c>
      <c r="I14" s="31">
        <v>5</v>
      </c>
      <c r="J14" s="35"/>
      <c r="K14" s="35"/>
      <c r="L14" s="35"/>
      <c r="M14" s="35"/>
      <c r="N14" s="35"/>
      <c r="O14" s="35"/>
      <c r="P14" s="31"/>
      <c r="Q14" s="31"/>
      <c r="R14" s="31"/>
      <c r="S14" s="31"/>
      <c r="T14" s="35"/>
      <c r="U14" s="35"/>
      <c r="V14" s="35"/>
      <c r="W14" s="35"/>
      <c r="X14" s="35"/>
      <c r="Y14" s="35"/>
      <c r="Z14" s="35"/>
      <c r="AA14" s="35"/>
      <c r="AB14" s="35"/>
      <c r="AC14" s="35"/>
      <c r="AD14" s="35"/>
      <c r="AE14" s="35"/>
      <c r="AF14" s="35"/>
      <c r="AG14" s="88" t="s">
        <v>614</v>
      </c>
      <c r="AH14" s="179" t="s">
        <v>545</v>
      </c>
      <c r="AI14" s="179"/>
      <c r="AJ14" s="179"/>
      <c r="AK14" s="88" t="s">
        <v>619</v>
      </c>
      <c r="AL14" s="157">
        <f t="shared" si="1"/>
        <v>5</v>
      </c>
      <c r="AM14" s="157"/>
      <c r="AN14" s="157">
        <v>1</v>
      </c>
      <c r="AO14" s="6" t="s">
        <v>612</v>
      </c>
      <c r="AP14" s="6" t="s">
        <v>613</v>
      </c>
      <c r="AQ14" s="6" t="s">
        <v>18</v>
      </c>
    </row>
    <row r="15" spans="1:46" s="7" customFormat="1" ht="42" customHeight="1">
      <c r="A15" s="89" t="s">
        <v>1443</v>
      </c>
      <c r="B15" s="83" t="s">
        <v>543</v>
      </c>
      <c r="C15" s="50"/>
      <c r="D15" s="50">
        <v>8</v>
      </c>
      <c r="E15" s="112">
        <f t="shared" si="0"/>
        <v>50</v>
      </c>
      <c r="F15" s="31">
        <v>6</v>
      </c>
      <c r="G15" s="31">
        <v>2</v>
      </c>
      <c r="H15" s="31">
        <v>5</v>
      </c>
      <c r="I15" s="31">
        <v>7</v>
      </c>
      <c r="J15" s="31">
        <v>7</v>
      </c>
      <c r="K15" s="31">
        <v>7</v>
      </c>
      <c r="L15" s="31">
        <v>7</v>
      </c>
      <c r="M15" s="31">
        <v>9</v>
      </c>
      <c r="N15" s="35"/>
      <c r="O15" s="35"/>
      <c r="P15" s="31"/>
      <c r="Q15" s="31"/>
      <c r="R15" s="31"/>
      <c r="S15" s="31"/>
      <c r="T15" s="31"/>
      <c r="U15" s="31"/>
      <c r="V15" s="31"/>
      <c r="W15" s="31"/>
      <c r="X15" s="35"/>
      <c r="Y15" s="35"/>
      <c r="Z15" s="35"/>
      <c r="AA15" s="35"/>
      <c r="AB15" s="35"/>
      <c r="AC15" s="35"/>
      <c r="AD15" s="35"/>
      <c r="AE15" s="35"/>
      <c r="AF15" s="35"/>
      <c r="AG15" s="88" t="s">
        <v>614</v>
      </c>
      <c r="AH15" s="179" t="s">
        <v>469</v>
      </c>
      <c r="AI15" s="179"/>
      <c r="AJ15" s="179"/>
      <c r="AK15" s="88" t="s">
        <v>618</v>
      </c>
      <c r="AL15" s="157">
        <f t="shared" si="1"/>
        <v>12.5</v>
      </c>
      <c r="AM15" s="157"/>
      <c r="AN15" s="157">
        <v>2.5</v>
      </c>
      <c r="AO15" s="6" t="s">
        <v>612</v>
      </c>
      <c r="AP15" s="6" t="s">
        <v>613</v>
      </c>
      <c r="AQ15" s="6"/>
    </row>
    <row r="16" spans="1:46" s="7" customFormat="1" ht="42" customHeight="1">
      <c r="A16" s="89" t="s">
        <v>1444</v>
      </c>
      <c r="B16" s="83" t="s">
        <v>543</v>
      </c>
      <c r="C16" s="50"/>
      <c r="D16" s="50">
        <v>4</v>
      </c>
      <c r="E16" s="112">
        <f t="shared" si="0"/>
        <v>14</v>
      </c>
      <c r="F16" s="31">
        <v>2</v>
      </c>
      <c r="G16" s="31">
        <v>4</v>
      </c>
      <c r="H16" s="31">
        <v>4</v>
      </c>
      <c r="I16" s="31">
        <v>4</v>
      </c>
      <c r="J16" s="35"/>
      <c r="K16" s="35"/>
      <c r="L16" s="35"/>
      <c r="M16" s="35"/>
      <c r="N16" s="35"/>
      <c r="O16" s="35"/>
      <c r="P16" s="31"/>
      <c r="Q16" s="31"/>
      <c r="R16" s="31"/>
      <c r="S16" s="31"/>
      <c r="T16" s="35"/>
      <c r="U16" s="35"/>
      <c r="V16" s="35"/>
      <c r="W16" s="35"/>
      <c r="X16" s="35"/>
      <c r="Y16" s="35"/>
      <c r="Z16" s="35"/>
      <c r="AA16" s="35"/>
      <c r="AB16" s="35"/>
      <c r="AC16" s="35"/>
      <c r="AD16" s="35"/>
      <c r="AE16" s="35"/>
      <c r="AF16" s="35"/>
      <c r="AG16" s="88" t="s">
        <v>614</v>
      </c>
      <c r="AH16" s="179" t="s">
        <v>615</v>
      </c>
      <c r="AI16" s="179"/>
      <c r="AJ16" s="179"/>
      <c r="AK16" s="88" t="s">
        <v>617</v>
      </c>
      <c r="AL16" s="157">
        <f t="shared" si="1"/>
        <v>5</v>
      </c>
      <c r="AM16" s="157"/>
      <c r="AN16" s="157">
        <v>1</v>
      </c>
      <c r="AO16" s="6" t="s">
        <v>612</v>
      </c>
      <c r="AP16" s="6" t="s">
        <v>613</v>
      </c>
      <c r="AQ16" s="6"/>
    </row>
    <row r="17" spans="1:46" s="7" customFormat="1" ht="42" customHeight="1">
      <c r="A17" s="89" t="s">
        <v>1445</v>
      </c>
      <c r="B17" s="83" t="s">
        <v>543</v>
      </c>
      <c r="C17" s="50"/>
      <c r="D17" s="50">
        <v>6</v>
      </c>
      <c r="E17" s="112">
        <f t="shared" si="0"/>
        <v>32</v>
      </c>
      <c r="F17" s="31">
        <v>2</v>
      </c>
      <c r="G17" s="31">
        <v>6</v>
      </c>
      <c r="H17" s="31">
        <v>4</v>
      </c>
      <c r="I17" s="31">
        <v>5</v>
      </c>
      <c r="J17" s="31">
        <v>6</v>
      </c>
      <c r="K17" s="31">
        <v>9</v>
      </c>
      <c r="L17" s="35"/>
      <c r="M17" s="35"/>
      <c r="N17" s="35"/>
      <c r="O17" s="35"/>
      <c r="P17" s="31"/>
      <c r="Q17" s="31"/>
      <c r="R17" s="31"/>
      <c r="S17" s="31"/>
      <c r="T17" s="31"/>
      <c r="U17" s="31"/>
      <c r="V17" s="35"/>
      <c r="W17" s="35"/>
      <c r="X17" s="35"/>
      <c r="Y17" s="35"/>
      <c r="Z17" s="35"/>
      <c r="AA17" s="35"/>
      <c r="AB17" s="35"/>
      <c r="AC17" s="35"/>
      <c r="AD17" s="35"/>
      <c r="AE17" s="35"/>
      <c r="AF17" s="35"/>
      <c r="AG17" s="88" t="s">
        <v>614</v>
      </c>
      <c r="AH17" s="179" t="s">
        <v>344</v>
      </c>
      <c r="AI17" s="179"/>
      <c r="AJ17" s="179"/>
      <c r="AK17" s="88" t="s">
        <v>616</v>
      </c>
      <c r="AL17" s="157">
        <f t="shared" si="1"/>
        <v>7.5</v>
      </c>
      <c r="AM17" s="157"/>
      <c r="AN17" s="157">
        <v>1.5</v>
      </c>
      <c r="AO17" s="6" t="s">
        <v>612</v>
      </c>
      <c r="AP17" s="6" t="s">
        <v>613</v>
      </c>
      <c r="AQ17" s="6"/>
    </row>
    <row r="18" spans="1:46" ht="42" customHeight="1">
      <c r="A18" s="89" t="s">
        <v>1446</v>
      </c>
      <c r="B18" s="84" t="s">
        <v>546</v>
      </c>
      <c r="C18" s="34">
        <v>10</v>
      </c>
      <c r="D18" s="34"/>
      <c r="E18" s="111">
        <f t="shared" si="0"/>
        <v>29</v>
      </c>
      <c r="F18" s="34">
        <v>1</v>
      </c>
      <c r="G18" s="34">
        <v>2</v>
      </c>
      <c r="H18" s="34">
        <v>2</v>
      </c>
      <c r="I18" s="34">
        <v>2</v>
      </c>
      <c r="J18" s="34">
        <v>2</v>
      </c>
      <c r="K18" s="34">
        <v>2</v>
      </c>
      <c r="L18" s="34">
        <v>3</v>
      </c>
      <c r="M18" s="34">
        <v>4</v>
      </c>
      <c r="N18" s="34">
        <v>5</v>
      </c>
      <c r="O18" s="34">
        <v>6</v>
      </c>
      <c r="P18" s="34"/>
      <c r="Q18" s="34"/>
      <c r="R18" s="34"/>
      <c r="S18" s="34"/>
      <c r="T18" s="34"/>
      <c r="U18" s="34"/>
      <c r="V18" s="34"/>
      <c r="W18" s="34"/>
      <c r="X18" s="34"/>
      <c r="Y18" s="34"/>
      <c r="Z18" s="34"/>
      <c r="AA18" s="34"/>
      <c r="AB18" s="34"/>
      <c r="AC18" s="34"/>
      <c r="AD18" s="34"/>
      <c r="AE18" s="34"/>
      <c r="AF18" s="34"/>
      <c r="AG18" s="87" t="s">
        <v>626</v>
      </c>
      <c r="AH18" s="179" t="s">
        <v>547</v>
      </c>
      <c r="AL18" s="156">
        <f t="shared" si="1"/>
        <v>4</v>
      </c>
      <c r="AN18" s="156">
        <v>0.8</v>
      </c>
      <c r="AO18" s="1" t="s">
        <v>624</v>
      </c>
      <c r="AP18" s="1" t="s">
        <v>625</v>
      </c>
      <c r="AQ18" s="1" t="s">
        <v>31</v>
      </c>
      <c r="AR18" s="9"/>
      <c r="AS18" s="9"/>
      <c r="AT18" s="9"/>
    </row>
    <row r="19" spans="1:46" s="7" customFormat="1" ht="42" customHeight="1">
      <c r="A19" s="89" t="s">
        <v>1447</v>
      </c>
      <c r="B19" s="83" t="s">
        <v>548</v>
      </c>
      <c r="C19" s="50"/>
      <c r="D19" s="50">
        <v>15</v>
      </c>
      <c r="E19" s="112">
        <f t="shared" si="0"/>
        <v>19</v>
      </c>
      <c r="F19" s="31">
        <v>1</v>
      </c>
      <c r="G19" s="31">
        <v>1</v>
      </c>
      <c r="H19" s="31">
        <v>1</v>
      </c>
      <c r="I19" s="31">
        <v>1</v>
      </c>
      <c r="J19" s="31">
        <v>1</v>
      </c>
      <c r="K19" s="31">
        <v>1</v>
      </c>
      <c r="L19" s="31">
        <v>1</v>
      </c>
      <c r="M19" s="31">
        <v>1</v>
      </c>
      <c r="N19" s="31">
        <v>1</v>
      </c>
      <c r="O19" s="31">
        <v>1</v>
      </c>
      <c r="P19" s="31">
        <v>1</v>
      </c>
      <c r="Q19" s="31">
        <v>1</v>
      </c>
      <c r="R19" s="31">
        <v>2</v>
      </c>
      <c r="S19" s="31">
        <v>2</v>
      </c>
      <c r="T19" s="31">
        <v>3</v>
      </c>
      <c r="U19" s="31"/>
      <c r="V19" s="31"/>
      <c r="W19" s="31"/>
      <c r="X19" s="31"/>
      <c r="Y19" s="31"/>
      <c r="Z19" s="31"/>
      <c r="AA19" s="31"/>
      <c r="AB19" s="31"/>
      <c r="AC19" s="31"/>
      <c r="AD19" s="31"/>
      <c r="AE19" s="31"/>
      <c r="AF19" s="31"/>
      <c r="AG19" s="88" t="s">
        <v>629</v>
      </c>
      <c r="AH19" s="179" t="s">
        <v>549</v>
      </c>
      <c r="AI19" s="179"/>
      <c r="AJ19" s="179"/>
      <c r="AK19" s="88"/>
      <c r="AL19" s="157">
        <f t="shared" si="1"/>
        <v>7.5</v>
      </c>
      <c r="AM19" s="157"/>
      <c r="AN19" s="157">
        <v>1.5</v>
      </c>
      <c r="AO19" s="6" t="s">
        <v>627</v>
      </c>
      <c r="AP19" s="6" t="s">
        <v>628</v>
      </c>
      <c r="AQ19" s="6" t="s">
        <v>31</v>
      </c>
    </row>
    <row r="20" spans="1:46" s="7" customFormat="1" ht="42" customHeight="1">
      <c r="A20" s="89" t="s">
        <v>1448</v>
      </c>
      <c r="B20" s="83" t="s">
        <v>548</v>
      </c>
      <c r="C20" s="31">
        <v>9</v>
      </c>
      <c r="D20" s="31"/>
      <c r="E20" s="110">
        <f t="shared" si="0"/>
        <v>10</v>
      </c>
      <c r="F20" s="31">
        <v>1</v>
      </c>
      <c r="G20" s="31">
        <v>1</v>
      </c>
      <c r="H20" s="31">
        <v>1</v>
      </c>
      <c r="I20" s="31">
        <v>1</v>
      </c>
      <c r="J20" s="31">
        <v>1</v>
      </c>
      <c r="K20" s="31">
        <v>1</v>
      </c>
      <c r="L20" s="31">
        <v>1</v>
      </c>
      <c r="M20" s="31">
        <v>1</v>
      </c>
      <c r="N20" s="31">
        <v>2</v>
      </c>
      <c r="O20" s="35"/>
      <c r="P20" s="31"/>
      <c r="Q20" s="31"/>
      <c r="R20" s="31"/>
      <c r="S20" s="31"/>
      <c r="T20" s="31"/>
      <c r="U20" s="31"/>
      <c r="V20" s="31"/>
      <c r="W20" s="31"/>
      <c r="X20" s="31"/>
      <c r="Y20" s="35"/>
      <c r="Z20" s="35"/>
      <c r="AA20" s="35"/>
      <c r="AB20" s="35"/>
      <c r="AC20" s="35"/>
      <c r="AD20" s="35"/>
      <c r="AE20" s="35"/>
      <c r="AF20" s="35"/>
      <c r="AG20" s="88" t="s">
        <v>629</v>
      </c>
      <c r="AH20" s="179" t="s">
        <v>379</v>
      </c>
      <c r="AI20" s="179"/>
      <c r="AJ20" s="179"/>
      <c r="AK20" s="88"/>
      <c r="AL20" s="157">
        <f t="shared" si="1"/>
        <v>3</v>
      </c>
      <c r="AM20" s="157"/>
      <c r="AN20" s="157">
        <v>0.6</v>
      </c>
      <c r="AO20" s="6" t="s">
        <v>627</v>
      </c>
      <c r="AP20" s="6" t="s">
        <v>628</v>
      </c>
      <c r="AQ20" s="6" t="s">
        <v>31</v>
      </c>
    </row>
    <row r="21" spans="1:46" s="7" customFormat="1" ht="42" customHeight="1">
      <c r="A21" s="89" t="s">
        <v>1449</v>
      </c>
      <c r="B21" s="83" t="s">
        <v>548</v>
      </c>
      <c r="C21" s="31">
        <v>8</v>
      </c>
      <c r="D21" s="31"/>
      <c r="E21" s="110">
        <f t="shared" si="0"/>
        <v>13</v>
      </c>
      <c r="F21" s="31">
        <v>1</v>
      </c>
      <c r="G21" s="31">
        <v>1</v>
      </c>
      <c r="H21" s="31">
        <v>1</v>
      </c>
      <c r="I21" s="31">
        <v>1</v>
      </c>
      <c r="J21" s="31">
        <v>1</v>
      </c>
      <c r="K21" s="31">
        <v>2</v>
      </c>
      <c r="L21" s="31">
        <v>2</v>
      </c>
      <c r="M21" s="31">
        <v>4</v>
      </c>
      <c r="N21" s="35"/>
      <c r="O21" s="35"/>
      <c r="P21" s="31"/>
      <c r="Q21" s="31"/>
      <c r="R21" s="31"/>
      <c r="S21" s="31"/>
      <c r="T21" s="31"/>
      <c r="U21" s="31"/>
      <c r="V21" s="31"/>
      <c r="W21" s="31"/>
      <c r="X21" s="35"/>
      <c r="Y21" s="35"/>
      <c r="Z21" s="35"/>
      <c r="AA21" s="35"/>
      <c r="AB21" s="35"/>
      <c r="AC21" s="35"/>
      <c r="AD21" s="35"/>
      <c r="AE21" s="35"/>
      <c r="AF21" s="35"/>
      <c r="AG21" s="88" t="s">
        <v>629</v>
      </c>
      <c r="AH21" s="179" t="s">
        <v>219</v>
      </c>
      <c r="AI21" s="179"/>
      <c r="AJ21" s="179"/>
      <c r="AK21" s="88"/>
      <c r="AL21" s="157">
        <f t="shared" si="1"/>
        <v>4</v>
      </c>
      <c r="AM21" s="157"/>
      <c r="AN21" s="157">
        <v>0.8</v>
      </c>
      <c r="AO21" s="6" t="s">
        <v>627</v>
      </c>
      <c r="AP21" s="6" t="s">
        <v>628</v>
      </c>
      <c r="AQ21" s="6" t="s">
        <v>31</v>
      </c>
    </row>
    <row r="22" spans="1:46" s="7" customFormat="1" ht="42" customHeight="1">
      <c r="A22" s="89" t="s">
        <v>1450</v>
      </c>
      <c r="B22" s="83" t="s">
        <v>548</v>
      </c>
      <c r="C22" s="31">
        <v>8</v>
      </c>
      <c r="D22" s="31"/>
      <c r="E22" s="110">
        <f t="shared" si="0"/>
        <v>26</v>
      </c>
      <c r="F22" s="31">
        <v>2</v>
      </c>
      <c r="G22" s="31">
        <v>2</v>
      </c>
      <c r="H22" s="31">
        <v>2</v>
      </c>
      <c r="I22" s="31">
        <v>3</v>
      </c>
      <c r="J22" s="31">
        <v>3</v>
      </c>
      <c r="K22" s="31">
        <v>4</v>
      </c>
      <c r="L22" s="31">
        <v>7</v>
      </c>
      <c r="M22" s="31">
        <v>3</v>
      </c>
      <c r="N22" s="35"/>
      <c r="O22" s="35"/>
      <c r="P22" s="31"/>
      <c r="Q22" s="31"/>
      <c r="R22" s="31"/>
      <c r="S22" s="31"/>
      <c r="T22" s="31"/>
      <c r="U22" s="31"/>
      <c r="V22" s="31"/>
      <c r="W22" s="31"/>
      <c r="X22" s="35"/>
      <c r="Y22" s="35"/>
      <c r="Z22" s="35"/>
      <c r="AA22" s="35"/>
      <c r="AB22" s="35"/>
      <c r="AC22" s="35"/>
      <c r="AD22" s="35"/>
      <c r="AE22" s="35"/>
      <c r="AF22" s="35"/>
      <c r="AG22" s="88" t="s">
        <v>629</v>
      </c>
      <c r="AH22" s="179" t="s">
        <v>550</v>
      </c>
      <c r="AI22" s="179"/>
      <c r="AJ22" s="179"/>
      <c r="AK22" s="88"/>
      <c r="AL22" s="157">
        <f t="shared" si="1"/>
        <v>10</v>
      </c>
      <c r="AM22" s="157"/>
      <c r="AN22" s="157">
        <v>2</v>
      </c>
      <c r="AO22" s="6" t="s">
        <v>627</v>
      </c>
      <c r="AP22" s="6" t="s">
        <v>628</v>
      </c>
      <c r="AQ22" s="6" t="s">
        <v>20</v>
      </c>
    </row>
    <row r="23" spans="1:46" s="7" customFormat="1" ht="42" customHeight="1">
      <c r="A23" s="89" t="s">
        <v>1451</v>
      </c>
      <c r="B23" s="83" t="s">
        <v>548</v>
      </c>
      <c r="C23" s="31">
        <v>11</v>
      </c>
      <c r="D23" s="31"/>
      <c r="E23" s="110">
        <f t="shared" si="0"/>
        <v>42</v>
      </c>
      <c r="F23" s="31">
        <v>2</v>
      </c>
      <c r="G23" s="31">
        <v>2</v>
      </c>
      <c r="H23" s="31">
        <v>3</v>
      </c>
      <c r="I23" s="31">
        <v>3</v>
      </c>
      <c r="J23" s="31">
        <v>3</v>
      </c>
      <c r="K23" s="31">
        <v>3</v>
      </c>
      <c r="L23" s="31">
        <v>3</v>
      </c>
      <c r="M23" s="31">
        <v>4</v>
      </c>
      <c r="N23" s="31">
        <v>6</v>
      </c>
      <c r="O23" s="31">
        <v>6</v>
      </c>
      <c r="P23" s="31">
        <v>7</v>
      </c>
      <c r="Q23" s="31"/>
      <c r="R23" s="31"/>
      <c r="S23" s="31"/>
      <c r="T23" s="31"/>
      <c r="U23" s="31"/>
      <c r="V23" s="31"/>
      <c r="W23" s="31"/>
      <c r="X23" s="31"/>
      <c r="Y23" s="31"/>
      <c r="Z23" s="31"/>
      <c r="AA23" s="31"/>
      <c r="AB23" s="31"/>
      <c r="AC23" s="31"/>
      <c r="AD23" s="31"/>
      <c r="AE23" s="31"/>
      <c r="AF23" s="31"/>
      <c r="AG23" s="88" t="s">
        <v>630</v>
      </c>
      <c r="AH23" s="179" t="s">
        <v>344</v>
      </c>
      <c r="AI23" s="179"/>
      <c r="AJ23" s="179"/>
      <c r="AK23" s="88"/>
      <c r="AL23" s="157">
        <f t="shared" si="1"/>
        <v>15</v>
      </c>
      <c r="AM23" s="157"/>
      <c r="AN23" s="157">
        <v>3</v>
      </c>
      <c r="AO23" s="6" t="s">
        <v>627</v>
      </c>
      <c r="AP23" s="6" t="s">
        <v>628</v>
      </c>
      <c r="AQ23" s="6" t="s">
        <v>31</v>
      </c>
    </row>
    <row r="24" spans="1:46" ht="42" customHeight="1">
      <c r="A24" s="89" t="s">
        <v>1452</v>
      </c>
      <c r="B24" s="84" t="s">
        <v>551</v>
      </c>
      <c r="D24" s="41">
        <v>6</v>
      </c>
      <c r="E24" s="113">
        <f t="shared" si="0"/>
        <v>44</v>
      </c>
      <c r="F24" s="34">
        <v>5</v>
      </c>
      <c r="G24" s="34">
        <v>10</v>
      </c>
      <c r="H24" s="34">
        <v>7</v>
      </c>
      <c r="I24" s="34">
        <v>10</v>
      </c>
      <c r="J24" s="34">
        <v>8</v>
      </c>
      <c r="K24" s="34">
        <v>4</v>
      </c>
      <c r="P24" s="34"/>
      <c r="Q24" s="34"/>
      <c r="R24" s="34"/>
      <c r="S24" s="34"/>
      <c r="T24" s="34"/>
      <c r="U24" s="34"/>
      <c r="AG24" s="87" t="s">
        <v>634</v>
      </c>
      <c r="AH24" s="179" t="s">
        <v>635</v>
      </c>
      <c r="AL24" s="156">
        <f t="shared" si="1"/>
        <v>3</v>
      </c>
      <c r="AN24" s="156">
        <v>0.6</v>
      </c>
      <c r="AO24" s="1" t="s">
        <v>631</v>
      </c>
      <c r="AP24" s="1" t="s">
        <v>632</v>
      </c>
      <c r="AQ24" s="1" t="s">
        <v>31</v>
      </c>
      <c r="AR24" s="9"/>
      <c r="AS24" s="9"/>
      <c r="AT24" s="9"/>
    </row>
    <row r="25" spans="1:46" ht="42" customHeight="1">
      <c r="A25" s="89" t="s">
        <v>1453</v>
      </c>
      <c r="B25" s="84" t="s">
        <v>551</v>
      </c>
      <c r="C25" s="34">
        <v>6</v>
      </c>
      <c r="D25" s="34"/>
      <c r="E25" s="111">
        <f t="shared" si="0"/>
        <v>28</v>
      </c>
      <c r="F25" s="34">
        <v>6</v>
      </c>
      <c r="G25" s="34">
        <v>7</v>
      </c>
      <c r="H25" s="34">
        <v>5</v>
      </c>
      <c r="I25" s="34">
        <v>5</v>
      </c>
      <c r="J25" s="34">
        <v>3</v>
      </c>
      <c r="K25" s="34">
        <v>2</v>
      </c>
      <c r="P25" s="34"/>
      <c r="Q25" s="34"/>
      <c r="R25" s="34"/>
      <c r="S25" s="34"/>
      <c r="T25" s="34"/>
      <c r="U25" s="34"/>
      <c r="AG25" s="87" t="s">
        <v>634</v>
      </c>
      <c r="AH25" s="179" t="s">
        <v>633</v>
      </c>
      <c r="AL25" s="156">
        <f t="shared" si="1"/>
        <v>3</v>
      </c>
      <c r="AN25" s="156">
        <v>0.6</v>
      </c>
      <c r="AO25" s="1" t="s">
        <v>631</v>
      </c>
      <c r="AP25" s="1" t="s">
        <v>632</v>
      </c>
      <c r="AQ25" s="1" t="s">
        <v>31</v>
      </c>
      <c r="AR25" s="9"/>
      <c r="AS25" s="9"/>
      <c r="AT25" s="9"/>
    </row>
    <row r="26" spans="1:46" ht="42" customHeight="1">
      <c r="A26" s="89" t="s">
        <v>1454</v>
      </c>
      <c r="B26" s="84" t="s">
        <v>551</v>
      </c>
      <c r="C26" s="34">
        <v>2</v>
      </c>
      <c r="D26" s="34"/>
      <c r="E26" s="111">
        <f t="shared" si="0"/>
        <v>5</v>
      </c>
      <c r="F26" s="34">
        <v>2</v>
      </c>
      <c r="G26" s="34">
        <v>3</v>
      </c>
      <c r="P26" s="34"/>
      <c r="Q26" s="34"/>
      <c r="AG26" s="87" t="s">
        <v>634</v>
      </c>
      <c r="AH26" s="179" t="s">
        <v>636</v>
      </c>
      <c r="AL26" s="156">
        <f t="shared" si="1"/>
        <v>0.5</v>
      </c>
      <c r="AN26" s="156">
        <v>0.1</v>
      </c>
      <c r="AO26" s="1" t="s">
        <v>631</v>
      </c>
      <c r="AP26" s="1" t="s">
        <v>632</v>
      </c>
      <c r="AQ26" s="1" t="s">
        <v>31</v>
      </c>
      <c r="AR26" s="9"/>
      <c r="AS26" s="9"/>
      <c r="AT26" s="9"/>
    </row>
    <row r="27" spans="1:46" s="7" customFormat="1" ht="42" customHeight="1">
      <c r="A27" s="89" t="s">
        <v>1455</v>
      </c>
      <c r="B27" s="80" t="s">
        <v>554</v>
      </c>
      <c r="C27" s="31">
        <v>10</v>
      </c>
      <c r="D27" s="31"/>
      <c r="E27" s="110">
        <f t="shared" si="0"/>
        <v>130</v>
      </c>
      <c r="F27" s="131">
        <v>8</v>
      </c>
      <c r="G27" s="127">
        <v>12</v>
      </c>
      <c r="H27" s="128">
        <v>19</v>
      </c>
      <c r="I27" s="129">
        <v>16</v>
      </c>
      <c r="J27" s="131">
        <v>21</v>
      </c>
      <c r="K27" s="129">
        <v>9</v>
      </c>
      <c r="L27" s="128">
        <v>8</v>
      </c>
      <c r="M27" s="130">
        <v>10</v>
      </c>
      <c r="N27" s="130">
        <v>16</v>
      </c>
      <c r="O27" s="127">
        <v>11</v>
      </c>
      <c r="P27" s="31"/>
      <c r="Q27" s="31"/>
      <c r="R27" s="31"/>
      <c r="S27" s="31"/>
      <c r="T27" s="31"/>
      <c r="U27" s="31"/>
      <c r="V27" s="31"/>
      <c r="W27" s="31"/>
      <c r="X27" s="31"/>
      <c r="Y27" s="31"/>
      <c r="Z27" s="31"/>
      <c r="AA27" s="31"/>
      <c r="AB27" s="31"/>
      <c r="AC27" s="31"/>
      <c r="AD27" s="31"/>
      <c r="AE27" s="31"/>
      <c r="AF27" s="31"/>
      <c r="AG27" s="88" t="s">
        <v>637</v>
      </c>
      <c r="AH27" s="179" t="s">
        <v>243</v>
      </c>
      <c r="AI27" s="179"/>
      <c r="AJ27" s="179"/>
      <c r="AK27" s="88" t="s">
        <v>642</v>
      </c>
      <c r="AL27" s="157">
        <f t="shared" si="1"/>
        <v>40</v>
      </c>
      <c r="AM27" s="157" t="s">
        <v>1895</v>
      </c>
      <c r="AN27" s="157">
        <f>1.5+1.5+2+1.5+1.5</f>
        <v>8</v>
      </c>
      <c r="AO27" s="48" t="s">
        <v>981</v>
      </c>
      <c r="AP27" s="48" t="s">
        <v>982</v>
      </c>
      <c r="AQ27" s="6" t="s">
        <v>159</v>
      </c>
    </row>
    <row r="28" spans="1:46" s="7" customFormat="1" ht="42" customHeight="1">
      <c r="A28" s="89" t="s">
        <v>1456</v>
      </c>
      <c r="B28" s="80" t="s">
        <v>554</v>
      </c>
      <c r="C28" s="50"/>
      <c r="D28" s="50">
        <v>5</v>
      </c>
      <c r="E28" s="112">
        <f t="shared" si="0"/>
        <v>81</v>
      </c>
      <c r="F28" s="31">
        <v>19</v>
      </c>
      <c r="G28" s="31">
        <v>10</v>
      </c>
      <c r="H28" s="31">
        <v>16</v>
      </c>
      <c r="I28" s="31">
        <v>17</v>
      </c>
      <c r="J28" s="31">
        <v>19</v>
      </c>
      <c r="K28" s="35"/>
      <c r="L28" s="35"/>
      <c r="M28" s="35"/>
      <c r="N28" s="35"/>
      <c r="O28" s="35"/>
      <c r="P28" s="31"/>
      <c r="Q28" s="31"/>
      <c r="R28" s="31"/>
      <c r="S28" s="31"/>
      <c r="T28" s="31"/>
      <c r="U28" s="35"/>
      <c r="V28" s="35"/>
      <c r="W28" s="35"/>
      <c r="X28" s="35"/>
      <c r="Y28" s="35"/>
      <c r="Z28" s="35"/>
      <c r="AA28" s="35"/>
      <c r="AB28" s="35"/>
      <c r="AC28" s="35"/>
      <c r="AD28" s="35"/>
      <c r="AE28" s="35"/>
      <c r="AF28" s="35"/>
      <c r="AG28" s="88" t="s">
        <v>637</v>
      </c>
      <c r="AH28" s="179" t="s">
        <v>638</v>
      </c>
      <c r="AI28" s="179"/>
      <c r="AJ28" s="179"/>
      <c r="AK28" s="88" t="s">
        <v>641</v>
      </c>
      <c r="AL28" s="157">
        <f t="shared" si="1"/>
        <v>12.5</v>
      </c>
      <c r="AM28" s="157"/>
      <c r="AN28" s="157">
        <v>2.5</v>
      </c>
      <c r="AO28" s="48" t="s">
        <v>981</v>
      </c>
      <c r="AP28" s="48" t="s">
        <v>982</v>
      </c>
      <c r="AQ28" s="6" t="s">
        <v>27</v>
      </c>
    </row>
    <row r="29" spans="1:46" s="7" customFormat="1" ht="42" customHeight="1">
      <c r="A29" s="89" t="s">
        <v>1457</v>
      </c>
      <c r="B29" s="80" t="s">
        <v>554</v>
      </c>
      <c r="C29" s="31">
        <v>10</v>
      </c>
      <c r="D29" s="31"/>
      <c r="E29" s="110">
        <f t="shared" si="0"/>
        <v>203</v>
      </c>
      <c r="F29" s="131">
        <v>18</v>
      </c>
      <c r="G29" s="127">
        <v>24</v>
      </c>
      <c r="H29" s="128">
        <v>15</v>
      </c>
      <c r="I29" s="127">
        <v>16</v>
      </c>
      <c r="J29" s="129">
        <v>13</v>
      </c>
      <c r="K29" s="128">
        <v>28</v>
      </c>
      <c r="L29" s="131">
        <v>21</v>
      </c>
      <c r="M29" s="130">
        <v>21</v>
      </c>
      <c r="N29" s="130">
        <v>17</v>
      </c>
      <c r="O29" s="129">
        <v>30</v>
      </c>
      <c r="P29" s="31"/>
      <c r="Q29" s="31"/>
      <c r="R29" s="31"/>
      <c r="S29" s="31"/>
      <c r="T29" s="31"/>
      <c r="U29" s="31"/>
      <c r="V29" s="31"/>
      <c r="W29" s="31"/>
      <c r="X29" s="31"/>
      <c r="Y29" s="31"/>
      <c r="Z29" s="31"/>
      <c r="AA29" s="31"/>
      <c r="AB29" s="31"/>
      <c r="AC29" s="31"/>
      <c r="AD29" s="31"/>
      <c r="AE29" s="31"/>
      <c r="AF29" s="31"/>
      <c r="AG29" s="88" t="s">
        <v>637</v>
      </c>
      <c r="AH29" s="179" t="s">
        <v>242</v>
      </c>
      <c r="AI29" s="179"/>
      <c r="AJ29" s="179"/>
      <c r="AK29" s="88" t="s">
        <v>641</v>
      </c>
      <c r="AL29" s="157">
        <f t="shared" si="1"/>
        <v>62.5</v>
      </c>
      <c r="AM29" s="157" t="s">
        <v>1896</v>
      </c>
      <c r="AN29" s="157">
        <f>2.5*5</f>
        <v>12.5</v>
      </c>
      <c r="AO29" s="48" t="s">
        <v>981</v>
      </c>
      <c r="AP29" s="48" t="s">
        <v>982</v>
      </c>
      <c r="AQ29" s="6" t="s">
        <v>159</v>
      </c>
    </row>
    <row r="30" spans="1:46" s="7" customFormat="1" ht="42" customHeight="1">
      <c r="A30" s="89" t="s">
        <v>1458</v>
      </c>
      <c r="B30" s="80" t="s">
        <v>554</v>
      </c>
      <c r="C30" s="31">
        <v>10</v>
      </c>
      <c r="D30" s="31"/>
      <c r="E30" s="110">
        <f t="shared" si="0"/>
        <v>181</v>
      </c>
      <c r="F30" s="131">
        <v>23</v>
      </c>
      <c r="G30" s="127">
        <v>16</v>
      </c>
      <c r="H30" s="127">
        <v>16</v>
      </c>
      <c r="I30" s="131">
        <v>11</v>
      </c>
      <c r="J30" s="128">
        <v>41</v>
      </c>
      <c r="K30" s="129">
        <v>10</v>
      </c>
      <c r="L30" s="130">
        <v>16</v>
      </c>
      <c r="M30" s="130">
        <v>8</v>
      </c>
      <c r="N30" s="129">
        <v>26</v>
      </c>
      <c r="O30" s="130">
        <v>14</v>
      </c>
      <c r="P30" s="31"/>
      <c r="Q30" s="31"/>
      <c r="R30" s="31"/>
      <c r="S30" s="31"/>
      <c r="T30" s="31"/>
      <c r="U30" s="31"/>
      <c r="V30" s="31"/>
      <c r="W30" s="31"/>
      <c r="X30" s="31"/>
      <c r="Y30" s="31"/>
      <c r="Z30" s="31"/>
      <c r="AA30" s="31"/>
      <c r="AB30" s="31"/>
      <c r="AC30" s="31"/>
      <c r="AD30" s="31"/>
      <c r="AE30" s="31"/>
      <c r="AF30" s="31"/>
      <c r="AG30" s="88" t="s">
        <v>637</v>
      </c>
      <c r="AH30" s="179" t="s">
        <v>639</v>
      </c>
      <c r="AI30" s="179"/>
      <c r="AJ30" s="179"/>
      <c r="AK30" s="88" t="s">
        <v>640</v>
      </c>
      <c r="AL30" s="157">
        <f t="shared" si="1"/>
        <v>50.5</v>
      </c>
      <c r="AM30" s="157" t="s">
        <v>1897</v>
      </c>
      <c r="AN30" s="157">
        <f>2+2.5+1.1+2+2.5</f>
        <v>10.1</v>
      </c>
      <c r="AO30" s="48" t="s">
        <v>981</v>
      </c>
      <c r="AP30" s="48" t="s">
        <v>982</v>
      </c>
      <c r="AQ30" s="6" t="s">
        <v>159</v>
      </c>
    </row>
    <row r="31" spans="1:46" ht="42" customHeight="1">
      <c r="A31" s="89" t="s">
        <v>1459</v>
      </c>
      <c r="B31" s="84" t="s">
        <v>557</v>
      </c>
      <c r="C31" s="34">
        <v>3</v>
      </c>
      <c r="D31" s="34"/>
      <c r="E31" s="111">
        <f t="shared" si="0"/>
        <v>30</v>
      </c>
      <c r="F31" s="34">
        <v>17</v>
      </c>
      <c r="G31" s="34">
        <v>5</v>
      </c>
      <c r="H31" s="34">
        <v>8</v>
      </c>
      <c r="P31" s="34"/>
      <c r="Q31" s="34"/>
      <c r="R31" s="34"/>
      <c r="AG31" s="87" t="s">
        <v>645</v>
      </c>
      <c r="AH31" s="179" t="s">
        <v>555</v>
      </c>
      <c r="AK31" s="87" t="s">
        <v>646</v>
      </c>
      <c r="AL31" s="156">
        <f t="shared" si="1"/>
        <v>7.5</v>
      </c>
      <c r="AN31" s="156">
        <v>1.5</v>
      </c>
      <c r="AO31" s="1" t="s">
        <v>643</v>
      </c>
      <c r="AP31" s="1" t="s">
        <v>644</v>
      </c>
      <c r="AQ31" s="1" t="s">
        <v>159</v>
      </c>
      <c r="AR31" s="9"/>
      <c r="AS31" s="9"/>
      <c r="AT31" s="9"/>
    </row>
    <row r="32" spans="1:46" ht="42" customHeight="1">
      <c r="A32" s="89" t="s">
        <v>1460</v>
      </c>
      <c r="B32" s="84" t="s">
        <v>557</v>
      </c>
      <c r="C32" s="34">
        <v>4</v>
      </c>
      <c r="D32" s="34"/>
      <c r="E32" s="111">
        <f t="shared" si="0"/>
        <v>26</v>
      </c>
      <c r="F32" s="34">
        <v>11</v>
      </c>
      <c r="G32" s="34">
        <v>7</v>
      </c>
      <c r="H32" s="34">
        <v>4</v>
      </c>
      <c r="I32" s="34">
        <v>4</v>
      </c>
      <c r="P32" s="34"/>
      <c r="Q32" s="34"/>
      <c r="R32" s="34"/>
      <c r="S32" s="34"/>
      <c r="AG32" s="87" t="s">
        <v>645</v>
      </c>
      <c r="AH32" s="179" t="s">
        <v>252</v>
      </c>
      <c r="AL32" s="156">
        <f t="shared" si="1"/>
        <v>7.5</v>
      </c>
      <c r="AN32" s="156">
        <v>1.5</v>
      </c>
      <c r="AO32" s="1" t="s">
        <v>643</v>
      </c>
      <c r="AP32" s="1" t="s">
        <v>644</v>
      </c>
      <c r="AQ32" s="1" t="s">
        <v>159</v>
      </c>
      <c r="AR32" s="9"/>
      <c r="AS32" s="9"/>
      <c r="AT32" s="9"/>
    </row>
    <row r="33" spans="1:46" ht="42" customHeight="1">
      <c r="A33" s="89" t="s">
        <v>1461</v>
      </c>
      <c r="B33" s="84" t="s">
        <v>557</v>
      </c>
      <c r="C33" s="34">
        <v>7</v>
      </c>
      <c r="D33" s="34"/>
      <c r="E33" s="111">
        <f t="shared" si="0"/>
        <v>68</v>
      </c>
      <c r="F33" s="34">
        <v>14</v>
      </c>
      <c r="G33" s="34">
        <v>5</v>
      </c>
      <c r="H33" s="34">
        <v>5</v>
      </c>
      <c r="I33" s="34">
        <v>10</v>
      </c>
      <c r="J33" s="34">
        <v>9</v>
      </c>
      <c r="K33" s="34">
        <v>15</v>
      </c>
      <c r="L33" s="34">
        <v>10</v>
      </c>
      <c r="P33" s="34"/>
      <c r="Q33" s="34"/>
      <c r="R33" s="34"/>
      <c r="S33" s="34"/>
      <c r="T33" s="34"/>
      <c r="U33" s="34"/>
      <c r="V33" s="34"/>
      <c r="AG33" s="87" t="s">
        <v>645</v>
      </c>
      <c r="AH33" s="179" t="s">
        <v>182</v>
      </c>
      <c r="AL33" s="156">
        <f t="shared" si="1"/>
        <v>15</v>
      </c>
      <c r="AN33" s="156">
        <v>3</v>
      </c>
      <c r="AO33" s="1" t="s">
        <v>643</v>
      </c>
      <c r="AP33" s="1" t="s">
        <v>644</v>
      </c>
      <c r="AQ33" s="1" t="s">
        <v>19</v>
      </c>
      <c r="AR33" s="9"/>
      <c r="AS33" s="9"/>
      <c r="AT33" s="9"/>
    </row>
    <row r="34" spans="1:46" ht="42" customHeight="1">
      <c r="A34" s="89" t="s">
        <v>1462</v>
      </c>
      <c r="B34" s="84" t="s">
        <v>557</v>
      </c>
      <c r="D34" s="41">
        <v>4</v>
      </c>
      <c r="E34" s="113">
        <f t="shared" si="0"/>
        <v>14</v>
      </c>
      <c r="F34" s="34">
        <v>4</v>
      </c>
      <c r="G34" s="34">
        <v>3</v>
      </c>
      <c r="H34" s="34">
        <v>1</v>
      </c>
      <c r="I34" s="34">
        <v>6</v>
      </c>
      <c r="P34" s="34"/>
      <c r="Q34" s="34"/>
      <c r="R34" s="34"/>
      <c r="S34" s="34"/>
      <c r="AG34" s="87" t="s">
        <v>645</v>
      </c>
      <c r="AH34" s="179" t="s">
        <v>558</v>
      </c>
      <c r="AL34" s="156">
        <f t="shared" si="1"/>
        <v>7.5</v>
      </c>
      <c r="AN34" s="156">
        <v>1.5</v>
      </c>
      <c r="AO34" s="1" t="s">
        <v>643</v>
      </c>
      <c r="AP34" s="1" t="s">
        <v>644</v>
      </c>
      <c r="AQ34" s="1" t="s">
        <v>20</v>
      </c>
      <c r="AR34" s="9"/>
      <c r="AS34" s="9"/>
      <c r="AT34" s="9"/>
    </row>
    <row r="35" spans="1:46" s="7" customFormat="1" ht="42" customHeight="1">
      <c r="A35" s="89" t="s">
        <v>1463</v>
      </c>
      <c r="B35" s="83" t="s">
        <v>560</v>
      </c>
      <c r="C35" s="31">
        <v>1</v>
      </c>
      <c r="D35" s="31"/>
      <c r="E35" s="110">
        <f t="shared" si="0"/>
        <v>22</v>
      </c>
      <c r="F35" s="31">
        <v>22</v>
      </c>
      <c r="G35" s="35"/>
      <c r="H35" s="35"/>
      <c r="I35" s="35"/>
      <c r="J35" s="35"/>
      <c r="K35" s="35"/>
      <c r="L35" s="35"/>
      <c r="M35" s="35"/>
      <c r="N35" s="35"/>
      <c r="O35" s="35"/>
      <c r="P35" s="31"/>
      <c r="Q35" s="35"/>
      <c r="R35" s="35"/>
      <c r="S35" s="35"/>
      <c r="T35" s="35"/>
      <c r="U35" s="35"/>
      <c r="V35" s="35"/>
      <c r="W35" s="35"/>
      <c r="X35" s="35"/>
      <c r="Y35" s="35"/>
      <c r="Z35" s="35"/>
      <c r="AA35" s="35"/>
      <c r="AB35" s="35"/>
      <c r="AC35" s="35"/>
      <c r="AD35" s="35"/>
      <c r="AE35" s="35"/>
      <c r="AF35" s="35"/>
      <c r="AG35" s="88" t="s">
        <v>652</v>
      </c>
      <c r="AH35" s="179" t="s">
        <v>334</v>
      </c>
      <c r="AI35" s="179"/>
      <c r="AJ35" s="179"/>
      <c r="AK35" s="88"/>
      <c r="AL35" s="157">
        <f t="shared" si="1"/>
        <v>7.5</v>
      </c>
      <c r="AM35" s="157"/>
      <c r="AN35" s="157">
        <v>1.5</v>
      </c>
      <c r="AO35" s="6" t="s">
        <v>647</v>
      </c>
      <c r="AP35" s="6" t="s">
        <v>648</v>
      </c>
      <c r="AQ35" s="6" t="s">
        <v>19</v>
      </c>
    </row>
    <row r="36" spans="1:46" s="7" customFormat="1" ht="42" customHeight="1">
      <c r="A36" s="89" t="s">
        <v>1464</v>
      </c>
      <c r="B36" s="83" t="s">
        <v>560</v>
      </c>
      <c r="C36" s="31">
        <v>1</v>
      </c>
      <c r="D36" s="31"/>
      <c r="E36" s="110">
        <f t="shared" si="0"/>
        <v>6</v>
      </c>
      <c r="F36" s="31">
        <v>6</v>
      </c>
      <c r="G36" s="35"/>
      <c r="H36" s="35"/>
      <c r="I36" s="35"/>
      <c r="J36" s="35"/>
      <c r="K36" s="35"/>
      <c r="L36" s="35"/>
      <c r="M36" s="35"/>
      <c r="N36" s="35"/>
      <c r="O36" s="35"/>
      <c r="P36" s="31"/>
      <c r="Q36" s="35"/>
      <c r="R36" s="35"/>
      <c r="S36" s="35"/>
      <c r="T36" s="35"/>
      <c r="U36" s="35"/>
      <c r="V36" s="35"/>
      <c r="W36" s="35"/>
      <c r="X36" s="35"/>
      <c r="Y36" s="35"/>
      <c r="Z36" s="35"/>
      <c r="AA36" s="35"/>
      <c r="AB36" s="35"/>
      <c r="AC36" s="35"/>
      <c r="AD36" s="35"/>
      <c r="AE36" s="35"/>
      <c r="AF36" s="35"/>
      <c r="AG36" s="88" t="s">
        <v>649</v>
      </c>
      <c r="AH36" s="179" t="s">
        <v>252</v>
      </c>
      <c r="AI36" s="179"/>
      <c r="AJ36" s="179"/>
      <c r="AK36" s="88"/>
      <c r="AL36" s="157">
        <f t="shared" si="1"/>
        <v>2</v>
      </c>
      <c r="AM36" s="157"/>
      <c r="AN36" s="157">
        <v>0.4</v>
      </c>
      <c r="AO36" s="6" t="s">
        <v>647</v>
      </c>
      <c r="AP36" s="6" t="s">
        <v>648</v>
      </c>
      <c r="AQ36" s="6" t="s">
        <v>18</v>
      </c>
    </row>
    <row r="37" spans="1:46" s="7" customFormat="1" ht="42" customHeight="1">
      <c r="A37" s="89" t="s">
        <v>1465</v>
      </c>
      <c r="B37" s="83" t="s">
        <v>560</v>
      </c>
      <c r="C37" s="50"/>
      <c r="D37" s="50">
        <v>4</v>
      </c>
      <c r="E37" s="112">
        <f t="shared" si="0"/>
        <v>44</v>
      </c>
      <c r="F37" s="31">
        <v>25</v>
      </c>
      <c r="G37" s="31">
        <v>15</v>
      </c>
      <c r="H37" s="31">
        <v>3</v>
      </c>
      <c r="I37" s="31">
        <v>1</v>
      </c>
      <c r="J37" s="35"/>
      <c r="K37" s="35"/>
      <c r="L37" s="35"/>
      <c r="M37" s="35"/>
      <c r="N37" s="35"/>
      <c r="O37" s="35"/>
      <c r="P37" s="31"/>
      <c r="Q37" s="31"/>
      <c r="R37" s="31"/>
      <c r="S37" s="31"/>
      <c r="T37" s="35"/>
      <c r="U37" s="35"/>
      <c r="V37" s="35"/>
      <c r="W37" s="35"/>
      <c r="X37" s="35"/>
      <c r="Y37" s="35"/>
      <c r="Z37" s="35"/>
      <c r="AA37" s="35"/>
      <c r="AB37" s="35"/>
      <c r="AC37" s="35"/>
      <c r="AD37" s="35"/>
      <c r="AE37" s="35"/>
      <c r="AF37" s="35"/>
      <c r="AG37" s="88" t="s">
        <v>650</v>
      </c>
      <c r="AH37" s="179" t="s">
        <v>651</v>
      </c>
      <c r="AI37" s="179"/>
      <c r="AJ37" s="179"/>
      <c r="AK37" s="88"/>
      <c r="AL37" s="157">
        <f t="shared" si="1"/>
        <v>10</v>
      </c>
      <c r="AM37" s="157"/>
      <c r="AN37" s="157">
        <v>2</v>
      </c>
      <c r="AO37" s="6" t="s">
        <v>647</v>
      </c>
      <c r="AP37" s="6" t="s">
        <v>648</v>
      </c>
      <c r="AQ37" s="6" t="s">
        <v>20</v>
      </c>
    </row>
    <row r="38" spans="1:46" ht="42" customHeight="1">
      <c r="A38" s="89" t="s">
        <v>1466</v>
      </c>
      <c r="B38" s="84" t="s">
        <v>561</v>
      </c>
      <c r="C38" s="34">
        <v>10</v>
      </c>
      <c r="D38" s="34"/>
      <c r="E38" s="111">
        <f t="shared" si="0"/>
        <v>80</v>
      </c>
      <c r="F38" s="34">
        <v>7</v>
      </c>
      <c r="G38" s="34">
        <v>15</v>
      </c>
      <c r="H38" s="34">
        <v>8</v>
      </c>
      <c r="I38" s="34">
        <v>3</v>
      </c>
      <c r="J38" s="34">
        <v>8</v>
      </c>
      <c r="K38" s="34">
        <v>7</v>
      </c>
      <c r="L38" s="34">
        <v>9</v>
      </c>
      <c r="M38" s="34">
        <v>7</v>
      </c>
      <c r="N38" s="34">
        <v>8</v>
      </c>
      <c r="O38" s="34">
        <v>8</v>
      </c>
      <c r="P38" s="34"/>
      <c r="Q38" s="34"/>
      <c r="R38" s="34"/>
      <c r="S38" s="34"/>
      <c r="T38" s="34"/>
      <c r="U38" s="34"/>
      <c r="V38" s="34"/>
      <c r="W38" s="34"/>
      <c r="X38" s="34"/>
      <c r="Y38" s="34"/>
      <c r="Z38" s="34"/>
      <c r="AA38" s="34"/>
      <c r="AB38" s="34"/>
      <c r="AC38" s="34"/>
      <c r="AD38" s="34"/>
      <c r="AE38" s="34"/>
      <c r="AF38" s="34"/>
      <c r="AG38" s="87" t="s">
        <v>659</v>
      </c>
      <c r="AH38" s="179" t="s">
        <v>658</v>
      </c>
      <c r="AK38" s="87" t="s">
        <v>660</v>
      </c>
      <c r="AL38" s="156">
        <f t="shared" si="1"/>
        <v>20</v>
      </c>
      <c r="AN38" s="156">
        <v>4</v>
      </c>
      <c r="AO38" s="1" t="s">
        <v>653</v>
      </c>
      <c r="AP38" s="1" t="s">
        <v>654</v>
      </c>
      <c r="AQ38" s="1" t="s">
        <v>19</v>
      </c>
      <c r="AR38" s="9"/>
      <c r="AS38" s="9"/>
      <c r="AT38" s="9"/>
    </row>
    <row r="39" spans="1:46" ht="42" customHeight="1">
      <c r="A39" s="89" t="s">
        <v>1467</v>
      </c>
      <c r="B39" s="84" t="s">
        <v>561</v>
      </c>
      <c r="C39" s="34">
        <v>10</v>
      </c>
      <c r="D39" s="34"/>
      <c r="E39" s="111">
        <f t="shared" si="0"/>
        <v>54</v>
      </c>
      <c r="F39" s="34">
        <v>7</v>
      </c>
      <c r="G39" s="34">
        <v>1</v>
      </c>
      <c r="H39" s="34">
        <v>4</v>
      </c>
      <c r="I39" s="34">
        <v>3</v>
      </c>
      <c r="J39" s="34">
        <v>7</v>
      </c>
      <c r="K39" s="34">
        <v>6</v>
      </c>
      <c r="L39" s="34">
        <v>4</v>
      </c>
      <c r="M39" s="34">
        <v>4</v>
      </c>
      <c r="N39" s="34">
        <v>5</v>
      </c>
      <c r="O39" s="34">
        <v>13</v>
      </c>
      <c r="P39" s="34"/>
      <c r="Q39" s="34"/>
      <c r="R39" s="34"/>
      <c r="S39" s="34"/>
      <c r="T39" s="34"/>
      <c r="U39" s="34"/>
      <c r="V39" s="34"/>
      <c r="W39" s="34"/>
      <c r="X39" s="34"/>
      <c r="Y39" s="34"/>
      <c r="Z39" s="34"/>
      <c r="AA39" s="34"/>
      <c r="AB39" s="34"/>
      <c r="AC39" s="34"/>
      <c r="AD39" s="34"/>
      <c r="AE39" s="34"/>
      <c r="AF39" s="34"/>
      <c r="AG39" s="87" t="s">
        <v>656</v>
      </c>
      <c r="AH39" s="179" t="s">
        <v>187</v>
      </c>
      <c r="AK39" s="87" t="s">
        <v>662</v>
      </c>
      <c r="AL39" s="156">
        <f t="shared" si="1"/>
        <v>15</v>
      </c>
      <c r="AN39" s="156">
        <v>3</v>
      </c>
      <c r="AO39" s="1" t="s">
        <v>653</v>
      </c>
      <c r="AP39" s="1" t="s">
        <v>654</v>
      </c>
      <c r="AQ39" s="1" t="s">
        <v>27</v>
      </c>
      <c r="AR39" s="9"/>
      <c r="AS39" s="9"/>
      <c r="AT39" s="9"/>
    </row>
    <row r="40" spans="1:46" ht="42" customHeight="1">
      <c r="A40" s="89" t="s">
        <v>1468</v>
      </c>
      <c r="B40" s="84" t="s">
        <v>561</v>
      </c>
      <c r="D40" s="41">
        <v>12</v>
      </c>
      <c r="E40" s="113">
        <f t="shared" si="0"/>
        <v>26</v>
      </c>
      <c r="F40" s="34">
        <v>1</v>
      </c>
      <c r="G40" s="34">
        <v>2</v>
      </c>
      <c r="H40" s="34">
        <v>2</v>
      </c>
      <c r="I40" s="34">
        <v>2</v>
      </c>
      <c r="J40" s="34">
        <v>2</v>
      </c>
      <c r="K40" s="34">
        <v>2</v>
      </c>
      <c r="L40" s="34">
        <v>2</v>
      </c>
      <c r="M40" s="34">
        <v>2</v>
      </c>
      <c r="N40" s="34">
        <v>2</v>
      </c>
      <c r="O40" s="34">
        <v>3</v>
      </c>
      <c r="P40" s="34">
        <v>3</v>
      </c>
      <c r="Q40" s="34">
        <v>3</v>
      </c>
      <c r="R40" s="34"/>
      <c r="S40" s="34"/>
      <c r="T40" s="34"/>
      <c r="U40" s="34"/>
      <c r="V40" s="34"/>
      <c r="W40" s="34"/>
      <c r="X40" s="34"/>
      <c r="Y40" s="34"/>
      <c r="Z40" s="34"/>
      <c r="AA40" s="34"/>
      <c r="AB40" s="34"/>
      <c r="AC40" s="34"/>
      <c r="AD40" s="34"/>
      <c r="AE40" s="34"/>
      <c r="AF40" s="34"/>
      <c r="AG40" s="87" t="s">
        <v>655</v>
      </c>
      <c r="AH40" s="179" t="s">
        <v>562</v>
      </c>
      <c r="AK40" s="87" t="s">
        <v>663</v>
      </c>
      <c r="AL40" s="156">
        <f t="shared" si="1"/>
        <v>10</v>
      </c>
      <c r="AN40" s="156">
        <v>2</v>
      </c>
      <c r="AO40" s="1" t="s">
        <v>653</v>
      </c>
      <c r="AP40" s="1" t="s">
        <v>654</v>
      </c>
      <c r="AQ40" s="1" t="s">
        <v>20</v>
      </c>
      <c r="AR40" s="9"/>
      <c r="AS40" s="9"/>
      <c r="AT40" s="9"/>
    </row>
    <row r="41" spans="1:46" ht="42" customHeight="1">
      <c r="A41" s="89" t="s">
        <v>1469</v>
      </c>
      <c r="B41" s="84" t="s">
        <v>561</v>
      </c>
      <c r="C41" s="34">
        <v>5</v>
      </c>
      <c r="D41" s="34"/>
      <c r="E41" s="111">
        <f t="shared" si="0"/>
        <v>34</v>
      </c>
      <c r="F41" s="34">
        <v>9</v>
      </c>
      <c r="G41" s="34">
        <v>3</v>
      </c>
      <c r="H41" s="34">
        <v>7</v>
      </c>
      <c r="I41" s="34">
        <v>7</v>
      </c>
      <c r="J41" s="34">
        <v>8</v>
      </c>
      <c r="P41" s="34"/>
      <c r="Q41" s="34"/>
      <c r="R41" s="34"/>
      <c r="S41" s="34"/>
      <c r="T41" s="34"/>
      <c r="AG41" s="87" t="s">
        <v>657</v>
      </c>
      <c r="AH41" s="179" t="s">
        <v>563</v>
      </c>
      <c r="AK41" s="87" t="s">
        <v>661</v>
      </c>
      <c r="AL41" s="156">
        <f t="shared" si="1"/>
        <v>10</v>
      </c>
      <c r="AN41" s="156">
        <v>2</v>
      </c>
      <c r="AO41" s="1" t="s">
        <v>653</v>
      </c>
      <c r="AP41" s="1" t="s">
        <v>654</v>
      </c>
      <c r="AQ41" s="1" t="s">
        <v>19</v>
      </c>
      <c r="AR41" s="9"/>
      <c r="AS41" s="9"/>
      <c r="AT41" s="9"/>
    </row>
    <row r="42" spans="1:46" s="7" customFormat="1" ht="42" customHeight="1">
      <c r="A42" s="89" t="s">
        <v>1470</v>
      </c>
      <c r="B42" s="83" t="s">
        <v>564</v>
      </c>
      <c r="C42" s="31">
        <v>6</v>
      </c>
      <c r="D42" s="31"/>
      <c r="E42" s="110">
        <f t="shared" si="0"/>
        <v>21</v>
      </c>
      <c r="F42" s="31">
        <v>1</v>
      </c>
      <c r="G42" s="31">
        <v>13</v>
      </c>
      <c r="H42" s="31">
        <v>3</v>
      </c>
      <c r="I42" s="31">
        <v>2</v>
      </c>
      <c r="J42" s="31">
        <v>2</v>
      </c>
      <c r="K42" s="35"/>
      <c r="L42" s="35"/>
      <c r="M42" s="35"/>
      <c r="N42" s="35"/>
      <c r="O42" s="35"/>
      <c r="P42" s="31"/>
      <c r="Q42" s="31"/>
      <c r="R42" s="31"/>
      <c r="S42" s="31"/>
      <c r="T42" s="31"/>
      <c r="U42" s="35"/>
      <c r="V42" s="35"/>
      <c r="W42" s="35"/>
      <c r="X42" s="35"/>
      <c r="Y42" s="35"/>
      <c r="Z42" s="35"/>
      <c r="AA42" s="35"/>
      <c r="AB42" s="35"/>
      <c r="AC42" s="35"/>
      <c r="AD42" s="35"/>
      <c r="AE42" s="35"/>
      <c r="AF42" s="35"/>
      <c r="AG42" s="88" t="s">
        <v>668</v>
      </c>
      <c r="AH42" s="179" t="s">
        <v>666</v>
      </c>
      <c r="AI42" s="179"/>
      <c r="AJ42" s="179"/>
      <c r="AK42" s="88"/>
      <c r="AL42" s="157">
        <f t="shared" si="1"/>
        <v>4</v>
      </c>
      <c r="AM42" s="157"/>
      <c r="AN42" s="157">
        <v>0.8</v>
      </c>
      <c r="AO42" s="6" t="s">
        <v>664</v>
      </c>
      <c r="AP42" s="6" t="s">
        <v>665</v>
      </c>
      <c r="AQ42" s="6" t="s">
        <v>18</v>
      </c>
    </row>
    <row r="43" spans="1:46" s="7" customFormat="1" ht="42" customHeight="1">
      <c r="A43" s="89" t="s">
        <v>1471</v>
      </c>
      <c r="B43" s="83" t="s">
        <v>564</v>
      </c>
      <c r="C43" s="50"/>
      <c r="D43" s="50">
        <v>3</v>
      </c>
      <c r="E43" s="112">
        <f t="shared" si="0"/>
        <v>21</v>
      </c>
      <c r="F43" s="31">
        <v>2</v>
      </c>
      <c r="G43" s="31">
        <v>8</v>
      </c>
      <c r="H43" s="31">
        <v>11</v>
      </c>
      <c r="I43" s="35"/>
      <c r="J43" s="35"/>
      <c r="K43" s="35"/>
      <c r="L43" s="35"/>
      <c r="M43" s="35"/>
      <c r="N43" s="35"/>
      <c r="O43" s="35"/>
      <c r="P43" s="31"/>
      <c r="Q43" s="31"/>
      <c r="R43" s="31"/>
      <c r="S43" s="35"/>
      <c r="T43" s="35"/>
      <c r="U43" s="35"/>
      <c r="V43" s="35"/>
      <c r="W43" s="35"/>
      <c r="X43" s="35"/>
      <c r="Y43" s="35"/>
      <c r="Z43" s="35"/>
      <c r="AA43" s="35"/>
      <c r="AB43" s="35"/>
      <c r="AC43" s="35"/>
      <c r="AD43" s="35"/>
      <c r="AE43" s="35"/>
      <c r="AF43" s="35"/>
      <c r="AG43" s="88" t="s">
        <v>668</v>
      </c>
      <c r="AH43" s="179" t="s">
        <v>667</v>
      </c>
      <c r="AI43" s="179"/>
      <c r="AJ43" s="179"/>
      <c r="AK43" s="88"/>
      <c r="AL43" s="157">
        <f t="shared" si="1"/>
        <v>0.5</v>
      </c>
      <c r="AM43" s="157"/>
      <c r="AN43" s="157">
        <v>0.1</v>
      </c>
      <c r="AO43" s="6" t="s">
        <v>664</v>
      </c>
      <c r="AP43" s="6" t="s">
        <v>665</v>
      </c>
      <c r="AQ43" s="6" t="s">
        <v>19</v>
      </c>
    </row>
    <row r="44" spans="1:46" ht="42" customHeight="1">
      <c r="A44" s="89" t="s">
        <v>1472</v>
      </c>
      <c r="B44" s="84" t="s">
        <v>565</v>
      </c>
      <c r="C44" s="34">
        <v>15</v>
      </c>
      <c r="D44" s="34"/>
      <c r="E44" s="111">
        <f t="shared" si="0"/>
        <v>41</v>
      </c>
      <c r="F44" s="34">
        <v>1</v>
      </c>
      <c r="G44" s="34">
        <v>1</v>
      </c>
      <c r="H44" s="34">
        <v>1</v>
      </c>
      <c r="I44" s="34">
        <v>1</v>
      </c>
      <c r="J44" s="34">
        <v>1</v>
      </c>
      <c r="K44" s="34">
        <v>1</v>
      </c>
      <c r="L44" s="34">
        <v>1</v>
      </c>
      <c r="M44" s="34">
        <v>1</v>
      </c>
      <c r="N44" s="34">
        <v>1</v>
      </c>
      <c r="O44" s="34">
        <v>1</v>
      </c>
      <c r="P44" s="34">
        <v>2</v>
      </c>
      <c r="Q44" s="34">
        <v>4</v>
      </c>
      <c r="R44" s="34">
        <v>5</v>
      </c>
      <c r="S44" s="34">
        <v>8</v>
      </c>
      <c r="T44" s="34">
        <v>12</v>
      </c>
      <c r="U44" s="34"/>
      <c r="V44" s="34"/>
      <c r="W44" s="34"/>
      <c r="X44" s="34"/>
      <c r="Y44" s="34"/>
      <c r="Z44" s="34"/>
      <c r="AA44" s="34"/>
      <c r="AB44" s="34"/>
      <c r="AC44" s="34"/>
      <c r="AD44" s="34"/>
      <c r="AE44" s="34"/>
      <c r="AF44" s="34"/>
      <c r="AG44" s="87" t="s">
        <v>672</v>
      </c>
      <c r="AH44" s="179" t="s">
        <v>673</v>
      </c>
      <c r="AL44" s="156">
        <f t="shared" si="1"/>
        <v>7.5</v>
      </c>
      <c r="AN44" s="156">
        <v>1.5</v>
      </c>
      <c r="AO44" s="1" t="s">
        <v>669</v>
      </c>
      <c r="AP44" s="1" t="s">
        <v>670</v>
      </c>
      <c r="AQ44" s="1" t="s">
        <v>21</v>
      </c>
      <c r="AR44" s="9"/>
      <c r="AS44" s="9"/>
      <c r="AT44" s="9"/>
    </row>
    <row r="45" spans="1:46" ht="42" customHeight="1">
      <c r="A45" s="89" t="s">
        <v>1473</v>
      </c>
      <c r="B45" s="84" t="s">
        <v>565</v>
      </c>
      <c r="D45" s="41">
        <v>2</v>
      </c>
      <c r="E45" s="113">
        <f t="shared" si="0"/>
        <v>11</v>
      </c>
      <c r="F45" s="34">
        <v>5</v>
      </c>
      <c r="G45" s="34">
        <v>6</v>
      </c>
      <c r="P45" s="34"/>
      <c r="Q45" s="34"/>
      <c r="AG45" s="87" t="s">
        <v>672</v>
      </c>
      <c r="AH45" s="179" t="s">
        <v>671</v>
      </c>
      <c r="AL45" s="156">
        <f t="shared" si="1"/>
        <v>0.5</v>
      </c>
      <c r="AN45" s="156">
        <v>0.1</v>
      </c>
      <c r="AO45" s="1" t="s">
        <v>669</v>
      </c>
      <c r="AP45" s="1" t="s">
        <v>670</v>
      </c>
      <c r="AQ45" s="1" t="s">
        <v>21</v>
      </c>
      <c r="AR45" s="9"/>
      <c r="AS45" s="9"/>
      <c r="AT45" s="9"/>
    </row>
    <row r="46" spans="1:46" s="7" customFormat="1" ht="42" customHeight="1">
      <c r="A46" s="89" t="s">
        <v>1474</v>
      </c>
      <c r="B46" s="83" t="s">
        <v>567</v>
      </c>
      <c r="C46" s="31">
        <v>7</v>
      </c>
      <c r="D46" s="31"/>
      <c r="E46" s="110">
        <f t="shared" si="0"/>
        <v>30</v>
      </c>
      <c r="F46" s="31">
        <v>4</v>
      </c>
      <c r="G46" s="31">
        <v>6</v>
      </c>
      <c r="H46" s="31">
        <v>4</v>
      </c>
      <c r="I46" s="31">
        <v>4</v>
      </c>
      <c r="J46" s="31">
        <v>3</v>
      </c>
      <c r="K46" s="31">
        <v>3</v>
      </c>
      <c r="L46" s="31">
        <v>6</v>
      </c>
      <c r="M46" s="35"/>
      <c r="N46" s="35"/>
      <c r="O46" s="35"/>
      <c r="P46" s="31"/>
      <c r="Q46" s="31"/>
      <c r="R46" s="31"/>
      <c r="S46" s="31"/>
      <c r="T46" s="31"/>
      <c r="U46" s="31"/>
      <c r="V46" s="31"/>
      <c r="W46" s="35"/>
      <c r="X46" s="35"/>
      <c r="Y46" s="35"/>
      <c r="Z46" s="35"/>
      <c r="AA46" s="35"/>
      <c r="AB46" s="35"/>
      <c r="AC46" s="35"/>
      <c r="AD46" s="35"/>
      <c r="AE46" s="35"/>
      <c r="AF46" s="35"/>
      <c r="AG46" s="88" t="s">
        <v>675</v>
      </c>
      <c r="AH46" s="179" t="s">
        <v>435</v>
      </c>
      <c r="AI46" s="179"/>
      <c r="AJ46" s="179"/>
      <c r="AK46" s="88"/>
      <c r="AL46" s="157">
        <f t="shared" si="1"/>
        <v>40</v>
      </c>
      <c r="AM46" s="157"/>
      <c r="AN46" s="157">
        <v>8</v>
      </c>
      <c r="AO46" s="6" t="s">
        <v>879</v>
      </c>
      <c r="AP46" s="6" t="s">
        <v>674</v>
      </c>
      <c r="AQ46" s="6" t="s">
        <v>90</v>
      </c>
    </row>
    <row r="47" spans="1:46" s="7" customFormat="1" ht="42" customHeight="1">
      <c r="A47" s="89" t="s">
        <v>1475</v>
      </c>
      <c r="B47" s="83" t="s">
        <v>567</v>
      </c>
      <c r="C47" s="50"/>
      <c r="D47" s="50">
        <v>6</v>
      </c>
      <c r="E47" s="112">
        <f t="shared" si="0"/>
        <v>8</v>
      </c>
      <c r="F47" s="31">
        <v>1</v>
      </c>
      <c r="G47" s="31">
        <v>1</v>
      </c>
      <c r="H47" s="31">
        <v>1</v>
      </c>
      <c r="I47" s="31">
        <v>1</v>
      </c>
      <c r="J47" s="31">
        <v>2</v>
      </c>
      <c r="K47" s="31">
        <v>2</v>
      </c>
      <c r="L47" s="35"/>
      <c r="M47" s="35"/>
      <c r="N47" s="35"/>
      <c r="O47" s="35"/>
      <c r="P47" s="31"/>
      <c r="Q47" s="31"/>
      <c r="R47" s="31"/>
      <c r="S47" s="31"/>
      <c r="T47" s="31"/>
      <c r="U47" s="31"/>
      <c r="V47" s="35"/>
      <c r="W47" s="35"/>
      <c r="X47" s="35"/>
      <c r="Y47" s="35"/>
      <c r="Z47" s="35"/>
      <c r="AA47" s="35"/>
      <c r="AB47" s="35"/>
      <c r="AC47" s="35"/>
      <c r="AD47" s="35"/>
      <c r="AE47" s="35"/>
      <c r="AF47" s="35"/>
      <c r="AG47" s="88" t="s">
        <v>675</v>
      </c>
      <c r="AH47" s="179" t="s">
        <v>435</v>
      </c>
      <c r="AI47" s="179"/>
      <c r="AJ47" s="179"/>
      <c r="AK47" s="88"/>
      <c r="AL47" s="157">
        <f t="shared" si="1"/>
        <v>1.5</v>
      </c>
      <c r="AM47" s="157"/>
      <c r="AN47" s="157">
        <v>0.3</v>
      </c>
      <c r="AO47" s="6" t="s">
        <v>879</v>
      </c>
      <c r="AP47" s="6" t="s">
        <v>674</v>
      </c>
      <c r="AQ47" s="6" t="s">
        <v>31</v>
      </c>
    </row>
    <row r="48" spans="1:46" ht="42" customHeight="1">
      <c r="A48" s="89" t="s">
        <v>1476</v>
      </c>
      <c r="B48" s="84" t="s">
        <v>569</v>
      </c>
      <c r="D48" s="41">
        <v>3</v>
      </c>
      <c r="E48" s="113">
        <f t="shared" si="0"/>
        <v>6</v>
      </c>
      <c r="F48" s="34">
        <v>2</v>
      </c>
      <c r="G48" s="34">
        <v>2</v>
      </c>
      <c r="H48" s="34">
        <v>2</v>
      </c>
      <c r="P48" s="34"/>
      <c r="Q48" s="34"/>
      <c r="R48" s="34"/>
      <c r="AG48" s="87" t="s">
        <v>678</v>
      </c>
      <c r="AH48" s="179" t="s">
        <v>334</v>
      </c>
      <c r="AL48" s="156">
        <f t="shared" si="1"/>
        <v>1</v>
      </c>
      <c r="AN48" s="156">
        <v>0.2</v>
      </c>
      <c r="AO48" s="1" t="s">
        <v>676</v>
      </c>
      <c r="AP48" s="1" t="s">
        <v>677</v>
      </c>
      <c r="AQ48" s="1" t="s">
        <v>31</v>
      </c>
      <c r="AR48" s="9"/>
      <c r="AS48" s="9"/>
      <c r="AT48" s="9"/>
    </row>
    <row r="49" spans="1:46" ht="42" customHeight="1">
      <c r="A49" s="89" t="s">
        <v>1477</v>
      </c>
      <c r="B49" s="84" t="s">
        <v>569</v>
      </c>
      <c r="C49" s="34">
        <v>4</v>
      </c>
      <c r="D49" s="34"/>
      <c r="E49" s="111">
        <f t="shared" si="0"/>
        <v>9</v>
      </c>
      <c r="F49" s="34">
        <v>2</v>
      </c>
      <c r="G49" s="34">
        <v>2</v>
      </c>
      <c r="H49" s="34">
        <v>2</v>
      </c>
      <c r="I49" s="34">
        <v>3</v>
      </c>
      <c r="P49" s="34"/>
      <c r="Q49" s="34"/>
      <c r="R49" s="34"/>
      <c r="S49" s="34"/>
      <c r="AG49" s="87" t="s">
        <v>678</v>
      </c>
      <c r="AH49" s="179" t="s">
        <v>345</v>
      </c>
      <c r="AL49" s="156">
        <f t="shared" si="1"/>
        <v>1.5</v>
      </c>
      <c r="AN49" s="156">
        <v>0.3</v>
      </c>
      <c r="AO49" s="1" t="s">
        <v>676</v>
      </c>
      <c r="AP49" s="1" t="s">
        <v>677</v>
      </c>
      <c r="AQ49" s="1" t="s">
        <v>31</v>
      </c>
      <c r="AR49" s="9"/>
      <c r="AS49" s="9"/>
      <c r="AT49" s="9"/>
    </row>
    <row r="50" spans="1:46" ht="42" customHeight="1">
      <c r="A50" s="89" t="s">
        <v>1478</v>
      </c>
      <c r="B50" s="84" t="s">
        <v>569</v>
      </c>
      <c r="C50" s="34">
        <v>4</v>
      </c>
      <c r="D50" s="34"/>
      <c r="E50" s="111">
        <f t="shared" si="0"/>
        <v>8</v>
      </c>
      <c r="F50" s="34">
        <v>2</v>
      </c>
      <c r="G50" s="34">
        <v>2</v>
      </c>
      <c r="H50" s="34">
        <v>2</v>
      </c>
      <c r="I50" s="34">
        <v>2</v>
      </c>
      <c r="P50" s="34"/>
      <c r="Q50" s="34"/>
      <c r="R50" s="34"/>
      <c r="S50" s="34"/>
      <c r="AG50" s="87" t="s">
        <v>678</v>
      </c>
      <c r="AH50" s="179" t="s">
        <v>385</v>
      </c>
      <c r="AL50" s="156">
        <f t="shared" si="1"/>
        <v>1.5</v>
      </c>
      <c r="AN50" s="156">
        <v>0.3</v>
      </c>
      <c r="AO50" s="1" t="s">
        <v>676</v>
      </c>
      <c r="AP50" s="1" t="s">
        <v>677</v>
      </c>
      <c r="AQ50" s="1" t="s">
        <v>31</v>
      </c>
      <c r="AR50" s="9"/>
      <c r="AS50" s="9"/>
      <c r="AT50" s="9"/>
    </row>
    <row r="51" spans="1:46" ht="42" customHeight="1">
      <c r="A51" s="89" t="s">
        <v>1479</v>
      </c>
      <c r="B51" s="84" t="s">
        <v>569</v>
      </c>
      <c r="C51" s="34">
        <v>3</v>
      </c>
      <c r="D51" s="34"/>
      <c r="E51" s="111">
        <f t="shared" si="0"/>
        <v>13</v>
      </c>
      <c r="F51" s="34">
        <v>3</v>
      </c>
      <c r="G51" s="34">
        <v>5</v>
      </c>
      <c r="H51" s="34">
        <v>5</v>
      </c>
      <c r="P51" s="34"/>
      <c r="Q51" s="34"/>
      <c r="R51" s="34"/>
      <c r="AG51" s="87" t="s">
        <v>678</v>
      </c>
      <c r="AH51" s="179" t="s">
        <v>353</v>
      </c>
      <c r="AL51" s="156">
        <f t="shared" si="1"/>
        <v>2</v>
      </c>
      <c r="AN51" s="156">
        <v>0.4</v>
      </c>
      <c r="AO51" s="1" t="s">
        <v>676</v>
      </c>
      <c r="AP51" s="1" t="s">
        <v>677</v>
      </c>
      <c r="AQ51" s="1" t="s">
        <v>18</v>
      </c>
      <c r="AR51" s="9"/>
      <c r="AS51" s="9"/>
      <c r="AT51" s="9"/>
    </row>
    <row r="52" spans="1:46" ht="42" customHeight="1">
      <c r="A52" s="89" t="s">
        <v>1480</v>
      </c>
      <c r="B52" s="84" t="s">
        <v>569</v>
      </c>
      <c r="C52" s="34">
        <v>5</v>
      </c>
      <c r="D52" s="34"/>
      <c r="E52" s="111">
        <f t="shared" si="0"/>
        <v>17</v>
      </c>
      <c r="F52" s="34">
        <v>1</v>
      </c>
      <c r="G52" s="34">
        <v>3</v>
      </c>
      <c r="H52" s="34">
        <v>4</v>
      </c>
      <c r="I52" s="34">
        <v>4</v>
      </c>
      <c r="J52" s="34">
        <v>5</v>
      </c>
      <c r="P52" s="34"/>
      <c r="Q52" s="34"/>
      <c r="R52" s="34"/>
      <c r="S52" s="34"/>
      <c r="T52" s="34"/>
      <c r="AG52" s="87" t="s">
        <v>678</v>
      </c>
      <c r="AH52" s="179" t="s">
        <v>570</v>
      </c>
      <c r="AL52" s="156">
        <f t="shared" si="1"/>
        <v>4</v>
      </c>
      <c r="AN52" s="156">
        <v>0.8</v>
      </c>
      <c r="AO52" s="1" t="s">
        <v>676</v>
      </c>
      <c r="AP52" s="1" t="s">
        <v>677</v>
      </c>
      <c r="AQ52" s="1" t="s">
        <v>31</v>
      </c>
      <c r="AR52" s="9"/>
      <c r="AS52" s="9"/>
      <c r="AT52" s="9"/>
    </row>
    <row r="53" spans="1:46" s="7" customFormat="1" ht="42" customHeight="1">
      <c r="A53" s="89" t="s">
        <v>1481</v>
      </c>
      <c r="B53" s="80" t="s">
        <v>571</v>
      </c>
      <c r="C53" s="31">
        <v>10</v>
      </c>
      <c r="D53" s="31"/>
      <c r="E53" s="110">
        <f t="shared" si="0"/>
        <v>60</v>
      </c>
      <c r="F53" s="31">
        <v>6</v>
      </c>
      <c r="G53" s="31">
        <v>4</v>
      </c>
      <c r="H53" s="31">
        <v>7</v>
      </c>
      <c r="I53" s="31">
        <v>6</v>
      </c>
      <c r="J53" s="31">
        <v>7</v>
      </c>
      <c r="K53" s="31">
        <v>5</v>
      </c>
      <c r="L53" s="31">
        <v>6</v>
      </c>
      <c r="M53" s="31">
        <v>6</v>
      </c>
      <c r="N53" s="31">
        <v>7</v>
      </c>
      <c r="O53" s="31">
        <v>6</v>
      </c>
      <c r="P53" s="31"/>
      <c r="Q53" s="31"/>
      <c r="R53" s="31"/>
      <c r="S53" s="31"/>
      <c r="T53" s="31"/>
      <c r="U53" s="31"/>
      <c r="V53" s="31"/>
      <c r="W53" s="31"/>
      <c r="X53" s="31"/>
      <c r="Y53" s="31"/>
      <c r="Z53" s="31"/>
      <c r="AA53" s="31"/>
      <c r="AB53" s="31"/>
      <c r="AC53" s="31"/>
      <c r="AD53" s="31"/>
      <c r="AE53" s="31"/>
      <c r="AF53" s="31"/>
      <c r="AG53" s="88" t="s">
        <v>679</v>
      </c>
      <c r="AH53" s="179" t="s">
        <v>43</v>
      </c>
      <c r="AI53" s="179"/>
      <c r="AJ53" s="179"/>
      <c r="AK53" s="88" t="s">
        <v>680</v>
      </c>
      <c r="AL53" s="157">
        <f t="shared" si="1"/>
        <v>12.5</v>
      </c>
      <c r="AM53" s="157"/>
      <c r="AN53" s="157">
        <v>2.5</v>
      </c>
      <c r="AO53" s="48" t="s">
        <v>978</v>
      </c>
      <c r="AP53" s="48" t="s">
        <v>979</v>
      </c>
      <c r="AQ53" s="6" t="s">
        <v>18</v>
      </c>
    </row>
    <row r="54" spans="1:46" s="7" customFormat="1" ht="42" customHeight="1">
      <c r="A54" s="89" t="s">
        <v>1482</v>
      </c>
      <c r="B54" s="80" t="s">
        <v>571</v>
      </c>
      <c r="C54" s="31">
        <v>10</v>
      </c>
      <c r="D54" s="31"/>
      <c r="E54" s="110">
        <f t="shared" si="0"/>
        <v>54</v>
      </c>
      <c r="F54" s="31">
        <v>8</v>
      </c>
      <c r="G54" s="31">
        <v>4</v>
      </c>
      <c r="H54" s="31">
        <v>5</v>
      </c>
      <c r="I54" s="31">
        <v>7</v>
      </c>
      <c r="J54" s="31">
        <v>5</v>
      </c>
      <c r="K54" s="31">
        <v>4</v>
      </c>
      <c r="L54" s="31">
        <v>8</v>
      </c>
      <c r="M54" s="31">
        <v>4</v>
      </c>
      <c r="N54" s="31">
        <v>4</v>
      </c>
      <c r="O54" s="31">
        <v>5</v>
      </c>
      <c r="P54" s="31"/>
      <c r="Q54" s="31"/>
      <c r="R54" s="31"/>
      <c r="S54" s="31"/>
      <c r="T54" s="31"/>
      <c r="U54" s="31"/>
      <c r="V54" s="31"/>
      <c r="W54" s="31"/>
      <c r="X54" s="31"/>
      <c r="Y54" s="31"/>
      <c r="Z54" s="31"/>
      <c r="AA54" s="31"/>
      <c r="AB54" s="31"/>
      <c r="AC54" s="31"/>
      <c r="AD54" s="31"/>
      <c r="AE54" s="31"/>
      <c r="AF54" s="31"/>
      <c r="AG54" s="88" t="s">
        <v>679</v>
      </c>
      <c r="AH54" s="179" t="s">
        <v>572</v>
      </c>
      <c r="AI54" s="179"/>
      <c r="AJ54" s="179"/>
      <c r="AK54" s="88" t="s">
        <v>681</v>
      </c>
      <c r="AL54" s="157">
        <f t="shared" si="1"/>
        <v>10</v>
      </c>
      <c r="AM54" s="157"/>
      <c r="AN54" s="157">
        <v>2</v>
      </c>
      <c r="AO54" s="48" t="s">
        <v>980</v>
      </c>
      <c r="AP54" s="48" t="s">
        <v>979</v>
      </c>
      <c r="AQ54" s="6" t="s">
        <v>18</v>
      </c>
    </row>
    <row r="55" spans="1:46" s="7" customFormat="1" ht="42" customHeight="1">
      <c r="A55" s="89" t="s">
        <v>1483</v>
      </c>
      <c r="B55" s="80" t="s">
        <v>571</v>
      </c>
      <c r="C55" s="31">
        <v>10</v>
      </c>
      <c r="D55" s="31"/>
      <c r="E55" s="110">
        <f t="shared" si="0"/>
        <v>59</v>
      </c>
      <c r="F55" s="31">
        <v>6</v>
      </c>
      <c r="G55" s="31">
        <v>5</v>
      </c>
      <c r="H55" s="31">
        <v>4</v>
      </c>
      <c r="I55" s="31">
        <v>6</v>
      </c>
      <c r="J55" s="31">
        <v>5</v>
      </c>
      <c r="K55" s="31">
        <v>9</v>
      </c>
      <c r="L55" s="31">
        <v>7</v>
      </c>
      <c r="M55" s="31">
        <v>5</v>
      </c>
      <c r="N55" s="31">
        <v>6</v>
      </c>
      <c r="O55" s="31">
        <v>6</v>
      </c>
      <c r="P55" s="31"/>
      <c r="Q55" s="31"/>
      <c r="R55" s="31"/>
      <c r="S55" s="31"/>
      <c r="T55" s="31"/>
      <c r="U55" s="31"/>
      <c r="V55" s="31"/>
      <c r="W55" s="31"/>
      <c r="X55" s="31"/>
      <c r="Y55" s="31"/>
      <c r="Z55" s="31"/>
      <c r="AA55" s="31"/>
      <c r="AB55" s="31"/>
      <c r="AC55" s="31"/>
      <c r="AD55" s="31"/>
      <c r="AE55" s="31"/>
      <c r="AF55" s="31"/>
      <c r="AG55" s="88" t="s">
        <v>679</v>
      </c>
      <c r="AH55" s="179" t="s">
        <v>573</v>
      </c>
      <c r="AI55" s="179"/>
      <c r="AJ55" s="179"/>
      <c r="AK55" s="88" t="s">
        <v>682</v>
      </c>
      <c r="AL55" s="157">
        <f t="shared" si="1"/>
        <v>10</v>
      </c>
      <c r="AM55" s="157"/>
      <c r="AN55" s="157">
        <v>2</v>
      </c>
      <c r="AO55" s="48" t="s">
        <v>980</v>
      </c>
      <c r="AP55" s="48" t="s">
        <v>979</v>
      </c>
      <c r="AQ55" s="6" t="s">
        <v>18</v>
      </c>
    </row>
    <row r="56" spans="1:46" s="7" customFormat="1" ht="42" customHeight="1">
      <c r="A56" s="89" t="s">
        <v>1484</v>
      </c>
      <c r="B56" s="80" t="s">
        <v>571</v>
      </c>
      <c r="C56" s="31">
        <v>10</v>
      </c>
      <c r="D56" s="31"/>
      <c r="E56" s="110">
        <f t="shared" si="0"/>
        <v>60</v>
      </c>
      <c r="F56" s="31">
        <v>4</v>
      </c>
      <c r="G56" s="31">
        <v>6</v>
      </c>
      <c r="H56" s="31">
        <v>5</v>
      </c>
      <c r="I56" s="31">
        <v>5</v>
      </c>
      <c r="J56" s="31">
        <v>9</v>
      </c>
      <c r="K56" s="31">
        <v>6</v>
      </c>
      <c r="L56" s="31">
        <v>7</v>
      </c>
      <c r="M56" s="31">
        <v>5</v>
      </c>
      <c r="N56" s="31">
        <v>8</v>
      </c>
      <c r="O56" s="31">
        <v>5</v>
      </c>
      <c r="P56" s="31"/>
      <c r="Q56" s="31"/>
      <c r="R56" s="31"/>
      <c r="S56" s="31"/>
      <c r="T56" s="31"/>
      <c r="U56" s="31"/>
      <c r="V56" s="31"/>
      <c r="W56" s="31"/>
      <c r="X56" s="31"/>
      <c r="Y56" s="31"/>
      <c r="Z56" s="31"/>
      <c r="AA56" s="31"/>
      <c r="AB56" s="31"/>
      <c r="AC56" s="31"/>
      <c r="AD56" s="31"/>
      <c r="AE56" s="31"/>
      <c r="AF56" s="31"/>
      <c r="AG56" s="88" t="s">
        <v>679</v>
      </c>
      <c r="AH56" s="179" t="s">
        <v>575</v>
      </c>
      <c r="AI56" s="179"/>
      <c r="AJ56" s="179"/>
      <c r="AK56" s="88" t="s">
        <v>683</v>
      </c>
      <c r="AL56" s="157">
        <f t="shared" si="1"/>
        <v>10</v>
      </c>
      <c r="AM56" s="157"/>
      <c r="AN56" s="157">
        <v>2</v>
      </c>
      <c r="AO56" s="48" t="s">
        <v>980</v>
      </c>
      <c r="AP56" s="48" t="s">
        <v>979</v>
      </c>
      <c r="AQ56" s="6" t="s">
        <v>18</v>
      </c>
    </row>
    <row r="57" spans="1:46" s="7" customFormat="1" ht="42" customHeight="1">
      <c r="A57" s="89" t="s">
        <v>1485</v>
      </c>
      <c r="B57" s="80" t="s">
        <v>571</v>
      </c>
      <c r="C57" s="50"/>
      <c r="D57" s="50">
        <v>20</v>
      </c>
      <c r="E57" s="112">
        <f t="shared" si="0"/>
        <v>98</v>
      </c>
      <c r="F57" s="31">
        <v>2</v>
      </c>
      <c r="G57" s="31">
        <v>3</v>
      </c>
      <c r="H57" s="31">
        <v>3</v>
      </c>
      <c r="I57" s="31">
        <v>4</v>
      </c>
      <c r="J57" s="31">
        <v>5</v>
      </c>
      <c r="K57" s="31">
        <v>5</v>
      </c>
      <c r="L57" s="31">
        <v>5</v>
      </c>
      <c r="M57" s="31">
        <v>5</v>
      </c>
      <c r="N57" s="31">
        <v>5</v>
      </c>
      <c r="O57" s="31">
        <v>5</v>
      </c>
      <c r="P57" s="31">
        <v>5</v>
      </c>
      <c r="Q57" s="31">
        <v>5</v>
      </c>
      <c r="R57" s="31">
        <v>5</v>
      </c>
      <c r="S57" s="31">
        <v>5</v>
      </c>
      <c r="T57" s="31">
        <v>5</v>
      </c>
      <c r="U57" s="31">
        <v>5</v>
      </c>
      <c r="V57" s="31">
        <v>6</v>
      </c>
      <c r="W57" s="31">
        <v>6</v>
      </c>
      <c r="X57" s="31">
        <v>7</v>
      </c>
      <c r="Y57" s="31">
        <v>7</v>
      </c>
      <c r="Z57" s="31"/>
      <c r="AA57" s="31"/>
      <c r="AB57" s="31"/>
      <c r="AC57" s="31"/>
      <c r="AD57" s="31"/>
      <c r="AE57" s="31"/>
      <c r="AF57" s="31"/>
      <c r="AG57" s="88" t="s">
        <v>679</v>
      </c>
      <c r="AH57" s="179" t="s">
        <v>684</v>
      </c>
      <c r="AI57" s="179"/>
      <c r="AJ57" s="179"/>
      <c r="AK57" s="88" t="s">
        <v>685</v>
      </c>
      <c r="AL57" s="157">
        <f t="shared" si="1"/>
        <v>17.5</v>
      </c>
      <c r="AM57" s="157"/>
      <c r="AN57" s="157">
        <v>3.5</v>
      </c>
      <c r="AO57" s="48" t="s">
        <v>980</v>
      </c>
      <c r="AP57" s="48" t="s">
        <v>979</v>
      </c>
      <c r="AQ57" s="6" t="s">
        <v>18</v>
      </c>
    </row>
    <row r="58" spans="1:46" ht="42" customHeight="1">
      <c r="A58" s="89" t="s">
        <v>1486</v>
      </c>
      <c r="B58" s="84" t="s">
        <v>576</v>
      </c>
      <c r="D58" s="41">
        <v>19</v>
      </c>
      <c r="E58" s="113">
        <f t="shared" si="0"/>
        <v>182</v>
      </c>
      <c r="F58" s="131">
        <v>3</v>
      </c>
      <c r="G58" s="127">
        <v>5</v>
      </c>
      <c r="H58" s="128">
        <v>6</v>
      </c>
      <c r="I58" s="128">
        <v>6</v>
      </c>
      <c r="J58" s="128">
        <v>6</v>
      </c>
      <c r="K58" s="129">
        <v>13</v>
      </c>
      <c r="L58" s="129">
        <v>13</v>
      </c>
      <c r="M58" s="131">
        <v>8</v>
      </c>
      <c r="N58" s="131">
        <v>8</v>
      </c>
      <c r="O58" s="131">
        <v>8</v>
      </c>
      <c r="P58" s="128">
        <v>8</v>
      </c>
      <c r="Q58" s="128">
        <v>11</v>
      </c>
      <c r="R58" s="130">
        <v>11</v>
      </c>
      <c r="S58" s="129">
        <v>10</v>
      </c>
      <c r="T58" s="131">
        <v>10</v>
      </c>
      <c r="U58" s="130">
        <v>10</v>
      </c>
      <c r="V58" s="130">
        <v>15</v>
      </c>
      <c r="W58" s="127">
        <v>15</v>
      </c>
      <c r="X58" s="127">
        <v>16</v>
      </c>
      <c r="Y58" s="34"/>
      <c r="Z58" s="34"/>
      <c r="AA58" s="34"/>
      <c r="AB58" s="34"/>
      <c r="AC58" s="34"/>
      <c r="AD58" s="34"/>
      <c r="AE58" s="34"/>
      <c r="AF58" s="34"/>
      <c r="AG58" s="87" t="s">
        <v>688</v>
      </c>
      <c r="AH58" s="179" t="s">
        <v>577</v>
      </c>
      <c r="AK58" s="87" t="s">
        <v>695</v>
      </c>
      <c r="AL58" s="156">
        <f t="shared" si="1"/>
        <v>50</v>
      </c>
      <c r="AM58" s="156" t="s">
        <v>1898</v>
      </c>
      <c r="AN58" s="156">
        <f>2.5+1.5+2+2+2</f>
        <v>10</v>
      </c>
      <c r="AO58" s="1" t="s">
        <v>686</v>
      </c>
      <c r="AP58" s="1" t="s">
        <v>687</v>
      </c>
      <c r="AQ58" s="1" t="s">
        <v>18</v>
      </c>
      <c r="AR58" s="9"/>
      <c r="AS58" s="9"/>
      <c r="AT58" s="9"/>
    </row>
    <row r="59" spans="1:46" ht="42" customHeight="1">
      <c r="A59" s="89" t="s">
        <v>1487</v>
      </c>
      <c r="B59" s="84" t="s">
        <v>576</v>
      </c>
      <c r="C59" s="34">
        <v>10</v>
      </c>
      <c r="D59" s="34"/>
      <c r="E59" s="111">
        <f t="shared" si="0"/>
        <v>199</v>
      </c>
      <c r="F59" s="34">
        <v>19</v>
      </c>
      <c r="G59" s="127">
        <v>10</v>
      </c>
      <c r="H59" s="128">
        <v>26</v>
      </c>
      <c r="I59" s="129">
        <v>8</v>
      </c>
      <c r="J59" s="129">
        <v>16</v>
      </c>
      <c r="K59" s="129">
        <v>16</v>
      </c>
      <c r="L59" s="128">
        <v>16</v>
      </c>
      <c r="M59" s="127">
        <v>27</v>
      </c>
      <c r="N59" s="34">
        <v>22</v>
      </c>
      <c r="O59" s="130">
        <v>39</v>
      </c>
      <c r="P59" s="34"/>
      <c r="Q59" s="34"/>
      <c r="R59" s="34"/>
      <c r="S59" s="34"/>
      <c r="T59" s="34"/>
      <c r="U59" s="34"/>
      <c r="V59" s="34"/>
      <c r="W59" s="34"/>
      <c r="X59" s="34"/>
      <c r="Y59" s="34"/>
      <c r="Z59" s="34"/>
      <c r="AA59" s="34"/>
      <c r="AB59" s="34"/>
      <c r="AC59" s="34"/>
      <c r="AD59" s="34"/>
      <c r="AE59" s="34"/>
      <c r="AF59" s="34"/>
      <c r="AG59" s="87" t="s">
        <v>689</v>
      </c>
      <c r="AH59" s="179" t="s">
        <v>578</v>
      </c>
      <c r="AK59" s="87" t="s">
        <v>694</v>
      </c>
      <c r="AL59" s="156">
        <f t="shared" si="1"/>
        <v>44.5</v>
      </c>
      <c r="AM59" s="156" t="s">
        <v>1899</v>
      </c>
      <c r="AN59" s="156">
        <f>2+1.5+2+2.5+0.9</f>
        <v>8.9</v>
      </c>
      <c r="AO59" s="1" t="s">
        <v>686</v>
      </c>
      <c r="AP59" s="1" t="s">
        <v>687</v>
      </c>
      <c r="AQ59" s="1" t="s">
        <v>19</v>
      </c>
      <c r="AR59" s="9"/>
      <c r="AS59" s="9"/>
      <c r="AT59" s="9"/>
    </row>
    <row r="60" spans="1:46" ht="42" customHeight="1">
      <c r="A60" s="89" t="s">
        <v>1488</v>
      </c>
      <c r="B60" s="84" t="s">
        <v>576</v>
      </c>
      <c r="C60" s="34">
        <v>11</v>
      </c>
      <c r="D60" s="34"/>
      <c r="E60" s="111">
        <f t="shared" si="0"/>
        <v>149</v>
      </c>
      <c r="F60" s="34">
        <v>13</v>
      </c>
      <c r="G60" s="127">
        <v>10</v>
      </c>
      <c r="H60" s="128">
        <v>21</v>
      </c>
      <c r="I60" s="127">
        <v>19</v>
      </c>
      <c r="J60" s="129">
        <v>19</v>
      </c>
      <c r="K60" s="34">
        <v>17</v>
      </c>
      <c r="L60" s="129">
        <v>12</v>
      </c>
      <c r="M60" s="130">
        <v>16</v>
      </c>
      <c r="N60" s="128">
        <v>3</v>
      </c>
      <c r="O60" s="128">
        <v>5</v>
      </c>
      <c r="P60" s="130">
        <v>14</v>
      </c>
      <c r="Q60" s="34"/>
      <c r="R60" s="34"/>
      <c r="S60" s="34"/>
      <c r="T60" s="34"/>
      <c r="U60" s="34"/>
      <c r="V60" s="34"/>
      <c r="W60" s="34"/>
      <c r="X60" s="34"/>
      <c r="Y60" s="34"/>
      <c r="Z60" s="34"/>
      <c r="AA60" s="34"/>
      <c r="AB60" s="34"/>
      <c r="AC60" s="34"/>
      <c r="AD60" s="34"/>
      <c r="AE60" s="34"/>
      <c r="AF60" s="34"/>
      <c r="AG60" s="87" t="s">
        <v>689</v>
      </c>
      <c r="AH60" s="179" t="s">
        <v>578</v>
      </c>
      <c r="AK60" s="87" t="s">
        <v>691</v>
      </c>
      <c r="AL60" s="156">
        <f t="shared" si="1"/>
        <v>40</v>
      </c>
      <c r="AM60" s="156" t="s">
        <v>1895</v>
      </c>
      <c r="AN60" s="156">
        <f>1.5+1.5+2+1.5+1.5</f>
        <v>8</v>
      </c>
      <c r="AO60" s="1" t="s">
        <v>686</v>
      </c>
      <c r="AP60" s="1" t="s">
        <v>687</v>
      </c>
      <c r="AQ60" s="1" t="s">
        <v>159</v>
      </c>
      <c r="AR60" s="9"/>
      <c r="AS60" s="9"/>
      <c r="AT60" s="9"/>
    </row>
    <row r="61" spans="1:46" ht="42" customHeight="1">
      <c r="A61" s="89" t="s">
        <v>1489</v>
      </c>
      <c r="B61" s="84" t="s">
        <v>576</v>
      </c>
      <c r="C61" s="34">
        <v>10</v>
      </c>
      <c r="D61" s="34"/>
      <c r="E61" s="111">
        <f t="shared" si="0"/>
        <v>182</v>
      </c>
      <c r="F61" s="34">
        <v>18</v>
      </c>
      <c r="G61" s="34">
        <v>18</v>
      </c>
      <c r="H61" s="127">
        <v>18</v>
      </c>
      <c r="I61" s="127">
        <v>15</v>
      </c>
      <c r="J61" s="128">
        <v>15</v>
      </c>
      <c r="K61" s="128">
        <v>21</v>
      </c>
      <c r="L61" s="129">
        <v>17</v>
      </c>
      <c r="M61" s="130">
        <v>10</v>
      </c>
      <c r="N61" s="129">
        <v>20</v>
      </c>
      <c r="O61" s="130">
        <v>30</v>
      </c>
      <c r="P61" s="34"/>
      <c r="Q61" s="34"/>
      <c r="R61" s="34"/>
      <c r="S61" s="34"/>
      <c r="T61" s="34"/>
      <c r="U61" s="34"/>
      <c r="V61" s="34"/>
      <c r="W61" s="34"/>
      <c r="X61" s="34"/>
      <c r="Y61" s="34"/>
      <c r="Z61" s="34"/>
      <c r="AA61" s="34"/>
      <c r="AB61" s="34"/>
      <c r="AC61" s="34"/>
      <c r="AD61" s="34"/>
      <c r="AE61" s="34"/>
      <c r="AF61" s="34"/>
      <c r="AG61" s="87" t="s">
        <v>690</v>
      </c>
      <c r="AH61" s="179" t="s">
        <v>447</v>
      </c>
      <c r="AK61" s="87" t="s">
        <v>692</v>
      </c>
      <c r="AL61" s="156">
        <f t="shared" si="1"/>
        <v>33.5</v>
      </c>
      <c r="AM61" s="156" t="s">
        <v>1885</v>
      </c>
      <c r="AN61" s="156">
        <f>1.5+1.1+1.5+1.1+1.5</f>
        <v>6.6999999999999993</v>
      </c>
      <c r="AO61" s="1" t="s">
        <v>686</v>
      </c>
      <c r="AP61" s="1" t="s">
        <v>687</v>
      </c>
      <c r="AQ61" s="1" t="s">
        <v>27</v>
      </c>
      <c r="AR61" s="9"/>
      <c r="AS61" s="9"/>
      <c r="AT61" s="9"/>
    </row>
    <row r="62" spans="1:46" ht="42" customHeight="1">
      <c r="A62" s="89" t="s">
        <v>1490</v>
      </c>
      <c r="B62" s="84" t="s">
        <v>576</v>
      </c>
      <c r="C62" s="34">
        <v>10</v>
      </c>
      <c r="D62" s="34"/>
      <c r="E62" s="111">
        <f t="shared" si="0"/>
        <v>102</v>
      </c>
      <c r="F62" s="34">
        <v>15</v>
      </c>
      <c r="G62" s="127">
        <v>11</v>
      </c>
      <c r="H62" s="128">
        <v>11</v>
      </c>
      <c r="I62" s="129">
        <v>13</v>
      </c>
      <c r="J62" s="130">
        <v>4</v>
      </c>
      <c r="K62" s="127">
        <v>9</v>
      </c>
      <c r="L62" s="130">
        <v>17</v>
      </c>
      <c r="M62" s="128">
        <v>8</v>
      </c>
      <c r="N62" s="129">
        <v>8</v>
      </c>
      <c r="O62" s="34">
        <v>6</v>
      </c>
      <c r="P62" s="34"/>
      <c r="Q62" s="34"/>
      <c r="R62" s="34"/>
      <c r="S62" s="34"/>
      <c r="T62" s="34"/>
      <c r="U62" s="34"/>
      <c r="V62" s="34"/>
      <c r="W62" s="34"/>
      <c r="X62" s="34"/>
      <c r="Y62" s="34"/>
      <c r="Z62" s="34"/>
      <c r="AA62" s="34"/>
      <c r="AB62" s="34"/>
      <c r="AC62" s="34"/>
      <c r="AD62" s="34"/>
      <c r="AE62" s="34"/>
      <c r="AF62" s="34"/>
      <c r="AG62" s="87" t="s">
        <v>690</v>
      </c>
      <c r="AH62" s="179" t="s">
        <v>447</v>
      </c>
      <c r="AK62" s="87" t="s">
        <v>693</v>
      </c>
      <c r="AL62" s="156">
        <f t="shared" si="1"/>
        <v>24.5</v>
      </c>
      <c r="AM62" s="156" t="s">
        <v>1900</v>
      </c>
      <c r="AN62" s="156">
        <f>1.1+1.1+1.1+0.9+0.7</f>
        <v>4.9000000000000004</v>
      </c>
      <c r="AO62" s="1" t="s">
        <v>686</v>
      </c>
      <c r="AP62" s="1" t="s">
        <v>687</v>
      </c>
      <c r="AQ62" s="1" t="s">
        <v>159</v>
      </c>
      <c r="AR62" s="9"/>
      <c r="AS62" s="9"/>
      <c r="AT62" s="9"/>
    </row>
    <row r="63" spans="1:46" s="7" customFormat="1" ht="42" customHeight="1">
      <c r="A63" s="89" t="s">
        <v>1491</v>
      </c>
      <c r="B63" s="83" t="s">
        <v>579</v>
      </c>
      <c r="C63" s="31">
        <v>6</v>
      </c>
      <c r="D63" s="31"/>
      <c r="E63" s="110">
        <f t="shared" si="0"/>
        <v>31</v>
      </c>
      <c r="F63" s="31">
        <v>6</v>
      </c>
      <c r="G63" s="31">
        <v>6</v>
      </c>
      <c r="H63" s="31">
        <v>5</v>
      </c>
      <c r="I63" s="31">
        <v>2</v>
      </c>
      <c r="J63" s="31">
        <v>6</v>
      </c>
      <c r="K63" s="31">
        <v>6</v>
      </c>
      <c r="L63" s="35"/>
      <c r="M63" s="35"/>
      <c r="N63" s="35"/>
      <c r="O63" s="35"/>
      <c r="P63" s="31"/>
      <c r="Q63" s="31"/>
      <c r="R63" s="31"/>
      <c r="S63" s="31"/>
      <c r="T63" s="31"/>
      <c r="U63" s="31"/>
      <c r="V63" s="35"/>
      <c r="W63" s="35"/>
      <c r="X63" s="35"/>
      <c r="Y63" s="35"/>
      <c r="Z63" s="35"/>
      <c r="AA63" s="35"/>
      <c r="AB63" s="35"/>
      <c r="AC63" s="35"/>
      <c r="AD63" s="35"/>
      <c r="AE63" s="35"/>
      <c r="AF63" s="35"/>
      <c r="AG63" s="88" t="s">
        <v>698</v>
      </c>
      <c r="AH63" s="179" t="s">
        <v>81</v>
      </c>
      <c r="AI63" s="179"/>
      <c r="AJ63" s="179"/>
      <c r="AK63" s="88"/>
      <c r="AL63" s="157">
        <f t="shared" si="1"/>
        <v>4</v>
      </c>
      <c r="AM63" s="157"/>
      <c r="AN63" s="157">
        <v>0.8</v>
      </c>
      <c r="AO63" s="6" t="s">
        <v>696</v>
      </c>
      <c r="AP63" s="6" t="s">
        <v>697</v>
      </c>
      <c r="AQ63" s="6" t="s">
        <v>19</v>
      </c>
    </row>
    <row r="64" spans="1:46" ht="42" customHeight="1">
      <c r="A64" s="89" t="s">
        <v>1492</v>
      </c>
      <c r="B64" s="84" t="s">
        <v>580</v>
      </c>
      <c r="D64" s="41">
        <v>16</v>
      </c>
      <c r="E64" s="113">
        <f t="shared" si="0"/>
        <v>53</v>
      </c>
      <c r="F64" s="34">
        <v>3</v>
      </c>
      <c r="G64" s="34">
        <v>3</v>
      </c>
      <c r="H64" s="34">
        <v>3</v>
      </c>
      <c r="I64" s="34">
        <v>3</v>
      </c>
      <c r="J64" s="34">
        <v>3</v>
      </c>
      <c r="K64" s="34">
        <v>3</v>
      </c>
      <c r="L64" s="34">
        <v>3</v>
      </c>
      <c r="M64" s="34">
        <v>3</v>
      </c>
      <c r="N64" s="34">
        <v>3</v>
      </c>
      <c r="O64" s="34">
        <v>3</v>
      </c>
      <c r="P64" s="34">
        <v>3</v>
      </c>
      <c r="Q64" s="34">
        <v>3</v>
      </c>
      <c r="R64" s="34">
        <v>4</v>
      </c>
      <c r="S64" s="34">
        <v>4</v>
      </c>
      <c r="T64" s="34">
        <v>4</v>
      </c>
      <c r="U64" s="34">
        <v>5</v>
      </c>
      <c r="V64" s="34"/>
      <c r="W64" s="34"/>
      <c r="X64" s="34"/>
      <c r="Y64" s="34"/>
      <c r="Z64" s="34"/>
      <c r="AA64" s="34"/>
      <c r="AB64" s="34"/>
      <c r="AC64" s="34"/>
      <c r="AD64" s="34"/>
      <c r="AE64" s="34"/>
      <c r="AF64" s="34"/>
      <c r="AG64" s="87" t="s">
        <v>748</v>
      </c>
      <c r="AH64" s="179" t="s">
        <v>552</v>
      </c>
      <c r="AK64" s="87" t="s">
        <v>749</v>
      </c>
      <c r="AL64" s="156">
        <f t="shared" si="1"/>
        <v>7.5</v>
      </c>
      <c r="AN64" s="156">
        <v>1.5</v>
      </c>
      <c r="AO64" s="1" t="s">
        <v>745</v>
      </c>
      <c r="AP64" s="1" t="s">
        <v>746</v>
      </c>
      <c r="AQ64" s="1" t="s">
        <v>21</v>
      </c>
      <c r="AR64" s="9"/>
      <c r="AS64" s="9"/>
      <c r="AT64" s="9"/>
    </row>
    <row r="65" spans="1:46" ht="42" customHeight="1">
      <c r="A65" s="89" t="s">
        <v>1493</v>
      </c>
      <c r="B65" s="84" t="s">
        <v>580</v>
      </c>
      <c r="C65" s="34">
        <v>9</v>
      </c>
      <c r="D65" s="34"/>
      <c r="E65" s="111">
        <f t="shared" si="0"/>
        <v>26</v>
      </c>
      <c r="F65" s="34">
        <v>1</v>
      </c>
      <c r="G65" s="34">
        <v>2</v>
      </c>
      <c r="H65" s="34">
        <v>3</v>
      </c>
      <c r="I65" s="34">
        <v>3</v>
      </c>
      <c r="J65" s="34">
        <v>3</v>
      </c>
      <c r="K65" s="34">
        <v>3</v>
      </c>
      <c r="L65" s="34">
        <v>3</v>
      </c>
      <c r="M65" s="34">
        <v>3</v>
      </c>
      <c r="N65" s="34">
        <v>5</v>
      </c>
      <c r="P65" s="34"/>
      <c r="Q65" s="34"/>
      <c r="R65" s="34"/>
      <c r="S65" s="34"/>
      <c r="T65" s="34"/>
      <c r="U65" s="34"/>
      <c r="V65" s="34"/>
      <c r="W65" s="34"/>
      <c r="X65" s="34"/>
      <c r="AG65" s="87" t="s">
        <v>747</v>
      </c>
      <c r="AH65" s="179" t="s">
        <v>582</v>
      </c>
      <c r="AK65" s="87" t="s">
        <v>753</v>
      </c>
      <c r="AL65" s="156">
        <f t="shared" si="1"/>
        <v>7.5</v>
      </c>
      <c r="AN65" s="156">
        <v>1.5</v>
      </c>
      <c r="AO65" s="1" t="s">
        <v>745</v>
      </c>
      <c r="AP65" s="1" t="s">
        <v>746</v>
      </c>
      <c r="AQ65" s="1" t="s">
        <v>21</v>
      </c>
      <c r="AR65" s="9"/>
      <c r="AS65" s="9"/>
      <c r="AT65" s="9"/>
    </row>
    <row r="66" spans="1:46" ht="42" customHeight="1">
      <c r="A66" s="89" t="s">
        <v>1494</v>
      </c>
      <c r="B66" s="84" t="s">
        <v>580</v>
      </c>
      <c r="C66" s="34">
        <v>10</v>
      </c>
      <c r="D66" s="34"/>
      <c r="E66" s="111">
        <f t="shared" si="0"/>
        <v>44</v>
      </c>
      <c r="F66" s="34">
        <v>3</v>
      </c>
      <c r="G66" s="34">
        <v>3</v>
      </c>
      <c r="H66" s="34">
        <v>3</v>
      </c>
      <c r="I66" s="34">
        <v>3</v>
      </c>
      <c r="J66" s="34">
        <v>4</v>
      </c>
      <c r="K66" s="34">
        <v>4</v>
      </c>
      <c r="L66" s="34">
        <v>5</v>
      </c>
      <c r="M66" s="34">
        <v>5</v>
      </c>
      <c r="N66" s="34">
        <v>7</v>
      </c>
      <c r="O66" s="34">
        <v>7</v>
      </c>
      <c r="P66" s="34"/>
      <c r="Q66" s="34"/>
      <c r="R66" s="34"/>
      <c r="S66" s="34"/>
      <c r="T66" s="34"/>
      <c r="U66" s="34"/>
      <c r="V66" s="34"/>
      <c r="W66" s="34"/>
      <c r="X66" s="34"/>
      <c r="Y66" s="34"/>
      <c r="Z66" s="34"/>
      <c r="AA66" s="34"/>
      <c r="AB66" s="34"/>
      <c r="AC66" s="34"/>
      <c r="AD66" s="34"/>
      <c r="AE66" s="34"/>
      <c r="AF66" s="34"/>
      <c r="AG66" s="87" t="s">
        <v>747</v>
      </c>
      <c r="AH66" s="179" t="s">
        <v>185</v>
      </c>
      <c r="AK66" s="87" t="s">
        <v>752</v>
      </c>
      <c r="AL66" s="156">
        <f t="shared" si="1"/>
        <v>10</v>
      </c>
      <c r="AN66" s="156">
        <v>2</v>
      </c>
      <c r="AO66" s="1" t="s">
        <v>745</v>
      </c>
      <c r="AP66" s="1" t="s">
        <v>746</v>
      </c>
      <c r="AQ66" s="1" t="s">
        <v>18</v>
      </c>
      <c r="AR66" s="9"/>
      <c r="AS66" s="9"/>
      <c r="AT66" s="9"/>
    </row>
    <row r="67" spans="1:46" ht="42" customHeight="1">
      <c r="A67" s="89" t="s">
        <v>1495</v>
      </c>
      <c r="B67" s="84" t="s">
        <v>580</v>
      </c>
      <c r="C67" s="34">
        <v>10</v>
      </c>
      <c r="D67" s="34"/>
      <c r="E67" s="111">
        <f t="shared" ref="E67:E99" si="2">SUM(F67:Y67)</f>
        <v>38</v>
      </c>
      <c r="F67" s="34">
        <v>2</v>
      </c>
      <c r="G67" s="34">
        <v>2</v>
      </c>
      <c r="H67" s="34">
        <v>3</v>
      </c>
      <c r="I67" s="34">
        <v>3</v>
      </c>
      <c r="J67" s="34">
        <v>4</v>
      </c>
      <c r="K67" s="34">
        <v>4</v>
      </c>
      <c r="L67" s="34">
        <v>4</v>
      </c>
      <c r="M67" s="34">
        <v>4</v>
      </c>
      <c r="N67" s="34">
        <v>5</v>
      </c>
      <c r="O67" s="34">
        <v>7</v>
      </c>
      <c r="P67" s="34"/>
      <c r="Q67" s="34"/>
      <c r="R67" s="34"/>
      <c r="S67" s="34"/>
      <c r="T67" s="34"/>
      <c r="U67" s="34"/>
      <c r="V67" s="34"/>
      <c r="W67" s="34"/>
      <c r="X67" s="34"/>
      <c r="Y67" s="34"/>
      <c r="Z67" s="34"/>
      <c r="AA67" s="34"/>
      <c r="AB67" s="34"/>
      <c r="AC67" s="34"/>
      <c r="AD67" s="34"/>
      <c r="AE67" s="34"/>
      <c r="AF67" s="34"/>
      <c r="AG67" s="87" t="s">
        <v>747</v>
      </c>
      <c r="AH67" s="179" t="s">
        <v>550</v>
      </c>
      <c r="AK67" s="87" t="s">
        <v>751</v>
      </c>
      <c r="AL67" s="156">
        <f t="shared" ref="AL67:AL99" si="3">5*AN67</f>
        <v>7.5</v>
      </c>
      <c r="AN67" s="156">
        <v>1.5</v>
      </c>
      <c r="AO67" s="1" t="s">
        <v>745</v>
      </c>
      <c r="AP67" s="1" t="s">
        <v>746</v>
      </c>
      <c r="AQ67" s="1" t="s">
        <v>20</v>
      </c>
      <c r="AR67" s="9"/>
      <c r="AS67" s="9"/>
      <c r="AT67" s="9"/>
    </row>
    <row r="68" spans="1:46" ht="42" customHeight="1">
      <c r="A68" s="89" t="s">
        <v>1496</v>
      </c>
      <c r="B68" s="84" t="s">
        <v>580</v>
      </c>
      <c r="C68" s="34">
        <v>10</v>
      </c>
      <c r="D68" s="34"/>
      <c r="E68" s="111">
        <f t="shared" si="2"/>
        <v>33</v>
      </c>
      <c r="F68" s="34">
        <v>2</v>
      </c>
      <c r="G68" s="34">
        <v>3</v>
      </c>
      <c r="H68" s="34">
        <v>3</v>
      </c>
      <c r="I68" s="34">
        <v>3</v>
      </c>
      <c r="J68" s="34">
        <v>3</v>
      </c>
      <c r="K68" s="34">
        <v>3</v>
      </c>
      <c r="L68" s="34">
        <v>3</v>
      </c>
      <c r="M68" s="34">
        <v>4</v>
      </c>
      <c r="N68" s="34">
        <v>4</v>
      </c>
      <c r="O68" s="34">
        <v>5</v>
      </c>
      <c r="P68" s="34"/>
      <c r="Q68" s="34"/>
      <c r="R68" s="34"/>
      <c r="S68" s="34"/>
      <c r="T68" s="34"/>
      <c r="U68" s="34"/>
      <c r="V68" s="34"/>
      <c r="W68" s="34"/>
      <c r="X68" s="34"/>
      <c r="Y68" s="34"/>
      <c r="Z68" s="34"/>
      <c r="AA68" s="34"/>
      <c r="AB68" s="34"/>
      <c r="AC68" s="34"/>
      <c r="AD68" s="34"/>
      <c r="AE68" s="34"/>
      <c r="AF68" s="34"/>
      <c r="AG68" s="87" t="s">
        <v>747</v>
      </c>
      <c r="AH68" s="179" t="s">
        <v>4</v>
      </c>
      <c r="AK68" s="87" t="s">
        <v>750</v>
      </c>
      <c r="AL68" s="156">
        <f t="shared" si="3"/>
        <v>10</v>
      </c>
      <c r="AN68" s="156">
        <v>2</v>
      </c>
      <c r="AO68" s="1" t="s">
        <v>745</v>
      </c>
      <c r="AP68" s="1" t="s">
        <v>746</v>
      </c>
      <c r="AQ68" s="1" t="s">
        <v>21</v>
      </c>
      <c r="AR68" s="9"/>
      <c r="AS68" s="9"/>
      <c r="AT68" s="9"/>
    </row>
    <row r="69" spans="1:46" s="7" customFormat="1" ht="42" customHeight="1">
      <c r="A69" s="89" t="s">
        <v>1497</v>
      </c>
      <c r="B69" s="83" t="s">
        <v>583</v>
      </c>
      <c r="C69" s="31">
        <v>7</v>
      </c>
      <c r="D69" s="31"/>
      <c r="E69" s="110">
        <f t="shared" si="2"/>
        <v>48</v>
      </c>
      <c r="F69" s="31">
        <v>15</v>
      </c>
      <c r="G69" s="31">
        <v>15</v>
      </c>
      <c r="H69" s="31">
        <v>4</v>
      </c>
      <c r="I69" s="31">
        <v>5</v>
      </c>
      <c r="J69" s="31">
        <v>4</v>
      </c>
      <c r="K69" s="31">
        <v>1</v>
      </c>
      <c r="L69" s="31">
        <v>4</v>
      </c>
      <c r="M69" s="35"/>
      <c r="N69" s="35"/>
      <c r="O69" s="35"/>
      <c r="P69" s="31"/>
      <c r="Q69" s="31"/>
      <c r="R69" s="31"/>
      <c r="S69" s="31"/>
      <c r="T69" s="31"/>
      <c r="U69" s="31"/>
      <c r="V69" s="31"/>
      <c r="W69" s="35"/>
      <c r="X69" s="35"/>
      <c r="Y69" s="35"/>
      <c r="Z69" s="35"/>
      <c r="AA69" s="35"/>
      <c r="AB69" s="35"/>
      <c r="AC69" s="35"/>
      <c r="AD69" s="35"/>
      <c r="AE69" s="35"/>
      <c r="AF69" s="35"/>
      <c r="AG69" s="88" t="s">
        <v>740</v>
      </c>
      <c r="AH69" s="179" t="s">
        <v>164</v>
      </c>
      <c r="AI69" s="179"/>
      <c r="AJ69" s="179"/>
      <c r="AK69" s="88" t="s">
        <v>743</v>
      </c>
      <c r="AL69" s="157">
        <f t="shared" si="3"/>
        <v>7.5</v>
      </c>
      <c r="AM69" s="157"/>
      <c r="AN69" s="157">
        <v>1.5</v>
      </c>
      <c r="AO69" s="6" t="s">
        <v>738</v>
      </c>
      <c r="AP69" s="6" t="s">
        <v>739</v>
      </c>
      <c r="AQ69" s="6" t="s">
        <v>19</v>
      </c>
    </row>
    <row r="70" spans="1:46" s="7" customFormat="1" ht="42" customHeight="1">
      <c r="A70" s="89" t="s">
        <v>1498</v>
      </c>
      <c r="B70" s="83" t="s">
        <v>583</v>
      </c>
      <c r="C70" s="50"/>
      <c r="D70" s="50">
        <v>4</v>
      </c>
      <c r="E70" s="112">
        <f t="shared" si="2"/>
        <v>13</v>
      </c>
      <c r="F70" s="31">
        <v>3</v>
      </c>
      <c r="G70" s="31">
        <v>4</v>
      </c>
      <c r="H70" s="31">
        <v>3</v>
      </c>
      <c r="I70" s="31">
        <v>3</v>
      </c>
      <c r="J70" s="35"/>
      <c r="K70" s="35"/>
      <c r="L70" s="35"/>
      <c r="M70" s="35"/>
      <c r="N70" s="35"/>
      <c r="O70" s="35"/>
      <c r="P70" s="31"/>
      <c r="Q70" s="31"/>
      <c r="R70" s="31"/>
      <c r="S70" s="31"/>
      <c r="T70" s="35"/>
      <c r="U70" s="35"/>
      <c r="V70" s="35"/>
      <c r="W70" s="35"/>
      <c r="X70" s="35"/>
      <c r="Y70" s="35"/>
      <c r="Z70" s="35"/>
      <c r="AA70" s="35"/>
      <c r="AB70" s="35"/>
      <c r="AC70" s="35"/>
      <c r="AD70" s="35"/>
      <c r="AE70" s="35"/>
      <c r="AF70" s="35"/>
      <c r="AG70" s="88" t="s">
        <v>740</v>
      </c>
      <c r="AH70" s="179" t="s">
        <v>547</v>
      </c>
      <c r="AI70" s="179"/>
      <c r="AJ70" s="179"/>
      <c r="AK70" s="88" t="s">
        <v>744</v>
      </c>
      <c r="AL70" s="157">
        <f t="shared" si="3"/>
        <v>5</v>
      </c>
      <c r="AM70" s="157"/>
      <c r="AN70" s="157">
        <v>1</v>
      </c>
      <c r="AO70" s="6" t="s">
        <v>738</v>
      </c>
      <c r="AP70" s="6" t="s">
        <v>739</v>
      </c>
      <c r="AQ70" s="6" t="s">
        <v>21</v>
      </c>
    </row>
    <row r="71" spans="1:46" s="7" customFormat="1" ht="42" customHeight="1">
      <c r="A71" s="89" t="s">
        <v>1499</v>
      </c>
      <c r="B71" s="83" t="s">
        <v>583</v>
      </c>
      <c r="C71" s="31">
        <v>6</v>
      </c>
      <c r="D71" s="31"/>
      <c r="E71" s="110">
        <f t="shared" si="2"/>
        <v>22</v>
      </c>
      <c r="F71" s="31">
        <v>6</v>
      </c>
      <c r="G71" s="31">
        <v>6</v>
      </c>
      <c r="H71" s="31">
        <v>1</v>
      </c>
      <c r="I71" s="31">
        <v>1</v>
      </c>
      <c r="J71" s="31">
        <v>5</v>
      </c>
      <c r="K71" s="31">
        <v>3</v>
      </c>
      <c r="L71" s="35"/>
      <c r="M71" s="35"/>
      <c r="N71" s="35"/>
      <c r="O71" s="35"/>
      <c r="P71" s="31"/>
      <c r="Q71" s="31"/>
      <c r="R71" s="31"/>
      <c r="S71" s="31"/>
      <c r="T71" s="31"/>
      <c r="U71" s="31"/>
      <c r="V71" s="35"/>
      <c r="W71" s="35"/>
      <c r="X71" s="35"/>
      <c r="Y71" s="35"/>
      <c r="Z71" s="35"/>
      <c r="AA71" s="35"/>
      <c r="AB71" s="35"/>
      <c r="AC71" s="35"/>
      <c r="AD71" s="35"/>
      <c r="AE71" s="35"/>
      <c r="AF71" s="35"/>
      <c r="AG71" s="88" t="s">
        <v>740</v>
      </c>
      <c r="AH71" s="179" t="s">
        <v>353</v>
      </c>
      <c r="AI71" s="179"/>
      <c r="AJ71" s="179"/>
      <c r="AK71" s="88" t="s">
        <v>742</v>
      </c>
      <c r="AL71" s="157">
        <f t="shared" si="3"/>
        <v>7.5</v>
      </c>
      <c r="AM71" s="157"/>
      <c r="AN71" s="157">
        <v>1.5</v>
      </c>
      <c r="AO71" s="6" t="s">
        <v>738</v>
      </c>
      <c r="AP71" s="6" t="s">
        <v>739</v>
      </c>
      <c r="AQ71" s="6" t="s">
        <v>18</v>
      </c>
    </row>
    <row r="72" spans="1:46" s="7" customFormat="1" ht="42" customHeight="1">
      <c r="A72" s="89" t="s">
        <v>1500</v>
      </c>
      <c r="B72" s="83" t="s">
        <v>583</v>
      </c>
      <c r="C72" s="31">
        <v>7</v>
      </c>
      <c r="D72" s="31"/>
      <c r="E72" s="110">
        <f t="shared" si="2"/>
        <v>31</v>
      </c>
      <c r="F72" s="31">
        <v>5</v>
      </c>
      <c r="G72" s="31">
        <v>5</v>
      </c>
      <c r="H72" s="31">
        <v>6</v>
      </c>
      <c r="I72" s="31">
        <v>2</v>
      </c>
      <c r="J72" s="31">
        <v>3</v>
      </c>
      <c r="K72" s="31">
        <v>6</v>
      </c>
      <c r="L72" s="31">
        <v>4</v>
      </c>
      <c r="M72" s="35"/>
      <c r="N72" s="35"/>
      <c r="O72" s="35"/>
      <c r="P72" s="31"/>
      <c r="Q72" s="31"/>
      <c r="R72" s="31"/>
      <c r="S72" s="31"/>
      <c r="T72" s="31"/>
      <c r="U72" s="31"/>
      <c r="V72" s="31"/>
      <c r="W72" s="35"/>
      <c r="X72" s="35"/>
      <c r="Y72" s="35"/>
      <c r="Z72" s="35"/>
      <c r="AA72" s="35"/>
      <c r="AB72" s="35"/>
      <c r="AC72" s="35"/>
      <c r="AD72" s="35"/>
      <c r="AE72" s="35"/>
      <c r="AF72" s="35"/>
      <c r="AG72" s="88" t="s">
        <v>740</v>
      </c>
      <c r="AH72" s="179" t="s">
        <v>584</v>
      </c>
      <c r="AI72" s="179"/>
      <c r="AJ72" s="179"/>
      <c r="AK72" s="88" t="s">
        <v>741</v>
      </c>
      <c r="AL72" s="157">
        <f t="shared" si="3"/>
        <v>5</v>
      </c>
      <c r="AM72" s="157"/>
      <c r="AN72" s="157">
        <v>1</v>
      </c>
      <c r="AO72" s="6" t="s">
        <v>738</v>
      </c>
      <c r="AP72" s="6" t="s">
        <v>739</v>
      </c>
      <c r="AQ72" s="6" t="s">
        <v>18</v>
      </c>
    </row>
    <row r="73" spans="1:46" ht="42" customHeight="1">
      <c r="A73" s="89" t="s">
        <v>1501</v>
      </c>
      <c r="B73" s="84" t="s">
        <v>585</v>
      </c>
      <c r="C73" s="34">
        <v>2</v>
      </c>
      <c r="D73" s="34"/>
      <c r="E73" s="111">
        <f t="shared" si="2"/>
        <v>14</v>
      </c>
      <c r="F73" s="34">
        <v>6</v>
      </c>
      <c r="G73" s="34">
        <v>8</v>
      </c>
      <c r="P73" s="34"/>
      <c r="Q73" s="34"/>
      <c r="AG73" s="87" t="s">
        <v>701</v>
      </c>
      <c r="AH73" s="179" t="s">
        <v>586</v>
      </c>
      <c r="AL73" s="156">
        <f t="shared" si="3"/>
        <v>3</v>
      </c>
      <c r="AN73" s="156">
        <v>0.6</v>
      </c>
      <c r="AO73" s="1" t="s">
        <v>699</v>
      </c>
      <c r="AP73" s="1" t="s">
        <v>700</v>
      </c>
      <c r="AQ73" s="1" t="s">
        <v>18</v>
      </c>
      <c r="AR73" s="9"/>
      <c r="AS73" s="9"/>
      <c r="AT73" s="9"/>
    </row>
    <row r="74" spans="1:46" s="7" customFormat="1" ht="42" customHeight="1">
      <c r="A74" s="89" t="s">
        <v>1502</v>
      </c>
      <c r="B74" s="83" t="s">
        <v>587</v>
      </c>
      <c r="C74" s="50"/>
      <c r="D74" s="50">
        <v>20</v>
      </c>
      <c r="E74" s="112">
        <f t="shared" si="2"/>
        <v>100</v>
      </c>
      <c r="F74" s="131">
        <v>2</v>
      </c>
      <c r="G74" s="127">
        <v>3</v>
      </c>
      <c r="H74" s="128">
        <v>3</v>
      </c>
      <c r="I74" s="128">
        <v>4</v>
      </c>
      <c r="J74" s="128">
        <v>4</v>
      </c>
      <c r="K74" s="128">
        <v>4</v>
      </c>
      <c r="L74" s="129">
        <v>4</v>
      </c>
      <c r="M74" s="127">
        <v>5</v>
      </c>
      <c r="N74" s="128">
        <v>5</v>
      </c>
      <c r="O74" s="129">
        <v>5</v>
      </c>
      <c r="P74" s="129">
        <v>5</v>
      </c>
      <c r="Q74" s="127">
        <v>6</v>
      </c>
      <c r="R74" s="127">
        <v>6</v>
      </c>
      <c r="S74" s="129">
        <v>6</v>
      </c>
      <c r="T74" s="131">
        <v>6</v>
      </c>
      <c r="U74" s="131">
        <v>6</v>
      </c>
      <c r="V74" s="131">
        <v>6</v>
      </c>
      <c r="W74" s="130">
        <v>6</v>
      </c>
      <c r="X74" s="130">
        <v>7</v>
      </c>
      <c r="Y74" s="130">
        <v>7</v>
      </c>
      <c r="Z74" s="130"/>
      <c r="AA74" s="130"/>
      <c r="AB74" s="130"/>
      <c r="AC74" s="130"/>
      <c r="AD74" s="130"/>
      <c r="AE74" s="130"/>
      <c r="AF74" s="130"/>
      <c r="AG74" s="88" t="s">
        <v>732</v>
      </c>
      <c r="AH74" s="179" t="s">
        <v>547</v>
      </c>
      <c r="AI74" s="179"/>
      <c r="AJ74" s="179"/>
      <c r="AK74" s="88" t="s">
        <v>737</v>
      </c>
      <c r="AL74" s="157">
        <f t="shared" si="3"/>
        <v>19.5</v>
      </c>
      <c r="AM74" s="157" t="s">
        <v>1901</v>
      </c>
      <c r="AN74" s="157">
        <f>0.5+0.7+0.9*3</f>
        <v>3.9000000000000004</v>
      </c>
      <c r="AO74" s="6" t="s">
        <v>730</v>
      </c>
      <c r="AP74" s="6" t="s">
        <v>731</v>
      </c>
      <c r="AQ74" s="6" t="s">
        <v>18</v>
      </c>
    </row>
    <row r="75" spans="1:46" s="7" customFormat="1" ht="42" customHeight="1">
      <c r="A75" s="89" t="s">
        <v>1503</v>
      </c>
      <c r="B75" s="83" t="s">
        <v>587</v>
      </c>
      <c r="C75" s="31">
        <v>9</v>
      </c>
      <c r="D75" s="31"/>
      <c r="E75" s="110">
        <f t="shared" si="2"/>
        <v>41</v>
      </c>
      <c r="F75" s="31">
        <v>3</v>
      </c>
      <c r="G75" s="31">
        <v>3</v>
      </c>
      <c r="H75" s="31">
        <v>4</v>
      </c>
      <c r="I75" s="31">
        <v>4</v>
      </c>
      <c r="J75" s="31">
        <v>4</v>
      </c>
      <c r="K75" s="31">
        <v>5</v>
      </c>
      <c r="L75" s="31">
        <v>5</v>
      </c>
      <c r="M75" s="31">
        <v>6</v>
      </c>
      <c r="N75" s="31">
        <v>7</v>
      </c>
      <c r="O75" s="35"/>
      <c r="P75" s="31"/>
      <c r="Q75" s="31"/>
      <c r="R75" s="31"/>
      <c r="S75" s="31"/>
      <c r="T75" s="31"/>
      <c r="U75" s="31"/>
      <c r="V75" s="31"/>
      <c r="W75" s="31"/>
      <c r="X75" s="31"/>
      <c r="Y75" s="35"/>
      <c r="Z75" s="35"/>
      <c r="AA75" s="35"/>
      <c r="AB75" s="35"/>
      <c r="AC75" s="35"/>
      <c r="AD75" s="35"/>
      <c r="AE75" s="35"/>
      <c r="AF75" s="35"/>
      <c r="AG75" s="88" t="s">
        <v>732</v>
      </c>
      <c r="AH75" s="179" t="s">
        <v>588</v>
      </c>
      <c r="AI75" s="179"/>
      <c r="AJ75" s="179"/>
      <c r="AK75" s="88" t="s">
        <v>734</v>
      </c>
      <c r="AL75" s="157">
        <f t="shared" si="3"/>
        <v>7.5</v>
      </c>
      <c r="AM75" s="157"/>
      <c r="AN75" s="157">
        <v>1.5</v>
      </c>
      <c r="AO75" s="6" t="s">
        <v>730</v>
      </c>
      <c r="AP75" s="6" t="s">
        <v>731</v>
      </c>
      <c r="AQ75" s="6" t="s">
        <v>18</v>
      </c>
    </row>
    <row r="76" spans="1:46" s="7" customFormat="1" ht="42" customHeight="1">
      <c r="A76" s="89" t="s">
        <v>1504</v>
      </c>
      <c r="B76" s="83" t="s">
        <v>587</v>
      </c>
      <c r="C76" s="31">
        <v>9</v>
      </c>
      <c r="D76" s="31"/>
      <c r="E76" s="110">
        <f t="shared" si="2"/>
        <v>38</v>
      </c>
      <c r="F76" s="31">
        <v>2</v>
      </c>
      <c r="G76" s="31">
        <v>3</v>
      </c>
      <c r="H76" s="31">
        <v>3</v>
      </c>
      <c r="I76" s="31">
        <v>3</v>
      </c>
      <c r="J76" s="31">
        <v>4</v>
      </c>
      <c r="K76" s="31">
        <v>4</v>
      </c>
      <c r="L76" s="31">
        <v>5</v>
      </c>
      <c r="M76" s="31">
        <v>6</v>
      </c>
      <c r="N76" s="31">
        <v>8</v>
      </c>
      <c r="O76" s="35"/>
      <c r="P76" s="31"/>
      <c r="Q76" s="31"/>
      <c r="R76" s="31"/>
      <c r="S76" s="31"/>
      <c r="T76" s="31"/>
      <c r="U76" s="31"/>
      <c r="V76" s="31"/>
      <c r="W76" s="31"/>
      <c r="X76" s="31"/>
      <c r="Y76" s="35"/>
      <c r="Z76" s="35"/>
      <c r="AA76" s="35"/>
      <c r="AB76" s="35"/>
      <c r="AC76" s="35"/>
      <c r="AD76" s="35"/>
      <c r="AE76" s="35"/>
      <c r="AF76" s="35"/>
      <c r="AG76" s="88" t="s">
        <v>732</v>
      </c>
      <c r="AH76" s="179" t="s">
        <v>589</v>
      </c>
      <c r="AI76" s="179"/>
      <c r="AJ76" s="179"/>
      <c r="AK76" s="88" t="s">
        <v>733</v>
      </c>
      <c r="AL76" s="157">
        <f t="shared" si="3"/>
        <v>10</v>
      </c>
      <c r="AM76" s="157"/>
      <c r="AN76" s="157">
        <v>2</v>
      </c>
      <c r="AO76" s="6" t="s">
        <v>730</v>
      </c>
      <c r="AP76" s="6" t="s">
        <v>731</v>
      </c>
      <c r="AQ76" s="6" t="s">
        <v>18</v>
      </c>
    </row>
    <row r="77" spans="1:46" s="7" customFormat="1" ht="42" customHeight="1">
      <c r="A77" s="89" t="s">
        <v>1505</v>
      </c>
      <c r="B77" s="83" t="s">
        <v>587</v>
      </c>
      <c r="C77" s="31">
        <v>10</v>
      </c>
      <c r="D77" s="31"/>
      <c r="E77" s="110">
        <f t="shared" si="2"/>
        <v>41</v>
      </c>
      <c r="F77" s="31">
        <v>3</v>
      </c>
      <c r="G77" s="31">
        <v>3</v>
      </c>
      <c r="H77" s="31">
        <v>3</v>
      </c>
      <c r="I77" s="31">
        <v>3</v>
      </c>
      <c r="J77" s="31">
        <v>4</v>
      </c>
      <c r="K77" s="31">
        <v>4</v>
      </c>
      <c r="L77" s="31">
        <v>4</v>
      </c>
      <c r="M77" s="31">
        <v>5</v>
      </c>
      <c r="N77" s="31">
        <v>5</v>
      </c>
      <c r="O77" s="31">
        <v>7</v>
      </c>
      <c r="P77" s="31"/>
      <c r="Q77" s="31"/>
      <c r="R77" s="31"/>
      <c r="S77" s="31"/>
      <c r="T77" s="31"/>
      <c r="U77" s="31"/>
      <c r="V77" s="31"/>
      <c r="W77" s="31"/>
      <c r="X77" s="31"/>
      <c r="Y77" s="31"/>
      <c r="Z77" s="31"/>
      <c r="AA77" s="31"/>
      <c r="AB77" s="31"/>
      <c r="AC77" s="31"/>
      <c r="AD77" s="31"/>
      <c r="AE77" s="31"/>
      <c r="AF77" s="31"/>
      <c r="AG77" s="88" t="s">
        <v>732</v>
      </c>
      <c r="AH77" s="179" t="s">
        <v>334</v>
      </c>
      <c r="AI77" s="179"/>
      <c r="AJ77" s="179"/>
      <c r="AK77" s="88" t="s">
        <v>736</v>
      </c>
      <c r="AL77" s="157">
        <f t="shared" si="3"/>
        <v>12.5</v>
      </c>
      <c r="AM77" s="157"/>
      <c r="AN77" s="157">
        <v>2.5</v>
      </c>
      <c r="AO77" s="6" t="s">
        <v>730</v>
      </c>
      <c r="AP77" s="6" t="s">
        <v>731</v>
      </c>
      <c r="AQ77" s="6" t="s">
        <v>18</v>
      </c>
    </row>
    <row r="78" spans="1:46" s="7" customFormat="1" ht="42" customHeight="1">
      <c r="A78" s="89" t="s">
        <v>1506</v>
      </c>
      <c r="B78" s="83" t="s">
        <v>587</v>
      </c>
      <c r="C78" s="31">
        <v>10</v>
      </c>
      <c r="D78" s="31"/>
      <c r="E78" s="110">
        <f t="shared" si="2"/>
        <v>51</v>
      </c>
      <c r="F78" s="31">
        <v>2</v>
      </c>
      <c r="G78" s="31">
        <v>4</v>
      </c>
      <c r="H78" s="31">
        <v>4</v>
      </c>
      <c r="I78" s="31">
        <v>4</v>
      </c>
      <c r="J78" s="31">
        <v>4</v>
      </c>
      <c r="K78" s="31">
        <v>5</v>
      </c>
      <c r="L78" s="31">
        <v>5</v>
      </c>
      <c r="M78" s="31">
        <v>6</v>
      </c>
      <c r="N78" s="31">
        <v>8</v>
      </c>
      <c r="O78" s="31">
        <v>9</v>
      </c>
      <c r="P78" s="31"/>
      <c r="Q78" s="31"/>
      <c r="R78" s="31"/>
      <c r="S78" s="31"/>
      <c r="T78" s="31"/>
      <c r="U78" s="31"/>
      <c r="V78" s="31"/>
      <c r="W78" s="31"/>
      <c r="X78" s="31"/>
      <c r="Y78" s="31"/>
      <c r="Z78" s="31"/>
      <c r="AA78" s="31"/>
      <c r="AB78" s="31"/>
      <c r="AC78" s="31"/>
      <c r="AD78" s="31"/>
      <c r="AE78" s="31"/>
      <c r="AF78" s="31"/>
      <c r="AG78" s="88" t="s">
        <v>732</v>
      </c>
      <c r="AH78" s="179" t="s">
        <v>187</v>
      </c>
      <c r="AI78" s="179"/>
      <c r="AJ78" s="179"/>
      <c r="AK78" s="88" t="s">
        <v>735</v>
      </c>
      <c r="AL78" s="157">
        <f t="shared" si="3"/>
        <v>7.5</v>
      </c>
      <c r="AM78" s="157"/>
      <c r="AN78" s="157">
        <v>1.5</v>
      </c>
      <c r="AO78" s="6" t="s">
        <v>730</v>
      </c>
      <c r="AP78" s="6" t="s">
        <v>731</v>
      </c>
      <c r="AQ78" s="6" t="s">
        <v>18</v>
      </c>
    </row>
    <row r="79" spans="1:46" ht="42" customHeight="1">
      <c r="A79" s="89" t="s">
        <v>1507</v>
      </c>
      <c r="B79" s="84" t="s">
        <v>590</v>
      </c>
      <c r="C79" s="34">
        <v>5</v>
      </c>
      <c r="D79" s="34"/>
      <c r="E79" s="111">
        <f t="shared" si="2"/>
        <v>63</v>
      </c>
      <c r="F79" s="34">
        <v>12</v>
      </c>
      <c r="G79" s="34">
        <v>10</v>
      </c>
      <c r="H79" s="34">
        <v>19</v>
      </c>
      <c r="I79" s="34">
        <v>12</v>
      </c>
      <c r="J79" s="34">
        <v>10</v>
      </c>
      <c r="P79" s="34"/>
      <c r="Q79" s="34"/>
      <c r="R79" s="34"/>
      <c r="S79" s="34"/>
      <c r="T79" s="34"/>
      <c r="AG79" s="87" t="s">
        <v>704</v>
      </c>
      <c r="AH79" s="179" t="s">
        <v>574</v>
      </c>
      <c r="AL79" s="156">
        <f t="shared" si="3"/>
        <v>25</v>
      </c>
      <c r="AN79" s="156">
        <v>5</v>
      </c>
      <c r="AO79" s="1" t="s">
        <v>702</v>
      </c>
      <c r="AP79" s="1" t="s">
        <v>703</v>
      </c>
      <c r="AQ79" s="1" t="s">
        <v>159</v>
      </c>
      <c r="AR79" s="9"/>
      <c r="AS79" s="9"/>
      <c r="AT79" s="9"/>
    </row>
    <row r="80" spans="1:46" ht="42" customHeight="1">
      <c r="A80" s="89" t="s">
        <v>1508</v>
      </c>
      <c r="B80" s="84" t="s">
        <v>590</v>
      </c>
      <c r="C80" s="34">
        <v>9</v>
      </c>
      <c r="D80" s="34"/>
      <c r="E80" s="111">
        <f t="shared" si="2"/>
        <v>150</v>
      </c>
      <c r="F80" s="34">
        <v>35</v>
      </c>
      <c r="G80" s="127">
        <v>17</v>
      </c>
      <c r="H80" s="128">
        <v>21</v>
      </c>
      <c r="I80" s="129">
        <v>14</v>
      </c>
      <c r="J80" s="130">
        <v>23</v>
      </c>
      <c r="K80" s="127">
        <v>13</v>
      </c>
      <c r="L80" s="129">
        <v>14</v>
      </c>
      <c r="M80" s="130">
        <v>5</v>
      </c>
      <c r="N80" s="128">
        <v>8</v>
      </c>
      <c r="P80" s="34"/>
      <c r="Q80" s="34"/>
      <c r="R80" s="34"/>
      <c r="S80" s="34"/>
      <c r="T80" s="34"/>
      <c r="U80" s="34"/>
      <c r="V80" s="34"/>
      <c r="W80" s="34"/>
      <c r="X80" s="34"/>
      <c r="AG80" s="87" t="s">
        <v>704</v>
      </c>
      <c r="AH80" s="179" t="s">
        <v>574</v>
      </c>
      <c r="AL80" s="156">
        <f t="shared" si="3"/>
        <v>42.5</v>
      </c>
      <c r="AM80" s="156" t="s">
        <v>1902</v>
      </c>
      <c r="AN80" s="156">
        <f>1.5+2+1.5+1.5+2</f>
        <v>8.5</v>
      </c>
      <c r="AO80" s="1" t="s">
        <v>702</v>
      </c>
      <c r="AP80" s="1" t="s">
        <v>703</v>
      </c>
      <c r="AQ80" s="1" t="s">
        <v>19</v>
      </c>
      <c r="AR80" s="9"/>
      <c r="AS80" s="9"/>
      <c r="AT80" s="9"/>
    </row>
    <row r="81" spans="1:46" ht="42" customHeight="1">
      <c r="A81" s="89" t="s">
        <v>1509</v>
      </c>
      <c r="B81" s="84" t="s">
        <v>590</v>
      </c>
      <c r="D81" s="41">
        <v>4</v>
      </c>
      <c r="E81" s="113">
        <f t="shared" si="2"/>
        <v>24</v>
      </c>
      <c r="F81" s="34">
        <v>5</v>
      </c>
      <c r="G81" s="34">
        <v>9</v>
      </c>
      <c r="H81" s="34">
        <v>8</v>
      </c>
      <c r="I81" s="34">
        <v>2</v>
      </c>
      <c r="P81" s="34"/>
      <c r="Q81" s="34"/>
      <c r="R81" s="34"/>
      <c r="S81" s="34"/>
      <c r="AG81" s="87" t="s">
        <v>704</v>
      </c>
      <c r="AH81" s="179" t="s">
        <v>574</v>
      </c>
      <c r="AL81" s="156">
        <f t="shared" si="3"/>
        <v>7.5</v>
      </c>
      <c r="AN81" s="156">
        <v>1.5</v>
      </c>
      <c r="AO81" s="1" t="s">
        <v>702</v>
      </c>
      <c r="AP81" s="1" t="s">
        <v>703</v>
      </c>
      <c r="AQ81" s="1" t="s">
        <v>18</v>
      </c>
      <c r="AR81" s="9"/>
      <c r="AS81" s="9"/>
      <c r="AT81" s="9"/>
    </row>
    <row r="82" spans="1:46" s="7" customFormat="1" ht="42" customHeight="1">
      <c r="A82" s="89" t="s">
        <v>1510</v>
      </c>
      <c r="B82" s="83" t="s">
        <v>591</v>
      </c>
      <c r="C82" s="31">
        <v>7</v>
      </c>
      <c r="D82" s="31"/>
      <c r="E82" s="110">
        <f t="shared" si="2"/>
        <v>29</v>
      </c>
      <c r="F82" s="31">
        <v>7</v>
      </c>
      <c r="G82" s="31">
        <v>6</v>
      </c>
      <c r="H82" s="31">
        <v>3</v>
      </c>
      <c r="I82" s="31">
        <v>4</v>
      </c>
      <c r="J82" s="31">
        <v>1</v>
      </c>
      <c r="K82" s="31">
        <v>6</v>
      </c>
      <c r="L82" s="31">
        <v>2</v>
      </c>
      <c r="M82" s="35"/>
      <c r="N82" s="35"/>
      <c r="O82" s="35"/>
      <c r="P82" s="31"/>
      <c r="Q82" s="31"/>
      <c r="R82" s="31"/>
      <c r="S82" s="31"/>
      <c r="T82" s="31"/>
      <c r="U82" s="31"/>
      <c r="V82" s="31"/>
      <c r="W82" s="35"/>
      <c r="X82" s="35"/>
      <c r="Y82" s="35"/>
      <c r="Z82" s="35"/>
      <c r="AA82" s="35"/>
      <c r="AB82" s="35"/>
      <c r="AC82" s="35"/>
      <c r="AD82" s="35"/>
      <c r="AE82" s="35"/>
      <c r="AF82" s="35"/>
      <c r="AG82" s="88" t="s">
        <v>707</v>
      </c>
      <c r="AH82" s="179" t="s">
        <v>419</v>
      </c>
      <c r="AI82" s="179"/>
      <c r="AJ82" s="179"/>
      <c r="AK82" s="88"/>
      <c r="AL82" s="157">
        <f t="shared" si="3"/>
        <v>7.5</v>
      </c>
      <c r="AM82" s="157"/>
      <c r="AN82" s="157">
        <v>1.5</v>
      </c>
      <c r="AO82" s="6" t="s">
        <v>705</v>
      </c>
      <c r="AP82" s="6" t="s">
        <v>706</v>
      </c>
      <c r="AQ82" s="6" t="s">
        <v>18</v>
      </c>
    </row>
    <row r="83" spans="1:46" s="7" customFormat="1" ht="42" customHeight="1">
      <c r="A83" s="89" t="s">
        <v>1511</v>
      </c>
      <c r="B83" s="83" t="s">
        <v>591</v>
      </c>
      <c r="C83" s="31">
        <v>6</v>
      </c>
      <c r="D83" s="31"/>
      <c r="E83" s="110">
        <f t="shared" si="2"/>
        <v>61</v>
      </c>
      <c r="F83" s="31">
        <v>4</v>
      </c>
      <c r="G83" s="31">
        <v>4</v>
      </c>
      <c r="H83" s="31">
        <v>8</v>
      </c>
      <c r="I83" s="31">
        <v>8</v>
      </c>
      <c r="J83" s="31">
        <v>25</v>
      </c>
      <c r="K83" s="31">
        <v>12</v>
      </c>
      <c r="L83" s="35"/>
      <c r="M83" s="35"/>
      <c r="N83" s="35"/>
      <c r="O83" s="35"/>
      <c r="P83" s="31"/>
      <c r="Q83" s="31"/>
      <c r="R83" s="31"/>
      <c r="S83" s="31"/>
      <c r="T83" s="31"/>
      <c r="U83" s="31"/>
      <c r="V83" s="35"/>
      <c r="W83" s="35"/>
      <c r="X83" s="35"/>
      <c r="Y83" s="35"/>
      <c r="Z83" s="35"/>
      <c r="AA83" s="35"/>
      <c r="AB83" s="35"/>
      <c r="AC83" s="35"/>
      <c r="AD83" s="35"/>
      <c r="AE83" s="35"/>
      <c r="AF83" s="35"/>
      <c r="AG83" s="88" t="s">
        <v>707</v>
      </c>
      <c r="AH83" s="179" t="s">
        <v>164</v>
      </c>
      <c r="AI83" s="179"/>
      <c r="AJ83" s="179"/>
      <c r="AK83" s="88"/>
      <c r="AL83" s="157">
        <f t="shared" si="3"/>
        <v>15</v>
      </c>
      <c r="AM83" s="157"/>
      <c r="AN83" s="157">
        <v>3</v>
      </c>
      <c r="AO83" s="6" t="s">
        <v>705</v>
      </c>
      <c r="AP83" s="6" t="s">
        <v>706</v>
      </c>
      <c r="AQ83" s="6" t="s">
        <v>18</v>
      </c>
    </row>
    <row r="84" spans="1:46" s="7" customFormat="1" ht="42" customHeight="1">
      <c r="A84" s="89" t="s">
        <v>1512</v>
      </c>
      <c r="B84" s="83" t="s">
        <v>591</v>
      </c>
      <c r="C84" s="31">
        <v>1</v>
      </c>
      <c r="D84" s="31"/>
      <c r="E84" s="110">
        <f t="shared" si="2"/>
        <v>5</v>
      </c>
      <c r="F84" s="31">
        <v>5</v>
      </c>
      <c r="G84" s="35"/>
      <c r="H84" s="35"/>
      <c r="I84" s="35"/>
      <c r="J84" s="35"/>
      <c r="K84" s="35"/>
      <c r="L84" s="35"/>
      <c r="M84" s="35"/>
      <c r="N84" s="35"/>
      <c r="O84" s="35"/>
      <c r="P84" s="31"/>
      <c r="Q84" s="35"/>
      <c r="R84" s="35"/>
      <c r="S84" s="35"/>
      <c r="T84" s="35"/>
      <c r="U84" s="35"/>
      <c r="V84" s="35"/>
      <c r="W84" s="35"/>
      <c r="X84" s="35"/>
      <c r="Y84" s="35"/>
      <c r="Z84" s="35"/>
      <c r="AA84" s="35"/>
      <c r="AB84" s="35"/>
      <c r="AC84" s="35"/>
      <c r="AD84" s="35"/>
      <c r="AE84" s="35"/>
      <c r="AF84" s="35"/>
      <c r="AG84" s="88" t="s">
        <v>707</v>
      </c>
      <c r="AH84" s="179" t="s">
        <v>41</v>
      </c>
      <c r="AI84" s="179"/>
      <c r="AJ84" s="179"/>
      <c r="AK84" s="88"/>
      <c r="AL84" s="157">
        <f t="shared" si="3"/>
        <v>2</v>
      </c>
      <c r="AM84" s="157"/>
      <c r="AN84" s="157">
        <v>0.4</v>
      </c>
      <c r="AO84" s="6" t="s">
        <v>705</v>
      </c>
      <c r="AP84" s="6" t="s">
        <v>706</v>
      </c>
      <c r="AQ84" s="6" t="s">
        <v>18</v>
      </c>
    </row>
    <row r="85" spans="1:46" s="7" customFormat="1" ht="42" customHeight="1">
      <c r="A85" s="89" t="s">
        <v>1513</v>
      </c>
      <c r="B85" s="83" t="s">
        <v>591</v>
      </c>
      <c r="C85" s="31">
        <v>3</v>
      </c>
      <c r="D85" s="31"/>
      <c r="E85" s="110">
        <f t="shared" si="2"/>
        <v>7</v>
      </c>
      <c r="F85" s="31">
        <v>1</v>
      </c>
      <c r="G85" s="31">
        <v>2</v>
      </c>
      <c r="H85" s="31">
        <v>4</v>
      </c>
      <c r="I85" s="35"/>
      <c r="J85" s="35"/>
      <c r="K85" s="35"/>
      <c r="L85" s="35"/>
      <c r="M85" s="35"/>
      <c r="N85" s="35"/>
      <c r="O85" s="35"/>
      <c r="P85" s="31"/>
      <c r="Q85" s="31"/>
      <c r="R85" s="31"/>
      <c r="S85" s="35"/>
      <c r="T85" s="35"/>
      <c r="U85" s="35"/>
      <c r="V85" s="35"/>
      <c r="W85" s="35"/>
      <c r="X85" s="35"/>
      <c r="Y85" s="35"/>
      <c r="Z85" s="35"/>
      <c r="AA85" s="35"/>
      <c r="AB85" s="35"/>
      <c r="AC85" s="35"/>
      <c r="AD85" s="35"/>
      <c r="AE85" s="35"/>
      <c r="AF85" s="35"/>
      <c r="AG85" s="88" t="s">
        <v>707</v>
      </c>
      <c r="AH85" s="179" t="s">
        <v>185</v>
      </c>
      <c r="AI85" s="179"/>
      <c r="AJ85" s="179"/>
      <c r="AK85" s="88"/>
      <c r="AL85" s="157">
        <f t="shared" si="3"/>
        <v>4</v>
      </c>
      <c r="AM85" s="157"/>
      <c r="AN85" s="157">
        <v>0.8</v>
      </c>
      <c r="AO85" s="6" t="s">
        <v>705</v>
      </c>
      <c r="AP85" s="6" t="s">
        <v>706</v>
      </c>
      <c r="AQ85" s="6" t="s">
        <v>19</v>
      </c>
    </row>
    <row r="86" spans="1:46" ht="42" customHeight="1">
      <c r="A86" s="89" t="s">
        <v>1514</v>
      </c>
      <c r="B86" s="84" t="s">
        <v>592</v>
      </c>
      <c r="D86" s="41">
        <v>7</v>
      </c>
      <c r="E86" s="113">
        <f t="shared" si="2"/>
        <v>29</v>
      </c>
      <c r="F86" s="34">
        <v>6</v>
      </c>
      <c r="G86" s="34">
        <v>7</v>
      </c>
      <c r="H86" s="34">
        <v>4</v>
      </c>
      <c r="I86" s="34">
        <v>4</v>
      </c>
      <c r="J86" s="34">
        <v>1</v>
      </c>
      <c r="K86" s="34">
        <v>6</v>
      </c>
      <c r="L86" s="34">
        <v>1</v>
      </c>
      <c r="P86" s="34"/>
      <c r="Q86" s="34"/>
      <c r="R86" s="34"/>
      <c r="S86" s="34"/>
      <c r="T86" s="34"/>
      <c r="U86" s="34"/>
      <c r="V86" s="34"/>
      <c r="AG86" s="87" t="s">
        <v>727</v>
      </c>
      <c r="AH86" s="179" t="s">
        <v>593</v>
      </c>
      <c r="AK86" s="87" t="s">
        <v>728</v>
      </c>
      <c r="AL86" s="156">
        <f t="shared" si="3"/>
        <v>7.5</v>
      </c>
      <c r="AN86" s="156">
        <v>1.5</v>
      </c>
      <c r="AO86" s="1" t="s">
        <v>725</v>
      </c>
      <c r="AP86" s="1" t="s">
        <v>726</v>
      </c>
      <c r="AR86" s="9"/>
      <c r="AS86" s="9"/>
      <c r="AT86" s="9"/>
    </row>
    <row r="87" spans="1:46" ht="42" customHeight="1">
      <c r="A87" s="89" t="s">
        <v>1515</v>
      </c>
      <c r="B87" s="84" t="s">
        <v>592</v>
      </c>
      <c r="C87" s="34">
        <v>10</v>
      </c>
      <c r="D87" s="34"/>
      <c r="E87" s="111">
        <f t="shared" si="2"/>
        <v>163</v>
      </c>
      <c r="F87" s="34">
        <v>23</v>
      </c>
      <c r="G87" s="127">
        <v>19</v>
      </c>
      <c r="H87" s="128">
        <v>27</v>
      </c>
      <c r="I87" s="129">
        <v>18</v>
      </c>
      <c r="J87" s="129">
        <v>16</v>
      </c>
      <c r="K87" s="130">
        <v>13</v>
      </c>
      <c r="L87" s="127">
        <v>13</v>
      </c>
      <c r="M87" s="130">
        <v>19</v>
      </c>
      <c r="N87" s="34">
        <v>10</v>
      </c>
      <c r="O87" s="128">
        <v>5</v>
      </c>
      <c r="P87" s="34"/>
      <c r="Q87" s="34"/>
      <c r="R87" s="34"/>
      <c r="S87" s="34"/>
      <c r="T87" s="34"/>
      <c r="U87" s="34"/>
      <c r="V87" s="34"/>
      <c r="W87" s="34"/>
      <c r="X87" s="34"/>
      <c r="Y87" s="34"/>
      <c r="Z87" s="34"/>
      <c r="AA87" s="34"/>
      <c r="AB87" s="34"/>
      <c r="AC87" s="34"/>
      <c r="AD87" s="34"/>
      <c r="AE87" s="34"/>
      <c r="AF87" s="34"/>
      <c r="AG87" s="87" t="s">
        <v>727</v>
      </c>
      <c r="AH87" s="179" t="s">
        <v>593</v>
      </c>
      <c r="AK87" s="87" t="s">
        <v>729</v>
      </c>
      <c r="AL87" s="156">
        <f t="shared" si="3"/>
        <v>50</v>
      </c>
      <c r="AM87" s="156" t="s">
        <v>1882</v>
      </c>
      <c r="AN87" s="156">
        <f>2*5</f>
        <v>10</v>
      </c>
      <c r="AO87" s="1" t="s">
        <v>725</v>
      </c>
      <c r="AP87" s="1" t="s">
        <v>726</v>
      </c>
      <c r="AQ87" s="1" t="s">
        <v>159</v>
      </c>
      <c r="AR87" s="9"/>
      <c r="AS87" s="9"/>
      <c r="AT87" s="9"/>
    </row>
    <row r="88" spans="1:46" s="7" customFormat="1" ht="42" customHeight="1">
      <c r="A88" s="89" t="s">
        <v>1516</v>
      </c>
      <c r="B88" s="83" t="s">
        <v>595</v>
      </c>
      <c r="C88" s="50"/>
      <c r="D88" s="50">
        <v>10</v>
      </c>
      <c r="E88" s="112">
        <f t="shared" si="2"/>
        <v>36</v>
      </c>
      <c r="F88" s="31">
        <v>6</v>
      </c>
      <c r="G88" s="31">
        <v>4</v>
      </c>
      <c r="H88" s="31">
        <v>4</v>
      </c>
      <c r="I88" s="31">
        <v>4</v>
      </c>
      <c r="J88" s="31">
        <v>5</v>
      </c>
      <c r="K88" s="31">
        <v>4</v>
      </c>
      <c r="L88" s="31">
        <v>1</v>
      </c>
      <c r="M88" s="31">
        <v>2</v>
      </c>
      <c r="N88" s="31">
        <v>4</v>
      </c>
      <c r="O88" s="31">
        <v>2</v>
      </c>
      <c r="P88" s="31"/>
      <c r="Q88" s="31"/>
      <c r="R88" s="31"/>
      <c r="S88" s="31"/>
      <c r="T88" s="31"/>
      <c r="U88" s="31"/>
      <c r="V88" s="31"/>
      <c r="W88" s="31"/>
      <c r="X88" s="31"/>
      <c r="Y88" s="31"/>
      <c r="Z88" s="31"/>
      <c r="AA88" s="31"/>
      <c r="AB88" s="31"/>
      <c r="AC88" s="31"/>
      <c r="AD88" s="31"/>
      <c r="AE88" s="31"/>
      <c r="AF88" s="31"/>
      <c r="AG88" s="88" t="s">
        <v>721</v>
      </c>
      <c r="AH88" s="179" t="s">
        <v>722</v>
      </c>
      <c r="AI88" s="179"/>
      <c r="AJ88" s="179"/>
      <c r="AK88" s="88" t="s">
        <v>723</v>
      </c>
      <c r="AL88" s="157">
        <f t="shared" si="3"/>
        <v>12.5</v>
      </c>
      <c r="AM88" s="157"/>
      <c r="AN88" s="157">
        <v>2.5</v>
      </c>
      <c r="AO88" s="6" t="s">
        <v>719</v>
      </c>
      <c r="AP88" s="6" t="s">
        <v>720</v>
      </c>
      <c r="AQ88" s="6"/>
    </row>
    <row r="89" spans="1:46" s="7" customFormat="1" ht="42" customHeight="1">
      <c r="A89" s="89" t="s">
        <v>1517</v>
      </c>
      <c r="B89" s="83" t="s">
        <v>595</v>
      </c>
      <c r="C89" s="31">
        <v>9</v>
      </c>
      <c r="D89" s="31"/>
      <c r="E89" s="110">
        <f t="shared" si="2"/>
        <v>68</v>
      </c>
      <c r="F89" s="31">
        <v>9</v>
      </c>
      <c r="G89" s="31">
        <v>10</v>
      </c>
      <c r="H89" s="31">
        <v>9</v>
      </c>
      <c r="I89" s="31">
        <v>9</v>
      </c>
      <c r="J89" s="31">
        <v>7</v>
      </c>
      <c r="K89" s="31">
        <v>8</v>
      </c>
      <c r="L89" s="31">
        <v>7</v>
      </c>
      <c r="M89" s="31">
        <v>4</v>
      </c>
      <c r="N89" s="31">
        <v>5</v>
      </c>
      <c r="O89" s="35"/>
      <c r="P89" s="31"/>
      <c r="Q89" s="31"/>
      <c r="R89" s="31"/>
      <c r="S89" s="31"/>
      <c r="T89" s="31"/>
      <c r="U89" s="31"/>
      <c r="V89" s="31"/>
      <c r="W89" s="31"/>
      <c r="X89" s="31"/>
      <c r="Y89" s="35"/>
      <c r="Z89" s="35"/>
      <c r="AA89" s="35"/>
      <c r="AB89" s="35"/>
      <c r="AC89" s="35"/>
      <c r="AD89" s="35"/>
      <c r="AE89" s="35"/>
      <c r="AF89" s="35"/>
      <c r="AG89" s="88" t="s">
        <v>721</v>
      </c>
      <c r="AH89" s="179" t="s">
        <v>596</v>
      </c>
      <c r="AI89" s="179"/>
      <c r="AJ89" s="179"/>
      <c r="AK89" s="88" t="s">
        <v>724</v>
      </c>
      <c r="AL89" s="157">
        <f t="shared" si="3"/>
        <v>25</v>
      </c>
      <c r="AM89" s="157"/>
      <c r="AN89" s="157">
        <v>5</v>
      </c>
      <c r="AO89" s="6" t="s">
        <v>719</v>
      </c>
      <c r="AP89" s="6" t="s">
        <v>720</v>
      </c>
      <c r="AQ89" s="6" t="s">
        <v>27</v>
      </c>
    </row>
    <row r="90" spans="1:46" ht="42" customHeight="1">
      <c r="A90" s="89" t="s">
        <v>1518</v>
      </c>
      <c r="B90" s="84" t="s">
        <v>597</v>
      </c>
      <c r="C90" s="34">
        <v>8</v>
      </c>
      <c r="D90" s="34"/>
      <c r="E90" s="111">
        <f t="shared" si="2"/>
        <v>134</v>
      </c>
      <c r="F90" s="34">
        <v>22</v>
      </c>
      <c r="G90" s="127">
        <v>14</v>
      </c>
      <c r="H90" s="128">
        <v>20</v>
      </c>
      <c r="I90" s="127">
        <v>15</v>
      </c>
      <c r="J90" s="128">
        <v>10</v>
      </c>
      <c r="K90" s="129">
        <v>25</v>
      </c>
      <c r="L90" s="130">
        <v>17</v>
      </c>
      <c r="M90" s="130">
        <v>11</v>
      </c>
      <c r="P90" s="34"/>
      <c r="Q90" s="34"/>
      <c r="R90" s="34"/>
      <c r="S90" s="34"/>
      <c r="T90" s="34"/>
      <c r="U90" s="34"/>
      <c r="V90" s="34"/>
      <c r="W90" s="34"/>
      <c r="AG90" s="87" t="s">
        <v>710</v>
      </c>
      <c r="AH90" s="179" t="s">
        <v>344</v>
      </c>
      <c r="AL90" s="156">
        <f t="shared" si="3"/>
        <v>32</v>
      </c>
      <c r="AM90" s="156" t="s">
        <v>1903</v>
      </c>
      <c r="AN90" s="156">
        <f>0.9+2+1.1+0.9+1.5</f>
        <v>6.4</v>
      </c>
      <c r="AO90" s="1" t="s">
        <v>708</v>
      </c>
      <c r="AP90" s="1" t="s">
        <v>709</v>
      </c>
      <c r="AQ90" s="1" t="s">
        <v>159</v>
      </c>
      <c r="AR90" s="9"/>
      <c r="AS90" s="9"/>
      <c r="AT90" s="9"/>
    </row>
    <row r="91" spans="1:46" ht="42" customHeight="1">
      <c r="A91" s="89" t="s">
        <v>1519</v>
      </c>
      <c r="B91" s="84" t="s">
        <v>597</v>
      </c>
      <c r="D91" s="41">
        <v>2</v>
      </c>
      <c r="E91" s="113">
        <f t="shared" si="2"/>
        <v>7</v>
      </c>
      <c r="F91" s="34">
        <v>3</v>
      </c>
      <c r="G91" s="34">
        <v>4</v>
      </c>
      <c r="P91" s="34"/>
      <c r="Q91" s="34"/>
      <c r="AG91" s="87" t="s">
        <v>710</v>
      </c>
      <c r="AH91" s="179" t="s">
        <v>574</v>
      </c>
      <c r="AL91" s="156">
        <f t="shared" si="3"/>
        <v>3</v>
      </c>
      <c r="AN91" s="156">
        <v>0.6</v>
      </c>
      <c r="AO91" s="1" t="s">
        <v>708</v>
      </c>
      <c r="AP91" s="1" t="s">
        <v>709</v>
      </c>
      <c r="AQ91" s="1" t="s">
        <v>18</v>
      </c>
      <c r="AR91" s="9"/>
      <c r="AS91" s="9"/>
      <c r="AT91" s="9"/>
    </row>
    <row r="92" spans="1:46" s="7" customFormat="1" ht="42" customHeight="1">
      <c r="A92" s="89" t="s">
        <v>1520</v>
      </c>
      <c r="B92" s="83" t="s">
        <v>598</v>
      </c>
      <c r="C92" s="31">
        <v>10</v>
      </c>
      <c r="D92" s="31"/>
      <c r="E92" s="110">
        <f t="shared" si="2"/>
        <v>124</v>
      </c>
      <c r="F92" s="131">
        <v>17</v>
      </c>
      <c r="G92" s="127">
        <v>11</v>
      </c>
      <c r="H92" s="127">
        <v>12</v>
      </c>
      <c r="I92" s="128">
        <v>18</v>
      </c>
      <c r="J92" s="129">
        <v>10</v>
      </c>
      <c r="K92" s="129">
        <v>12</v>
      </c>
      <c r="L92" s="130">
        <v>10</v>
      </c>
      <c r="M92" s="130">
        <v>15</v>
      </c>
      <c r="N92" s="131">
        <v>10</v>
      </c>
      <c r="O92" s="128">
        <v>9</v>
      </c>
      <c r="P92" s="31"/>
      <c r="Q92" s="31"/>
      <c r="R92" s="31"/>
      <c r="S92" s="31"/>
      <c r="T92" s="31"/>
      <c r="U92" s="31"/>
      <c r="V92" s="31"/>
      <c r="W92" s="31"/>
      <c r="X92" s="31"/>
      <c r="Y92" s="31"/>
      <c r="Z92" s="31"/>
      <c r="AA92" s="31"/>
      <c r="AB92" s="31"/>
      <c r="AC92" s="31"/>
      <c r="AD92" s="31"/>
      <c r="AE92" s="31"/>
      <c r="AF92" s="31"/>
      <c r="AG92" s="88" t="s">
        <v>714</v>
      </c>
      <c r="AH92" s="179" t="s">
        <v>599</v>
      </c>
      <c r="AI92" s="179"/>
      <c r="AJ92" s="179"/>
      <c r="AK92" s="88" t="s">
        <v>715</v>
      </c>
      <c r="AL92" s="157">
        <f t="shared" si="3"/>
        <v>45</v>
      </c>
      <c r="AM92" s="157" t="s">
        <v>1904</v>
      </c>
      <c r="AN92" s="157">
        <f>2+2+1.5+1.5+2</f>
        <v>9</v>
      </c>
      <c r="AO92" s="6" t="s">
        <v>712</v>
      </c>
      <c r="AP92" s="6" t="s">
        <v>713</v>
      </c>
      <c r="AQ92" s="6" t="s">
        <v>159</v>
      </c>
    </row>
    <row r="93" spans="1:46" s="7" customFormat="1" ht="42" customHeight="1">
      <c r="A93" s="89" t="s">
        <v>1521</v>
      </c>
      <c r="B93" s="83" t="s">
        <v>598</v>
      </c>
      <c r="C93" s="31">
        <v>10</v>
      </c>
      <c r="D93" s="31"/>
      <c r="E93" s="110">
        <f t="shared" si="2"/>
        <v>105</v>
      </c>
      <c r="F93" s="131">
        <v>15</v>
      </c>
      <c r="G93" s="127">
        <v>10</v>
      </c>
      <c r="H93" s="128">
        <v>14</v>
      </c>
      <c r="I93" s="129">
        <v>13</v>
      </c>
      <c r="J93" s="127">
        <v>12</v>
      </c>
      <c r="K93" s="130">
        <v>10</v>
      </c>
      <c r="L93" s="130">
        <v>10</v>
      </c>
      <c r="M93" s="129">
        <v>9</v>
      </c>
      <c r="N93" s="128">
        <v>7</v>
      </c>
      <c r="O93" s="131">
        <v>5</v>
      </c>
      <c r="P93" s="31"/>
      <c r="Q93" s="31"/>
      <c r="R93" s="31"/>
      <c r="S93" s="31"/>
      <c r="T93" s="31"/>
      <c r="U93" s="31"/>
      <c r="V93" s="31"/>
      <c r="W93" s="31"/>
      <c r="X93" s="31"/>
      <c r="Y93" s="31"/>
      <c r="Z93" s="31"/>
      <c r="AA93" s="31"/>
      <c r="AB93" s="31"/>
      <c r="AC93" s="31"/>
      <c r="AD93" s="31"/>
      <c r="AE93" s="31"/>
      <c r="AF93" s="31"/>
      <c r="AG93" s="88" t="s">
        <v>714</v>
      </c>
      <c r="AH93" s="179" t="s">
        <v>600</v>
      </c>
      <c r="AI93" s="179"/>
      <c r="AJ93" s="179"/>
      <c r="AK93" s="88" t="s">
        <v>716</v>
      </c>
      <c r="AL93" s="157">
        <f t="shared" si="3"/>
        <v>33.999999999999993</v>
      </c>
      <c r="AM93" s="157" t="s">
        <v>1905</v>
      </c>
      <c r="AN93" s="157">
        <f>1.1+2+1.5+1.1+1.1</f>
        <v>6.7999999999999989</v>
      </c>
      <c r="AO93" s="6" t="s">
        <v>712</v>
      </c>
      <c r="AP93" s="6" t="s">
        <v>713</v>
      </c>
      <c r="AQ93" s="6" t="s">
        <v>19</v>
      </c>
    </row>
    <row r="94" spans="1:46" s="7" customFormat="1" ht="42" customHeight="1">
      <c r="A94" s="89" t="s">
        <v>1522</v>
      </c>
      <c r="B94" s="83" t="s">
        <v>598</v>
      </c>
      <c r="C94" s="50"/>
      <c r="D94" s="50">
        <v>8</v>
      </c>
      <c r="E94" s="112">
        <f t="shared" si="2"/>
        <v>42</v>
      </c>
      <c r="F94" s="31">
        <v>9</v>
      </c>
      <c r="G94" s="31">
        <v>5</v>
      </c>
      <c r="H94" s="31">
        <v>7</v>
      </c>
      <c r="I94" s="31">
        <v>4</v>
      </c>
      <c r="J94" s="31">
        <v>7</v>
      </c>
      <c r="K94" s="31">
        <v>2</v>
      </c>
      <c r="L94" s="31">
        <v>6</v>
      </c>
      <c r="M94" s="31">
        <v>2</v>
      </c>
      <c r="N94" s="35"/>
      <c r="O94" s="35"/>
      <c r="P94" s="31"/>
      <c r="Q94" s="31"/>
      <c r="R94" s="31"/>
      <c r="S94" s="31"/>
      <c r="T94" s="31"/>
      <c r="U94" s="31"/>
      <c r="V94" s="31"/>
      <c r="W94" s="31"/>
      <c r="X94" s="35"/>
      <c r="Y94" s="35"/>
      <c r="Z94" s="35"/>
      <c r="AA94" s="35"/>
      <c r="AB94" s="35"/>
      <c r="AC94" s="35"/>
      <c r="AD94" s="35"/>
      <c r="AE94" s="35"/>
      <c r="AF94" s="35"/>
      <c r="AG94" s="88" t="s">
        <v>714</v>
      </c>
      <c r="AH94" s="179" t="s">
        <v>600</v>
      </c>
      <c r="AI94" s="179"/>
      <c r="AJ94" s="179"/>
      <c r="AK94" s="88" t="s">
        <v>718</v>
      </c>
      <c r="AL94" s="157">
        <f t="shared" si="3"/>
        <v>15</v>
      </c>
      <c r="AM94" s="157"/>
      <c r="AN94" s="157">
        <v>3</v>
      </c>
      <c r="AO94" s="6" t="s">
        <v>712</v>
      </c>
      <c r="AP94" s="6" t="s">
        <v>713</v>
      </c>
      <c r="AQ94" s="6" t="s">
        <v>18</v>
      </c>
    </row>
    <row r="95" spans="1:46" s="7" customFormat="1" ht="42" customHeight="1">
      <c r="A95" s="89" t="s">
        <v>1523</v>
      </c>
      <c r="B95" s="83" t="s">
        <v>598</v>
      </c>
      <c r="C95" s="31">
        <v>1</v>
      </c>
      <c r="D95" s="31"/>
      <c r="E95" s="110">
        <f t="shared" si="2"/>
        <v>9</v>
      </c>
      <c r="F95" s="31">
        <v>9</v>
      </c>
      <c r="G95" s="35"/>
      <c r="H95" s="35"/>
      <c r="I95" s="35"/>
      <c r="J95" s="35"/>
      <c r="K95" s="35"/>
      <c r="L95" s="35"/>
      <c r="M95" s="35"/>
      <c r="N95" s="35"/>
      <c r="O95" s="35"/>
      <c r="P95" s="31"/>
      <c r="Q95" s="35"/>
      <c r="R95" s="35"/>
      <c r="S95" s="35"/>
      <c r="T95" s="35"/>
      <c r="U95" s="35"/>
      <c r="V95" s="35"/>
      <c r="W95" s="35"/>
      <c r="X95" s="35"/>
      <c r="Y95" s="35"/>
      <c r="Z95" s="35"/>
      <c r="AA95" s="35"/>
      <c r="AB95" s="35"/>
      <c r="AC95" s="35"/>
      <c r="AD95" s="35"/>
      <c r="AE95" s="35"/>
      <c r="AF95" s="35"/>
      <c r="AG95" s="88" t="s">
        <v>714</v>
      </c>
      <c r="AH95" s="179" t="s">
        <v>244</v>
      </c>
      <c r="AI95" s="179"/>
      <c r="AJ95" s="179"/>
      <c r="AK95" s="88" t="s">
        <v>717</v>
      </c>
      <c r="AL95" s="157">
        <f t="shared" si="3"/>
        <v>4</v>
      </c>
      <c r="AM95" s="157"/>
      <c r="AN95" s="157">
        <v>0.8</v>
      </c>
      <c r="AO95" s="6" t="s">
        <v>712</v>
      </c>
      <c r="AP95" s="6" t="s">
        <v>713</v>
      </c>
      <c r="AQ95" s="6" t="s">
        <v>19</v>
      </c>
    </row>
    <row r="96" spans="1:46" ht="42" customHeight="1">
      <c r="A96" s="89" t="s">
        <v>1524</v>
      </c>
      <c r="B96" s="78" t="s">
        <v>974</v>
      </c>
      <c r="C96" s="28">
        <v>10</v>
      </c>
      <c r="D96" s="28"/>
      <c r="E96" s="111">
        <f t="shared" si="2"/>
        <v>92</v>
      </c>
      <c r="F96" s="28">
        <v>7</v>
      </c>
      <c r="G96" s="28">
        <v>3</v>
      </c>
      <c r="H96" s="28">
        <v>6</v>
      </c>
      <c r="I96" s="28">
        <v>6</v>
      </c>
      <c r="J96" s="28">
        <v>6</v>
      </c>
      <c r="K96" s="28">
        <v>8</v>
      </c>
      <c r="L96" s="28">
        <v>14</v>
      </c>
      <c r="M96" s="28">
        <v>15</v>
      </c>
      <c r="N96" s="28">
        <v>10</v>
      </c>
      <c r="O96" s="28">
        <v>17</v>
      </c>
      <c r="P96" s="28"/>
      <c r="Q96" s="28"/>
      <c r="R96" s="28"/>
      <c r="S96" s="28"/>
      <c r="T96" s="28"/>
      <c r="U96" s="28"/>
      <c r="V96" s="28"/>
      <c r="W96" s="28"/>
      <c r="X96" s="28"/>
      <c r="Y96" s="28"/>
      <c r="Z96" s="28"/>
      <c r="AA96" s="28"/>
      <c r="AB96" s="28"/>
      <c r="AC96" s="28"/>
      <c r="AD96" s="28"/>
      <c r="AE96" s="28"/>
      <c r="AF96" s="28"/>
      <c r="AG96" s="87" t="s">
        <v>711</v>
      </c>
      <c r="AH96" s="179" t="s">
        <v>555</v>
      </c>
      <c r="AL96" s="156">
        <f t="shared" si="3"/>
        <v>20</v>
      </c>
      <c r="AN96" s="156">
        <v>4</v>
      </c>
      <c r="AO96" s="20" t="s">
        <v>976</v>
      </c>
      <c r="AP96" s="20" t="s">
        <v>977</v>
      </c>
      <c r="AQ96" s="20" t="s">
        <v>975</v>
      </c>
      <c r="AR96" s="9"/>
      <c r="AS96" s="9"/>
      <c r="AT96" s="9"/>
    </row>
    <row r="97" spans="1:46" ht="42" customHeight="1">
      <c r="A97" s="89" t="s">
        <v>1525</v>
      </c>
      <c r="B97" s="78" t="s">
        <v>974</v>
      </c>
      <c r="C97" s="28">
        <v>10</v>
      </c>
      <c r="D97" s="28"/>
      <c r="E97" s="111">
        <f t="shared" si="2"/>
        <v>139</v>
      </c>
      <c r="F97" s="135">
        <v>25</v>
      </c>
      <c r="G97" s="132">
        <v>17</v>
      </c>
      <c r="H97" s="133">
        <v>15</v>
      </c>
      <c r="I97" s="134">
        <v>21</v>
      </c>
      <c r="J97" s="134">
        <v>8</v>
      </c>
      <c r="K97" s="133">
        <v>15</v>
      </c>
      <c r="L97" s="136">
        <v>15</v>
      </c>
      <c r="M97" s="136">
        <v>11</v>
      </c>
      <c r="N97" s="132">
        <v>8</v>
      </c>
      <c r="O97" s="132">
        <v>4</v>
      </c>
      <c r="P97" s="135"/>
      <c r="Q97" s="28"/>
      <c r="R97" s="28"/>
      <c r="S97" s="28"/>
      <c r="T97" s="28"/>
      <c r="U97" s="28"/>
      <c r="V97" s="28"/>
      <c r="W97" s="28"/>
      <c r="X97" s="28"/>
      <c r="Y97" s="28"/>
      <c r="Z97" s="28"/>
      <c r="AA97" s="28"/>
      <c r="AB97" s="28"/>
      <c r="AC97" s="28"/>
      <c r="AD97" s="28"/>
      <c r="AE97" s="28"/>
      <c r="AF97" s="28"/>
      <c r="AG97" s="87" t="s">
        <v>711</v>
      </c>
      <c r="AH97" s="179" t="s">
        <v>506</v>
      </c>
      <c r="AL97" s="156">
        <f t="shared" si="3"/>
        <v>48</v>
      </c>
      <c r="AM97" s="156" t="s">
        <v>1906</v>
      </c>
      <c r="AN97" s="156">
        <f>2+2.5+2+2+1.1</f>
        <v>9.6</v>
      </c>
      <c r="AO97" s="20" t="s">
        <v>976</v>
      </c>
      <c r="AP97" s="20" t="s">
        <v>977</v>
      </c>
      <c r="AQ97" s="20" t="s">
        <v>975</v>
      </c>
      <c r="AR97" s="9"/>
      <c r="AS97" s="9"/>
      <c r="AT97" s="9"/>
    </row>
    <row r="98" spans="1:46" ht="42" customHeight="1">
      <c r="A98" s="89" t="s">
        <v>1526</v>
      </c>
      <c r="B98" s="78" t="s">
        <v>974</v>
      </c>
      <c r="C98" s="28">
        <v>10</v>
      </c>
      <c r="D98" s="28"/>
      <c r="E98" s="111">
        <f t="shared" si="2"/>
        <v>63</v>
      </c>
      <c r="F98" s="28">
        <v>6</v>
      </c>
      <c r="G98" s="28">
        <v>4</v>
      </c>
      <c r="H98" s="28">
        <v>4</v>
      </c>
      <c r="I98" s="28">
        <v>6</v>
      </c>
      <c r="J98" s="28">
        <v>5</v>
      </c>
      <c r="K98" s="28">
        <v>4</v>
      </c>
      <c r="L98" s="28">
        <v>10</v>
      </c>
      <c r="M98" s="28">
        <v>12</v>
      </c>
      <c r="N98" s="28">
        <v>3</v>
      </c>
      <c r="O98" s="28">
        <v>9</v>
      </c>
      <c r="P98" s="28"/>
      <c r="Q98" s="28"/>
      <c r="R98" s="28"/>
      <c r="S98" s="28"/>
      <c r="T98" s="28"/>
      <c r="U98" s="28"/>
      <c r="V98" s="28"/>
      <c r="W98" s="28"/>
      <c r="X98" s="28"/>
      <c r="Y98" s="28"/>
      <c r="Z98" s="28"/>
      <c r="AA98" s="28"/>
      <c r="AB98" s="28"/>
      <c r="AC98" s="28"/>
      <c r="AD98" s="28"/>
      <c r="AE98" s="28"/>
      <c r="AF98" s="28"/>
      <c r="AG98" s="87" t="s">
        <v>711</v>
      </c>
      <c r="AH98" s="179" t="s">
        <v>506</v>
      </c>
      <c r="AL98" s="156">
        <f t="shared" si="3"/>
        <v>17.5</v>
      </c>
      <c r="AN98" s="156">
        <v>3.5</v>
      </c>
      <c r="AO98" s="20" t="s">
        <v>976</v>
      </c>
      <c r="AP98" s="20" t="s">
        <v>977</v>
      </c>
      <c r="AQ98" s="20" t="s">
        <v>975</v>
      </c>
      <c r="AR98" s="9"/>
      <c r="AS98" s="9"/>
      <c r="AT98" s="9"/>
    </row>
    <row r="99" spans="1:46" ht="42" customHeight="1">
      <c r="A99" s="89" t="s">
        <v>1527</v>
      </c>
      <c r="B99" s="78" t="s">
        <v>974</v>
      </c>
      <c r="C99" s="28">
        <v>7</v>
      </c>
      <c r="D99" s="28"/>
      <c r="E99" s="111">
        <f t="shared" si="2"/>
        <v>105</v>
      </c>
      <c r="F99" s="28">
        <v>18</v>
      </c>
      <c r="G99" s="132">
        <v>18</v>
      </c>
      <c r="H99" s="133">
        <v>16</v>
      </c>
      <c r="I99" s="133">
        <v>8</v>
      </c>
      <c r="J99" s="134">
        <v>23</v>
      </c>
      <c r="K99" s="136">
        <v>12</v>
      </c>
      <c r="L99" s="136">
        <v>10</v>
      </c>
      <c r="M99" s="29"/>
      <c r="N99" s="29"/>
      <c r="O99" s="29"/>
      <c r="P99" s="28"/>
      <c r="Q99" s="28"/>
      <c r="R99" s="28"/>
      <c r="S99" s="28"/>
      <c r="T99" s="28"/>
      <c r="U99" s="28"/>
      <c r="V99" s="28"/>
      <c r="W99" s="29"/>
      <c r="X99" s="29"/>
      <c r="Y99" s="29"/>
      <c r="Z99" s="29"/>
      <c r="AA99" s="29"/>
      <c r="AB99" s="29"/>
      <c r="AC99" s="29"/>
      <c r="AD99" s="29"/>
      <c r="AE99" s="29"/>
      <c r="AF99" s="29"/>
      <c r="AG99" s="87" t="s">
        <v>711</v>
      </c>
      <c r="AH99" s="179" t="s">
        <v>81</v>
      </c>
      <c r="AL99" s="156">
        <f t="shared" si="3"/>
        <v>24.5</v>
      </c>
      <c r="AM99" s="156" t="s">
        <v>1907</v>
      </c>
      <c r="AN99" s="156">
        <f>1.1+0.7+1.1+1.1+0.9</f>
        <v>4.9000000000000004</v>
      </c>
      <c r="AO99" s="20" t="s">
        <v>976</v>
      </c>
      <c r="AP99" s="20" t="s">
        <v>977</v>
      </c>
      <c r="AQ99" s="20" t="s">
        <v>975</v>
      </c>
      <c r="AR99" s="9"/>
      <c r="AS99" s="9"/>
      <c r="AT99" s="9"/>
    </row>
    <row r="100" spans="1:46" ht="30" customHeight="1">
      <c r="E100" s="113" t="s">
        <v>1791</v>
      </c>
    </row>
    <row r="101" spans="1:46" ht="30" customHeight="1">
      <c r="E101" s="113" t="s">
        <v>1794</v>
      </c>
    </row>
    <row r="102" spans="1:46" ht="30" customHeight="1">
      <c r="E102" s="113" t="s">
        <v>1799</v>
      </c>
    </row>
  </sheetData>
  <phoneticPr fontId="2" type="noConversion"/>
  <pageMargins left="0.39000000000000007" right="0.39000000000000007" top="0.39000000000000007" bottom="0.39000000000000007" header="0.31" footer="0.10999999999999999"/>
  <pageSetup paperSize="9" scale="65" fitToHeight="6" orientation="landscape" r:id="rId1"/>
  <headerFooter>
    <oddFooter>&amp;R&amp;"宋体,常规"&amp;K000000景东 &amp;N/&amp;N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40"/>
  <sheetViews>
    <sheetView topLeftCell="L1" workbookViewId="0">
      <pane ySplit="1" topLeftCell="A24" activePane="bottomLeft" state="frozen"/>
      <selection pane="bottomLeft" activeCell="AN2" sqref="AN2:AN40"/>
    </sheetView>
  </sheetViews>
  <sheetFormatPr baseColWidth="10" defaultColWidth="8.83203125" defaultRowHeight="40" customHeight="1"/>
  <cols>
    <col min="1" max="2" width="8" style="96" customWidth="1"/>
    <col min="3" max="3" width="4.1640625" style="53" customWidth="1"/>
    <col min="4" max="4" width="4.1640625" style="54" customWidth="1"/>
    <col min="5" max="5" width="5.1640625" style="105" customWidth="1"/>
    <col min="6" max="32" width="5.33203125" style="54" customWidth="1"/>
    <col min="33" max="33" width="21.1640625" style="62" customWidth="1"/>
    <col min="34" max="36" width="13.33203125" style="190" customWidth="1"/>
    <col min="37" max="37" width="25.1640625" style="62" customWidth="1"/>
    <col min="38" max="40" width="22.33203125" style="62" customWidth="1"/>
    <col min="41" max="41" width="20.5" style="43" bestFit="1" customWidth="1"/>
    <col min="42" max="42" width="17.1640625" style="43" customWidth="1"/>
    <col min="43" max="43" width="7.1640625" style="44" bestFit="1" customWidth="1"/>
    <col min="44" max="44" width="5.1640625" style="44" bestFit="1" customWidth="1"/>
    <col min="45" max="16384" width="8.83203125" style="42"/>
  </cols>
  <sheetData>
    <row r="1" spans="1:44" ht="40" customHeight="1">
      <c r="A1" s="96" t="s">
        <v>1718</v>
      </c>
      <c r="B1" s="96" t="s">
        <v>855</v>
      </c>
      <c r="C1" s="187" t="s">
        <v>2021</v>
      </c>
      <c r="D1" s="54" t="s">
        <v>983</v>
      </c>
      <c r="E1" s="105" t="s">
        <v>1717</v>
      </c>
      <c r="F1" s="54" t="s">
        <v>985</v>
      </c>
      <c r="G1" s="54" t="s">
        <v>755</v>
      </c>
      <c r="H1" s="54" t="s">
        <v>756</v>
      </c>
      <c r="I1" s="54" t="s">
        <v>757</v>
      </c>
      <c r="J1" s="54" t="s">
        <v>758</v>
      </c>
      <c r="K1" s="54" t="s">
        <v>759</v>
      </c>
      <c r="L1" s="54" t="s">
        <v>760</v>
      </c>
      <c r="M1" s="54" t="s">
        <v>761</v>
      </c>
      <c r="N1" s="54" t="s">
        <v>762</v>
      </c>
      <c r="O1" s="54" t="s">
        <v>763</v>
      </c>
      <c r="P1" s="54" t="s">
        <v>1132</v>
      </c>
      <c r="Q1" s="54" t="s">
        <v>1133</v>
      </c>
      <c r="R1" s="54" t="s">
        <v>1134</v>
      </c>
      <c r="S1" s="54" t="s">
        <v>1135</v>
      </c>
      <c r="T1" s="54" t="s">
        <v>1136</v>
      </c>
      <c r="U1" s="54" t="s">
        <v>1137</v>
      </c>
      <c r="V1" s="54" t="s">
        <v>1138</v>
      </c>
      <c r="W1" s="54" t="s">
        <v>1139</v>
      </c>
      <c r="X1" s="54" t="s">
        <v>1140</v>
      </c>
      <c r="Y1" s="54" t="s">
        <v>1141</v>
      </c>
      <c r="Z1" s="54" t="s">
        <v>1142</v>
      </c>
      <c r="AA1" s="54" t="s">
        <v>1143</v>
      </c>
      <c r="AB1" s="54" t="s">
        <v>1144</v>
      </c>
      <c r="AC1" s="54" t="s">
        <v>1145</v>
      </c>
      <c r="AD1" s="54" t="s">
        <v>1146</v>
      </c>
      <c r="AE1" s="54" t="s">
        <v>1147</v>
      </c>
      <c r="AF1" s="54" t="s">
        <v>1148</v>
      </c>
      <c r="AG1" s="62" t="s">
        <v>917</v>
      </c>
      <c r="AH1" s="174" t="s">
        <v>1930</v>
      </c>
      <c r="AI1" s="175" t="s">
        <v>1931</v>
      </c>
      <c r="AJ1" s="176" t="s">
        <v>2017</v>
      </c>
      <c r="AK1" s="62" t="s">
        <v>926</v>
      </c>
      <c r="AL1" s="99" t="s">
        <v>1814</v>
      </c>
      <c r="AM1" s="99" t="s">
        <v>2020</v>
      </c>
      <c r="AN1" s="99" t="s">
        <v>1928</v>
      </c>
      <c r="AO1" s="43" t="s">
        <v>869</v>
      </c>
      <c r="AP1" s="43" t="s">
        <v>900</v>
      </c>
      <c r="AQ1" s="44" t="s">
        <v>972</v>
      </c>
      <c r="AR1" s="44" t="s">
        <v>973</v>
      </c>
    </row>
    <row r="2" spans="1:44" s="47" customFormat="1" ht="40" customHeight="1">
      <c r="A2" s="98" t="s">
        <v>1719</v>
      </c>
      <c r="B2" s="97" t="s">
        <v>880</v>
      </c>
      <c r="C2" s="63"/>
      <c r="D2" s="31">
        <v>4</v>
      </c>
      <c r="E2" s="106">
        <f>SUM(F2:V2)</f>
        <v>6</v>
      </c>
      <c r="F2" s="31">
        <v>1</v>
      </c>
      <c r="G2" s="31">
        <v>1</v>
      </c>
      <c r="H2" s="31">
        <v>2</v>
      </c>
      <c r="I2" s="31">
        <v>2</v>
      </c>
      <c r="J2" s="35"/>
      <c r="K2" s="35"/>
      <c r="L2" s="35"/>
      <c r="M2" s="35"/>
      <c r="N2" s="35"/>
      <c r="O2" s="35"/>
      <c r="P2" s="31"/>
      <c r="Q2" s="31"/>
      <c r="R2" s="31"/>
      <c r="S2" s="31"/>
      <c r="T2" s="35"/>
      <c r="U2" s="35"/>
      <c r="V2" s="35"/>
      <c r="W2" s="35"/>
      <c r="X2" s="35"/>
      <c r="Y2" s="35"/>
      <c r="Z2" s="35"/>
      <c r="AA2" s="35"/>
      <c r="AB2" s="35"/>
      <c r="AC2" s="35"/>
      <c r="AD2" s="35"/>
      <c r="AE2" s="35"/>
      <c r="AF2" s="35"/>
      <c r="AG2" s="33" t="s">
        <v>918</v>
      </c>
      <c r="AH2" s="190" t="s">
        <v>881</v>
      </c>
      <c r="AI2" s="190"/>
      <c r="AJ2" s="190"/>
      <c r="AK2" s="33" t="s">
        <v>967</v>
      </c>
      <c r="AL2" s="120" t="s">
        <v>1804</v>
      </c>
      <c r="AM2" s="120"/>
      <c r="AN2" s="120" t="s">
        <v>1929</v>
      </c>
      <c r="AO2" s="45" t="s">
        <v>915</v>
      </c>
      <c r="AP2" s="45" t="s">
        <v>916</v>
      </c>
      <c r="AQ2" s="46" t="s">
        <v>556</v>
      </c>
      <c r="AR2" s="46">
        <v>2</v>
      </c>
    </row>
    <row r="3" spans="1:44" s="47" customFormat="1" ht="40" customHeight="1">
      <c r="A3" s="98" t="s">
        <v>1720</v>
      </c>
      <c r="B3" s="97" t="s">
        <v>880</v>
      </c>
      <c r="C3" s="63">
        <v>3</v>
      </c>
      <c r="D3" s="35"/>
      <c r="E3" s="107">
        <f t="shared" ref="E3:E40" si="0">SUM(F3:V3)</f>
        <v>7</v>
      </c>
      <c r="F3" s="31">
        <v>4</v>
      </c>
      <c r="G3" s="31">
        <v>1</v>
      </c>
      <c r="H3" s="31">
        <v>2</v>
      </c>
      <c r="I3" s="35"/>
      <c r="J3" s="35"/>
      <c r="K3" s="35"/>
      <c r="L3" s="35"/>
      <c r="M3" s="35"/>
      <c r="N3" s="35"/>
      <c r="O3" s="35"/>
      <c r="P3" s="31"/>
      <c r="Q3" s="31"/>
      <c r="R3" s="31"/>
      <c r="S3" s="35"/>
      <c r="T3" s="35"/>
      <c r="U3" s="35"/>
      <c r="V3" s="35"/>
      <c r="W3" s="35"/>
      <c r="X3" s="35"/>
      <c r="Y3" s="35"/>
      <c r="Z3" s="35"/>
      <c r="AA3" s="35"/>
      <c r="AB3" s="35"/>
      <c r="AC3" s="35"/>
      <c r="AD3" s="35"/>
      <c r="AE3" s="35"/>
      <c r="AF3" s="35"/>
      <c r="AG3" s="33" t="s">
        <v>918</v>
      </c>
      <c r="AH3" s="190" t="s">
        <v>588</v>
      </c>
      <c r="AI3" s="190"/>
      <c r="AJ3" s="190"/>
      <c r="AK3" s="33" t="s">
        <v>969</v>
      </c>
      <c r="AL3" s="120" t="s">
        <v>1805</v>
      </c>
      <c r="AM3" s="120"/>
      <c r="AN3" s="120" t="s">
        <v>1929</v>
      </c>
      <c r="AO3" s="45" t="s">
        <v>915</v>
      </c>
      <c r="AP3" s="45" t="s">
        <v>916</v>
      </c>
      <c r="AQ3" s="46">
        <v>3</v>
      </c>
      <c r="AR3" s="46">
        <v>2</v>
      </c>
    </row>
    <row r="4" spans="1:44" s="47" customFormat="1" ht="40" customHeight="1">
      <c r="A4" s="98" t="s">
        <v>1721</v>
      </c>
      <c r="B4" s="97" t="s">
        <v>880</v>
      </c>
      <c r="C4" s="63">
        <v>2</v>
      </c>
      <c r="D4" s="35"/>
      <c r="E4" s="107">
        <f t="shared" si="0"/>
        <v>3</v>
      </c>
      <c r="F4" s="31">
        <v>1</v>
      </c>
      <c r="G4" s="31">
        <v>2</v>
      </c>
      <c r="H4" s="35"/>
      <c r="I4" s="35"/>
      <c r="J4" s="35"/>
      <c r="K4" s="35"/>
      <c r="L4" s="35"/>
      <c r="M4" s="35"/>
      <c r="N4" s="35"/>
      <c r="O4" s="35"/>
      <c r="P4" s="31"/>
      <c r="Q4" s="31"/>
      <c r="R4" s="35"/>
      <c r="S4" s="35"/>
      <c r="T4" s="35"/>
      <c r="U4" s="35"/>
      <c r="V4" s="35"/>
      <c r="W4" s="35"/>
      <c r="X4" s="35"/>
      <c r="Y4" s="35"/>
      <c r="Z4" s="35"/>
      <c r="AA4" s="35"/>
      <c r="AB4" s="35"/>
      <c r="AC4" s="35"/>
      <c r="AD4" s="35"/>
      <c r="AE4" s="35"/>
      <c r="AF4" s="35"/>
      <c r="AG4" s="33" t="s">
        <v>918</v>
      </c>
      <c r="AH4" s="190" t="s">
        <v>39</v>
      </c>
      <c r="AI4" s="190"/>
      <c r="AJ4" s="190"/>
      <c r="AK4" s="33" t="s">
        <v>971</v>
      </c>
      <c r="AL4" s="120" t="s">
        <v>1806</v>
      </c>
      <c r="AM4" s="120"/>
      <c r="AN4" s="120" t="s">
        <v>1929</v>
      </c>
      <c r="AO4" s="45" t="s">
        <v>915</v>
      </c>
      <c r="AP4" s="45" t="s">
        <v>916</v>
      </c>
      <c r="AQ4" s="46">
        <v>2</v>
      </c>
      <c r="AR4" s="46">
        <v>2</v>
      </c>
    </row>
    <row r="5" spans="1:44" s="47" customFormat="1" ht="40" customHeight="1">
      <c r="A5" s="98" t="s">
        <v>1722</v>
      </c>
      <c r="B5" s="97" t="s">
        <v>880</v>
      </c>
      <c r="C5" s="63">
        <v>6</v>
      </c>
      <c r="D5" s="35"/>
      <c r="E5" s="107">
        <f t="shared" si="0"/>
        <v>14</v>
      </c>
      <c r="F5" s="31">
        <v>2</v>
      </c>
      <c r="G5" s="31">
        <v>2</v>
      </c>
      <c r="H5" s="31">
        <v>2</v>
      </c>
      <c r="I5" s="31">
        <v>2</v>
      </c>
      <c r="J5" s="31">
        <v>2</v>
      </c>
      <c r="K5" s="31">
        <v>4</v>
      </c>
      <c r="L5" s="35"/>
      <c r="M5" s="35"/>
      <c r="N5" s="35"/>
      <c r="O5" s="35"/>
      <c r="P5" s="31"/>
      <c r="Q5" s="31"/>
      <c r="R5" s="31"/>
      <c r="S5" s="31"/>
      <c r="T5" s="31"/>
      <c r="U5" s="31"/>
      <c r="V5" s="35"/>
      <c r="W5" s="35"/>
      <c r="X5" s="35"/>
      <c r="Y5" s="35"/>
      <c r="Z5" s="35"/>
      <c r="AA5" s="35"/>
      <c r="AB5" s="35"/>
      <c r="AC5" s="35"/>
      <c r="AD5" s="35"/>
      <c r="AE5" s="35"/>
      <c r="AF5" s="35"/>
      <c r="AG5" s="33" t="s">
        <v>918</v>
      </c>
      <c r="AH5" s="190" t="s">
        <v>221</v>
      </c>
      <c r="AI5" s="190"/>
      <c r="AJ5" s="190"/>
      <c r="AK5" s="33" t="s">
        <v>968</v>
      </c>
      <c r="AL5" s="120" t="s">
        <v>1807</v>
      </c>
      <c r="AM5" s="120"/>
      <c r="AN5" s="120" t="s">
        <v>1929</v>
      </c>
      <c r="AO5" s="45" t="s">
        <v>915</v>
      </c>
      <c r="AP5" s="45" t="s">
        <v>916</v>
      </c>
      <c r="AQ5" s="46">
        <v>4</v>
      </c>
      <c r="AR5" s="46">
        <v>2</v>
      </c>
    </row>
    <row r="6" spans="1:44" s="47" customFormat="1" ht="40" customHeight="1">
      <c r="A6" s="98" t="s">
        <v>1723</v>
      </c>
      <c r="B6" s="97" t="s">
        <v>880</v>
      </c>
      <c r="C6" s="63">
        <v>4</v>
      </c>
      <c r="D6" s="35"/>
      <c r="E6" s="107">
        <f t="shared" si="0"/>
        <v>10</v>
      </c>
      <c r="F6" s="31">
        <v>2</v>
      </c>
      <c r="G6" s="31">
        <v>2</v>
      </c>
      <c r="H6" s="31">
        <v>3</v>
      </c>
      <c r="I6" s="31">
        <v>3</v>
      </c>
      <c r="J6" s="35"/>
      <c r="K6" s="35"/>
      <c r="L6" s="35"/>
      <c r="M6" s="35"/>
      <c r="N6" s="35"/>
      <c r="O6" s="35"/>
      <c r="P6" s="31"/>
      <c r="Q6" s="31"/>
      <c r="R6" s="31"/>
      <c r="S6" s="31"/>
      <c r="T6" s="35"/>
      <c r="U6" s="35"/>
      <c r="V6" s="35"/>
      <c r="W6" s="35"/>
      <c r="X6" s="35"/>
      <c r="Y6" s="35"/>
      <c r="Z6" s="35"/>
      <c r="AA6" s="35"/>
      <c r="AB6" s="35"/>
      <c r="AC6" s="35"/>
      <c r="AD6" s="35"/>
      <c r="AE6" s="35"/>
      <c r="AF6" s="35"/>
      <c r="AG6" s="33" t="s">
        <v>918</v>
      </c>
      <c r="AH6" s="190" t="s">
        <v>286</v>
      </c>
      <c r="AI6" s="190"/>
      <c r="AJ6" s="190"/>
      <c r="AK6" s="33" t="s">
        <v>970</v>
      </c>
      <c r="AL6" s="120" t="s">
        <v>1807</v>
      </c>
      <c r="AM6" s="120"/>
      <c r="AN6" s="120" t="s">
        <v>1929</v>
      </c>
      <c r="AO6" s="45" t="s">
        <v>915</v>
      </c>
      <c r="AP6" s="45" t="s">
        <v>916</v>
      </c>
      <c r="AQ6" s="46">
        <v>6</v>
      </c>
      <c r="AR6" s="46">
        <v>2</v>
      </c>
    </row>
    <row r="7" spans="1:44" ht="40" customHeight="1">
      <c r="A7" s="98" t="s">
        <v>1724</v>
      </c>
      <c r="B7" s="96" t="s">
        <v>882</v>
      </c>
      <c r="D7" s="64">
        <v>15</v>
      </c>
      <c r="E7" s="108">
        <f t="shared" si="0"/>
        <v>20</v>
      </c>
      <c r="F7" s="64">
        <v>1</v>
      </c>
      <c r="G7" s="64">
        <v>1</v>
      </c>
      <c r="H7" s="64">
        <v>1</v>
      </c>
      <c r="I7" s="64">
        <v>1</v>
      </c>
      <c r="J7" s="64">
        <v>1</v>
      </c>
      <c r="K7" s="64">
        <v>1</v>
      </c>
      <c r="L7" s="64">
        <v>1</v>
      </c>
      <c r="M7" s="64">
        <v>1</v>
      </c>
      <c r="N7" s="64">
        <v>1</v>
      </c>
      <c r="O7" s="64">
        <v>1</v>
      </c>
      <c r="P7" s="64">
        <v>2</v>
      </c>
      <c r="Q7" s="64">
        <v>2</v>
      </c>
      <c r="R7" s="64">
        <v>2</v>
      </c>
      <c r="S7" s="64">
        <v>2</v>
      </c>
      <c r="T7" s="64">
        <v>2</v>
      </c>
      <c r="U7" s="64"/>
      <c r="V7" s="64"/>
      <c r="W7" s="64"/>
      <c r="X7" s="64"/>
      <c r="Y7" s="64"/>
      <c r="Z7" s="64"/>
      <c r="AA7" s="64"/>
      <c r="AB7" s="64"/>
      <c r="AC7" s="64"/>
      <c r="AD7" s="64"/>
      <c r="AE7" s="64"/>
      <c r="AF7" s="64"/>
      <c r="AG7" s="62" t="s">
        <v>919</v>
      </c>
      <c r="AH7" s="190" t="s">
        <v>883</v>
      </c>
      <c r="AK7" s="62" t="s">
        <v>965</v>
      </c>
      <c r="AL7" s="99" t="s">
        <v>1803</v>
      </c>
      <c r="AM7" s="99"/>
      <c r="AN7" s="120" t="s">
        <v>1929</v>
      </c>
      <c r="AO7" s="43" t="s">
        <v>913</v>
      </c>
      <c r="AP7" s="43" t="s">
        <v>914</v>
      </c>
      <c r="AQ7" s="44" t="s">
        <v>581</v>
      </c>
      <c r="AR7" s="44">
        <v>2</v>
      </c>
    </row>
    <row r="8" spans="1:44" ht="40" customHeight="1">
      <c r="A8" s="98" t="s">
        <v>1725</v>
      </c>
      <c r="B8" s="96" t="s">
        <v>882</v>
      </c>
      <c r="C8" s="53">
        <v>10</v>
      </c>
      <c r="E8" s="105">
        <f t="shared" si="0"/>
        <v>41</v>
      </c>
      <c r="F8" s="64">
        <v>5</v>
      </c>
      <c r="G8" s="64">
        <v>3</v>
      </c>
      <c r="H8" s="64">
        <v>3</v>
      </c>
      <c r="I8" s="64">
        <v>5</v>
      </c>
      <c r="J8" s="64">
        <v>5</v>
      </c>
      <c r="K8" s="64">
        <v>3</v>
      </c>
      <c r="L8" s="64">
        <v>5</v>
      </c>
      <c r="M8" s="64">
        <v>5</v>
      </c>
      <c r="N8" s="64">
        <v>2</v>
      </c>
      <c r="O8" s="64">
        <v>5</v>
      </c>
      <c r="P8" s="64"/>
      <c r="Q8" s="64"/>
      <c r="R8" s="64"/>
      <c r="S8" s="64"/>
      <c r="T8" s="64"/>
      <c r="U8" s="64"/>
      <c r="V8" s="64"/>
      <c r="W8" s="64"/>
      <c r="X8" s="64"/>
      <c r="Y8" s="64"/>
      <c r="Z8" s="64"/>
      <c r="AA8" s="64"/>
      <c r="AB8" s="64"/>
      <c r="AC8" s="64"/>
      <c r="AD8" s="64"/>
      <c r="AE8" s="64"/>
      <c r="AF8" s="64"/>
      <c r="AG8" s="62" t="s">
        <v>919</v>
      </c>
      <c r="AH8" s="190" t="s">
        <v>884</v>
      </c>
      <c r="AK8" s="62" t="s">
        <v>966</v>
      </c>
      <c r="AL8" s="99" t="s">
        <v>1808</v>
      </c>
      <c r="AM8" s="99"/>
      <c r="AN8" s="120" t="s">
        <v>1929</v>
      </c>
      <c r="AO8" s="43" t="s">
        <v>913</v>
      </c>
      <c r="AP8" s="43" t="s">
        <v>914</v>
      </c>
      <c r="AQ8" s="44">
        <v>10</v>
      </c>
      <c r="AR8" s="44">
        <v>5</v>
      </c>
    </row>
    <row r="9" spans="1:44" ht="40" customHeight="1">
      <c r="A9" s="98" t="s">
        <v>1726</v>
      </c>
      <c r="B9" s="96" t="s">
        <v>882</v>
      </c>
      <c r="C9" s="53">
        <v>9</v>
      </c>
      <c r="E9" s="105">
        <f t="shared" si="0"/>
        <v>25</v>
      </c>
      <c r="F9" s="64">
        <v>3</v>
      </c>
      <c r="G9" s="64">
        <v>3</v>
      </c>
      <c r="H9" s="64">
        <v>3</v>
      </c>
      <c r="I9" s="64">
        <v>3</v>
      </c>
      <c r="J9" s="64">
        <v>2</v>
      </c>
      <c r="K9" s="64">
        <v>2</v>
      </c>
      <c r="L9" s="64">
        <v>3</v>
      </c>
      <c r="M9" s="64">
        <v>3</v>
      </c>
      <c r="N9" s="64">
        <v>3</v>
      </c>
      <c r="P9" s="64"/>
      <c r="Q9" s="64"/>
      <c r="R9" s="64"/>
      <c r="S9" s="64"/>
      <c r="T9" s="64"/>
      <c r="U9" s="64"/>
      <c r="V9" s="64"/>
      <c r="W9" s="64"/>
      <c r="X9" s="64"/>
      <c r="Y9" s="64"/>
      <c r="Z9" s="64"/>
      <c r="AA9" s="64"/>
      <c r="AB9" s="64"/>
      <c r="AC9" s="64"/>
      <c r="AD9" s="64"/>
      <c r="AE9" s="64"/>
      <c r="AF9" s="64"/>
      <c r="AG9" s="62" t="s">
        <v>919</v>
      </c>
      <c r="AH9" s="190" t="s">
        <v>885</v>
      </c>
      <c r="AK9" s="62" t="s">
        <v>964</v>
      </c>
      <c r="AL9" s="99" t="s">
        <v>1803</v>
      </c>
      <c r="AM9" s="99"/>
      <c r="AN9" s="120" t="s">
        <v>1929</v>
      </c>
      <c r="AO9" s="43" t="s">
        <v>913</v>
      </c>
      <c r="AP9" s="43" t="s">
        <v>914</v>
      </c>
      <c r="AQ9" s="44">
        <v>9</v>
      </c>
      <c r="AR9" s="44">
        <v>5</v>
      </c>
    </row>
    <row r="10" spans="1:44" ht="40" customHeight="1">
      <c r="A10" s="98" t="s">
        <v>1727</v>
      </c>
      <c r="B10" s="96" t="s">
        <v>882</v>
      </c>
      <c r="C10" s="53">
        <v>8</v>
      </c>
      <c r="E10" s="105">
        <f t="shared" si="0"/>
        <v>21</v>
      </c>
      <c r="F10" s="64">
        <v>3</v>
      </c>
      <c r="G10" s="64">
        <v>2</v>
      </c>
      <c r="H10" s="64">
        <v>5</v>
      </c>
      <c r="I10" s="64">
        <v>2</v>
      </c>
      <c r="J10" s="64">
        <v>2</v>
      </c>
      <c r="K10" s="64">
        <v>3</v>
      </c>
      <c r="L10" s="64">
        <v>3</v>
      </c>
      <c r="M10" s="64">
        <v>1</v>
      </c>
      <c r="P10" s="64"/>
      <c r="Q10" s="64"/>
      <c r="R10" s="64"/>
      <c r="S10" s="64"/>
      <c r="T10" s="64"/>
      <c r="U10" s="64"/>
      <c r="V10" s="64"/>
      <c r="W10" s="64"/>
      <c r="X10" s="64"/>
      <c r="Y10" s="64"/>
      <c r="Z10" s="64"/>
      <c r="AA10" s="64"/>
      <c r="AB10" s="64"/>
      <c r="AC10" s="64"/>
      <c r="AD10" s="64"/>
      <c r="AE10" s="64"/>
      <c r="AF10" s="64"/>
      <c r="AG10" s="62" t="s">
        <v>919</v>
      </c>
      <c r="AH10" s="190" t="s">
        <v>886</v>
      </c>
      <c r="AK10" s="62" t="s">
        <v>963</v>
      </c>
      <c r="AL10" s="99" t="s">
        <v>1809</v>
      </c>
      <c r="AM10" s="99"/>
      <c r="AN10" s="120" t="s">
        <v>1929</v>
      </c>
      <c r="AO10" s="43" t="s">
        <v>913</v>
      </c>
      <c r="AP10" s="43" t="s">
        <v>914</v>
      </c>
      <c r="AQ10" s="44">
        <v>8</v>
      </c>
      <c r="AR10" s="44">
        <v>5</v>
      </c>
    </row>
    <row r="11" spans="1:44" ht="40" customHeight="1">
      <c r="A11" s="98" t="s">
        <v>1728</v>
      </c>
      <c r="B11" s="96" t="s">
        <v>882</v>
      </c>
      <c r="C11" s="53">
        <v>7</v>
      </c>
      <c r="E11" s="105">
        <f t="shared" si="0"/>
        <v>18</v>
      </c>
      <c r="F11" s="64">
        <v>4</v>
      </c>
      <c r="G11" s="64">
        <v>2</v>
      </c>
      <c r="H11" s="64">
        <v>3</v>
      </c>
      <c r="I11" s="64">
        <v>2</v>
      </c>
      <c r="J11" s="64">
        <v>3</v>
      </c>
      <c r="K11" s="64">
        <v>2</v>
      </c>
      <c r="L11" s="64">
        <v>2</v>
      </c>
      <c r="P11" s="64"/>
      <c r="Q11" s="64"/>
      <c r="R11" s="64"/>
      <c r="S11" s="64"/>
      <c r="T11" s="64"/>
      <c r="U11" s="64"/>
      <c r="V11" s="64"/>
      <c r="W11" s="64"/>
      <c r="X11" s="64"/>
      <c r="Y11" s="64"/>
      <c r="Z11" s="64"/>
      <c r="AA11" s="64"/>
      <c r="AB11" s="64"/>
      <c r="AC11" s="64"/>
      <c r="AD11" s="64"/>
      <c r="AE11" s="64"/>
      <c r="AF11" s="64"/>
      <c r="AG11" s="62" t="s">
        <v>919</v>
      </c>
      <c r="AH11" s="190" t="s">
        <v>887</v>
      </c>
      <c r="AK11" s="62" t="s">
        <v>962</v>
      </c>
      <c r="AL11" s="99" t="s">
        <v>1803</v>
      </c>
      <c r="AM11" s="99"/>
      <c r="AN11" s="120" t="s">
        <v>1929</v>
      </c>
      <c r="AO11" s="43" t="s">
        <v>913</v>
      </c>
      <c r="AP11" s="43" t="s">
        <v>914</v>
      </c>
      <c r="AQ11" s="44">
        <v>7</v>
      </c>
      <c r="AR11" s="44">
        <v>10</v>
      </c>
    </row>
    <row r="12" spans="1:44" s="47" customFormat="1" ht="40" customHeight="1">
      <c r="A12" s="98" t="s">
        <v>1729</v>
      </c>
      <c r="B12" s="97" t="s">
        <v>888</v>
      </c>
      <c r="C12" s="63"/>
      <c r="D12" s="31">
        <v>6</v>
      </c>
      <c r="E12" s="106">
        <f t="shared" si="0"/>
        <v>13</v>
      </c>
      <c r="F12" s="31">
        <v>1</v>
      </c>
      <c r="G12" s="31">
        <v>2</v>
      </c>
      <c r="H12" s="31">
        <v>2</v>
      </c>
      <c r="I12" s="31">
        <v>2</v>
      </c>
      <c r="J12" s="31">
        <v>3</v>
      </c>
      <c r="K12" s="31">
        <v>3</v>
      </c>
      <c r="L12" s="35"/>
      <c r="M12" s="35"/>
      <c r="N12" s="35"/>
      <c r="O12" s="35"/>
      <c r="P12" s="31"/>
      <c r="Q12" s="31"/>
      <c r="R12" s="31"/>
      <c r="S12" s="31"/>
      <c r="T12" s="31"/>
      <c r="U12" s="31"/>
      <c r="V12" s="35"/>
      <c r="W12" s="35"/>
      <c r="X12" s="35"/>
      <c r="Y12" s="35"/>
      <c r="Z12" s="35"/>
      <c r="AA12" s="35"/>
      <c r="AB12" s="35"/>
      <c r="AC12" s="35"/>
      <c r="AD12" s="35"/>
      <c r="AE12" s="35"/>
      <c r="AF12" s="35"/>
      <c r="AG12" s="33" t="s">
        <v>920</v>
      </c>
      <c r="AH12" s="190" t="s">
        <v>375</v>
      </c>
      <c r="AI12" s="190"/>
      <c r="AJ12" s="190"/>
      <c r="AK12" s="33" t="s">
        <v>960</v>
      </c>
      <c r="AL12" s="120" t="s">
        <v>1810</v>
      </c>
      <c r="AM12" s="120"/>
      <c r="AN12" s="120" t="s">
        <v>1929</v>
      </c>
      <c r="AO12" s="45" t="s">
        <v>911</v>
      </c>
      <c r="AP12" s="45" t="s">
        <v>912</v>
      </c>
      <c r="AQ12" s="46" t="s">
        <v>594</v>
      </c>
      <c r="AR12" s="46">
        <v>5</v>
      </c>
    </row>
    <row r="13" spans="1:44" s="47" customFormat="1" ht="40" customHeight="1">
      <c r="A13" s="98" t="s">
        <v>1730</v>
      </c>
      <c r="B13" s="97" t="s">
        <v>888</v>
      </c>
      <c r="C13" s="63">
        <v>7</v>
      </c>
      <c r="D13" s="35"/>
      <c r="E13" s="107">
        <f t="shared" si="0"/>
        <v>22</v>
      </c>
      <c r="F13" s="31">
        <v>1</v>
      </c>
      <c r="G13" s="31">
        <v>2</v>
      </c>
      <c r="H13" s="31">
        <v>2</v>
      </c>
      <c r="I13" s="31">
        <v>2</v>
      </c>
      <c r="J13" s="31">
        <v>4</v>
      </c>
      <c r="K13" s="31">
        <v>5</v>
      </c>
      <c r="L13" s="31">
        <v>6</v>
      </c>
      <c r="M13" s="35"/>
      <c r="N13" s="35"/>
      <c r="O13" s="35"/>
      <c r="P13" s="31"/>
      <c r="Q13" s="31"/>
      <c r="R13" s="31"/>
      <c r="S13" s="31"/>
      <c r="T13" s="31"/>
      <c r="U13" s="31"/>
      <c r="V13" s="31"/>
      <c r="W13" s="31"/>
      <c r="X13" s="31"/>
      <c r="Y13" s="31"/>
      <c r="Z13" s="31"/>
      <c r="AA13" s="31"/>
      <c r="AB13" s="31"/>
      <c r="AC13" s="31"/>
      <c r="AD13" s="31"/>
      <c r="AE13" s="31"/>
      <c r="AF13" s="31"/>
      <c r="AG13" s="33" t="s">
        <v>920</v>
      </c>
      <c r="AH13" s="190" t="s">
        <v>418</v>
      </c>
      <c r="AI13" s="190"/>
      <c r="AJ13" s="190"/>
      <c r="AK13" s="33" t="s">
        <v>959</v>
      </c>
      <c r="AL13" s="120" t="s">
        <v>1811</v>
      </c>
      <c r="AM13" s="120"/>
      <c r="AN13" s="120" t="s">
        <v>1929</v>
      </c>
      <c r="AO13" s="45" t="s">
        <v>911</v>
      </c>
      <c r="AP13" s="45" t="s">
        <v>912</v>
      </c>
      <c r="AQ13" s="46">
        <v>7</v>
      </c>
      <c r="AR13" s="46">
        <v>5</v>
      </c>
    </row>
    <row r="14" spans="1:44" s="47" customFormat="1" ht="40" customHeight="1">
      <c r="A14" s="98" t="s">
        <v>1731</v>
      </c>
      <c r="B14" s="97" t="s">
        <v>888</v>
      </c>
      <c r="C14" s="63">
        <v>5</v>
      </c>
      <c r="D14" s="35"/>
      <c r="E14" s="107">
        <f t="shared" si="0"/>
        <v>16</v>
      </c>
      <c r="F14" s="31">
        <v>2</v>
      </c>
      <c r="G14" s="31">
        <v>2</v>
      </c>
      <c r="H14" s="31">
        <v>4</v>
      </c>
      <c r="I14" s="31">
        <v>4</v>
      </c>
      <c r="J14" s="31">
        <v>4</v>
      </c>
      <c r="K14" s="35"/>
      <c r="L14" s="35"/>
      <c r="M14" s="35"/>
      <c r="N14" s="35"/>
      <c r="O14" s="35"/>
      <c r="P14" s="31"/>
      <c r="Q14" s="31"/>
      <c r="R14" s="31"/>
      <c r="S14" s="31"/>
      <c r="T14" s="31"/>
      <c r="U14" s="35"/>
      <c r="V14" s="35"/>
      <c r="W14" s="35"/>
      <c r="X14" s="35"/>
      <c r="Y14" s="35"/>
      <c r="Z14" s="35"/>
      <c r="AA14" s="35"/>
      <c r="AB14" s="35"/>
      <c r="AC14" s="35"/>
      <c r="AD14" s="35"/>
      <c r="AE14" s="35"/>
      <c r="AF14" s="35"/>
      <c r="AG14" s="33" t="s">
        <v>920</v>
      </c>
      <c r="AH14" s="190" t="s">
        <v>418</v>
      </c>
      <c r="AI14" s="190"/>
      <c r="AJ14" s="190"/>
      <c r="AK14" s="33" t="s">
        <v>958</v>
      </c>
      <c r="AL14" s="120" t="s">
        <v>1812</v>
      </c>
      <c r="AM14" s="120"/>
      <c r="AN14" s="120" t="s">
        <v>1929</v>
      </c>
      <c r="AO14" s="45" t="s">
        <v>911</v>
      </c>
      <c r="AP14" s="45" t="s">
        <v>912</v>
      </c>
      <c r="AQ14" s="46">
        <v>5</v>
      </c>
      <c r="AR14" s="46">
        <v>5</v>
      </c>
    </row>
    <row r="15" spans="1:44" s="47" customFormat="1" ht="40" customHeight="1">
      <c r="A15" s="98" t="s">
        <v>1732</v>
      </c>
      <c r="B15" s="97" t="s">
        <v>888</v>
      </c>
      <c r="C15" s="63">
        <v>7</v>
      </c>
      <c r="D15" s="35"/>
      <c r="E15" s="107">
        <f t="shared" si="0"/>
        <v>51</v>
      </c>
      <c r="F15" s="31">
        <v>4</v>
      </c>
      <c r="G15" s="31">
        <v>7</v>
      </c>
      <c r="H15" s="31">
        <v>3</v>
      </c>
      <c r="I15" s="31">
        <v>5</v>
      </c>
      <c r="J15" s="31">
        <v>4</v>
      </c>
      <c r="K15" s="31">
        <v>9</v>
      </c>
      <c r="L15" s="31">
        <v>19</v>
      </c>
      <c r="M15" s="35"/>
      <c r="N15" s="35"/>
      <c r="O15" s="35"/>
      <c r="P15" s="31"/>
      <c r="Q15" s="31"/>
      <c r="R15" s="31"/>
      <c r="S15" s="31"/>
      <c r="T15" s="31"/>
      <c r="U15" s="31"/>
      <c r="V15" s="31"/>
      <c r="W15" s="31"/>
      <c r="X15" s="31"/>
      <c r="Y15" s="31"/>
      <c r="Z15" s="31"/>
      <c r="AA15" s="31"/>
      <c r="AB15" s="31"/>
      <c r="AC15" s="31"/>
      <c r="AD15" s="31"/>
      <c r="AE15" s="31"/>
      <c r="AF15" s="31"/>
      <c r="AG15" s="33" t="s">
        <v>920</v>
      </c>
      <c r="AH15" s="190" t="s">
        <v>252</v>
      </c>
      <c r="AI15" s="190"/>
      <c r="AJ15" s="190"/>
      <c r="AK15" s="33" t="s">
        <v>957</v>
      </c>
      <c r="AL15" s="120" t="s">
        <v>1813</v>
      </c>
      <c r="AM15" s="120"/>
      <c r="AN15" s="120" t="s">
        <v>1929</v>
      </c>
      <c r="AO15" s="45" t="s">
        <v>911</v>
      </c>
      <c r="AP15" s="45" t="s">
        <v>912</v>
      </c>
      <c r="AQ15" s="46">
        <v>7</v>
      </c>
      <c r="AR15" s="46">
        <v>5</v>
      </c>
    </row>
    <row r="16" spans="1:44" s="47" customFormat="1" ht="40" customHeight="1">
      <c r="A16" s="98" t="s">
        <v>1733</v>
      </c>
      <c r="B16" s="97" t="s">
        <v>888</v>
      </c>
      <c r="C16" s="63">
        <v>7</v>
      </c>
      <c r="D16" s="35"/>
      <c r="E16" s="107">
        <f t="shared" si="0"/>
        <v>31</v>
      </c>
      <c r="F16" s="31">
        <v>3</v>
      </c>
      <c r="G16" s="31">
        <v>6</v>
      </c>
      <c r="H16" s="31">
        <v>5</v>
      </c>
      <c r="I16" s="31">
        <v>5</v>
      </c>
      <c r="J16" s="31">
        <v>6</v>
      </c>
      <c r="K16" s="31">
        <v>2</v>
      </c>
      <c r="L16" s="31">
        <v>4</v>
      </c>
      <c r="M16" s="35"/>
      <c r="N16" s="35"/>
      <c r="O16" s="35"/>
      <c r="P16" s="31"/>
      <c r="Q16" s="31"/>
      <c r="R16" s="31"/>
      <c r="S16" s="31"/>
      <c r="T16" s="31"/>
      <c r="U16" s="31"/>
      <c r="V16" s="31"/>
      <c r="W16" s="31"/>
      <c r="X16" s="31"/>
      <c r="Y16" s="31"/>
      <c r="Z16" s="31"/>
      <c r="AA16" s="31"/>
      <c r="AB16" s="31"/>
      <c r="AC16" s="31"/>
      <c r="AD16" s="31"/>
      <c r="AE16" s="31"/>
      <c r="AF16" s="31"/>
      <c r="AG16" s="33" t="s">
        <v>920</v>
      </c>
      <c r="AH16" s="190" t="s">
        <v>252</v>
      </c>
      <c r="AI16" s="190"/>
      <c r="AJ16" s="190"/>
      <c r="AK16" s="33" t="s">
        <v>961</v>
      </c>
      <c r="AL16" s="120" t="s">
        <v>1811</v>
      </c>
      <c r="AM16" s="120"/>
      <c r="AN16" s="120" t="s">
        <v>1929</v>
      </c>
      <c r="AO16" s="45" t="s">
        <v>911</v>
      </c>
      <c r="AP16" s="45" t="s">
        <v>912</v>
      </c>
      <c r="AQ16" s="46">
        <v>8</v>
      </c>
      <c r="AR16" s="46">
        <v>5</v>
      </c>
    </row>
    <row r="17" spans="1:44" ht="40" customHeight="1">
      <c r="A17" s="98" t="s">
        <v>1734</v>
      </c>
      <c r="B17" s="96" t="s">
        <v>889</v>
      </c>
      <c r="D17" s="64">
        <v>7</v>
      </c>
      <c r="E17" s="108">
        <f t="shared" si="0"/>
        <v>14</v>
      </c>
      <c r="F17" s="64">
        <v>1</v>
      </c>
      <c r="G17" s="64">
        <v>1</v>
      </c>
      <c r="H17" s="64">
        <v>1</v>
      </c>
      <c r="I17" s="64">
        <v>1</v>
      </c>
      <c r="J17" s="64">
        <v>3</v>
      </c>
      <c r="K17" s="64">
        <v>3</v>
      </c>
      <c r="L17" s="64">
        <v>4</v>
      </c>
      <c r="P17" s="64"/>
      <c r="Q17" s="64"/>
      <c r="R17" s="64"/>
      <c r="S17" s="64"/>
      <c r="T17" s="64"/>
      <c r="U17" s="64"/>
      <c r="V17" s="64"/>
      <c r="W17" s="64"/>
      <c r="X17" s="64"/>
      <c r="Y17" s="64"/>
      <c r="Z17" s="64"/>
      <c r="AA17" s="64"/>
      <c r="AB17" s="64"/>
      <c r="AC17" s="64"/>
      <c r="AD17" s="64"/>
      <c r="AE17" s="64"/>
      <c r="AF17" s="64"/>
      <c r="AG17" s="62" t="s">
        <v>921</v>
      </c>
      <c r="AH17" s="190" t="s">
        <v>898</v>
      </c>
      <c r="AK17" s="62" t="s">
        <v>956</v>
      </c>
      <c r="AL17" s="99" t="s">
        <v>1815</v>
      </c>
      <c r="AM17" s="99"/>
      <c r="AN17" s="120" t="s">
        <v>1929</v>
      </c>
      <c r="AO17" s="43" t="s">
        <v>909</v>
      </c>
      <c r="AP17" s="43" t="s">
        <v>910</v>
      </c>
      <c r="AQ17" s="44" t="s">
        <v>568</v>
      </c>
      <c r="AR17" s="44">
        <v>3</v>
      </c>
    </row>
    <row r="18" spans="1:44" ht="40" customHeight="1">
      <c r="A18" s="98" t="s">
        <v>1735</v>
      </c>
      <c r="B18" s="96" t="s">
        <v>889</v>
      </c>
      <c r="C18" s="53">
        <v>7</v>
      </c>
      <c r="E18" s="105">
        <f t="shared" si="0"/>
        <v>32</v>
      </c>
      <c r="F18" s="64">
        <v>2</v>
      </c>
      <c r="G18" s="64">
        <v>3</v>
      </c>
      <c r="H18" s="64">
        <v>2</v>
      </c>
      <c r="I18" s="64">
        <v>3</v>
      </c>
      <c r="J18" s="64">
        <v>8</v>
      </c>
      <c r="K18" s="64">
        <v>4</v>
      </c>
      <c r="L18" s="64">
        <v>10</v>
      </c>
      <c r="P18" s="64"/>
      <c r="Q18" s="64"/>
      <c r="R18" s="64"/>
      <c r="S18" s="64"/>
      <c r="T18" s="64"/>
      <c r="U18" s="64"/>
      <c r="V18" s="64"/>
      <c r="W18" s="64"/>
      <c r="X18" s="64"/>
      <c r="Y18" s="64"/>
      <c r="Z18" s="64"/>
      <c r="AA18" s="64"/>
      <c r="AB18" s="64"/>
      <c r="AC18" s="64"/>
      <c r="AD18" s="64"/>
      <c r="AE18" s="64"/>
      <c r="AF18" s="64"/>
      <c r="AG18" s="62" t="s">
        <v>921</v>
      </c>
      <c r="AH18" s="190" t="s">
        <v>898</v>
      </c>
      <c r="AK18" s="62" t="s">
        <v>951</v>
      </c>
      <c r="AL18" s="99" t="s">
        <v>1816</v>
      </c>
      <c r="AM18" s="99"/>
      <c r="AN18" s="120" t="s">
        <v>1929</v>
      </c>
      <c r="AO18" s="43" t="s">
        <v>909</v>
      </c>
      <c r="AP18" s="43" t="s">
        <v>910</v>
      </c>
      <c r="AQ18" s="44">
        <v>6</v>
      </c>
      <c r="AR18" s="44">
        <v>5</v>
      </c>
    </row>
    <row r="19" spans="1:44" ht="40" customHeight="1">
      <c r="A19" s="98" t="s">
        <v>1736</v>
      </c>
      <c r="B19" s="96" t="s">
        <v>889</v>
      </c>
      <c r="C19" s="53">
        <v>8</v>
      </c>
      <c r="E19" s="105">
        <f t="shared" si="0"/>
        <v>19</v>
      </c>
      <c r="F19" s="64">
        <v>1</v>
      </c>
      <c r="G19" s="64">
        <v>1</v>
      </c>
      <c r="H19" s="64">
        <v>1</v>
      </c>
      <c r="I19" s="64">
        <v>2</v>
      </c>
      <c r="J19" s="64">
        <v>2</v>
      </c>
      <c r="K19" s="64">
        <v>3</v>
      </c>
      <c r="L19" s="64">
        <v>4</v>
      </c>
      <c r="M19" s="64">
        <v>5</v>
      </c>
      <c r="P19" s="64"/>
      <c r="Q19" s="64"/>
      <c r="R19" s="64"/>
      <c r="S19" s="64"/>
      <c r="T19" s="64"/>
      <c r="U19" s="64"/>
      <c r="V19" s="64"/>
      <c r="W19" s="64"/>
      <c r="X19" s="64"/>
      <c r="Y19" s="64"/>
      <c r="Z19" s="64"/>
      <c r="AA19" s="64"/>
      <c r="AB19" s="64"/>
      <c r="AC19" s="64"/>
      <c r="AD19" s="64"/>
      <c r="AE19" s="64"/>
      <c r="AF19" s="64"/>
      <c r="AG19" s="62" t="s">
        <v>921</v>
      </c>
      <c r="AH19" s="190" t="s">
        <v>898</v>
      </c>
      <c r="AK19" s="62" t="s">
        <v>953</v>
      </c>
      <c r="AL19" s="99" t="s">
        <v>1817</v>
      </c>
      <c r="AM19" s="99"/>
      <c r="AN19" s="120" t="s">
        <v>1929</v>
      </c>
      <c r="AO19" s="43" t="s">
        <v>909</v>
      </c>
      <c r="AP19" s="43" t="s">
        <v>910</v>
      </c>
      <c r="AQ19" s="44">
        <v>8</v>
      </c>
      <c r="AR19" s="44">
        <v>5</v>
      </c>
    </row>
    <row r="20" spans="1:44" ht="40" customHeight="1">
      <c r="A20" s="98" t="s">
        <v>1737</v>
      </c>
      <c r="B20" s="96" t="s">
        <v>889</v>
      </c>
      <c r="C20" s="53">
        <v>6</v>
      </c>
      <c r="E20" s="105">
        <f t="shared" si="0"/>
        <v>31</v>
      </c>
      <c r="F20" s="64">
        <v>6</v>
      </c>
      <c r="G20" s="64">
        <v>4</v>
      </c>
      <c r="H20" s="64">
        <v>2</v>
      </c>
      <c r="I20" s="64">
        <v>3</v>
      </c>
      <c r="J20" s="64">
        <v>7</v>
      </c>
      <c r="K20" s="64">
        <v>9</v>
      </c>
      <c r="P20" s="64"/>
      <c r="Q20" s="64"/>
      <c r="R20" s="64"/>
      <c r="S20" s="64"/>
      <c r="T20" s="64"/>
      <c r="U20" s="64"/>
      <c r="AG20" s="62" t="s">
        <v>921</v>
      </c>
      <c r="AH20" s="190" t="s">
        <v>955</v>
      </c>
      <c r="AK20" s="62" t="s">
        <v>954</v>
      </c>
      <c r="AL20" s="99" t="s">
        <v>1818</v>
      </c>
      <c r="AM20" s="99"/>
      <c r="AN20" s="120" t="s">
        <v>1929</v>
      </c>
      <c r="AO20" s="43" t="s">
        <v>909</v>
      </c>
      <c r="AP20" s="43" t="s">
        <v>910</v>
      </c>
      <c r="AQ20" s="44">
        <v>6</v>
      </c>
      <c r="AR20" s="44">
        <v>5</v>
      </c>
    </row>
    <row r="21" spans="1:44" ht="40" customHeight="1">
      <c r="A21" s="98" t="s">
        <v>1738</v>
      </c>
      <c r="B21" s="96" t="s">
        <v>889</v>
      </c>
      <c r="C21" s="53">
        <v>5</v>
      </c>
      <c r="E21" s="105">
        <f t="shared" si="0"/>
        <v>13</v>
      </c>
      <c r="F21" s="64">
        <v>2</v>
      </c>
      <c r="G21" s="64">
        <v>2</v>
      </c>
      <c r="H21" s="64">
        <v>3</v>
      </c>
      <c r="I21" s="64">
        <v>3</v>
      </c>
      <c r="J21" s="64">
        <v>3</v>
      </c>
      <c r="P21" s="64"/>
      <c r="Q21" s="64"/>
      <c r="R21" s="64"/>
      <c r="S21" s="64"/>
      <c r="T21" s="64"/>
      <c r="AG21" s="62" t="s">
        <v>921</v>
      </c>
      <c r="AH21" s="190" t="s">
        <v>898</v>
      </c>
      <c r="AK21" s="62" t="s">
        <v>952</v>
      </c>
      <c r="AL21" s="99" t="s">
        <v>1812</v>
      </c>
      <c r="AM21" s="99"/>
      <c r="AN21" s="120" t="s">
        <v>1929</v>
      </c>
      <c r="AO21" s="43" t="s">
        <v>909</v>
      </c>
      <c r="AP21" s="43" t="s">
        <v>910</v>
      </c>
      <c r="AQ21" s="44">
        <v>5</v>
      </c>
      <c r="AR21" s="44">
        <v>5</v>
      </c>
    </row>
    <row r="22" spans="1:44" s="47" customFormat="1" ht="40" customHeight="1">
      <c r="A22" s="98" t="s">
        <v>1739</v>
      </c>
      <c r="B22" s="97" t="s">
        <v>890</v>
      </c>
      <c r="C22" s="63"/>
      <c r="D22" s="31">
        <v>17</v>
      </c>
      <c r="E22" s="106">
        <f t="shared" si="0"/>
        <v>21</v>
      </c>
      <c r="F22" s="31">
        <v>1</v>
      </c>
      <c r="G22" s="31">
        <v>1</v>
      </c>
      <c r="H22" s="31">
        <v>1</v>
      </c>
      <c r="I22" s="31">
        <v>1</v>
      </c>
      <c r="J22" s="31">
        <v>1</v>
      </c>
      <c r="K22" s="31">
        <v>1</v>
      </c>
      <c r="L22" s="31">
        <v>1</v>
      </c>
      <c r="M22" s="31">
        <v>1</v>
      </c>
      <c r="N22" s="31">
        <v>1</v>
      </c>
      <c r="O22" s="31">
        <v>1</v>
      </c>
      <c r="P22" s="31">
        <v>1</v>
      </c>
      <c r="Q22" s="31">
        <v>1</v>
      </c>
      <c r="R22" s="31">
        <v>1</v>
      </c>
      <c r="S22" s="31">
        <v>2</v>
      </c>
      <c r="T22" s="31">
        <v>2</v>
      </c>
      <c r="U22" s="31">
        <v>2</v>
      </c>
      <c r="V22" s="31">
        <v>2</v>
      </c>
      <c r="W22" s="31"/>
      <c r="X22" s="31"/>
      <c r="Y22" s="31"/>
      <c r="Z22" s="31"/>
      <c r="AA22" s="31"/>
      <c r="AB22" s="31"/>
      <c r="AC22" s="31"/>
      <c r="AD22" s="31"/>
      <c r="AE22" s="31"/>
      <c r="AF22" s="31"/>
      <c r="AG22" s="33" t="s">
        <v>922</v>
      </c>
      <c r="AH22" s="190" t="s">
        <v>947</v>
      </c>
      <c r="AI22" s="190"/>
      <c r="AJ22" s="190"/>
      <c r="AK22" s="33" t="s">
        <v>949</v>
      </c>
      <c r="AL22" s="120" t="s">
        <v>1807</v>
      </c>
      <c r="AM22" s="120"/>
      <c r="AN22" s="120" t="s">
        <v>1929</v>
      </c>
      <c r="AO22" s="45" t="s">
        <v>907</v>
      </c>
      <c r="AP22" s="45" t="s">
        <v>908</v>
      </c>
      <c r="AQ22" s="46" t="s">
        <v>581</v>
      </c>
      <c r="AR22" s="46">
        <v>1</v>
      </c>
    </row>
    <row r="23" spans="1:44" s="47" customFormat="1" ht="40" customHeight="1">
      <c r="A23" s="98" t="s">
        <v>1740</v>
      </c>
      <c r="B23" s="97" t="s">
        <v>890</v>
      </c>
      <c r="C23" s="63">
        <v>7</v>
      </c>
      <c r="D23" s="35"/>
      <c r="E23" s="107">
        <f t="shared" si="0"/>
        <v>14</v>
      </c>
      <c r="F23" s="31">
        <v>1</v>
      </c>
      <c r="G23" s="31">
        <v>1</v>
      </c>
      <c r="H23" s="31">
        <v>1</v>
      </c>
      <c r="I23" s="31">
        <v>2</v>
      </c>
      <c r="J23" s="31">
        <v>2</v>
      </c>
      <c r="K23" s="31">
        <v>3</v>
      </c>
      <c r="L23" s="31">
        <v>4</v>
      </c>
      <c r="M23" s="35"/>
      <c r="N23" s="35"/>
      <c r="O23" s="35"/>
      <c r="P23" s="31"/>
      <c r="Q23" s="31"/>
      <c r="R23" s="31"/>
      <c r="S23" s="31"/>
      <c r="T23" s="31"/>
      <c r="U23" s="31"/>
      <c r="V23" s="31"/>
      <c r="W23" s="31"/>
      <c r="X23" s="31"/>
      <c r="Y23" s="31"/>
      <c r="Z23" s="31"/>
      <c r="AA23" s="31"/>
      <c r="AB23" s="31"/>
      <c r="AC23" s="31"/>
      <c r="AD23" s="31"/>
      <c r="AE23" s="31"/>
      <c r="AF23" s="31"/>
      <c r="AG23" s="33" t="s">
        <v>922</v>
      </c>
      <c r="AH23" s="190" t="s">
        <v>947</v>
      </c>
      <c r="AI23" s="190"/>
      <c r="AJ23" s="190"/>
      <c r="AK23" s="33" t="s">
        <v>950</v>
      </c>
      <c r="AL23" s="120" t="s">
        <v>1807</v>
      </c>
      <c r="AM23" s="120"/>
      <c r="AN23" s="120" t="s">
        <v>1929</v>
      </c>
      <c r="AO23" s="45" t="s">
        <v>907</v>
      </c>
      <c r="AP23" s="45" t="s">
        <v>908</v>
      </c>
      <c r="AQ23" s="46">
        <v>7</v>
      </c>
      <c r="AR23" s="46">
        <v>1</v>
      </c>
    </row>
    <row r="24" spans="1:44" s="47" customFormat="1" ht="40" customHeight="1">
      <c r="A24" s="98" t="s">
        <v>1741</v>
      </c>
      <c r="B24" s="97" t="s">
        <v>890</v>
      </c>
      <c r="C24" s="63">
        <v>6</v>
      </c>
      <c r="D24" s="35"/>
      <c r="E24" s="107">
        <f t="shared" si="0"/>
        <v>6</v>
      </c>
      <c r="F24" s="31">
        <v>1</v>
      </c>
      <c r="G24" s="31">
        <v>1</v>
      </c>
      <c r="H24" s="31">
        <v>1</v>
      </c>
      <c r="I24" s="31">
        <v>1</v>
      </c>
      <c r="J24" s="31">
        <v>1</v>
      </c>
      <c r="K24" s="31">
        <v>1</v>
      </c>
      <c r="L24" s="35"/>
      <c r="M24" s="35"/>
      <c r="N24" s="35"/>
      <c r="O24" s="35"/>
      <c r="P24" s="31"/>
      <c r="Q24" s="31"/>
      <c r="R24" s="31"/>
      <c r="S24" s="31"/>
      <c r="T24" s="31"/>
      <c r="U24" s="31"/>
      <c r="V24" s="35"/>
      <c r="W24" s="35"/>
      <c r="X24" s="35"/>
      <c r="Y24" s="35"/>
      <c r="Z24" s="35"/>
      <c r="AA24" s="35"/>
      <c r="AB24" s="35"/>
      <c r="AC24" s="35"/>
      <c r="AD24" s="35"/>
      <c r="AE24" s="35"/>
      <c r="AF24" s="35"/>
      <c r="AG24" s="33" t="s">
        <v>922</v>
      </c>
      <c r="AH24" s="190" t="s">
        <v>947</v>
      </c>
      <c r="AI24" s="190"/>
      <c r="AJ24" s="190"/>
      <c r="AK24" s="33" t="s">
        <v>948</v>
      </c>
      <c r="AL24" s="120" t="s">
        <v>1820</v>
      </c>
      <c r="AM24" s="120"/>
      <c r="AN24" s="120" t="s">
        <v>1929</v>
      </c>
      <c r="AO24" s="45" t="s">
        <v>907</v>
      </c>
      <c r="AP24" s="45" t="s">
        <v>908</v>
      </c>
      <c r="AQ24" s="46">
        <v>6</v>
      </c>
      <c r="AR24" s="46">
        <v>1</v>
      </c>
    </row>
    <row r="25" spans="1:44" s="47" customFormat="1" ht="40" customHeight="1">
      <c r="A25" s="98" t="s">
        <v>1742</v>
      </c>
      <c r="B25" s="97" t="s">
        <v>890</v>
      </c>
      <c r="C25" s="63">
        <v>17</v>
      </c>
      <c r="D25" s="35"/>
      <c r="E25" s="107">
        <f t="shared" si="0"/>
        <v>21</v>
      </c>
      <c r="F25" s="31">
        <v>1</v>
      </c>
      <c r="G25" s="31">
        <v>1</v>
      </c>
      <c r="H25" s="31">
        <v>1</v>
      </c>
      <c r="I25" s="31">
        <v>1</v>
      </c>
      <c r="J25" s="31">
        <v>1</v>
      </c>
      <c r="K25" s="31">
        <v>1</v>
      </c>
      <c r="L25" s="31">
        <v>1</v>
      </c>
      <c r="M25" s="31">
        <v>1</v>
      </c>
      <c r="N25" s="31">
        <v>1</v>
      </c>
      <c r="O25" s="31">
        <v>1</v>
      </c>
      <c r="P25" s="31">
        <v>1</v>
      </c>
      <c r="Q25" s="31">
        <v>1</v>
      </c>
      <c r="R25" s="31">
        <v>1</v>
      </c>
      <c r="S25" s="31">
        <v>2</v>
      </c>
      <c r="T25" s="31">
        <v>2</v>
      </c>
      <c r="U25" s="31">
        <v>2</v>
      </c>
      <c r="V25" s="31">
        <v>2</v>
      </c>
      <c r="W25" s="31"/>
      <c r="X25" s="31"/>
      <c r="Y25" s="31"/>
      <c r="Z25" s="31"/>
      <c r="AA25" s="31"/>
      <c r="AB25" s="31"/>
      <c r="AC25" s="31"/>
      <c r="AD25" s="31"/>
      <c r="AE25" s="31"/>
      <c r="AF25" s="31"/>
      <c r="AG25" s="33" t="s">
        <v>922</v>
      </c>
      <c r="AH25" s="190" t="s">
        <v>947</v>
      </c>
      <c r="AI25" s="190"/>
      <c r="AJ25" s="190"/>
      <c r="AK25" s="33" t="s">
        <v>946</v>
      </c>
      <c r="AL25" s="120" t="s">
        <v>1821</v>
      </c>
      <c r="AM25" s="120"/>
      <c r="AN25" s="120" t="s">
        <v>1929</v>
      </c>
      <c r="AO25" s="45" t="s">
        <v>907</v>
      </c>
      <c r="AP25" s="45" t="s">
        <v>908</v>
      </c>
      <c r="AQ25" s="46">
        <v>10</v>
      </c>
      <c r="AR25" s="46">
        <v>1</v>
      </c>
    </row>
    <row r="26" spans="1:44" ht="40" customHeight="1">
      <c r="A26" s="98" t="s">
        <v>1743</v>
      </c>
      <c r="B26" s="96" t="s">
        <v>891</v>
      </c>
      <c r="D26" s="64">
        <v>7</v>
      </c>
      <c r="E26" s="108">
        <f t="shared" si="0"/>
        <v>26</v>
      </c>
      <c r="F26" s="64">
        <v>1</v>
      </c>
      <c r="G26" s="64">
        <v>2</v>
      </c>
      <c r="H26" s="64">
        <v>3</v>
      </c>
      <c r="I26" s="64">
        <v>3</v>
      </c>
      <c r="J26" s="64">
        <v>3</v>
      </c>
      <c r="K26" s="64">
        <v>5</v>
      </c>
      <c r="L26" s="64">
        <v>9</v>
      </c>
      <c r="P26" s="64"/>
      <c r="Q26" s="64"/>
      <c r="R26" s="64"/>
      <c r="S26" s="64"/>
      <c r="T26" s="64"/>
      <c r="U26" s="64"/>
      <c r="V26" s="64"/>
      <c r="W26" s="64"/>
      <c r="X26" s="64"/>
      <c r="Y26" s="64"/>
      <c r="Z26" s="64"/>
      <c r="AA26" s="64"/>
      <c r="AB26" s="64"/>
      <c r="AC26" s="64"/>
      <c r="AD26" s="64"/>
      <c r="AE26" s="64"/>
      <c r="AF26" s="64"/>
      <c r="AG26" s="62" t="s">
        <v>925</v>
      </c>
      <c r="AH26" s="190" t="s">
        <v>892</v>
      </c>
      <c r="AK26" s="62" t="s">
        <v>927</v>
      </c>
      <c r="AL26" s="99" t="s">
        <v>1822</v>
      </c>
      <c r="AM26" s="99"/>
      <c r="AN26" s="120" t="s">
        <v>1929</v>
      </c>
      <c r="AO26" s="43" t="s">
        <v>901</v>
      </c>
      <c r="AP26" s="43" t="s">
        <v>902</v>
      </c>
      <c r="AQ26" s="44" t="s">
        <v>568</v>
      </c>
      <c r="AR26" s="44">
        <v>5</v>
      </c>
    </row>
    <row r="27" spans="1:44" ht="40" customHeight="1">
      <c r="A27" s="98" t="s">
        <v>1744</v>
      </c>
      <c r="B27" s="96" t="s">
        <v>891</v>
      </c>
      <c r="C27" s="53">
        <v>4</v>
      </c>
      <c r="E27" s="105">
        <f t="shared" si="0"/>
        <v>9</v>
      </c>
      <c r="F27" s="64">
        <v>1</v>
      </c>
      <c r="G27" s="64">
        <v>2</v>
      </c>
      <c r="H27" s="64">
        <v>2</v>
      </c>
      <c r="I27" s="64">
        <v>4</v>
      </c>
      <c r="P27" s="64"/>
      <c r="Q27" s="64"/>
      <c r="R27" s="64"/>
      <c r="S27" s="64"/>
      <c r="AG27" s="62" t="s">
        <v>925</v>
      </c>
      <c r="AH27" s="190" t="s">
        <v>893</v>
      </c>
      <c r="AK27" s="62" t="s">
        <v>933</v>
      </c>
      <c r="AL27" s="99" t="s">
        <v>1823</v>
      </c>
      <c r="AM27" s="99"/>
      <c r="AN27" s="120" t="s">
        <v>1929</v>
      </c>
      <c r="AO27" s="43" t="s">
        <v>901</v>
      </c>
      <c r="AP27" s="43" t="s">
        <v>902</v>
      </c>
      <c r="AQ27" s="44">
        <v>4</v>
      </c>
      <c r="AR27" s="44">
        <v>2</v>
      </c>
    </row>
    <row r="28" spans="1:44" ht="40" customHeight="1">
      <c r="A28" s="98" t="s">
        <v>1745</v>
      </c>
      <c r="B28" s="96" t="s">
        <v>891</v>
      </c>
      <c r="C28" s="53">
        <v>2</v>
      </c>
      <c r="E28" s="105">
        <f t="shared" si="0"/>
        <v>2</v>
      </c>
      <c r="F28" s="64">
        <v>1</v>
      </c>
      <c r="G28" s="64">
        <v>1</v>
      </c>
      <c r="P28" s="64"/>
      <c r="Q28" s="64"/>
      <c r="AG28" s="62" t="s">
        <v>925</v>
      </c>
      <c r="AH28" s="190" t="s">
        <v>894</v>
      </c>
      <c r="AK28" s="62" t="s">
        <v>932</v>
      </c>
      <c r="AL28" s="99" t="s">
        <v>1819</v>
      </c>
      <c r="AM28" s="99"/>
      <c r="AN28" s="120" t="s">
        <v>1929</v>
      </c>
      <c r="AO28" s="43" t="s">
        <v>901</v>
      </c>
      <c r="AP28" s="43" t="s">
        <v>902</v>
      </c>
      <c r="AQ28" s="44">
        <v>2</v>
      </c>
      <c r="AR28" s="44">
        <v>1</v>
      </c>
    </row>
    <row r="29" spans="1:44" ht="40" customHeight="1">
      <c r="A29" s="98" t="s">
        <v>1746</v>
      </c>
      <c r="B29" s="96" t="s">
        <v>891</v>
      </c>
      <c r="C29" s="53">
        <v>4</v>
      </c>
      <c r="E29" s="105">
        <f t="shared" si="0"/>
        <v>10</v>
      </c>
      <c r="F29" s="64">
        <v>1</v>
      </c>
      <c r="G29" s="64">
        <v>2</v>
      </c>
      <c r="H29" s="64">
        <v>2</v>
      </c>
      <c r="I29" s="64">
        <v>5</v>
      </c>
      <c r="P29" s="64"/>
      <c r="Q29" s="64"/>
      <c r="R29" s="64"/>
      <c r="S29" s="64"/>
      <c r="AG29" s="62" t="s">
        <v>925</v>
      </c>
      <c r="AH29" s="190" t="s">
        <v>895</v>
      </c>
      <c r="AK29" s="62" t="s">
        <v>934</v>
      </c>
      <c r="AL29" s="99" t="s">
        <v>1807</v>
      </c>
      <c r="AM29" s="99"/>
      <c r="AN29" s="120" t="s">
        <v>1929</v>
      </c>
      <c r="AO29" s="43" t="s">
        <v>901</v>
      </c>
      <c r="AP29" s="43" t="s">
        <v>902</v>
      </c>
      <c r="AQ29" s="44">
        <v>4</v>
      </c>
      <c r="AR29" s="44">
        <v>2</v>
      </c>
    </row>
    <row r="30" spans="1:44" ht="40" customHeight="1">
      <c r="A30" s="98" t="s">
        <v>1747</v>
      </c>
      <c r="B30" s="96" t="s">
        <v>891</v>
      </c>
      <c r="C30" s="53">
        <v>3</v>
      </c>
      <c r="E30" s="105">
        <f t="shared" si="0"/>
        <v>11</v>
      </c>
      <c r="F30" s="64">
        <v>2</v>
      </c>
      <c r="G30" s="64">
        <v>3</v>
      </c>
      <c r="H30" s="64">
        <v>6</v>
      </c>
      <c r="P30" s="64"/>
      <c r="Q30" s="64"/>
      <c r="R30" s="64"/>
      <c r="AG30" s="62" t="s">
        <v>925</v>
      </c>
      <c r="AH30" s="190" t="s">
        <v>896</v>
      </c>
      <c r="AK30" s="62" t="s">
        <v>935</v>
      </c>
      <c r="AL30" s="99" t="s">
        <v>1824</v>
      </c>
      <c r="AM30" s="99" t="s">
        <v>1802</v>
      </c>
      <c r="AN30" s="120" t="s">
        <v>1929</v>
      </c>
      <c r="AO30" s="43" t="s">
        <v>901</v>
      </c>
      <c r="AP30" s="43" t="s">
        <v>902</v>
      </c>
      <c r="AQ30" s="44">
        <v>3</v>
      </c>
      <c r="AR30" s="44">
        <v>5</v>
      </c>
    </row>
    <row r="31" spans="1:44" s="47" customFormat="1" ht="40" customHeight="1">
      <c r="A31" s="98" t="s">
        <v>1748</v>
      </c>
      <c r="B31" s="97" t="s">
        <v>897</v>
      </c>
      <c r="C31" s="63"/>
      <c r="D31" s="31">
        <v>7</v>
      </c>
      <c r="E31" s="106">
        <f t="shared" si="0"/>
        <v>20</v>
      </c>
      <c r="F31" s="65">
        <v>2</v>
      </c>
      <c r="G31" s="65">
        <v>2</v>
      </c>
      <c r="H31" s="65">
        <v>2</v>
      </c>
      <c r="I31" s="65">
        <v>2</v>
      </c>
      <c r="J31" s="65">
        <v>3</v>
      </c>
      <c r="K31" s="65">
        <v>4</v>
      </c>
      <c r="L31" s="65">
        <v>5</v>
      </c>
      <c r="M31" s="35"/>
      <c r="N31" s="35"/>
      <c r="O31" s="35"/>
      <c r="P31" s="65"/>
      <c r="Q31" s="65"/>
      <c r="R31" s="65"/>
      <c r="S31" s="65"/>
      <c r="T31" s="65"/>
      <c r="U31" s="65"/>
      <c r="V31" s="65"/>
      <c r="W31" s="65"/>
      <c r="X31" s="65"/>
      <c r="Y31" s="65"/>
      <c r="Z31" s="65"/>
      <c r="AA31" s="65"/>
      <c r="AB31" s="65"/>
      <c r="AC31" s="65"/>
      <c r="AD31" s="65"/>
      <c r="AE31" s="65"/>
      <c r="AF31" s="65"/>
      <c r="AG31" s="33" t="s">
        <v>923</v>
      </c>
      <c r="AH31" s="190" t="s">
        <v>66</v>
      </c>
      <c r="AI31" s="190"/>
      <c r="AJ31" s="190"/>
      <c r="AK31" s="33" t="s">
        <v>945</v>
      </c>
      <c r="AL31" s="120" t="s">
        <v>1825</v>
      </c>
      <c r="AM31" s="120" t="s">
        <v>1802</v>
      </c>
      <c r="AN31" s="120" t="s">
        <v>1929</v>
      </c>
      <c r="AO31" s="45" t="s">
        <v>905</v>
      </c>
      <c r="AP31" s="45" t="s">
        <v>906</v>
      </c>
      <c r="AQ31" s="46" t="s">
        <v>878</v>
      </c>
      <c r="AR31" s="46">
        <v>2</v>
      </c>
    </row>
    <row r="32" spans="1:44" s="47" customFormat="1" ht="40" customHeight="1">
      <c r="A32" s="98" t="s">
        <v>1749</v>
      </c>
      <c r="B32" s="97" t="s">
        <v>897</v>
      </c>
      <c r="C32" s="63">
        <v>5</v>
      </c>
      <c r="D32" s="35"/>
      <c r="E32" s="107">
        <f t="shared" si="0"/>
        <v>13</v>
      </c>
      <c r="F32" s="65">
        <v>2</v>
      </c>
      <c r="G32" s="65">
        <v>2</v>
      </c>
      <c r="H32" s="65">
        <v>2</v>
      </c>
      <c r="I32" s="65">
        <v>3</v>
      </c>
      <c r="J32" s="65">
        <v>4</v>
      </c>
      <c r="K32" s="35"/>
      <c r="L32" s="35"/>
      <c r="M32" s="35"/>
      <c r="N32" s="35"/>
      <c r="O32" s="35"/>
      <c r="P32" s="65"/>
      <c r="Q32" s="65"/>
      <c r="R32" s="65"/>
      <c r="S32" s="65"/>
      <c r="T32" s="65"/>
      <c r="U32" s="35"/>
      <c r="V32" s="35"/>
      <c r="W32" s="35"/>
      <c r="X32" s="35"/>
      <c r="Y32" s="35"/>
      <c r="Z32" s="35"/>
      <c r="AA32" s="35"/>
      <c r="AB32" s="35"/>
      <c r="AC32" s="35"/>
      <c r="AD32" s="35"/>
      <c r="AE32" s="35"/>
      <c r="AF32" s="35"/>
      <c r="AG32" s="33" t="s">
        <v>923</v>
      </c>
      <c r="AH32" s="190" t="s">
        <v>252</v>
      </c>
      <c r="AI32" s="190"/>
      <c r="AJ32" s="190"/>
      <c r="AK32" s="33" t="s">
        <v>944</v>
      </c>
      <c r="AL32" s="120" t="s">
        <v>1825</v>
      </c>
      <c r="AM32" s="120" t="s">
        <v>1802</v>
      </c>
      <c r="AN32" s="120" t="s">
        <v>1929</v>
      </c>
      <c r="AO32" s="45" t="s">
        <v>905</v>
      </c>
      <c r="AP32" s="45" t="s">
        <v>906</v>
      </c>
      <c r="AQ32" s="46">
        <v>5</v>
      </c>
      <c r="AR32" s="46">
        <v>3</v>
      </c>
    </row>
    <row r="33" spans="1:44" s="47" customFormat="1" ht="40" customHeight="1">
      <c r="A33" s="98" t="s">
        <v>1750</v>
      </c>
      <c r="B33" s="97" t="s">
        <v>897</v>
      </c>
      <c r="C33" s="63">
        <v>4</v>
      </c>
      <c r="D33" s="35"/>
      <c r="E33" s="107">
        <f t="shared" si="0"/>
        <v>11</v>
      </c>
      <c r="F33" s="65">
        <v>2</v>
      </c>
      <c r="G33" s="65">
        <v>2</v>
      </c>
      <c r="H33" s="65">
        <v>2</v>
      </c>
      <c r="I33" s="65">
        <v>5</v>
      </c>
      <c r="J33" s="66"/>
      <c r="K33" s="66"/>
      <c r="L33" s="66"/>
      <c r="M33" s="66"/>
      <c r="N33" s="66"/>
      <c r="O33" s="66"/>
      <c r="P33" s="65"/>
      <c r="Q33" s="65"/>
      <c r="R33" s="65"/>
      <c r="S33" s="65"/>
      <c r="T33" s="66"/>
      <c r="U33" s="66"/>
      <c r="V33" s="66"/>
      <c r="W33" s="66"/>
      <c r="X33" s="66"/>
      <c r="Y33" s="66"/>
      <c r="Z33" s="66"/>
      <c r="AA33" s="66"/>
      <c r="AB33" s="66"/>
      <c r="AC33" s="66"/>
      <c r="AD33" s="66"/>
      <c r="AE33" s="66"/>
      <c r="AF33" s="66"/>
      <c r="AG33" s="33" t="s">
        <v>923</v>
      </c>
      <c r="AH33" s="190" t="s">
        <v>552</v>
      </c>
      <c r="AI33" s="190"/>
      <c r="AJ33" s="190"/>
      <c r="AK33" s="33" t="s">
        <v>942</v>
      </c>
      <c r="AL33" s="120" t="s">
        <v>1825</v>
      </c>
      <c r="AM33" s="120" t="s">
        <v>1802</v>
      </c>
      <c r="AN33" s="120" t="s">
        <v>1929</v>
      </c>
      <c r="AO33" s="45" t="s">
        <v>905</v>
      </c>
      <c r="AP33" s="45" t="s">
        <v>906</v>
      </c>
      <c r="AQ33" s="46">
        <v>4</v>
      </c>
      <c r="AR33" s="46">
        <v>5</v>
      </c>
    </row>
    <row r="34" spans="1:44" s="47" customFormat="1" ht="40" customHeight="1">
      <c r="A34" s="98" t="s">
        <v>1751</v>
      </c>
      <c r="B34" s="97" t="s">
        <v>897</v>
      </c>
      <c r="C34" s="63">
        <v>5</v>
      </c>
      <c r="D34" s="35"/>
      <c r="E34" s="107">
        <f t="shared" si="0"/>
        <v>11</v>
      </c>
      <c r="F34" s="65">
        <v>2</v>
      </c>
      <c r="G34" s="65">
        <v>2</v>
      </c>
      <c r="H34" s="65">
        <v>2</v>
      </c>
      <c r="I34" s="65">
        <v>3</v>
      </c>
      <c r="J34" s="65">
        <v>2</v>
      </c>
      <c r="K34" s="66"/>
      <c r="L34" s="66"/>
      <c r="M34" s="66"/>
      <c r="N34" s="66"/>
      <c r="O34" s="66"/>
      <c r="P34" s="65"/>
      <c r="Q34" s="65"/>
      <c r="R34" s="65"/>
      <c r="S34" s="65"/>
      <c r="T34" s="65"/>
      <c r="U34" s="66"/>
      <c r="V34" s="66"/>
      <c r="W34" s="66"/>
      <c r="X34" s="66"/>
      <c r="Y34" s="66"/>
      <c r="Z34" s="66"/>
      <c r="AA34" s="66"/>
      <c r="AB34" s="66"/>
      <c r="AC34" s="66"/>
      <c r="AD34" s="66"/>
      <c r="AE34" s="66"/>
      <c r="AF34" s="66"/>
      <c r="AG34" s="33" t="s">
        <v>923</v>
      </c>
      <c r="AH34" s="190" t="s">
        <v>418</v>
      </c>
      <c r="AI34" s="190"/>
      <c r="AJ34" s="190"/>
      <c r="AK34" s="33" t="s">
        <v>943</v>
      </c>
      <c r="AL34" s="120" t="s">
        <v>1825</v>
      </c>
      <c r="AM34" s="120" t="s">
        <v>1802</v>
      </c>
      <c r="AN34" s="120" t="s">
        <v>1929</v>
      </c>
      <c r="AO34" s="45" t="s">
        <v>905</v>
      </c>
      <c r="AP34" s="45" t="s">
        <v>906</v>
      </c>
      <c r="AQ34" s="46">
        <v>5</v>
      </c>
      <c r="AR34" s="46">
        <v>2</v>
      </c>
    </row>
    <row r="35" spans="1:44" s="47" customFormat="1" ht="40" customHeight="1">
      <c r="A35" s="98" t="s">
        <v>1752</v>
      </c>
      <c r="B35" s="97" t="s">
        <v>897</v>
      </c>
      <c r="C35" s="63">
        <v>5</v>
      </c>
      <c r="D35" s="35"/>
      <c r="E35" s="107">
        <f t="shared" si="0"/>
        <v>10</v>
      </c>
      <c r="F35" s="65">
        <v>2</v>
      </c>
      <c r="G35" s="65">
        <v>2</v>
      </c>
      <c r="H35" s="65">
        <v>2</v>
      </c>
      <c r="I35" s="65">
        <v>2</v>
      </c>
      <c r="J35" s="65">
        <v>2</v>
      </c>
      <c r="K35" s="66"/>
      <c r="L35" s="66"/>
      <c r="M35" s="66"/>
      <c r="N35" s="66"/>
      <c r="O35" s="66"/>
      <c r="P35" s="65"/>
      <c r="Q35" s="65"/>
      <c r="R35" s="65"/>
      <c r="S35" s="65"/>
      <c r="T35" s="65"/>
      <c r="U35" s="66"/>
      <c r="V35" s="66"/>
      <c r="W35" s="66"/>
      <c r="X35" s="66"/>
      <c r="Y35" s="66"/>
      <c r="Z35" s="66"/>
      <c r="AA35" s="66"/>
      <c r="AB35" s="66"/>
      <c r="AC35" s="66"/>
      <c r="AD35" s="66"/>
      <c r="AE35" s="66"/>
      <c r="AF35" s="66"/>
      <c r="AG35" s="33" t="s">
        <v>923</v>
      </c>
      <c r="AH35" s="190" t="s">
        <v>898</v>
      </c>
      <c r="AI35" s="190"/>
      <c r="AJ35" s="190"/>
      <c r="AK35" s="33" t="s">
        <v>941</v>
      </c>
      <c r="AL35" s="120" t="s">
        <v>1825</v>
      </c>
      <c r="AM35" s="120" t="s">
        <v>1802</v>
      </c>
      <c r="AN35" s="120" t="s">
        <v>1929</v>
      </c>
      <c r="AO35" s="45" t="s">
        <v>905</v>
      </c>
      <c r="AP35" s="45" t="s">
        <v>906</v>
      </c>
      <c r="AQ35" s="46">
        <v>5</v>
      </c>
      <c r="AR35" s="46">
        <v>2</v>
      </c>
    </row>
    <row r="36" spans="1:44" ht="40" customHeight="1">
      <c r="A36" s="98" t="s">
        <v>1753</v>
      </c>
      <c r="B36" s="96" t="s">
        <v>899</v>
      </c>
      <c r="D36" s="64">
        <v>8</v>
      </c>
      <c r="E36" s="108">
        <f t="shared" si="0"/>
        <v>22</v>
      </c>
      <c r="F36" s="67">
        <v>2</v>
      </c>
      <c r="G36" s="67">
        <v>2</v>
      </c>
      <c r="H36" s="67">
        <v>3</v>
      </c>
      <c r="I36" s="67">
        <v>3</v>
      </c>
      <c r="J36" s="67">
        <v>3</v>
      </c>
      <c r="K36" s="67">
        <v>3</v>
      </c>
      <c r="L36" s="67">
        <v>3</v>
      </c>
      <c r="M36" s="67">
        <v>3</v>
      </c>
      <c r="N36" s="68"/>
      <c r="O36" s="68"/>
      <c r="P36" s="67"/>
      <c r="Q36" s="67"/>
      <c r="R36" s="67"/>
      <c r="S36" s="67"/>
      <c r="T36" s="67"/>
      <c r="U36" s="67"/>
      <c r="V36" s="67"/>
      <c r="W36" s="67"/>
      <c r="X36" s="67"/>
      <c r="Y36" s="67"/>
      <c r="Z36" s="67"/>
      <c r="AA36" s="67"/>
      <c r="AB36" s="67"/>
      <c r="AC36" s="67"/>
      <c r="AD36" s="67"/>
      <c r="AE36" s="67"/>
      <c r="AF36" s="67"/>
      <c r="AG36" s="62" t="s">
        <v>924</v>
      </c>
      <c r="AH36" s="190" t="s">
        <v>379</v>
      </c>
      <c r="AK36" s="62" t="s">
        <v>937</v>
      </c>
      <c r="AL36" s="99" t="s">
        <v>1824</v>
      </c>
      <c r="AM36" s="99" t="s">
        <v>1802</v>
      </c>
      <c r="AN36" s="120" t="s">
        <v>1929</v>
      </c>
      <c r="AO36" s="43" t="s">
        <v>903</v>
      </c>
      <c r="AP36" s="43" t="s">
        <v>904</v>
      </c>
      <c r="AQ36" s="44" t="s">
        <v>878</v>
      </c>
      <c r="AR36" s="44">
        <v>2</v>
      </c>
    </row>
    <row r="37" spans="1:44" ht="40" customHeight="1">
      <c r="A37" s="98" t="s">
        <v>1754</v>
      </c>
      <c r="B37" s="96" t="s">
        <v>899</v>
      </c>
      <c r="C37" s="53">
        <v>5</v>
      </c>
      <c r="E37" s="105">
        <f t="shared" si="0"/>
        <v>10</v>
      </c>
      <c r="F37" s="67">
        <v>1</v>
      </c>
      <c r="G37" s="67">
        <v>1</v>
      </c>
      <c r="H37" s="67">
        <v>2</v>
      </c>
      <c r="I37" s="67">
        <v>2</v>
      </c>
      <c r="J37" s="67">
        <v>4</v>
      </c>
      <c r="K37" s="68"/>
      <c r="L37" s="68"/>
      <c r="M37" s="68"/>
      <c r="N37" s="68"/>
      <c r="O37" s="68"/>
      <c r="P37" s="67"/>
      <c r="Q37" s="67"/>
      <c r="R37" s="67"/>
      <c r="S37" s="67"/>
      <c r="T37" s="67"/>
      <c r="U37" s="68"/>
      <c r="V37" s="68"/>
      <c r="W37" s="68"/>
      <c r="X37" s="68"/>
      <c r="Y37" s="68"/>
      <c r="Z37" s="68"/>
      <c r="AA37" s="68"/>
      <c r="AB37" s="68"/>
      <c r="AC37" s="68"/>
      <c r="AD37" s="68"/>
      <c r="AE37" s="68"/>
      <c r="AF37" s="68"/>
      <c r="AG37" s="62" t="s">
        <v>924</v>
      </c>
      <c r="AH37" s="190" t="s">
        <v>379</v>
      </c>
      <c r="AK37" s="62" t="s">
        <v>938</v>
      </c>
      <c r="AL37" s="99" t="s">
        <v>1824</v>
      </c>
      <c r="AM37" s="99" t="s">
        <v>1802</v>
      </c>
      <c r="AN37" s="120" t="s">
        <v>1929</v>
      </c>
      <c r="AO37" s="43" t="s">
        <v>903</v>
      </c>
      <c r="AP37" s="43" t="s">
        <v>904</v>
      </c>
      <c r="AQ37" s="44">
        <v>5</v>
      </c>
      <c r="AR37" s="44">
        <v>2</v>
      </c>
    </row>
    <row r="38" spans="1:44" ht="40" customHeight="1">
      <c r="A38" s="98" t="s">
        <v>1755</v>
      </c>
      <c r="B38" s="96" t="s">
        <v>899</v>
      </c>
      <c r="C38" s="53">
        <v>5</v>
      </c>
      <c r="E38" s="105">
        <f t="shared" si="0"/>
        <v>12</v>
      </c>
      <c r="F38" s="67">
        <v>1</v>
      </c>
      <c r="G38" s="67">
        <v>2</v>
      </c>
      <c r="H38" s="67">
        <v>2</v>
      </c>
      <c r="I38" s="67">
        <v>3</v>
      </c>
      <c r="J38" s="67">
        <v>4</v>
      </c>
      <c r="K38" s="68"/>
      <c r="L38" s="68"/>
      <c r="M38" s="68"/>
      <c r="N38" s="68"/>
      <c r="O38" s="68"/>
      <c r="P38" s="67"/>
      <c r="Q38" s="67"/>
      <c r="R38" s="67"/>
      <c r="S38" s="67"/>
      <c r="T38" s="67"/>
      <c r="U38" s="68"/>
      <c r="V38" s="68"/>
      <c r="W38" s="68"/>
      <c r="X38" s="68"/>
      <c r="Y38" s="68"/>
      <c r="Z38" s="68"/>
      <c r="AA38" s="68"/>
      <c r="AB38" s="68"/>
      <c r="AC38" s="68"/>
      <c r="AD38" s="68"/>
      <c r="AE38" s="68"/>
      <c r="AF38" s="68"/>
      <c r="AG38" s="62" t="s">
        <v>924</v>
      </c>
      <c r="AH38" s="190" t="s">
        <v>252</v>
      </c>
      <c r="AK38" s="62" t="s">
        <v>936</v>
      </c>
      <c r="AL38" s="99" t="s">
        <v>1826</v>
      </c>
      <c r="AN38" s="120" t="s">
        <v>1929</v>
      </c>
      <c r="AO38" s="43" t="s">
        <v>903</v>
      </c>
      <c r="AP38" s="43" t="s">
        <v>904</v>
      </c>
      <c r="AQ38" s="44">
        <v>5</v>
      </c>
      <c r="AR38" s="44">
        <v>2</v>
      </c>
    </row>
    <row r="39" spans="1:44" ht="40" customHeight="1">
      <c r="A39" s="98" t="s">
        <v>1756</v>
      </c>
      <c r="B39" s="96" t="s">
        <v>899</v>
      </c>
      <c r="C39" s="53">
        <v>5</v>
      </c>
      <c r="E39" s="105">
        <f t="shared" si="0"/>
        <v>9</v>
      </c>
      <c r="F39" s="67">
        <v>1</v>
      </c>
      <c r="G39" s="67">
        <v>1</v>
      </c>
      <c r="H39" s="67">
        <v>2</v>
      </c>
      <c r="I39" s="67">
        <v>2</v>
      </c>
      <c r="J39" s="67">
        <v>3</v>
      </c>
      <c r="K39" s="68"/>
      <c r="L39" s="68"/>
      <c r="M39" s="68"/>
      <c r="N39" s="68"/>
      <c r="O39" s="68"/>
      <c r="P39" s="67"/>
      <c r="Q39" s="67"/>
      <c r="R39" s="67"/>
      <c r="S39" s="67"/>
      <c r="T39" s="67"/>
      <c r="U39" s="68"/>
      <c r="V39" s="68"/>
      <c r="W39" s="68"/>
      <c r="X39" s="68"/>
      <c r="Y39" s="68"/>
      <c r="Z39" s="68"/>
      <c r="AA39" s="68"/>
      <c r="AB39" s="68"/>
      <c r="AC39" s="68"/>
      <c r="AD39" s="68"/>
      <c r="AE39" s="68"/>
      <c r="AF39" s="68"/>
      <c r="AG39" s="62" t="s">
        <v>924</v>
      </c>
      <c r="AH39" s="190" t="s">
        <v>234</v>
      </c>
      <c r="AK39" s="62" t="s">
        <v>940</v>
      </c>
      <c r="AL39" s="99" t="s">
        <v>1824</v>
      </c>
      <c r="AM39" s="99" t="s">
        <v>1802</v>
      </c>
      <c r="AN39" s="120" t="s">
        <v>1929</v>
      </c>
      <c r="AO39" s="43" t="s">
        <v>903</v>
      </c>
      <c r="AP39" s="43" t="s">
        <v>904</v>
      </c>
      <c r="AQ39" s="44">
        <v>5</v>
      </c>
      <c r="AR39" s="44">
        <v>1</v>
      </c>
    </row>
    <row r="40" spans="1:44" ht="40" customHeight="1">
      <c r="A40" s="98" t="s">
        <v>1757</v>
      </c>
      <c r="B40" s="96" t="s">
        <v>899</v>
      </c>
      <c r="C40" s="53">
        <v>5</v>
      </c>
      <c r="E40" s="105">
        <f t="shared" si="0"/>
        <v>8</v>
      </c>
      <c r="F40" s="67">
        <v>1</v>
      </c>
      <c r="G40" s="67">
        <v>1</v>
      </c>
      <c r="H40" s="67">
        <v>1</v>
      </c>
      <c r="I40" s="67">
        <v>2</v>
      </c>
      <c r="J40" s="67">
        <v>3</v>
      </c>
      <c r="K40" s="68"/>
      <c r="L40" s="68"/>
      <c r="M40" s="68"/>
      <c r="N40" s="68"/>
      <c r="O40" s="68"/>
      <c r="P40" s="67"/>
      <c r="Q40" s="67"/>
      <c r="R40" s="67"/>
      <c r="S40" s="67"/>
      <c r="T40" s="67"/>
      <c r="U40" s="68"/>
      <c r="V40" s="68"/>
      <c r="W40" s="68"/>
      <c r="X40" s="68"/>
      <c r="Y40" s="68"/>
      <c r="Z40" s="68"/>
      <c r="AA40" s="68"/>
      <c r="AB40" s="68"/>
      <c r="AC40" s="68"/>
      <c r="AD40" s="68"/>
      <c r="AE40" s="68"/>
      <c r="AF40" s="68"/>
      <c r="AG40" s="62" t="s">
        <v>924</v>
      </c>
      <c r="AH40" s="190" t="s">
        <v>182</v>
      </c>
      <c r="AK40" s="62" t="s">
        <v>939</v>
      </c>
      <c r="AL40" s="99" t="s">
        <v>1824</v>
      </c>
      <c r="AM40" s="99" t="s">
        <v>1802</v>
      </c>
      <c r="AN40" s="120" t="s">
        <v>1929</v>
      </c>
      <c r="AO40" s="43" t="s">
        <v>903</v>
      </c>
      <c r="AP40" s="43" t="s">
        <v>904</v>
      </c>
      <c r="AQ40" s="44">
        <v>5</v>
      </c>
      <c r="AR40" s="44">
        <v>1</v>
      </c>
    </row>
  </sheetData>
  <phoneticPr fontId="2" type="noConversion"/>
  <printOptions horizontalCentered="1"/>
  <pageMargins left="0.39370078740157483" right="0.39370078740157483" top="0.39370078740157483" bottom="0.39370078740157483" header="0.31496062992125984" footer="0.31496062992125984"/>
  <pageSetup paperSize="9" scale="62" fitToHeight="2" orientation="landscape" r:id="rId1"/>
  <headerFooter>
    <oddFooter>&amp;R楚雄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Q66"/>
  <sheetViews>
    <sheetView zoomScale="75" zoomScaleNormal="75" zoomScalePageLayoutView="75" workbookViewId="0">
      <pane xSplit="1" ySplit="1" topLeftCell="B2" activePane="bottomRight" state="frozen"/>
      <selection pane="topRight" activeCell="B1" sqref="B1"/>
      <selection pane="bottomLeft" activeCell="A2" sqref="A2"/>
      <selection pane="bottomRight" activeCell="Q14" sqref="Q14"/>
    </sheetView>
  </sheetViews>
  <sheetFormatPr baseColWidth="10" defaultColWidth="8.83203125" defaultRowHeight="35" customHeight="1"/>
  <cols>
    <col min="1" max="2" width="8.1640625" style="91" customWidth="1"/>
    <col min="3" max="4" width="5.83203125" style="53" customWidth="1"/>
    <col min="5" max="5" width="5.83203125" style="101" customWidth="1"/>
    <col min="6" max="32" width="5.83203125" style="53" customWidth="1"/>
    <col min="33" max="33" width="16" style="69" customWidth="1"/>
    <col min="34" max="36" width="13.5" style="190" customWidth="1"/>
    <col min="37" max="37" width="13.6640625" style="43" customWidth="1"/>
    <col min="38" max="38" width="13.6640625" style="161" customWidth="1"/>
    <col min="39" max="39" width="18.5" style="161" customWidth="1"/>
    <col min="40" max="40" width="13.6640625" style="161" bestFit="1" customWidth="1"/>
    <col min="41" max="41" width="20.5" style="43" bestFit="1" customWidth="1"/>
    <col min="42" max="42" width="14.6640625" style="43" customWidth="1"/>
    <col min="43" max="43" width="6.5" style="54" bestFit="1" customWidth="1"/>
    <col min="44" max="16384" width="8.83203125" style="44"/>
  </cols>
  <sheetData>
    <row r="1" spans="1:43" ht="35" customHeight="1">
      <c r="A1" s="91" t="s">
        <v>1149</v>
      </c>
      <c r="B1" s="91" t="s">
        <v>855</v>
      </c>
      <c r="C1" s="53" t="s">
        <v>928</v>
      </c>
      <c r="D1" s="53" t="s">
        <v>1115</v>
      </c>
      <c r="E1" s="103" t="s">
        <v>984</v>
      </c>
      <c r="F1" s="43" t="s">
        <v>985</v>
      </c>
      <c r="G1" s="43" t="s">
        <v>755</v>
      </c>
      <c r="H1" s="43" t="s">
        <v>756</v>
      </c>
      <c r="I1" s="43" t="s">
        <v>757</v>
      </c>
      <c r="J1" s="43" t="s">
        <v>758</v>
      </c>
      <c r="K1" s="43" t="s">
        <v>759</v>
      </c>
      <c r="L1" s="43" t="s">
        <v>760</v>
      </c>
      <c r="M1" s="43" t="s">
        <v>761</v>
      </c>
      <c r="N1" s="43" t="s">
        <v>762</v>
      </c>
      <c r="O1" s="43" t="s">
        <v>763</v>
      </c>
      <c r="P1" s="43" t="s">
        <v>1132</v>
      </c>
      <c r="Q1" s="43" t="s">
        <v>1133</v>
      </c>
      <c r="R1" s="43" t="s">
        <v>1134</v>
      </c>
      <c r="S1" s="43" t="s">
        <v>1135</v>
      </c>
      <c r="T1" s="43" t="s">
        <v>1136</v>
      </c>
      <c r="U1" s="43" t="s">
        <v>1137</v>
      </c>
      <c r="V1" s="43" t="s">
        <v>1138</v>
      </c>
      <c r="W1" s="43" t="s">
        <v>1139</v>
      </c>
      <c r="X1" s="43" t="s">
        <v>1140</v>
      </c>
      <c r="Y1" s="43" t="s">
        <v>1141</v>
      </c>
      <c r="Z1" s="43" t="s">
        <v>1142</v>
      </c>
      <c r="AA1" s="43" t="s">
        <v>1143</v>
      </c>
      <c r="AB1" s="43" t="s">
        <v>1144</v>
      </c>
      <c r="AC1" s="43" t="s">
        <v>1145</v>
      </c>
      <c r="AD1" s="43" t="s">
        <v>1146</v>
      </c>
      <c r="AE1" s="43" t="s">
        <v>1147</v>
      </c>
      <c r="AF1" s="43" t="s">
        <v>1148</v>
      </c>
      <c r="AG1" s="69" t="s">
        <v>1030</v>
      </c>
      <c r="AH1" s="174" t="s">
        <v>1930</v>
      </c>
      <c r="AI1" s="175" t="s">
        <v>1931</v>
      </c>
      <c r="AJ1" s="176" t="s">
        <v>2017</v>
      </c>
      <c r="AK1" s="43" t="s">
        <v>6</v>
      </c>
      <c r="AL1" s="158" t="s">
        <v>1814</v>
      </c>
      <c r="AM1" s="158" t="s">
        <v>2020</v>
      </c>
      <c r="AN1" s="158" t="s">
        <v>1928</v>
      </c>
      <c r="AO1" s="43" t="s">
        <v>1028</v>
      </c>
      <c r="AP1" s="43" t="s">
        <v>1029</v>
      </c>
      <c r="AQ1" s="54" t="s">
        <v>990</v>
      </c>
    </row>
    <row r="2" spans="1:43" s="51" customFormat="1" ht="35" customHeight="1">
      <c r="A2" s="94" t="s">
        <v>1528</v>
      </c>
      <c r="B2" s="92" t="s">
        <v>986</v>
      </c>
      <c r="C2" s="56">
        <v>6</v>
      </c>
      <c r="D2" s="56"/>
      <c r="E2" s="104">
        <f>SUM(F2:Y2)</f>
        <v>24</v>
      </c>
      <c r="F2" s="56">
        <v>5</v>
      </c>
      <c r="G2" s="56">
        <v>5</v>
      </c>
      <c r="H2" s="56">
        <v>3</v>
      </c>
      <c r="I2" s="56">
        <v>4</v>
      </c>
      <c r="J2" s="56">
        <v>4</v>
      </c>
      <c r="K2" s="56">
        <v>3</v>
      </c>
      <c r="L2" s="56"/>
      <c r="M2" s="56"/>
      <c r="N2" s="56"/>
      <c r="O2" s="56"/>
      <c r="P2" s="56"/>
      <c r="Q2" s="56"/>
      <c r="R2" s="56"/>
      <c r="S2" s="56"/>
      <c r="T2" s="56"/>
      <c r="U2" s="56"/>
      <c r="V2" s="56"/>
      <c r="W2" s="56"/>
      <c r="X2" s="56"/>
      <c r="Y2" s="56"/>
      <c r="Z2" s="56"/>
      <c r="AA2" s="56"/>
      <c r="AB2" s="56"/>
      <c r="AC2" s="56"/>
      <c r="AD2" s="56"/>
      <c r="AE2" s="56"/>
      <c r="AF2" s="56"/>
      <c r="AG2" s="70" t="s">
        <v>1114</v>
      </c>
      <c r="AH2" s="191" t="s">
        <v>1929</v>
      </c>
      <c r="AI2" s="192"/>
      <c r="AJ2" s="193"/>
      <c r="AK2" s="55"/>
      <c r="AL2" s="267">
        <f>5*AN2</f>
        <v>10</v>
      </c>
      <c r="AM2" s="159"/>
      <c r="AN2" s="269">
        <v>2</v>
      </c>
      <c r="AO2" s="55" t="s">
        <v>1031</v>
      </c>
      <c r="AP2" s="55" t="s">
        <v>1049</v>
      </c>
      <c r="AQ2" s="57">
        <v>5</v>
      </c>
    </row>
    <row r="3" spans="1:43" ht="35" customHeight="1">
      <c r="A3" s="94" t="s">
        <v>1529</v>
      </c>
      <c r="B3" s="91" t="s">
        <v>987</v>
      </c>
      <c r="D3" s="53">
        <v>1</v>
      </c>
      <c r="E3" s="104">
        <f t="shared" ref="E3:E63" si="0">SUM(F3:Y3)</f>
        <v>1</v>
      </c>
      <c r="F3" s="53">
        <v>1</v>
      </c>
      <c r="AG3" s="69" t="s">
        <v>1111</v>
      </c>
      <c r="AH3" s="192" t="s">
        <v>1113</v>
      </c>
      <c r="AI3" s="192"/>
      <c r="AJ3" s="193"/>
      <c r="AL3" s="266">
        <f t="shared" ref="AL3:AL63" si="1">5*AN3</f>
        <v>0.5</v>
      </c>
      <c r="AN3" s="270">
        <v>0.1</v>
      </c>
      <c r="AO3" s="43" t="s">
        <v>1110</v>
      </c>
      <c r="AP3" s="43" t="s">
        <v>1112</v>
      </c>
      <c r="AQ3" s="54">
        <v>5</v>
      </c>
    </row>
    <row r="4" spans="1:43" s="51" customFormat="1" ht="35" customHeight="1">
      <c r="A4" s="94" t="s">
        <v>1530</v>
      </c>
      <c r="B4" s="92" t="s">
        <v>992</v>
      </c>
      <c r="C4" s="56">
        <v>2</v>
      </c>
      <c r="D4" s="56"/>
      <c r="E4" s="104">
        <f t="shared" si="0"/>
        <v>31</v>
      </c>
      <c r="F4" s="56">
        <v>17</v>
      </c>
      <c r="G4" s="56">
        <v>14</v>
      </c>
      <c r="H4" s="56"/>
      <c r="I4" s="56"/>
      <c r="J4" s="56"/>
      <c r="K4" s="56"/>
      <c r="L4" s="56"/>
      <c r="M4" s="56"/>
      <c r="N4" s="56"/>
      <c r="O4" s="56"/>
      <c r="P4" s="56"/>
      <c r="Q4" s="56"/>
      <c r="R4" s="56"/>
      <c r="S4" s="56"/>
      <c r="T4" s="56"/>
      <c r="U4" s="56"/>
      <c r="V4" s="56"/>
      <c r="W4" s="56"/>
      <c r="X4" s="56"/>
      <c r="Y4" s="56"/>
      <c r="Z4" s="56"/>
      <c r="AA4" s="56"/>
      <c r="AB4" s="56"/>
      <c r="AC4" s="56"/>
      <c r="AD4" s="56"/>
      <c r="AE4" s="56"/>
      <c r="AF4" s="56"/>
      <c r="AG4" s="70" t="s">
        <v>1106</v>
      </c>
      <c r="AH4" s="192" t="s">
        <v>1034</v>
      </c>
      <c r="AI4" s="192"/>
      <c r="AJ4" s="193"/>
      <c r="AK4" s="55"/>
      <c r="AL4" s="267">
        <f t="shared" si="1"/>
        <v>10</v>
      </c>
      <c r="AM4" s="159"/>
      <c r="AN4" s="269">
        <v>2</v>
      </c>
      <c r="AO4" s="55" t="s">
        <v>1104</v>
      </c>
      <c r="AP4" s="55" t="s">
        <v>1105</v>
      </c>
      <c r="AQ4" s="57">
        <v>20</v>
      </c>
    </row>
    <row r="5" spans="1:43" ht="35" customHeight="1">
      <c r="A5" s="94" t="s">
        <v>1531</v>
      </c>
      <c r="B5" s="91" t="s">
        <v>993</v>
      </c>
      <c r="C5" s="53">
        <v>6</v>
      </c>
      <c r="E5" s="104">
        <f t="shared" si="0"/>
        <v>6</v>
      </c>
      <c r="F5" s="53">
        <v>1</v>
      </c>
      <c r="G5" s="53">
        <v>1</v>
      </c>
      <c r="H5" s="53">
        <v>1</v>
      </c>
      <c r="I5" s="53">
        <v>1</v>
      </c>
      <c r="J5" s="53">
        <v>1</v>
      </c>
      <c r="K5" s="53">
        <v>1</v>
      </c>
      <c r="AG5" s="69" t="s">
        <v>1103</v>
      </c>
      <c r="AH5" s="192" t="s">
        <v>1049</v>
      </c>
      <c r="AI5" s="192"/>
      <c r="AJ5" s="193"/>
      <c r="AL5" s="266">
        <f t="shared" si="1"/>
        <v>1</v>
      </c>
      <c r="AN5" s="270">
        <v>0.2</v>
      </c>
      <c r="AO5" s="43" t="s">
        <v>1031</v>
      </c>
      <c r="AP5" s="43" t="s">
        <v>1102</v>
      </c>
      <c r="AQ5" s="54">
        <v>1</v>
      </c>
    </row>
    <row r="6" spans="1:43" s="51" customFormat="1" ht="35" customHeight="1">
      <c r="A6" s="94" t="s">
        <v>1532</v>
      </c>
      <c r="B6" s="92" t="s">
        <v>1007</v>
      </c>
      <c r="C6" s="56">
        <v>5</v>
      </c>
      <c r="D6" s="56"/>
      <c r="E6" s="104">
        <f t="shared" si="0"/>
        <v>85</v>
      </c>
      <c r="F6" s="56">
        <v>34</v>
      </c>
      <c r="G6" s="56">
        <v>10</v>
      </c>
      <c r="H6" s="56">
        <v>17</v>
      </c>
      <c r="I6" s="56">
        <v>11</v>
      </c>
      <c r="J6" s="56">
        <v>13</v>
      </c>
      <c r="K6" s="56"/>
      <c r="L6" s="56"/>
      <c r="M6" s="56"/>
      <c r="N6" s="56"/>
      <c r="O6" s="56"/>
      <c r="P6" s="56"/>
      <c r="Q6" s="56"/>
      <c r="R6" s="56"/>
      <c r="S6" s="56"/>
      <c r="T6" s="56"/>
      <c r="U6" s="56"/>
      <c r="V6" s="56"/>
      <c r="W6" s="56"/>
      <c r="X6" s="56"/>
      <c r="Y6" s="56"/>
      <c r="Z6" s="56"/>
      <c r="AA6" s="56"/>
      <c r="AB6" s="56"/>
      <c r="AC6" s="56"/>
      <c r="AD6" s="56"/>
      <c r="AE6" s="56"/>
      <c r="AF6" s="56"/>
      <c r="AG6" s="70" t="s">
        <v>1035</v>
      </c>
      <c r="AH6" s="192" t="s">
        <v>1076</v>
      </c>
      <c r="AI6" s="192"/>
      <c r="AJ6" s="193"/>
      <c r="AK6" s="55"/>
      <c r="AL6" s="267">
        <f t="shared" si="1"/>
        <v>20</v>
      </c>
      <c r="AM6" s="159"/>
      <c r="AN6" s="269">
        <v>4</v>
      </c>
      <c r="AO6" s="55" t="s">
        <v>1074</v>
      </c>
      <c r="AP6" s="55" t="s">
        <v>1075</v>
      </c>
      <c r="AQ6" s="57" t="s">
        <v>1008</v>
      </c>
    </row>
    <row r="7" spans="1:43" ht="35" customHeight="1">
      <c r="A7" s="94" t="s">
        <v>1533</v>
      </c>
      <c r="B7" s="91" t="s">
        <v>1024</v>
      </c>
      <c r="C7" s="53">
        <v>1</v>
      </c>
      <c r="E7" s="104">
        <f t="shared" si="0"/>
        <v>1</v>
      </c>
      <c r="F7" s="53">
        <v>1</v>
      </c>
      <c r="AG7" s="69" t="s">
        <v>1088</v>
      </c>
      <c r="AH7" s="192" t="s">
        <v>1090</v>
      </c>
      <c r="AI7" s="192"/>
      <c r="AJ7" s="193"/>
      <c r="AL7" s="266">
        <f t="shared" si="1"/>
        <v>0.5</v>
      </c>
      <c r="AN7" s="270">
        <v>0.1</v>
      </c>
      <c r="AO7" s="43" t="s">
        <v>1087</v>
      </c>
      <c r="AP7" s="43" t="s">
        <v>1089</v>
      </c>
      <c r="AQ7" s="54">
        <v>1</v>
      </c>
    </row>
    <row r="8" spans="1:43" s="51" customFormat="1" ht="35" customHeight="1">
      <c r="A8" s="94" t="s">
        <v>1534</v>
      </c>
      <c r="B8" s="92" t="s">
        <v>1020</v>
      </c>
      <c r="C8" s="56">
        <v>1</v>
      </c>
      <c r="D8" s="56"/>
      <c r="E8" s="104">
        <f t="shared" si="0"/>
        <v>5</v>
      </c>
      <c r="F8" s="56">
        <v>5</v>
      </c>
      <c r="G8" s="56"/>
      <c r="H8" s="56"/>
      <c r="I8" s="56"/>
      <c r="J8" s="56"/>
      <c r="K8" s="56"/>
      <c r="L8" s="56"/>
      <c r="M8" s="56"/>
      <c r="N8" s="56"/>
      <c r="O8" s="56"/>
      <c r="P8" s="56"/>
      <c r="Q8" s="56"/>
      <c r="R8" s="56"/>
      <c r="S8" s="56"/>
      <c r="T8" s="56"/>
      <c r="U8" s="56"/>
      <c r="V8" s="56"/>
      <c r="W8" s="56"/>
      <c r="X8" s="56"/>
      <c r="Y8" s="56"/>
      <c r="Z8" s="56"/>
      <c r="AA8" s="56"/>
      <c r="AB8" s="56"/>
      <c r="AC8" s="56"/>
      <c r="AD8" s="56"/>
      <c r="AE8" s="56"/>
      <c r="AF8" s="56"/>
      <c r="AG8" s="70" t="s">
        <v>1045</v>
      </c>
      <c r="AH8" s="192" t="s">
        <v>1048</v>
      </c>
      <c r="AI8" s="192"/>
      <c r="AJ8" s="193"/>
      <c r="AK8" s="55"/>
      <c r="AL8" s="267">
        <f t="shared" si="1"/>
        <v>1</v>
      </c>
      <c r="AM8" s="159"/>
      <c r="AN8" s="269">
        <v>0.2</v>
      </c>
      <c r="AO8" s="55" t="s">
        <v>1046</v>
      </c>
      <c r="AP8" s="55" t="s">
        <v>1047</v>
      </c>
      <c r="AQ8" s="57" t="s">
        <v>18</v>
      </c>
    </row>
    <row r="9" spans="1:43" ht="35" customHeight="1">
      <c r="A9" s="94" t="s">
        <v>1535</v>
      </c>
      <c r="B9" s="91" t="s">
        <v>1021</v>
      </c>
      <c r="C9" s="53">
        <v>1</v>
      </c>
      <c r="E9" s="104">
        <f t="shared" si="0"/>
        <v>8</v>
      </c>
      <c r="F9" s="53">
        <v>8</v>
      </c>
      <c r="AG9" s="69" t="s">
        <v>1045</v>
      </c>
      <c r="AH9" s="192" t="s">
        <v>1044</v>
      </c>
      <c r="AI9" s="192"/>
      <c r="AJ9" s="193"/>
      <c r="AL9" s="266">
        <f t="shared" si="1"/>
        <v>2</v>
      </c>
      <c r="AN9" s="270">
        <v>0.4</v>
      </c>
      <c r="AO9" s="43" t="s">
        <v>1042</v>
      </c>
      <c r="AP9" s="43" t="s">
        <v>1043</v>
      </c>
      <c r="AQ9" s="54" t="s">
        <v>90</v>
      </c>
    </row>
    <row r="10" spans="1:43" s="51" customFormat="1" ht="35" customHeight="1">
      <c r="A10" s="94" t="s">
        <v>1536</v>
      </c>
      <c r="B10" s="92" t="s">
        <v>1022</v>
      </c>
      <c r="C10" s="56">
        <v>3</v>
      </c>
      <c r="D10" s="56"/>
      <c r="E10" s="104">
        <f t="shared" si="0"/>
        <v>11</v>
      </c>
      <c r="F10" s="56">
        <v>4</v>
      </c>
      <c r="G10" s="56">
        <v>4</v>
      </c>
      <c r="H10" s="56">
        <v>3</v>
      </c>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70" t="s">
        <v>1041</v>
      </c>
      <c r="AH10" s="192" t="s">
        <v>1039</v>
      </c>
      <c r="AI10" s="192"/>
      <c r="AJ10" s="193"/>
      <c r="AK10" s="55"/>
      <c r="AL10" s="267">
        <f t="shared" si="1"/>
        <v>3</v>
      </c>
      <c r="AM10" s="159"/>
      <c r="AN10" s="269">
        <v>0.6</v>
      </c>
      <c r="AO10" s="55" t="s">
        <v>1037</v>
      </c>
      <c r="AP10" s="55" t="s">
        <v>1038</v>
      </c>
      <c r="AQ10" s="57" t="s">
        <v>18</v>
      </c>
    </row>
    <row r="11" spans="1:43" ht="35" customHeight="1">
      <c r="A11" s="94" t="s">
        <v>1537</v>
      </c>
      <c r="B11" s="91" t="s">
        <v>1022</v>
      </c>
      <c r="C11" s="53">
        <v>6</v>
      </c>
      <c r="E11" s="104">
        <f t="shared" si="0"/>
        <v>25</v>
      </c>
      <c r="F11" s="53">
        <v>9</v>
      </c>
      <c r="G11" s="53">
        <v>4</v>
      </c>
      <c r="H11" s="53">
        <v>2</v>
      </c>
      <c r="I11" s="53">
        <v>1</v>
      </c>
      <c r="J11" s="53">
        <v>4</v>
      </c>
      <c r="K11" s="53">
        <v>5</v>
      </c>
      <c r="AG11" s="69" t="s">
        <v>1040</v>
      </c>
      <c r="AH11" s="192" t="s">
        <v>1039</v>
      </c>
      <c r="AI11" s="192"/>
      <c r="AJ11" s="193"/>
      <c r="AL11" s="266">
        <f t="shared" si="1"/>
        <v>7.5</v>
      </c>
      <c r="AN11" s="270">
        <v>1.5</v>
      </c>
      <c r="AO11" s="43" t="s">
        <v>1037</v>
      </c>
      <c r="AP11" s="43" t="s">
        <v>1038</v>
      </c>
      <c r="AQ11" s="54" t="s">
        <v>18</v>
      </c>
    </row>
    <row r="12" spans="1:43" s="51" customFormat="1" ht="35" customHeight="1">
      <c r="A12" s="94" t="s">
        <v>1538</v>
      </c>
      <c r="B12" s="92" t="s">
        <v>988</v>
      </c>
      <c r="C12" s="56">
        <v>10</v>
      </c>
      <c r="D12" s="56"/>
      <c r="E12" s="104">
        <f t="shared" si="0"/>
        <v>93</v>
      </c>
      <c r="F12" s="56">
        <v>10</v>
      </c>
      <c r="G12" s="56">
        <v>12</v>
      </c>
      <c r="H12" s="56">
        <v>8</v>
      </c>
      <c r="I12" s="56">
        <v>8</v>
      </c>
      <c r="J12" s="56">
        <v>12</v>
      </c>
      <c r="K12" s="56">
        <v>8</v>
      </c>
      <c r="L12" s="56">
        <v>7</v>
      </c>
      <c r="M12" s="56">
        <v>6</v>
      </c>
      <c r="N12" s="56">
        <v>10</v>
      </c>
      <c r="O12" s="56">
        <v>12</v>
      </c>
      <c r="P12" s="56"/>
      <c r="Q12" s="56"/>
      <c r="R12" s="56"/>
      <c r="S12" s="56"/>
      <c r="T12" s="56"/>
      <c r="U12" s="56"/>
      <c r="V12" s="56"/>
      <c r="W12" s="56"/>
      <c r="X12" s="56"/>
      <c r="Y12" s="56"/>
      <c r="Z12" s="56"/>
      <c r="AA12" s="56"/>
      <c r="AB12" s="56"/>
      <c r="AC12" s="56"/>
      <c r="AD12" s="56"/>
      <c r="AE12" s="56"/>
      <c r="AF12" s="56"/>
      <c r="AG12" s="70" t="s">
        <v>1109</v>
      </c>
      <c r="AH12" s="192" t="s">
        <v>989</v>
      </c>
      <c r="AI12" s="192"/>
      <c r="AJ12" s="193"/>
      <c r="AK12" s="51" t="s">
        <v>1108</v>
      </c>
      <c r="AL12" s="267">
        <f t="shared" si="1"/>
        <v>22.5</v>
      </c>
      <c r="AM12" s="159"/>
      <c r="AN12" s="267">
        <v>4.5</v>
      </c>
      <c r="AO12" s="55" t="s">
        <v>1095</v>
      </c>
      <c r="AP12" s="55" t="s">
        <v>1097</v>
      </c>
      <c r="AQ12" s="57" t="s">
        <v>991</v>
      </c>
    </row>
    <row r="13" spans="1:43" s="51" customFormat="1" ht="35" customHeight="1">
      <c r="A13" s="94" t="s">
        <v>1539</v>
      </c>
      <c r="B13" s="92" t="s">
        <v>988</v>
      </c>
      <c r="C13" s="56">
        <v>9</v>
      </c>
      <c r="D13" s="56"/>
      <c r="E13" s="104">
        <f t="shared" si="0"/>
        <v>116</v>
      </c>
      <c r="F13" s="122">
        <v>28</v>
      </c>
      <c r="G13" s="123">
        <v>20</v>
      </c>
      <c r="H13" s="124">
        <v>8</v>
      </c>
      <c r="I13" s="124">
        <v>7</v>
      </c>
      <c r="J13" s="125">
        <v>11</v>
      </c>
      <c r="K13" s="125">
        <v>10</v>
      </c>
      <c r="L13" s="126">
        <v>13</v>
      </c>
      <c r="M13" s="126">
        <v>10</v>
      </c>
      <c r="N13" s="124">
        <v>9</v>
      </c>
      <c r="O13" s="56"/>
      <c r="P13" s="56"/>
      <c r="Q13" s="56"/>
      <c r="R13" s="56"/>
      <c r="S13" s="56"/>
      <c r="T13" s="56"/>
      <c r="U13" s="56"/>
      <c r="V13" s="56"/>
      <c r="W13" s="56"/>
      <c r="X13" s="56"/>
      <c r="Y13" s="56"/>
      <c r="Z13" s="56"/>
      <c r="AA13" s="56"/>
      <c r="AB13" s="56"/>
      <c r="AC13" s="56"/>
      <c r="AD13" s="56"/>
      <c r="AE13" s="56"/>
      <c r="AF13" s="56"/>
      <c r="AG13" s="70" t="s">
        <v>1098</v>
      </c>
      <c r="AH13" s="192">
        <v>20160712</v>
      </c>
      <c r="AI13" s="192"/>
      <c r="AJ13" s="193"/>
      <c r="AK13" s="51" t="s">
        <v>1107</v>
      </c>
      <c r="AL13" s="267">
        <f t="shared" si="1"/>
        <v>18.5</v>
      </c>
      <c r="AM13" s="160" t="s">
        <v>1908</v>
      </c>
      <c r="AN13" s="267">
        <f>0.9*3+0.5*2</f>
        <v>3.7</v>
      </c>
      <c r="AO13" s="55" t="s">
        <v>1094</v>
      </c>
      <c r="AP13" s="55" t="s">
        <v>1096</v>
      </c>
      <c r="AQ13" s="57" t="s">
        <v>991</v>
      </c>
    </row>
    <row r="14" spans="1:43" s="51" customFormat="1" ht="35" customHeight="1">
      <c r="A14" s="94" t="s">
        <v>1540</v>
      </c>
      <c r="B14" s="92" t="s">
        <v>988</v>
      </c>
      <c r="C14" s="56">
        <v>10</v>
      </c>
      <c r="D14" s="56"/>
      <c r="E14" s="104">
        <f t="shared" si="0"/>
        <v>223</v>
      </c>
      <c r="F14" s="122">
        <v>15</v>
      </c>
      <c r="G14" s="123">
        <v>24</v>
      </c>
      <c r="H14" s="124">
        <v>23</v>
      </c>
      <c r="I14" s="125">
        <v>23</v>
      </c>
      <c r="J14" s="123">
        <v>21</v>
      </c>
      <c r="K14" s="122">
        <v>31</v>
      </c>
      <c r="L14" s="56">
        <v>18</v>
      </c>
      <c r="M14" s="56">
        <v>30</v>
      </c>
      <c r="N14" s="124">
        <v>19</v>
      </c>
      <c r="O14" s="125">
        <v>19</v>
      </c>
      <c r="P14" s="56"/>
      <c r="Q14" s="56"/>
      <c r="R14" s="56"/>
      <c r="S14" s="56"/>
      <c r="T14" s="56"/>
      <c r="U14" s="56"/>
      <c r="V14" s="56"/>
      <c r="W14" s="56"/>
      <c r="X14" s="56"/>
      <c r="Y14" s="56"/>
      <c r="Z14" s="56"/>
      <c r="AA14" s="56"/>
      <c r="AB14" s="56"/>
      <c r="AC14" s="56"/>
      <c r="AD14" s="56"/>
      <c r="AE14" s="56"/>
      <c r="AF14" s="56"/>
      <c r="AG14" s="70" t="s">
        <v>1098</v>
      </c>
      <c r="AH14" s="192">
        <v>20160722</v>
      </c>
      <c r="AI14" s="192"/>
      <c r="AJ14" s="193"/>
      <c r="AK14" s="51" t="s">
        <v>1101</v>
      </c>
      <c r="AL14" s="267">
        <f t="shared" si="1"/>
        <v>50</v>
      </c>
      <c r="AM14" s="160" t="s">
        <v>1882</v>
      </c>
      <c r="AN14" s="267">
        <f>2*5</f>
        <v>10</v>
      </c>
      <c r="AO14" s="55" t="s">
        <v>1094</v>
      </c>
      <c r="AP14" s="55" t="s">
        <v>1096</v>
      </c>
      <c r="AQ14" s="57" t="s">
        <v>991</v>
      </c>
    </row>
    <row r="15" spans="1:43" s="51" customFormat="1" ht="35" customHeight="1">
      <c r="A15" s="94" t="s">
        <v>1541</v>
      </c>
      <c r="B15" s="92" t="s">
        <v>988</v>
      </c>
      <c r="C15" s="56">
        <v>10</v>
      </c>
      <c r="D15" s="56"/>
      <c r="E15" s="104">
        <f t="shared" si="0"/>
        <v>137</v>
      </c>
      <c r="F15" s="122">
        <v>14</v>
      </c>
      <c r="G15" s="122">
        <v>13</v>
      </c>
      <c r="H15" s="123">
        <v>12</v>
      </c>
      <c r="I15" s="124">
        <v>9</v>
      </c>
      <c r="J15" s="125">
        <v>12</v>
      </c>
      <c r="K15" s="124">
        <v>18</v>
      </c>
      <c r="L15" s="123">
        <v>13</v>
      </c>
      <c r="M15" s="125">
        <v>17</v>
      </c>
      <c r="N15" s="56">
        <v>11</v>
      </c>
      <c r="O15" s="56">
        <v>18</v>
      </c>
      <c r="P15" s="56"/>
      <c r="Q15" s="56"/>
      <c r="R15" s="56"/>
      <c r="S15" s="56"/>
      <c r="T15" s="56"/>
      <c r="U15" s="56"/>
      <c r="V15" s="56"/>
      <c r="W15" s="56"/>
      <c r="X15" s="56"/>
      <c r="Y15" s="56"/>
      <c r="Z15" s="56"/>
      <c r="AA15" s="56"/>
      <c r="AB15" s="56"/>
      <c r="AC15" s="56"/>
      <c r="AD15" s="56"/>
      <c r="AE15" s="56"/>
      <c r="AF15" s="56"/>
      <c r="AG15" s="70" t="s">
        <v>1098</v>
      </c>
      <c r="AH15" s="192">
        <v>20160815</v>
      </c>
      <c r="AI15" s="192"/>
      <c r="AJ15" s="193"/>
      <c r="AK15" s="51" t="s">
        <v>1100</v>
      </c>
      <c r="AL15" s="267">
        <f t="shared" si="1"/>
        <v>24.5</v>
      </c>
      <c r="AM15" s="160" t="s">
        <v>1909</v>
      </c>
      <c r="AN15" s="267">
        <f>1.5+0.9*3+0.7</f>
        <v>4.9000000000000004</v>
      </c>
      <c r="AO15" s="55" t="s">
        <v>1094</v>
      </c>
      <c r="AP15" s="55" t="s">
        <v>1096</v>
      </c>
      <c r="AQ15" s="57" t="s">
        <v>991</v>
      </c>
    </row>
    <row r="16" spans="1:43" s="52" customFormat="1" ht="35" customHeight="1">
      <c r="A16" s="94" t="s">
        <v>1542</v>
      </c>
      <c r="B16" s="93" t="s">
        <v>988</v>
      </c>
      <c r="C16" s="59">
        <v>10</v>
      </c>
      <c r="D16" s="59"/>
      <c r="E16" s="104">
        <f t="shared" si="0"/>
        <v>220</v>
      </c>
      <c r="F16" s="59">
        <v>26</v>
      </c>
      <c r="G16" s="123">
        <v>27</v>
      </c>
      <c r="H16" s="59">
        <v>18</v>
      </c>
      <c r="I16" s="124">
        <v>18</v>
      </c>
      <c r="J16" s="125">
        <v>24</v>
      </c>
      <c r="K16" s="125">
        <v>21</v>
      </c>
      <c r="L16" s="126">
        <v>21</v>
      </c>
      <c r="M16" s="124">
        <v>25</v>
      </c>
      <c r="N16" s="123">
        <v>16</v>
      </c>
      <c r="O16" s="126">
        <v>24</v>
      </c>
      <c r="P16" s="59"/>
      <c r="Q16" s="59"/>
      <c r="R16" s="59"/>
      <c r="S16" s="59"/>
      <c r="T16" s="59"/>
      <c r="U16" s="59"/>
      <c r="V16" s="59"/>
      <c r="W16" s="59"/>
      <c r="X16" s="59"/>
      <c r="Y16" s="59"/>
      <c r="Z16" s="59"/>
      <c r="AA16" s="59"/>
      <c r="AB16" s="59"/>
      <c r="AC16" s="59"/>
      <c r="AD16" s="59"/>
      <c r="AE16" s="59"/>
      <c r="AF16" s="59"/>
      <c r="AG16" s="71" t="s">
        <v>1099</v>
      </c>
      <c r="AH16" s="192" t="s">
        <v>1023</v>
      </c>
      <c r="AI16" s="192"/>
      <c r="AJ16" s="193"/>
      <c r="AK16" s="52" t="s">
        <v>1101</v>
      </c>
      <c r="AL16" s="268">
        <f t="shared" si="1"/>
        <v>52.5</v>
      </c>
      <c r="AM16" s="163" t="s">
        <v>1910</v>
      </c>
      <c r="AN16" s="268">
        <f>2+1.5+3+2+2</f>
        <v>10.5</v>
      </c>
      <c r="AO16" s="58" t="s">
        <v>1094</v>
      </c>
      <c r="AP16" s="58" t="s">
        <v>1096</v>
      </c>
      <c r="AQ16" s="36" t="s">
        <v>991</v>
      </c>
    </row>
    <row r="17" spans="1:43" s="52" customFormat="1" ht="35" customHeight="1">
      <c r="A17" s="94" t="s">
        <v>1543</v>
      </c>
      <c r="B17" s="93" t="s">
        <v>988</v>
      </c>
      <c r="C17" s="59">
        <v>10</v>
      </c>
      <c r="D17" s="59"/>
      <c r="E17" s="104">
        <f t="shared" si="0"/>
        <v>210</v>
      </c>
      <c r="F17" s="59">
        <v>24</v>
      </c>
      <c r="G17" s="123">
        <v>30</v>
      </c>
      <c r="H17" s="124">
        <v>23</v>
      </c>
      <c r="I17" s="59">
        <v>15</v>
      </c>
      <c r="J17" s="123">
        <v>13</v>
      </c>
      <c r="K17" s="124">
        <v>21</v>
      </c>
      <c r="L17" s="125">
        <v>26</v>
      </c>
      <c r="M17" s="126">
        <v>27</v>
      </c>
      <c r="N17" s="125">
        <v>16</v>
      </c>
      <c r="O17" s="126">
        <v>15</v>
      </c>
      <c r="P17" s="59"/>
      <c r="Q17" s="59"/>
      <c r="R17" s="59"/>
      <c r="S17" s="59"/>
      <c r="T17" s="59"/>
      <c r="U17" s="59"/>
      <c r="V17" s="59"/>
      <c r="W17" s="59"/>
      <c r="X17" s="59"/>
      <c r="Y17" s="59"/>
      <c r="Z17" s="59"/>
      <c r="AA17" s="59"/>
      <c r="AB17" s="59"/>
      <c r="AC17" s="59"/>
      <c r="AD17" s="59"/>
      <c r="AE17" s="59"/>
      <c r="AF17" s="59"/>
      <c r="AG17" s="71" t="s">
        <v>1099</v>
      </c>
      <c r="AH17" s="192" t="s">
        <v>494</v>
      </c>
      <c r="AI17" s="192"/>
      <c r="AJ17" s="193"/>
      <c r="AK17" s="52" t="s">
        <v>1130</v>
      </c>
      <c r="AL17" s="268">
        <f t="shared" si="1"/>
        <v>45</v>
      </c>
      <c r="AM17" s="163" t="s">
        <v>1911</v>
      </c>
      <c r="AN17" s="268">
        <f>2+1.5+2+2+1.5</f>
        <v>9</v>
      </c>
      <c r="AO17" s="58" t="s">
        <v>1094</v>
      </c>
      <c r="AP17" s="58" t="s">
        <v>1096</v>
      </c>
      <c r="AQ17" s="36" t="s">
        <v>991</v>
      </c>
    </row>
    <row r="18" spans="1:43" s="52" customFormat="1" ht="35" customHeight="1">
      <c r="A18" s="94" t="s">
        <v>1544</v>
      </c>
      <c r="B18" s="93" t="s">
        <v>988</v>
      </c>
      <c r="C18" s="59">
        <v>10</v>
      </c>
      <c r="D18" s="59"/>
      <c r="E18" s="104">
        <f t="shared" si="0"/>
        <v>126</v>
      </c>
      <c r="F18" s="59">
        <v>19</v>
      </c>
      <c r="G18" s="123">
        <v>13</v>
      </c>
      <c r="H18" s="124">
        <v>19</v>
      </c>
      <c r="I18" s="125">
        <v>16</v>
      </c>
      <c r="J18" s="126">
        <v>13</v>
      </c>
      <c r="K18" s="123">
        <v>11</v>
      </c>
      <c r="L18" s="126">
        <v>15</v>
      </c>
      <c r="M18" s="125">
        <v>9</v>
      </c>
      <c r="N18" s="59">
        <v>8</v>
      </c>
      <c r="O18" s="124">
        <v>3</v>
      </c>
      <c r="P18" s="59"/>
      <c r="Q18" s="59"/>
      <c r="R18" s="59"/>
      <c r="S18" s="59"/>
      <c r="T18" s="59"/>
      <c r="U18" s="59"/>
      <c r="V18" s="59"/>
      <c r="W18" s="59"/>
      <c r="X18" s="59"/>
      <c r="Y18" s="59"/>
      <c r="Z18" s="59"/>
      <c r="AA18" s="59"/>
      <c r="AB18" s="59"/>
      <c r="AC18" s="59"/>
      <c r="AD18" s="59"/>
      <c r="AE18" s="59"/>
      <c r="AF18" s="59"/>
      <c r="AG18" s="71" t="s">
        <v>1098</v>
      </c>
      <c r="AH18" s="192" t="s">
        <v>494</v>
      </c>
      <c r="AI18" s="192"/>
      <c r="AJ18" s="193"/>
      <c r="AK18" s="52" t="s">
        <v>1131</v>
      </c>
      <c r="AL18" s="268">
        <f t="shared" si="1"/>
        <v>32.500000000000007</v>
      </c>
      <c r="AM18" s="163" t="s">
        <v>1912</v>
      </c>
      <c r="AN18" s="268">
        <f>2+2+0.7+0.9+0.9</f>
        <v>6.5000000000000009</v>
      </c>
      <c r="AO18" s="58" t="s">
        <v>1094</v>
      </c>
      <c r="AP18" s="58" t="s">
        <v>1096</v>
      </c>
      <c r="AQ18" s="36" t="s">
        <v>991</v>
      </c>
    </row>
    <row r="19" spans="1:43" s="52" customFormat="1" ht="35" customHeight="1">
      <c r="A19" s="94" t="s">
        <v>1545</v>
      </c>
      <c r="B19" s="93" t="s">
        <v>988</v>
      </c>
      <c r="C19" s="59">
        <v>9</v>
      </c>
      <c r="D19" s="59"/>
      <c r="E19" s="104">
        <f t="shared" si="0"/>
        <v>193</v>
      </c>
      <c r="F19" s="59">
        <v>26</v>
      </c>
      <c r="G19" s="123">
        <v>17</v>
      </c>
      <c r="H19" s="124">
        <v>26</v>
      </c>
      <c r="I19" s="124">
        <v>16</v>
      </c>
      <c r="J19" s="59">
        <v>13</v>
      </c>
      <c r="K19" s="123">
        <v>24</v>
      </c>
      <c r="L19" s="125">
        <v>28</v>
      </c>
      <c r="M19" s="126">
        <v>33</v>
      </c>
      <c r="N19" s="125">
        <v>10</v>
      </c>
      <c r="O19" s="59"/>
      <c r="P19" s="59"/>
      <c r="Q19" s="59"/>
      <c r="R19" s="59"/>
      <c r="S19" s="59"/>
      <c r="T19" s="59"/>
      <c r="U19" s="59"/>
      <c r="V19" s="59"/>
      <c r="W19" s="59"/>
      <c r="X19" s="59"/>
      <c r="Y19" s="59"/>
      <c r="Z19" s="59"/>
      <c r="AA19" s="59"/>
      <c r="AB19" s="59"/>
      <c r="AC19" s="59"/>
      <c r="AD19" s="59"/>
      <c r="AE19" s="59"/>
      <c r="AF19" s="59"/>
      <c r="AG19" s="71" t="s">
        <v>1098</v>
      </c>
      <c r="AH19" s="192" t="s">
        <v>435</v>
      </c>
      <c r="AI19" s="192"/>
      <c r="AJ19" s="193"/>
      <c r="AK19" s="52" t="s">
        <v>1100</v>
      </c>
      <c r="AL19" s="268">
        <f t="shared" si="1"/>
        <v>62.5</v>
      </c>
      <c r="AM19" s="163" t="s">
        <v>1913</v>
      </c>
      <c r="AN19" s="268">
        <f>3+2.5+2.5+3+1.5</f>
        <v>12.5</v>
      </c>
      <c r="AO19" s="58" t="s">
        <v>1094</v>
      </c>
      <c r="AP19" s="58" t="s">
        <v>1096</v>
      </c>
      <c r="AQ19" s="36" t="s">
        <v>991</v>
      </c>
    </row>
    <row r="20" spans="1:43" s="51" customFormat="1" ht="35" customHeight="1">
      <c r="A20" s="94" t="s">
        <v>1546</v>
      </c>
      <c r="B20" s="92" t="s">
        <v>994</v>
      </c>
      <c r="C20" s="56">
        <v>10</v>
      </c>
      <c r="D20" s="56"/>
      <c r="E20" s="104">
        <f t="shared" si="0"/>
        <v>187</v>
      </c>
      <c r="F20" s="122">
        <v>24</v>
      </c>
      <c r="G20" s="123">
        <v>31</v>
      </c>
      <c r="H20" s="124">
        <v>17</v>
      </c>
      <c r="I20" s="123">
        <v>10</v>
      </c>
      <c r="J20" s="125">
        <v>31</v>
      </c>
      <c r="K20" s="124">
        <v>16</v>
      </c>
      <c r="L20" s="125">
        <v>12</v>
      </c>
      <c r="M20" s="56">
        <v>15</v>
      </c>
      <c r="N20" s="122">
        <v>14</v>
      </c>
      <c r="O20" s="56">
        <v>17</v>
      </c>
      <c r="P20" s="56"/>
      <c r="Q20" s="56"/>
      <c r="R20" s="56"/>
      <c r="S20" s="56"/>
      <c r="T20" s="56"/>
      <c r="U20" s="56"/>
      <c r="V20" s="56"/>
      <c r="W20" s="56"/>
      <c r="X20" s="56"/>
      <c r="Y20" s="56"/>
      <c r="Z20" s="56"/>
      <c r="AA20" s="56"/>
      <c r="AB20" s="56"/>
      <c r="AC20" s="56"/>
      <c r="AD20" s="56"/>
      <c r="AE20" s="56"/>
      <c r="AF20" s="56"/>
      <c r="AG20" s="70" t="s">
        <v>1031</v>
      </c>
      <c r="AH20" s="192" t="s">
        <v>234</v>
      </c>
      <c r="AI20" s="192"/>
      <c r="AJ20" s="193"/>
      <c r="AL20" s="267">
        <f t="shared" si="1"/>
        <v>45</v>
      </c>
      <c r="AM20" s="160" t="s">
        <v>1914</v>
      </c>
      <c r="AN20" s="267">
        <f>1.5+2+1.5+2+2</f>
        <v>9</v>
      </c>
      <c r="AO20" s="55" t="s">
        <v>1084</v>
      </c>
      <c r="AP20" s="55" t="s">
        <v>1049</v>
      </c>
      <c r="AQ20" s="57" t="s">
        <v>991</v>
      </c>
    </row>
    <row r="21" spans="1:43" s="51" customFormat="1" ht="35" customHeight="1">
      <c r="A21" s="94" t="s">
        <v>1547</v>
      </c>
      <c r="B21" s="92" t="s">
        <v>994</v>
      </c>
      <c r="C21" s="56">
        <v>10</v>
      </c>
      <c r="D21" s="56"/>
      <c r="E21" s="104">
        <f t="shared" si="0"/>
        <v>269</v>
      </c>
      <c r="F21" s="122">
        <v>23</v>
      </c>
      <c r="G21" s="123">
        <v>28</v>
      </c>
      <c r="H21" s="123">
        <v>23</v>
      </c>
      <c r="I21" s="124">
        <v>21</v>
      </c>
      <c r="J21" s="125">
        <v>25</v>
      </c>
      <c r="K21" s="125">
        <v>25</v>
      </c>
      <c r="L21" s="124">
        <v>44</v>
      </c>
      <c r="M21" s="122">
        <v>30</v>
      </c>
      <c r="N21" s="56">
        <v>24</v>
      </c>
      <c r="O21" s="56">
        <v>26</v>
      </c>
      <c r="P21" s="56"/>
      <c r="Q21" s="56"/>
      <c r="R21" s="56"/>
      <c r="S21" s="56"/>
      <c r="T21" s="56"/>
      <c r="U21" s="56"/>
      <c r="V21" s="56"/>
      <c r="W21" s="56"/>
      <c r="X21" s="56"/>
      <c r="Y21" s="56"/>
      <c r="Z21" s="56"/>
      <c r="AA21" s="56"/>
      <c r="AB21" s="56"/>
      <c r="AC21" s="56"/>
      <c r="AD21" s="56"/>
      <c r="AE21" s="56"/>
      <c r="AF21" s="56"/>
      <c r="AG21" s="70" t="s">
        <v>1031</v>
      </c>
      <c r="AH21" s="192" t="s">
        <v>353</v>
      </c>
      <c r="AI21" s="192"/>
      <c r="AJ21" s="193"/>
      <c r="AL21" s="267">
        <f t="shared" si="1"/>
        <v>55</v>
      </c>
      <c r="AM21" s="160" t="s">
        <v>1915</v>
      </c>
      <c r="AN21" s="267">
        <f>2+2.5+2+2.5+2</f>
        <v>11</v>
      </c>
      <c r="AO21" s="55" t="s">
        <v>1084</v>
      </c>
      <c r="AP21" s="55" t="s">
        <v>1049</v>
      </c>
      <c r="AQ21" s="57" t="s">
        <v>991</v>
      </c>
    </row>
    <row r="22" spans="1:43" s="51" customFormat="1" ht="35" customHeight="1">
      <c r="A22" s="94" t="s">
        <v>1548</v>
      </c>
      <c r="B22" s="92" t="s">
        <v>994</v>
      </c>
      <c r="C22" s="56"/>
      <c r="D22" s="56">
        <v>20</v>
      </c>
      <c r="E22" s="104">
        <f t="shared" si="0"/>
        <v>184</v>
      </c>
      <c r="F22" s="122">
        <v>11</v>
      </c>
      <c r="G22" s="122">
        <v>8</v>
      </c>
      <c r="H22" s="122">
        <v>5</v>
      </c>
      <c r="I22" s="123">
        <v>9</v>
      </c>
      <c r="J22" s="122">
        <v>6</v>
      </c>
      <c r="K22" s="123">
        <v>10</v>
      </c>
      <c r="L22" s="123">
        <v>9</v>
      </c>
      <c r="M22" s="124">
        <v>10</v>
      </c>
      <c r="N22" s="124">
        <v>5</v>
      </c>
      <c r="O22" s="122">
        <v>7</v>
      </c>
      <c r="P22" s="125">
        <v>13</v>
      </c>
      <c r="Q22" s="125">
        <v>12</v>
      </c>
      <c r="R22" s="124">
        <v>5</v>
      </c>
      <c r="S22" s="124">
        <v>17</v>
      </c>
      <c r="T22" s="56">
        <v>14</v>
      </c>
      <c r="U22" s="56">
        <v>8</v>
      </c>
      <c r="V22" s="123">
        <v>9</v>
      </c>
      <c r="W22" s="56">
        <v>8</v>
      </c>
      <c r="X22" s="56">
        <v>7</v>
      </c>
      <c r="Y22" s="125">
        <v>11</v>
      </c>
      <c r="Z22" s="125"/>
      <c r="AA22" s="125"/>
      <c r="AB22" s="125"/>
      <c r="AC22" s="125"/>
      <c r="AD22" s="125"/>
      <c r="AE22" s="125"/>
      <c r="AF22" s="125"/>
      <c r="AG22" s="70" t="s">
        <v>1031</v>
      </c>
      <c r="AH22" s="192" t="s">
        <v>223</v>
      </c>
      <c r="AI22" s="192"/>
      <c r="AJ22" s="193"/>
      <c r="AL22" s="267">
        <f t="shared" si="1"/>
        <v>50</v>
      </c>
      <c r="AM22" s="160" t="s">
        <v>1916</v>
      </c>
      <c r="AN22" s="267">
        <f>2.5+2+2+1.5+2</f>
        <v>10</v>
      </c>
      <c r="AO22" s="55" t="s">
        <v>1084</v>
      </c>
      <c r="AP22" s="55" t="s">
        <v>1049</v>
      </c>
      <c r="AQ22" s="57">
        <v>10</v>
      </c>
    </row>
    <row r="23" spans="1:43" s="52" customFormat="1" ht="35" customHeight="1">
      <c r="A23" s="94" t="s">
        <v>1549</v>
      </c>
      <c r="B23" s="93" t="s">
        <v>994</v>
      </c>
      <c r="C23" s="59">
        <v>10</v>
      </c>
      <c r="D23" s="59"/>
      <c r="E23" s="104">
        <f t="shared" si="0"/>
        <v>224</v>
      </c>
      <c r="F23" s="59">
        <v>23</v>
      </c>
      <c r="G23" s="123">
        <v>21</v>
      </c>
      <c r="H23" s="59">
        <v>22</v>
      </c>
      <c r="I23" s="123">
        <v>25</v>
      </c>
      <c r="J23" s="124">
        <v>35</v>
      </c>
      <c r="K23" s="125">
        <v>33</v>
      </c>
      <c r="L23" s="126">
        <v>23</v>
      </c>
      <c r="M23" s="124">
        <v>10</v>
      </c>
      <c r="N23" s="126">
        <v>21</v>
      </c>
      <c r="O23" s="125">
        <v>11</v>
      </c>
      <c r="P23" s="59"/>
      <c r="Q23" s="59"/>
      <c r="R23" s="59"/>
      <c r="S23" s="59"/>
      <c r="T23" s="59"/>
      <c r="U23" s="59"/>
      <c r="V23" s="59"/>
      <c r="W23" s="59"/>
      <c r="X23" s="59"/>
      <c r="Y23" s="59"/>
      <c r="Z23" s="59"/>
      <c r="AA23" s="59"/>
      <c r="AB23" s="59"/>
      <c r="AC23" s="59"/>
      <c r="AD23" s="59"/>
      <c r="AE23" s="59"/>
      <c r="AF23" s="59"/>
      <c r="AG23" s="71" t="s">
        <v>1086</v>
      </c>
      <c r="AH23" s="192" t="s">
        <v>353</v>
      </c>
      <c r="AI23" s="192"/>
      <c r="AJ23" s="193"/>
      <c r="AL23" s="268">
        <f t="shared" si="1"/>
        <v>42.5</v>
      </c>
      <c r="AM23" s="163" t="s">
        <v>1917</v>
      </c>
      <c r="AN23" s="268">
        <f>2+1.5+2+1.5+1.5</f>
        <v>8.5</v>
      </c>
      <c r="AO23" s="58" t="s">
        <v>1085</v>
      </c>
      <c r="AP23" s="58" t="s">
        <v>1049</v>
      </c>
      <c r="AQ23" s="36" t="s">
        <v>991</v>
      </c>
    </row>
    <row r="24" spans="1:43" s="52" customFormat="1" ht="35" customHeight="1">
      <c r="A24" s="94" t="s">
        <v>1550</v>
      </c>
      <c r="B24" s="93" t="s">
        <v>994</v>
      </c>
      <c r="C24" s="59">
        <v>5</v>
      </c>
      <c r="D24" s="59"/>
      <c r="E24" s="104">
        <f t="shared" si="0"/>
        <v>98</v>
      </c>
      <c r="F24" s="59">
        <v>26</v>
      </c>
      <c r="G24" s="59">
        <v>14</v>
      </c>
      <c r="H24" s="59">
        <v>18</v>
      </c>
      <c r="I24" s="59">
        <v>25</v>
      </c>
      <c r="J24" s="59">
        <v>15</v>
      </c>
      <c r="K24" s="59"/>
      <c r="L24" s="59"/>
      <c r="M24" s="59"/>
      <c r="N24" s="59"/>
      <c r="O24" s="59"/>
      <c r="P24" s="59"/>
      <c r="Q24" s="59"/>
      <c r="R24" s="59"/>
      <c r="S24" s="59"/>
      <c r="T24" s="59"/>
      <c r="U24" s="59"/>
      <c r="V24" s="59"/>
      <c r="W24" s="59"/>
      <c r="X24" s="59"/>
      <c r="Y24" s="59"/>
      <c r="Z24" s="59"/>
      <c r="AA24" s="59"/>
      <c r="AB24" s="59"/>
      <c r="AC24" s="59"/>
      <c r="AD24" s="59"/>
      <c r="AE24" s="59"/>
      <c r="AF24" s="59"/>
      <c r="AG24" s="71" t="s">
        <v>1086</v>
      </c>
      <c r="AH24" s="192" t="s">
        <v>577</v>
      </c>
      <c r="AI24" s="192"/>
      <c r="AJ24" s="193"/>
      <c r="AL24" s="268">
        <f t="shared" si="1"/>
        <v>22.5</v>
      </c>
      <c r="AM24" s="162"/>
      <c r="AN24" s="268">
        <v>4.5</v>
      </c>
      <c r="AO24" s="58" t="s">
        <v>1085</v>
      </c>
      <c r="AP24" s="58" t="s">
        <v>1049</v>
      </c>
      <c r="AQ24" s="36" t="s">
        <v>991</v>
      </c>
    </row>
    <row r="25" spans="1:43" s="52" customFormat="1" ht="35" customHeight="1">
      <c r="A25" s="94" t="s">
        <v>1551</v>
      </c>
      <c r="B25" s="93" t="s">
        <v>994</v>
      </c>
      <c r="C25" s="59"/>
      <c r="D25" s="59">
        <v>14</v>
      </c>
      <c r="E25" s="104">
        <f t="shared" si="0"/>
        <v>186</v>
      </c>
      <c r="F25" s="59">
        <v>9</v>
      </c>
      <c r="G25" s="123">
        <v>18</v>
      </c>
      <c r="H25" s="124">
        <v>25</v>
      </c>
      <c r="I25" s="125">
        <v>23</v>
      </c>
      <c r="J25" s="59">
        <v>11</v>
      </c>
      <c r="K25" s="123">
        <v>19</v>
      </c>
      <c r="L25" s="124">
        <v>6</v>
      </c>
      <c r="M25" s="124">
        <v>6</v>
      </c>
      <c r="N25" s="126">
        <v>8</v>
      </c>
      <c r="O25" s="125">
        <v>9</v>
      </c>
      <c r="P25" s="126">
        <v>9</v>
      </c>
      <c r="Q25" s="125">
        <v>5</v>
      </c>
      <c r="R25" s="59">
        <v>17</v>
      </c>
      <c r="S25" s="126">
        <v>21</v>
      </c>
      <c r="T25" s="59"/>
      <c r="U25" s="59"/>
      <c r="V25" s="59"/>
      <c r="W25" s="59"/>
      <c r="X25" s="59"/>
      <c r="Y25" s="59"/>
      <c r="Z25" s="59"/>
      <c r="AA25" s="59"/>
      <c r="AB25" s="59"/>
      <c r="AC25" s="59"/>
      <c r="AD25" s="59"/>
      <c r="AE25" s="59"/>
      <c r="AF25" s="59"/>
      <c r="AG25" s="71" t="s">
        <v>1086</v>
      </c>
      <c r="AH25" s="192" t="s">
        <v>879</v>
      </c>
      <c r="AI25" s="192"/>
      <c r="AJ25" s="193"/>
      <c r="AL25" s="268">
        <f t="shared" si="1"/>
        <v>34.5</v>
      </c>
      <c r="AM25" s="163" t="s">
        <v>1918</v>
      </c>
      <c r="AN25" s="268">
        <f>1.5+0.9+1.5+1.5+1.5</f>
        <v>6.9</v>
      </c>
      <c r="AO25" s="58" t="s">
        <v>1085</v>
      </c>
      <c r="AP25" s="58" t="s">
        <v>1049</v>
      </c>
      <c r="AQ25" s="36">
        <v>5</v>
      </c>
    </row>
    <row r="26" spans="1:43" s="51" customFormat="1" ht="35" customHeight="1">
      <c r="A26" s="94" t="s">
        <v>1552</v>
      </c>
      <c r="B26" s="92" t="s">
        <v>995</v>
      </c>
      <c r="C26" s="56">
        <v>15</v>
      </c>
      <c r="D26" s="56"/>
      <c r="E26" s="104">
        <f t="shared" si="0"/>
        <v>31</v>
      </c>
      <c r="F26" s="56">
        <v>1</v>
      </c>
      <c r="G26" s="56">
        <v>4</v>
      </c>
      <c r="H26" s="56">
        <v>2</v>
      </c>
      <c r="I26" s="56">
        <v>2</v>
      </c>
      <c r="J26" s="56">
        <v>2</v>
      </c>
      <c r="K26" s="56">
        <v>2</v>
      </c>
      <c r="L26" s="56">
        <v>2</v>
      </c>
      <c r="M26" s="56">
        <v>2</v>
      </c>
      <c r="N26" s="56">
        <v>2</v>
      </c>
      <c r="O26" s="56">
        <v>2</v>
      </c>
      <c r="P26" s="56">
        <v>2</v>
      </c>
      <c r="Q26" s="56">
        <v>2</v>
      </c>
      <c r="R26" s="56">
        <v>2</v>
      </c>
      <c r="S26" s="56">
        <v>2</v>
      </c>
      <c r="T26" s="56">
        <v>2</v>
      </c>
      <c r="U26" s="56"/>
      <c r="V26" s="56"/>
      <c r="W26" s="56"/>
      <c r="X26" s="56"/>
      <c r="Y26" s="56"/>
      <c r="Z26" s="56"/>
      <c r="AA26" s="56"/>
      <c r="AB26" s="56"/>
      <c r="AC26" s="56"/>
      <c r="AD26" s="56"/>
      <c r="AE26" s="56"/>
      <c r="AF26" s="56"/>
      <c r="AG26" s="70" t="s">
        <v>1093</v>
      </c>
      <c r="AH26" s="192" t="s">
        <v>182</v>
      </c>
      <c r="AI26" s="192"/>
      <c r="AJ26" s="193"/>
      <c r="AL26" s="267">
        <f t="shared" si="1"/>
        <v>10</v>
      </c>
      <c r="AM26" s="159"/>
      <c r="AN26" s="267">
        <v>2</v>
      </c>
      <c r="AO26" s="55" t="s">
        <v>1091</v>
      </c>
      <c r="AP26" s="55" t="s">
        <v>1092</v>
      </c>
      <c r="AQ26" s="57">
        <v>2</v>
      </c>
    </row>
    <row r="27" spans="1:43" s="51" customFormat="1" ht="35" customHeight="1">
      <c r="A27" s="94" t="s">
        <v>1553</v>
      </c>
      <c r="B27" s="92" t="s">
        <v>995</v>
      </c>
      <c r="C27" s="56"/>
      <c r="D27" s="56">
        <v>20</v>
      </c>
      <c r="E27" s="104">
        <f t="shared" si="0"/>
        <v>60</v>
      </c>
      <c r="F27" s="56">
        <v>1</v>
      </c>
      <c r="G27" s="56">
        <v>2</v>
      </c>
      <c r="H27" s="56">
        <v>2</v>
      </c>
      <c r="I27" s="56">
        <v>2</v>
      </c>
      <c r="J27" s="56">
        <v>2</v>
      </c>
      <c r="K27" s="56">
        <v>3</v>
      </c>
      <c r="L27" s="56">
        <v>3</v>
      </c>
      <c r="M27" s="56">
        <v>3</v>
      </c>
      <c r="N27" s="56">
        <v>3</v>
      </c>
      <c r="O27" s="56">
        <v>3</v>
      </c>
      <c r="P27" s="56">
        <v>3</v>
      </c>
      <c r="Q27" s="56">
        <v>3</v>
      </c>
      <c r="R27" s="56">
        <v>3</v>
      </c>
      <c r="S27" s="56">
        <v>3</v>
      </c>
      <c r="T27" s="56">
        <v>3</v>
      </c>
      <c r="U27" s="56">
        <v>4</v>
      </c>
      <c r="V27" s="56">
        <v>4</v>
      </c>
      <c r="W27" s="56">
        <v>4</v>
      </c>
      <c r="X27" s="56">
        <v>4</v>
      </c>
      <c r="Y27" s="56">
        <v>5</v>
      </c>
      <c r="Z27" s="56"/>
      <c r="AA27" s="56"/>
      <c r="AB27" s="56"/>
      <c r="AC27" s="56"/>
      <c r="AD27" s="56"/>
      <c r="AE27" s="56"/>
      <c r="AF27" s="56"/>
      <c r="AG27" s="70" t="s">
        <v>1093</v>
      </c>
      <c r="AH27" s="192" t="s">
        <v>996</v>
      </c>
      <c r="AI27" s="192"/>
      <c r="AJ27" s="193"/>
      <c r="AL27" s="267">
        <f t="shared" si="1"/>
        <v>20</v>
      </c>
      <c r="AM27" s="159"/>
      <c r="AN27" s="267">
        <v>4</v>
      </c>
      <c r="AO27" s="55" t="s">
        <v>1091</v>
      </c>
      <c r="AP27" s="55" t="s">
        <v>1092</v>
      </c>
      <c r="AQ27" s="57">
        <v>2</v>
      </c>
    </row>
    <row r="28" spans="1:43" s="51" customFormat="1" ht="35" customHeight="1">
      <c r="A28" s="94" t="s">
        <v>1554</v>
      </c>
      <c r="B28" s="92" t="s">
        <v>995</v>
      </c>
      <c r="C28" s="56">
        <v>10</v>
      </c>
      <c r="D28" s="56"/>
      <c r="E28" s="104">
        <f t="shared" si="0"/>
        <v>33</v>
      </c>
      <c r="F28" s="56">
        <v>2</v>
      </c>
      <c r="G28" s="56">
        <v>4</v>
      </c>
      <c r="H28" s="56">
        <v>4</v>
      </c>
      <c r="I28" s="56">
        <v>4</v>
      </c>
      <c r="J28" s="56">
        <v>4</v>
      </c>
      <c r="K28" s="56">
        <v>3</v>
      </c>
      <c r="L28" s="56">
        <v>3</v>
      </c>
      <c r="M28" s="56">
        <v>3</v>
      </c>
      <c r="N28" s="56">
        <v>3</v>
      </c>
      <c r="O28" s="56">
        <v>3</v>
      </c>
      <c r="P28" s="56"/>
      <c r="Q28" s="56"/>
      <c r="R28" s="56"/>
      <c r="S28" s="56"/>
      <c r="T28" s="56"/>
      <c r="U28" s="56"/>
      <c r="V28" s="56"/>
      <c r="W28" s="56"/>
      <c r="X28" s="56"/>
      <c r="Y28" s="56"/>
      <c r="Z28" s="56"/>
      <c r="AA28" s="56"/>
      <c r="AB28" s="56"/>
      <c r="AC28" s="56"/>
      <c r="AD28" s="56"/>
      <c r="AE28" s="56"/>
      <c r="AF28" s="56"/>
      <c r="AG28" s="70" t="s">
        <v>1093</v>
      </c>
      <c r="AH28" s="192" t="s">
        <v>577</v>
      </c>
      <c r="AI28" s="192"/>
      <c r="AJ28" s="193"/>
      <c r="AL28" s="267">
        <f t="shared" si="1"/>
        <v>12.5</v>
      </c>
      <c r="AM28" s="159"/>
      <c r="AN28" s="267">
        <v>2.5</v>
      </c>
      <c r="AO28" s="55" t="s">
        <v>1091</v>
      </c>
      <c r="AP28" s="55" t="s">
        <v>1092</v>
      </c>
      <c r="AQ28" s="57">
        <v>3</v>
      </c>
    </row>
    <row r="29" spans="1:43" s="51" customFormat="1" ht="35" customHeight="1">
      <c r="A29" s="94" t="s">
        <v>1555</v>
      </c>
      <c r="B29" s="92" t="s">
        <v>995</v>
      </c>
      <c r="C29" s="56">
        <v>14</v>
      </c>
      <c r="D29" s="56"/>
      <c r="E29" s="104">
        <f t="shared" si="0"/>
        <v>64</v>
      </c>
      <c r="F29" s="56">
        <v>5</v>
      </c>
      <c r="G29" s="56">
        <v>5</v>
      </c>
      <c r="H29" s="56">
        <v>5</v>
      </c>
      <c r="I29" s="56">
        <v>5</v>
      </c>
      <c r="J29" s="56">
        <v>5</v>
      </c>
      <c r="K29" s="56">
        <v>5</v>
      </c>
      <c r="L29" s="56">
        <v>5</v>
      </c>
      <c r="M29" s="56">
        <v>5</v>
      </c>
      <c r="N29" s="56">
        <v>4</v>
      </c>
      <c r="O29" s="56">
        <v>4</v>
      </c>
      <c r="P29" s="56">
        <v>4</v>
      </c>
      <c r="Q29" s="56">
        <v>3</v>
      </c>
      <c r="R29" s="56">
        <v>3</v>
      </c>
      <c r="S29" s="56">
        <v>6</v>
      </c>
      <c r="T29" s="56"/>
      <c r="U29" s="56"/>
      <c r="V29" s="56"/>
      <c r="W29" s="56"/>
      <c r="X29" s="56"/>
      <c r="Y29" s="56"/>
      <c r="Z29" s="56"/>
      <c r="AA29" s="56"/>
      <c r="AB29" s="56"/>
      <c r="AC29" s="56"/>
      <c r="AD29" s="56"/>
      <c r="AE29" s="56"/>
      <c r="AF29" s="56"/>
      <c r="AG29" s="70" t="s">
        <v>1093</v>
      </c>
      <c r="AH29" s="192" t="s">
        <v>997</v>
      </c>
      <c r="AI29" s="192"/>
      <c r="AJ29" s="193"/>
      <c r="AL29" s="267">
        <f t="shared" si="1"/>
        <v>20</v>
      </c>
      <c r="AM29" s="159"/>
      <c r="AN29" s="267">
        <v>4</v>
      </c>
      <c r="AO29" s="55" t="s">
        <v>1091</v>
      </c>
      <c r="AP29" s="55" t="s">
        <v>1092</v>
      </c>
      <c r="AQ29" s="57">
        <v>2</v>
      </c>
    </row>
    <row r="30" spans="1:43" ht="35" customHeight="1">
      <c r="A30" s="94" t="s">
        <v>1556</v>
      </c>
      <c r="B30" s="91" t="s">
        <v>1025</v>
      </c>
      <c r="C30" s="53">
        <v>11</v>
      </c>
      <c r="E30" s="104">
        <f t="shared" si="0"/>
        <v>56</v>
      </c>
      <c r="F30" s="53">
        <v>14</v>
      </c>
      <c r="G30" s="53">
        <v>5</v>
      </c>
      <c r="H30" s="53">
        <v>11</v>
      </c>
      <c r="I30" s="53">
        <v>2</v>
      </c>
      <c r="J30" s="53">
        <v>6</v>
      </c>
      <c r="K30" s="53">
        <v>3</v>
      </c>
      <c r="L30" s="53">
        <v>3</v>
      </c>
      <c r="M30" s="53">
        <v>2</v>
      </c>
      <c r="N30" s="53">
        <v>6</v>
      </c>
      <c r="O30" s="53">
        <v>2</v>
      </c>
      <c r="P30" s="53">
        <v>2</v>
      </c>
      <c r="AG30" s="69" t="s">
        <v>1082</v>
      </c>
      <c r="AH30" s="192" t="s">
        <v>999</v>
      </c>
      <c r="AI30" s="192"/>
      <c r="AJ30" s="193"/>
      <c r="AK30" s="43" t="s">
        <v>1083</v>
      </c>
      <c r="AL30" s="266">
        <f t="shared" si="1"/>
        <v>12.5</v>
      </c>
      <c r="AN30" s="270">
        <v>2.5</v>
      </c>
      <c r="AO30" s="43" t="s">
        <v>1080</v>
      </c>
      <c r="AP30" s="43" t="s">
        <v>1081</v>
      </c>
      <c r="AQ30" s="54" t="s">
        <v>18</v>
      </c>
    </row>
    <row r="31" spans="1:43" ht="35" customHeight="1">
      <c r="A31" s="94" t="s">
        <v>1557</v>
      </c>
      <c r="B31" s="91" t="s">
        <v>1025</v>
      </c>
      <c r="C31" s="53">
        <v>5</v>
      </c>
      <c r="E31" s="104">
        <f t="shared" si="0"/>
        <v>30</v>
      </c>
      <c r="F31" s="53">
        <v>12</v>
      </c>
      <c r="G31" s="53">
        <v>6</v>
      </c>
      <c r="H31" s="53">
        <v>7</v>
      </c>
      <c r="I31" s="53">
        <v>3</v>
      </c>
      <c r="J31" s="53">
        <v>2</v>
      </c>
      <c r="AG31" s="69" t="s">
        <v>1031</v>
      </c>
      <c r="AH31" s="192" t="s">
        <v>879</v>
      </c>
      <c r="AI31" s="192"/>
      <c r="AJ31" s="193"/>
      <c r="AK31" s="43" t="s">
        <v>1127</v>
      </c>
      <c r="AL31" s="266">
        <f t="shared" si="1"/>
        <v>7.5</v>
      </c>
      <c r="AN31" s="270">
        <v>1.5</v>
      </c>
      <c r="AO31" s="43" t="s">
        <v>1080</v>
      </c>
      <c r="AP31" s="43" t="s">
        <v>1081</v>
      </c>
      <c r="AQ31" s="54" t="s">
        <v>998</v>
      </c>
    </row>
    <row r="32" spans="1:43" ht="35" customHeight="1">
      <c r="A32" s="94" t="s">
        <v>1558</v>
      </c>
      <c r="B32" s="91" t="s">
        <v>1025</v>
      </c>
      <c r="C32" s="53">
        <v>9</v>
      </c>
      <c r="E32" s="104">
        <f t="shared" si="0"/>
        <v>57</v>
      </c>
      <c r="F32" s="53">
        <v>12</v>
      </c>
      <c r="G32" s="53">
        <v>12</v>
      </c>
      <c r="H32" s="53">
        <v>7</v>
      </c>
      <c r="I32" s="53">
        <v>5</v>
      </c>
      <c r="J32" s="53">
        <v>5</v>
      </c>
      <c r="K32" s="53">
        <v>6</v>
      </c>
      <c r="L32" s="53">
        <v>2</v>
      </c>
      <c r="M32" s="53">
        <v>5</v>
      </c>
      <c r="N32" s="53">
        <v>3</v>
      </c>
      <c r="AG32" s="69" t="s">
        <v>1031</v>
      </c>
      <c r="AH32" s="192" t="s">
        <v>879</v>
      </c>
      <c r="AI32" s="192"/>
      <c r="AJ32" s="193"/>
      <c r="AK32" s="43" t="s">
        <v>1128</v>
      </c>
      <c r="AL32" s="266">
        <f t="shared" si="1"/>
        <v>7.5</v>
      </c>
      <c r="AN32" s="270">
        <v>1.5</v>
      </c>
      <c r="AO32" s="43" t="s">
        <v>1080</v>
      </c>
      <c r="AP32" s="43" t="s">
        <v>1081</v>
      </c>
      <c r="AQ32" s="54" t="s">
        <v>998</v>
      </c>
    </row>
    <row r="33" spans="1:43" ht="35" customHeight="1">
      <c r="A33" s="94" t="s">
        <v>1559</v>
      </c>
      <c r="B33" s="91" t="s">
        <v>1025</v>
      </c>
      <c r="D33" s="53">
        <v>2</v>
      </c>
      <c r="E33" s="104">
        <f t="shared" si="0"/>
        <v>2</v>
      </c>
      <c r="F33" s="53">
        <v>1</v>
      </c>
      <c r="G33" s="53">
        <v>1</v>
      </c>
      <c r="AG33" s="69" t="s">
        <v>1031</v>
      </c>
      <c r="AH33" s="192" t="s">
        <v>879</v>
      </c>
      <c r="AI33" s="192"/>
      <c r="AJ33" s="193"/>
      <c r="AK33" s="43" t="s">
        <v>1129</v>
      </c>
      <c r="AL33" s="266">
        <f t="shared" si="1"/>
        <v>1</v>
      </c>
      <c r="AN33" s="270">
        <v>0.2</v>
      </c>
      <c r="AO33" s="43" t="s">
        <v>1080</v>
      </c>
      <c r="AP33" s="43" t="s">
        <v>1081</v>
      </c>
      <c r="AQ33" s="54">
        <v>1</v>
      </c>
    </row>
    <row r="34" spans="1:43" s="51" customFormat="1" ht="35" customHeight="1">
      <c r="A34" s="94" t="s">
        <v>1560</v>
      </c>
      <c r="B34" s="92" t="s">
        <v>1000</v>
      </c>
      <c r="C34" s="56">
        <v>10</v>
      </c>
      <c r="D34" s="56"/>
      <c r="E34" s="104">
        <f t="shared" si="0"/>
        <v>23</v>
      </c>
      <c r="F34" s="56">
        <v>1</v>
      </c>
      <c r="G34" s="56">
        <v>1</v>
      </c>
      <c r="H34" s="56">
        <v>2</v>
      </c>
      <c r="I34" s="56">
        <v>2</v>
      </c>
      <c r="J34" s="56">
        <v>2</v>
      </c>
      <c r="K34" s="56">
        <v>2</v>
      </c>
      <c r="L34" s="56">
        <v>3</v>
      </c>
      <c r="M34" s="56">
        <v>3</v>
      </c>
      <c r="N34" s="56">
        <v>3</v>
      </c>
      <c r="O34" s="56">
        <v>4</v>
      </c>
      <c r="P34" s="56"/>
      <c r="Q34" s="56"/>
      <c r="R34" s="56"/>
      <c r="S34" s="56"/>
      <c r="T34" s="56"/>
      <c r="U34" s="56"/>
      <c r="V34" s="56"/>
      <c r="W34" s="56"/>
      <c r="X34" s="56"/>
      <c r="Y34" s="56"/>
      <c r="Z34" s="56"/>
      <c r="AA34" s="56"/>
      <c r="AB34" s="56"/>
      <c r="AC34" s="56"/>
      <c r="AD34" s="56"/>
      <c r="AE34" s="56"/>
      <c r="AF34" s="56"/>
      <c r="AG34" s="70" t="s">
        <v>1079</v>
      </c>
      <c r="AH34" s="192" t="s">
        <v>435</v>
      </c>
      <c r="AI34" s="192"/>
      <c r="AJ34" s="193"/>
      <c r="AK34" s="55" t="s">
        <v>1127</v>
      </c>
      <c r="AL34" s="267">
        <f t="shared" si="1"/>
        <v>5</v>
      </c>
      <c r="AM34" s="159"/>
      <c r="AN34" s="269">
        <v>1</v>
      </c>
      <c r="AO34" s="55" t="s">
        <v>1077</v>
      </c>
      <c r="AP34" s="55" t="s">
        <v>1078</v>
      </c>
      <c r="AQ34" s="57" t="s">
        <v>20</v>
      </c>
    </row>
    <row r="35" spans="1:43" s="51" customFormat="1" ht="35" customHeight="1">
      <c r="A35" s="94" t="s">
        <v>1561</v>
      </c>
      <c r="B35" s="92" t="s">
        <v>1000</v>
      </c>
      <c r="C35" s="56">
        <v>8</v>
      </c>
      <c r="D35" s="56"/>
      <c r="E35" s="104">
        <f t="shared" si="0"/>
        <v>83</v>
      </c>
      <c r="F35" s="56">
        <v>10</v>
      </c>
      <c r="G35" s="56">
        <v>10</v>
      </c>
      <c r="H35" s="56">
        <v>10</v>
      </c>
      <c r="I35" s="56">
        <v>10</v>
      </c>
      <c r="J35" s="56">
        <v>9</v>
      </c>
      <c r="K35" s="56">
        <v>15</v>
      </c>
      <c r="L35" s="56">
        <v>8</v>
      </c>
      <c r="M35" s="56">
        <v>11</v>
      </c>
      <c r="N35" s="56"/>
      <c r="O35" s="56"/>
      <c r="P35" s="56"/>
      <c r="Q35" s="56"/>
      <c r="R35" s="56"/>
      <c r="S35" s="56"/>
      <c r="T35" s="56"/>
      <c r="U35" s="56"/>
      <c r="V35" s="56"/>
      <c r="W35" s="56"/>
      <c r="X35" s="56"/>
      <c r="Y35" s="56"/>
      <c r="Z35" s="56"/>
      <c r="AA35" s="56"/>
      <c r="AB35" s="56"/>
      <c r="AC35" s="56"/>
      <c r="AD35" s="56"/>
      <c r="AE35" s="56"/>
      <c r="AF35" s="56"/>
      <c r="AG35" s="70" t="s">
        <v>1079</v>
      </c>
      <c r="AH35" s="192" t="s">
        <v>435</v>
      </c>
      <c r="AI35" s="192"/>
      <c r="AJ35" s="193"/>
      <c r="AK35" s="55" t="s">
        <v>1128</v>
      </c>
      <c r="AL35" s="267">
        <f t="shared" si="1"/>
        <v>15</v>
      </c>
      <c r="AM35" s="159"/>
      <c r="AN35" s="269">
        <v>3</v>
      </c>
      <c r="AO35" s="55" t="s">
        <v>1077</v>
      </c>
      <c r="AP35" s="55" t="s">
        <v>1078</v>
      </c>
      <c r="AQ35" s="57" t="s">
        <v>20</v>
      </c>
    </row>
    <row r="36" spans="1:43" s="51" customFormat="1" ht="35" customHeight="1">
      <c r="A36" s="94" t="s">
        <v>1562</v>
      </c>
      <c r="B36" s="92" t="s">
        <v>1000</v>
      </c>
      <c r="C36" s="56">
        <v>12</v>
      </c>
      <c r="D36" s="56"/>
      <c r="E36" s="104">
        <f t="shared" si="0"/>
        <v>28</v>
      </c>
      <c r="F36" s="56">
        <v>2</v>
      </c>
      <c r="G36" s="56">
        <v>2</v>
      </c>
      <c r="H36" s="56">
        <v>2</v>
      </c>
      <c r="I36" s="56">
        <v>2</v>
      </c>
      <c r="J36" s="56">
        <v>2</v>
      </c>
      <c r="K36" s="56">
        <v>2</v>
      </c>
      <c r="L36" s="56">
        <v>2</v>
      </c>
      <c r="M36" s="56">
        <v>2</v>
      </c>
      <c r="N36" s="56">
        <v>2</v>
      </c>
      <c r="O36" s="56">
        <v>3</v>
      </c>
      <c r="P36" s="56">
        <v>3</v>
      </c>
      <c r="Q36" s="56">
        <v>4</v>
      </c>
      <c r="R36" s="56"/>
      <c r="S36" s="56"/>
      <c r="T36" s="56"/>
      <c r="U36" s="56"/>
      <c r="V36" s="56"/>
      <c r="W36" s="56"/>
      <c r="X36" s="56"/>
      <c r="Y36" s="56"/>
      <c r="Z36" s="56"/>
      <c r="AA36" s="56"/>
      <c r="AB36" s="56"/>
      <c r="AC36" s="56"/>
      <c r="AD36" s="56"/>
      <c r="AE36" s="56"/>
      <c r="AF36" s="56"/>
      <c r="AG36" s="70" t="s">
        <v>1079</v>
      </c>
      <c r="AH36" s="192" t="s">
        <v>4</v>
      </c>
      <c r="AI36" s="192"/>
      <c r="AJ36" s="193"/>
      <c r="AK36" s="55"/>
      <c r="AL36" s="267">
        <f t="shared" si="1"/>
        <v>5</v>
      </c>
      <c r="AM36" s="159"/>
      <c r="AN36" s="269">
        <v>1</v>
      </c>
      <c r="AO36" s="55" t="s">
        <v>1077</v>
      </c>
      <c r="AP36" s="55" t="s">
        <v>1078</v>
      </c>
      <c r="AQ36" s="57" t="s">
        <v>20</v>
      </c>
    </row>
    <row r="37" spans="1:43" s="51" customFormat="1" ht="35" customHeight="1">
      <c r="A37" s="94" t="s">
        <v>1563</v>
      </c>
      <c r="B37" s="92" t="s">
        <v>1000</v>
      </c>
      <c r="C37" s="56"/>
      <c r="D37" s="56">
        <v>20</v>
      </c>
      <c r="E37" s="104">
        <f t="shared" si="0"/>
        <v>50</v>
      </c>
      <c r="F37" s="56">
        <v>1</v>
      </c>
      <c r="G37" s="56">
        <v>1</v>
      </c>
      <c r="H37" s="56">
        <v>2</v>
      </c>
      <c r="I37" s="56">
        <v>2</v>
      </c>
      <c r="J37" s="56">
        <v>2</v>
      </c>
      <c r="K37" s="56">
        <v>2</v>
      </c>
      <c r="L37" s="56">
        <v>2</v>
      </c>
      <c r="M37" s="56">
        <v>2</v>
      </c>
      <c r="N37" s="56">
        <v>2</v>
      </c>
      <c r="O37" s="56">
        <v>2</v>
      </c>
      <c r="P37" s="56">
        <v>2</v>
      </c>
      <c r="Q37" s="56">
        <v>3</v>
      </c>
      <c r="R37" s="56">
        <v>3</v>
      </c>
      <c r="S37" s="56">
        <v>3</v>
      </c>
      <c r="T37" s="56">
        <v>3</v>
      </c>
      <c r="U37" s="56">
        <v>3</v>
      </c>
      <c r="V37" s="56">
        <v>3</v>
      </c>
      <c r="W37" s="56">
        <v>3</v>
      </c>
      <c r="X37" s="56">
        <v>3</v>
      </c>
      <c r="Y37" s="56">
        <v>6</v>
      </c>
      <c r="Z37" s="56"/>
      <c r="AA37" s="56"/>
      <c r="AB37" s="56"/>
      <c r="AC37" s="56"/>
      <c r="AD37" s="56"/>
      <c r="AE37" s="56"/>
      <c r="AF37" s="56"/>
      <c r="AG37" s="70" t="s">
        <v>1079</v>
      </c>
      <c r="AH37" s="192" t="s">
        <v>4</v>
      </c>
      <c r="AI37" s="192"/>
      <c r="AJ37" s="193"/>
      <c r="AK37" s="55"/>
      <c r="AL37" s="267">
        <f t="shared" si="1"/>
        <v>15</v>
      </c>
      <c r="AM37" s="159"/>
      <c r="AN37" s="269">
        <v>3</v>
      </c>
      <c r="AO37" s="55" t="s">
        <v>1077</v>
      </c>
      <c r="AP37" s="55" t="s">
        <v>1078</v>
      </c>
      <c r="AQ37" s="57" t="s">
        <v>20</v>
      </c>
    </row>
    <row r="38" spans="1:43" ht="35" customHeight="1">
      <c r="A38" s="94" t="s">
        <v>1564</v>
      </c>
      <c r="B38" s="91" t="s">
        <v>1001</v>
      </c>
      <c r="C38" s="53">
        <v>4</v>
      </c>
      <c r="E38" s="104">
        <f t="shared" si="0"/>
        <v>37</v>
      </c>
      <c r="F38" s="61">
        <v>6</v>
      </c>
      <c r="G38" s="53">
        <v>19</v>
      </c>
      <c r="H38" s="53">
        <v>5</v>
      </c>
      <c r="I38" s="53">
        <v>7</v>
      </c>
      <c r="P38" s="61"/>
      <c r="AG38" s="69" t="s">
        <v>1066</v>
      </c>
      <c r="AH38" s="192" t="s">
        <v>435</v>
      </c>
      <c r="AI38" s="192"/>
      <c r="AJ38" s="193"/>
      <c r="AL38" s="266">
        <f t="shared" si="1"/>
        <v>5</v>
      </c>
      <c r="AN38" s="270">
        <v>1</v>
      </c>
      <c r="AO38" s="43" t="s">
        <v>1064</v>
      </c>
      <c r="AP38" s="43" t="s">
        <v>1065</v>
      </c>
      <c r="AQ38" s="54" t="s">
        <v>19</v>
      </c>
    </row>
    <row r="39" spans="1:43" ht="35" customHeight="1">
      <c r="A39" s="94" t="s">
        <v>1565</v>
      </c>
      <c r="B39" s="91" t="s">
        <v>1001</v>
      </c>
      <c r="C39" s="53">
        <v>3</v>
      </c>
      <c r="E39" s="104">
        <f t="shared" si="0"/>
        <v>27</v>
      </c>
      <c r="F39" s="53">
        <v>12</v>
      </c>
      <c r="G39" s="53">
        <v>7</v>
      </c>
      <c r="H39" s="53">
        <v>8</v>
      </c>
      <c r="AG39" s="69" t="s">
        <v>1066</v>
      </c>
      <c r="AH39" s="192" t="s">
        <v>379</v>
      </c>
      <c r="AI39" s="192"/>
      <c r="AJ39" s="193"/>
      <c r="AL39" s="266">
        <f t="shared" si="1"/>
        <v>3</v>
      </c>
      <c r="AN39" s="270">
        <v>0.6</v>
      </c>
      <c r="AO39" s="43" t="s">
        <v>1064</v>
      </c>
      <c r="AP39" s="43" t="s">
        <v>1065</v>
      </c>
      <c r="AQ39" s="54" t="s">
        <v>19</v>
      </c>
    </row>
    <row r="40" spans="1:43" ht="35" customHeight="1">
      <c r="A40" s="94" t="s">
        <v>1566</v>
      </c>
      <c r="B40" s="91" t="s">
        <v>1001</v>
      </c>
      <c r="C40" s="53">
        <v>2</v>
      </c>
      <c r="E40" s="104">
        <f t="shared" si="0"/>
        <v>24</v>
      </c>
      <c r="F40" s="53">
        <v>13</v>
      </c>
      <c r="G40" s="53">
        <v>11</v>
      </c>
      <c r="AG40" s="69" t="s">
        <v>1067</v>
      </c>
      <c r="AH40" s="192" t="s">
        <v>221</v>
      </c>
      <c r="AI40" s="192"/>
      <c r="AJ40" s="193"/>
      <c r="AL40" s="266">
        <f t="shared" si="1"/>
        <v>2</v>
      </c>
      <c r="AN40" s="270">
        <v>0.4</v>
      </c>
      <c r="AO40" s="43" t="s">
        <v>1064</v>
      </c>
      <c r="AP40" s="43" t="s">
        <v>1065</v>
      </c>
      <c r="AQ40" s="54" t="s">
        <v>90</v>
      </c>
    </row>
    <row r="41" spans="1:43" ht="35" customHeight="1">
      <c r="A41" s="94" t="s">
        <v>1567</v>
      </c>
      <c r="B41" s="91" t="s">
        <v>1001</v>
      </c>
      <c r="C41" s="53">
        <v>6</v>
      </c>
      <c r="E41" s="104">
        <f t="shared" si="0"/>
        <v>33</v>
      </c>
      <c r="F41" s="61">
        <v>11</v>
      </c>
      <c r="G41" s="61">
        <v>6</v>
      </c>
      <c r="H41" s="61">
        <v>6</v>
      </c>
      <c r="I41" s="61">
        <v>4</v>
      </c>
      <c r="J41" s="61">
        <v>3</v>
      </c>
      <c r="K41" s="53">
        <v>3</v>
      </c>
      <c r="P41" s="61"/>
      <c r="Q41" s="61"/>
      <c r="R41" s="61"/>
      <c r="S41" s="61"/>
      <c r="T41" s="61"/>
      <c r="AG41" s="69" t="s">
        <v>1067</v>
      </c>
      <c r="AH41" s="192" t="s">
        <v>1011</v>
      </c>
      <c r="AI41" s="192"/>
      <c r="AJ41" s="193"/>
      <c r="AL41" s="266">
        <f t="shared" si="1"/>
        <v>15</v>
      </c>
      <c r="AN41" s="270">
        <v>3</v>
      </c>
      <c r="AO41" s="43" t="s">
        <v>1064</v>
      </c>
      <c r="AP41" s="43" t="s">
        <v>1065</v>
      </c>
      <c r="AQ41" s="54" t="s">
        <v>342</v>
      </c>
    </row>
    <row r="42" spans="1:43" s="51" customFormat="1" ht="35" customHeight="1">
      <c r="A42" s="94" t="s">
        <v>1568</v>
      </c>
      <c r="B42" s="92" t="s">
        <v>1002</v>
      </c>
      <c r="C42" s="56">
        <v>10</v>
      </c>
      <c r="D42" s="56"/>
      <c r="E42" s="104">
        <f t="shared" si="0"/>
        <v>31</v>
      </c>
      <c r="F42" s="56">
        <v>2</v>
      </c>
      <c r="G42" s="56">
        <v>3</v>
      </c>
      <c r="H42" s="56">
        <v>3</v>
      </c>
      <c r="I42" s="56">
        <v>3</v>
      </c>
      <c r="J42" s="56">
        <v>3</v>
      </c>
      <c r="K42" s="56">
        <v>3</v>
      </c>
      <c r="L42" s="56">
        <v>3</v>
      </c>
      <c r="M42" s="56">
        <v>3</v>
      </c>
      <c r="N42" s="56">
        <v>4</v>
      </c>
      <c r="O42" s="56">
        <v>4</v>
      </c>
      <c r="P42" s="56"/>
      <c r="Q42" s="56"/>
      <c r="R42" s="56"/>
      <c r="S42" s="56"/>
      <c r="T42" s="56"/>
      <c r="U42" s="56"/>
      <c r="V42" s="56"/>
      <c r="W42" s="56"/>
      <c r="X42" s="56"/>
      <c r="Y42" s="56"/>
      <c r="Z42" s="56"/>
      <c r="AA42" s="56"/>
      <c r="AB42" s="56"/>
      <c r="AC42" s="56"/>
      <c r="AD42" s="56"/>
      <c r="AE42" s="56"/>
      <c r="AF42" s="56"/>
      <c r="AG42" s="70" t="s">
        <v>1068</v>
      </c>
      <c r="AH42" s="192" t="s">
        <v>1072</v>
      </c>
      <c r="AI42" s="192"/>
      <c r="AJ42" s="193"/>
      <c r="AK42" s="55" t="s">
        <v>1003</v>
      </c>
      <c r="AL42" s="267">
        <f t="shared" si="1"/>
        <v>7.5</v>
      </c>
      <c r="AM42" s="159"/>
      <c r="AN42" s="269">
        <v>1.5</v>
      </c>
      <c r="AO42" s="55" t="s">
        <v>1031</v>
      </c>
      <c r="AP42" s="55" t="s">
        <v>1070</v>
      </c>
      <c r="AQ42" s="57" t="s">
        <v>21</v>
      </c>
    </row>
    <row r="43" spans="1:43" s="51" customFormat="1" ht="35" customHeight="1">
      <c r="A43" s="94" t="s">
        <v>1569</v>
      </c>
      <c r="B43" s="92" t="s">
        <v>1002</v>
      </c>
      <c r="C43" s="56">
        <v>10</v>
      </c>
      <c r="D43" s="56"/>
      <c r="E43" s="104">
        <f t="shared" si="0"/>
        <v>28</v>
      </c>
      <c r="F43" s="56">
        <v>2</v>
      </c>
      <c r="G43" s="56">
        <v>2</v>
      </c>
      <c r="H43" s="56">
        <v>3</v>
      </c>
      <c r="I43" s="56">
        <v>3</v>
      </c>
      <c r="J43" s="56">
        <v>3</v>
      </c>
      <c r="K43" s="56">
        <v>3</v>
      </c>
      <c r="L43" s="56">
        <v>3</v>
      </c>
      <c r="M43" s="56">
        <v>3</v>
      </c>
      <c r="N43" s="56">
        <v>3</v>
      </c>
      <c r="O43" s="56">
        <v>3</v>
      </c>
      <c r="P43" s="56"/>
      <c r="Q43" s="56"/>
      <c r="R43" s="56"/>
      <c r="S43" s="56"/>
      <c r="T43" s="56"/>
      <c r="U43" s="56"/>
      <c r="V43" s="56"/>
      <c r="W43" s="56"/>
      <c r="X43" s="56"/>
      <c r="Y43" s="56"/>
      <c r="Z43" s="56"/>
      <c r="AA43" s="56"/>
      <c r="AB43" s="56"/>
      <c r="AC43" s="56"/>
      <c r="AD43" s="56"/>
      <c r="AE43" s="56"/>
      <c r="AF43" s="56"/>
      <c r="AG43" s="70" t="s">
        <v>1068</v>
      </c>
      <c r="AH43" s="192" t="s">
        <v>1072</v>
      </c>
      <c r="AI43" s="192"/>
      <c r="AJ43" s="193"/>
      <c r="AK43" s="55" t="s">
        <v>1004</v>
      </c>
      <c r="AL43" s="267">
        <f t="shared" si="1"/>
        <v>5</v>
      </c>
      <c r="AM43" s="159"/>
      <c r="AN43" s="269">
        <v>1</v>
      </c>
      <c r="AO43" s="55" t="s">
        <v>1031</v>
      </c>
      <c r="AP43" s="55" t="s">
        <v>1070</v>
      </c>
      <c r="AQ43" s="57" t="s">
        <v>21</v>
      </c>
    </row>
    <row r="44" spans="1:43" s="51" customFormat="1" ht="35" customHeight="1">
      <c r="A44" s="94" t="s">
        <v>1570</v>
      </c>
      <c r="B44" s="92" t="s">
        <v>1002</v>
      </c>
      <c r="C44" s="56"/>
      <c r="D44" s="56">
        <v>9</v>
      </c>
      <c r="E44" s="104">
        <f t="shared" si="0"/>
        <v>20</v>
      </c>
      <c r="F44" s="56">
        <v>2</v>
      </c>
      <c r="G44" s="56">
        <v>2</v>
      </c>
      <c r="H44" s="56">
        <v>2</v>
      </c>
      <c r="I44" s="56">
        <v>2</v>
      </c>
      <c r="J44" s="56">
        <v>2</v>
      </c>
      <c r="K44" s="56">
        <v>2</v>
      </c>
      <c r="L44" s="56">
        <v>2</v>
      </c>
      <c r="M44" s="56">
        <v>2</v>
      </c>
      <c r="N44" s="56">
        <v>4</v>
      </c>
      <c r="O44" s="56"/>
      <c r="P44" s="56"/>
      <c r="Q44" s="56"/>
      <c r="R44" s="56"/>
      <c r="S44" s="56"/>
      <c r="T44" s="56"/>
      <c r="U44" s="56"/>
      <c r="V44" s="56"/>
      <c r="W44" s="56"/>
      <c r="X44" s="56"/>
      <c r="Y44" s="56"/>
      <c r="Z44" s="56"/>
      <c r="AA44" s="56"/>
      <c r="AB44" s="56"/>
      <c r="AC44" s="56"/>
      <c r="AD44" s="56"/>
      <c r="AE44" s="56"/>
      <c r="AF44" s="56"/>
      <c r="AG44" s="70" t="s">
        <v>1068</v>
      </c>
      <c r="AH44" s="192" t="s">
        <v>1072</v>
      </c>
      <c r="AI44" s="192"/>
      <c r="AJ44" s="193"/>
      <c r="AK44" s="55" t="s">
        <v>1005</v>
      </c>
      <c r="AL44" s="267">
        <f t="shared" si="1"/>
        <v>10</v>
      </c>
      <c r="AM44" s="159"/>
      <c r="AN44" s="269">
        <v>2</v>
      </c>
      <c r="AO44" s="55" t="s">
        <v>1031</v>
      </c>
      <c r="AP44" s="55" t="s">
        <v>1070</v>
      </c>
      <c r="AQ44" s="57" t="s">
        <v>21</v>
      </c>
    </row>
    <row r="45" spans="1:43" s="51" customFormat="1" ht="35" customHeight="1">
      <c r="A45" s="94" t="s">
        <v>1571</v>
      </c>
      <c r="B45" s="92" t="s">
        <v>1002</v>
      </c>
      <c r="C45" s="56">
        <v>10</v>
      </c>
      <c r="D45" s="56"/>
      <c r="E45" s="104">
        <f t="shared" si="0"/>
        <v>23</v>
      </c>
      <c r="F45" s="56">
        <v>2</v>
      </c>
      <c r="G45" s="56">
        <v>2</v>
      </c>
      <c r="H45" s="56">
        <v>2</v>
      </c>
      <c r="I45" s="56">
        <v>2</v>
      </c>
      <c r="J45" s="56">
        <v>2</v>
      </c>
      <c r="K45" s="56">
        <v>2</v>
      </c>
      <c r="L45" s="56">
        <v>2</v>
      </c>
      <c r="M45" s="56">
        <v>2</v>
      </c>
      <c r="N45" s="56">
        <v>3</v>
      </c>
      <c r="O45" s="56">
        <v>4</v>
      </c>
      <c r="P45" s="56"/>
      <c r="Q45" s="56"/>
      <c r="R45" s="56"/>
      <c r="S45" s="56"/>
      <c r="T45" s="56"/>
      <c r="U45" s="56"/>
      <c r="V45" s="56"/>
      <c r="W45" s="56"/>
      <c r="X45" s="56"/>
      <c r="Y45" s="56"/>
      <c r="Z45" s="56"/>
      <c r="AA45" s="56"/>
      <c r="AB45" s="56"/>
      <c r="AC45" s="56"/>
      <c r="AD45" s="56"/>
      <c r="AE45" s="56"/>
      <c r="AF45" s="56"/>
      <c r="AG45" s="70" t="s">
        <v>1068</v>
      </c>
      <c r="AH45" s="192" t="s">
        <v>1072</v>
      </c>
      <c r="AI45" s="192"/>
      <c r="AJ45" s="193"/>
      <c r="AK45" s="55" t="s">
        <v>1006</v>
      </c>
      <c r="AL45" s="267">
        <f t="shared" si="1"/>
        <v>4</v>
      </c>
      <c r="AM45" s="159"/>
      <c r="AN45" s="269">
        <v>0.8</v>
      </c>
      <c r="AO45" s="55" t="s">
        <v>1031</v>
      </c>
      <c r="AP45" s="55" t="s">
        <v>1070</v>
      </c>
      <c r="AQ45" s="57" t="s">
        <v>21</v>
      </c>
    </row>
    <row r="46" spans="1:43" ht="35" customHeight="1">
      <c r="A46" s="94" t="s">
        <v>1572</v>
      </c>
      <c r="B46" s="91" t="s">
        <v>1026</v>
      </c>
      <c r="C46" s="53">
        <v>10</v>
      </c>
      <c r="E46" s="104">
        <f t="shared" si="0"/>
        <v>26</v>
      </c>
      <c r="F46" s="53">
        <v>2</v>
      </c>
      <c r="G46" s="53">
        <v>2</v>
      </c>
      <c r="H46" s="53">
        <v>2</v>
      </c>
      <c r="I46" s="53">
        <v>2</v>
      </c>
      <c r="J46" s="53">
        <v>2</v>
      </c>
      <c r="K46" s="53">
        <v>3</v>
      </c>
      <c r="L46" s="53">
        <v>3</v>
      </c>
      <c r="M46" s="53">
        <v>3</v>
      </c>
      <c r="N46" s="53">
        <v>3</v>
      </c>
      <c r="O46" s="53">
        <v>4</v>
      </c>
      <c r="AG46" s="69" t="s">
        <v>1069</v>
      </c>
      <c r="AH46" s="192" t="s">
        <v>1072</v>
      </c>
      <c r="AI46" s="192"/>
      <c r="AJ46" s="193"/>
      <c r="AK46" s="43" t="s">
        <v>1009</v>
      </c>
      <c r="AL46" s="266">
        <f t="shared" si="1"/>
        <v>4</v>
      </c>
      <c r="AN46" s="270">
        <v>0.8</v>
      </c>
      <c r="AO46" s="43" t="s">
        <v>1031</v>
      </c>
      <c r="AP46" s="43" t="s">
        <v>1073</v>
      </c>
      <c r="AQ46" s="54" t="s">
        <v>18</v>
      </c>
    </row>
    <row r="47" spans="1:43" ht="35" customHeight="1">
      <c r="A47" s="94" t="s">
        <v>1573</v>
      </c>
      <c r="B47" s="91" t="s">
        <v>1026</v>
      </c>
      <c r="C47" s="53">
        <v>10</v>
      </c>
      <c r="E47" s="104">
        <f t="shared" si="0"/>
        <v>28</v>
      </c>
      <c r="F47" s="53">
        <v>3</v>
      </c>
      <c r="G47" s="53">
        <v>3</v>
      </c>
      <c r="H47" s="53">
        <v>3</v>
      </c>
      <c r="I47" s="53">
        <v>3</v>
      </c>
      <c r="J47" s="53">
        <v>3</v>
      </c>
      <c r="K47" s="53">
        <v>3</v>
      </c>
      <c r="L47" s="53">
        <v>3</v>
      </c>
      <c r="M47" s="53">
        <v>3</v>
      </c>
      <c r="N47" s="53">
        <v>3</v>
      </c>
      <c r="O47" s="53">
        <v>1</v>
      </c>
      <c r="AG47" s="69" t="s">
        <v>1069</v>
      </c>
      <c r="AH47" s="192" t="s">
        <v>1072</v>
      </c>
      <c r="AI47" s="192"/>
      <c r="AJ47" s="193"/>
      <c r="AK47" s="43" t="s">
        <v>1010</v>
      </c>
      <c r="AL47" s="266">
        <f t="shared" si="1"/>
        <v>4</v>
      </c>
      <c r="AN47" s="270">
        <v>0.8</v>
      </c>
      <c r="AO47" s="43" t="s">
        <v>1031</v>
      </c>
      <c r="AP47" s="43" t="s">
        <v>1073</v>
      </c>
      <c r="AQ47" s="54" t="s">
        <v>18</v>
      </c>
    </row>
    <row r="48" spans="1:43" ht="35" customHeight="1">
      <c r="A48" s="94" t="s">
        <v>1574</v>
      </c>
      <c r="B48" s="91" t="s">
        <v>1929</v>
      </c>
      <c r="D48" s="53">
        <v>9</v>
      </c>
      <c r="E48" s="104">
        <f t="shared" si="0"/>
        <v>29</v>
      </c>
      <c r="F48" s="53">
        <v>2</v>
      </c>
      <c r="G48" s="53">
        <v>2</v>
      </c>
      <c r="H48" s="53">
        <v>3</v>
      </c>
      <c r="I48" s="53">
        <v>3</v>
      </c>
      <c r="J48" s="53">
        <v>3</v>
      </c>
      <c r="K48" s="53">
        <v>4</v>
      </c>
      <c r="L48" s="53">
        <v>4</v>
      </c>
      <c r="M48" s="53">
        <v>4</v>
      </c>
      <c r="N48" s="53">
        <v>4</v>
      </c>
      <c r="AG48" s="69" t="s">
        <v>1069</v>
      </c>
      <c r="AH48" s="192" t="s">
        <v>1072</v>
      </c>
      <c r="AI48" s="192"/>
      <c r="AJ48" s="193"/>
      <c r="AK48" s="43" t="s">
        <v>1003</v>
      </c>
      <c r="AL48" s="266">
        <f t="shared" si="1"/>
        <v>4</v>
      </c>
      <c r="AN48" s="270">
        <v>0.8</v>
      </c>
      <c r="AO48" s="43" t="s">
        <v>1031</v>
      </c>
      <c r="AP48" s="43" t="s">
        <v>1049</v>
      </c>
      <c r="AQ48" s="54" t="s">
        <v>18</v>
      </c>
    </row>
    <row r="49" spans="1:43" ht="35" customHeight="1">
      <c r="A49" s="94" t="s">
        <v>1575</v>
      </c>
      <c r="B49" s="91" t="s">
        <v>1002</v>
      </c>
      <c r="C49" s="53">
        <v>10</v>
      </c>
      <c r="E49" s="104">
        <f t="shared" si="0"/>
        <v>36</v>
      </c>
      <c r="F49" s="53">
        <v>3</v>
      </c>
      <c r="G49" s="53">
        <v>3</v>
      </c>
      <c r="H49" s="53">
        <v>3</v>
      </c>
      <c r="I49" s="53">
        <v>3</v>
      </c>
      <c r="J49" s="53">
        <v>3</v>
      </c>
      <c r="K49" s="53">
        <v>3</v>
      </c>
      <c r="L49" s="53">
        <v>3</v>
      </c>
      <c r="M49" s="53">
        <v>5</v>
      </c>
      <c r="N49" s="53">
        <v>5</v>
      </c>
      <c r="O49" s="53">
        <v>5</v>
      </c>
      <c r="AG49" s="69" t="s">
        <v>1069</v>
      </c>
      <c r="AH49" s="192" t="s">
        <v>1072</v>
      </c>
      <c r="AI49" s="192"/>
      <c r="AJ49" s="193"/>
      <c r="AK49" s="43" t="s">
        <v>1003</v>
      </c>
      <c r="AL49" s="266">
        <f t="shared" si="1"/>
        <v>7.5</v>
      </c>
      <c r="AN49" s="270">
        <v>1.5</v>
      </c>
      <c r="AO49" s="43" t="s">
        <v>1031</v>
      </c>
      <c r="AP49" s="43" t="s">
        <v>1071</v>
      </c>
      <c r="AQ49" s="54" t="s">
        <v>18</v>
      </c>
    </row>
    <row r="50" spans="1:43" s="51" customFormat="1" ht="35" customHeight="1">
      <c r="A50" s="94" t="s">
        <v>1576</v>
      </c>
      <c r="B50" s="92" t="s">
        <v>1012</v>
      </c>
      <c r="C50" s="56">
        <v>10</v>
      </c>
      <c r="D50" s="56"/>
      <c r="E50" s="104">
        <f t="shared" si="0"/>
        <v>19</v>
      </c>
      <c r="F50" s="56">
        <v>1</v>
      </c>
      <c r="G50" s="56">
        <v>1</v>
      </c>
      <c r="H50" s="56">
        <v>2</v>
      </c>
      <c r="I50" s="56">
        <v>2</v>
      </c>
      <c r="J50" s="56">
        <v>2</v>
      </c>
      <c r="K50" s="56">
        <v>2</v>
      </c>
      <c r="L50" s="56">
        <v>2</v>
      </c>
      <c r="M50" s="56">
        <v>2</v>
      </c>
      <c r="N50" s="56">
        <v>2</v>
      </c>
      <c r="O50" s="56">
        <v>3</v>
      </c>
      <c r="P50" s="56"/>
      <c r="Q50" s="56"/>
      <c r="R50" s="56"/>
      <c r="S50" s="56"/>
      <c r="T50" s="56"/>
      <c r="U50" s="56"/>
      <c r="V50" s="56"/>
      <c r="W50" s="56"/>
      <c r="X50" s="56"/>
      <c r="Y50" s="56"/>
      <c r="Z50" s="56"/>
      <c r="AA50" s="56"/>
      <c r="AB50" s="56"/>
      <c r="AC50" s="56"/>
      <c r="AD50" s="56"/>
      <c r="AE50" s="56"/>
      <c r="AF50" s="56"/>
      <c r="AG50" s="70" t="s">
        <v>1060</v>
      </c>
      <c r="AH50" s="192" t="s">
        <v>1013</v>
      </c>
      <c r="AI50" s="192"/>
      <c r="AJ50" s="193"/>
      <c r="AK50" s="55" t="s">
        <v>327</v>
      </c>
      <c r="AL50" s="267">
        <f t="shared" si="1"/>
        <v>5</v>
      </c>
      <c r="AM50" s="159"/>
      <c r="AN50" s="269">
        <v>1</v>
      </c>
      <c r="AO50" s="55" t="s">
        <v>1031</v>
      </c>
      <c r="AP50" s="55" t="s">
        <v>1057</v>
      </c>
      <c r="AQ50" s="57" t="s">
        <v>20</v>
      </c>
    </row>
    <row r="51" spans="1:43" s="51" customFormat="1" ht="35" customHeight="1">
      <c r="A51" s="94" t="s">
        <v>1577</v>
      </c>
      <c r="B51" s="92" t="s">
        <v>1012</v>
      </c>
      <c r="C51" s="56">
        <v>10</v>
      </c>
      <c r="D51" s="56"/>
      <c r="E51" s="104">
        <f t="shared" si="0"/>
        <v>34</v>
      </c>
      <c r="F51" s="56">
        <v>2</v>
      </c>
      <c r="G51" s="56">
        <v>2</v>
      </c>
      <c r="H51" s="56">
        <v>5</v>
      </c>
      <c r="I51" s="56">
        <v>5</v>
      </c>
      <c r="J51" s="56">
        <v>3</v>
      </c>
      <c r="K51" s="56">
        <v>3</v>
      </c>
      <c r="L51" s="56">
        <v>3</v>
      </c>
      <c r="M51" s="56">
        <v>1</v>
      </c>
      <c r="N51" s="56">
        <v>4</v>
      </c>
      <c r="O51" s="56">
        <v>6</v>
      </c>
      <c r="P51" s="56"/>
      <c r="Q51" s="56"/>
      <c r="R51" s="56"/>
      <c r="S51" s="56"/>
      <c r="T51" s="56"/>
      <c r="U51" s="56"/>
      <c r="V51" s="56"/>
      <c r="W51" s="56"/>
      <c r="X51" s="56"/>
      <c r="Y51" s="56"/>
      <c r="Z51" s="56"/>
      <c r="AA51" s="56"/>
      <c r="AB51" s="56"/>
      <c r="AC51" s="56"/>
      <c r="AD51" s="56"/>
      <c r="AE51" s="56"/>
      <c r="AF51" s="56"/>
      <c r="AG51" s="70" t="s">
        <v>1058</v>
      </c>
      <c r="AH51" s="192" t="s">
        <v>1014</v>
      </c>
      <c r="AI51" s="192"/>
      <c r="AJ51" s="193"/>
      <c r="AK51" s="55"/>
      <c r="AL51" s="267">
        <f t="shared" si="1"/>
        <v>5</v>
      </c>
      <c r="AM51" s="159"/>
      <c r="AN51" s="269">
        <v>1</v>
      </c>
      <c r="AO51" s="55" t="s">
        <v>1031</v>
      </c>
      <c r="AP51" s="55" t="s">
        <v>1057</v>
      </c>
      <c r="AQ51" s="57" t="s">
        <v>18</v>
      </c>
    </row>
    <row r="52" spans="1:43" s="51" customFormat="1" ht="35" customHeight="1">
      <c r="A52" s="94" t="s">
        <v>1578</v>
      </c>
      <c r="B52" s="92" t="s">
        <v>1012</v>
      </c>
      <c r="C52" s="56"/>
      <c r="D52" s="56">
        <v>4</v>
      </c>
      <c r="E52" s="104">
        <f t="shared" si="0"/>
        <v>17</v>
      </c>
      <c r="F52" s="56">
        <v>1</v>
      </c>
      <c r="G52" s="56">
        <v>4</v>
      </c>
      <c r="H52" s="56">
        <v>5</v>
      </c>
      <c r="I52" s="56">
        <v>7</v>
      </c>
      <c r="J52" s="56"/>
      <c r="K52" s="56"/>
      <c r="L52" s="56"/>
      <c r="M52" s="56"/>
      <c r="N52" s="56"/>
      <c r="O52" s="56"/>
      <c r="P52" s="56"/>
      <c r="Q52" s="56"/>
      <c r="R52" s="56"/>
      <c r="S52" s="56"/>
      <c r="T52" s="56"/>
      <c r="U52" s="56"/>
      <c r="V52" s="56"/>
      <c r="W52" s="56"/>
      <c r="X52" s="56"/>
      <c r="Y52" s="56"/>
      <c r="Z52" s="56"/>
      <c r="AA52" s="56"/>
      <c r="AB52" s="56"/>
      <c r="AC52" s="56"/>
      <c r="AD52" s="56"/>
      <c r="AE52" s="56"/>
      <c r="AF52" s="56"/>
      <c r="AG52" s="70" t="s">
        <v>1059</v>
      </c>
      <c r="AH52" s="192" t="s">
        <v>100</v>
      </c>
      <c r="AI52" s="192"/>
      <c r="AJ52" s="193"/>
      <c r="AK52" s="55"/>
      <c r="AL52" s="267">
        <f t="shared" si="1"/>
        <v>5</v>
      </c>
      <c r="AM52" s="159"/>
      <c r="AN52" s="269">
        <v>1</v>
      </c>
      <c r="AO52" s="55" t="s">
        <v>1031</v>
      </c>
      <c r="AP52" s="55" t="s">
        <v>1057</v>
      </c>
      <c r="AQ52" s="57" t="s">
        <v>20</v>
      </c>
    </row>
    <row r="53" spans="1:43" s="51" customFormat="1" ht="35" customHeight="1">
      <c r="A53" s="94" t="s">
        <v>1579</v>
      </c>
      <c r="B53" s="92" t="s">
        <v>1012</v>
      </c>
      <c r="C53" s="56">
        <v>8</v>
      </c>
      <c r="D53" s="56"/>
      <c r="E53" s="104">
        <f t="shared" si="0"/>
        <v>12</v>
      </c>
      <c r="F53" s="56">
        <v>1</v>
      </c>
      <c r="G53" s="56">
        <v>1</v>
      </c>
      <c r="H53" s="56">
        <v>1</v>
      </c>
      <c r="I53" s="56">
        <v>1</v>
      </c>
      <c r="J53" s="56">
        <v>1</v>
      </c>
      <c r="K53" s="56">
        <v>2</v>
      </c>
      <c r="L53" s="56">
        <v>2</v>
      </c>
      <c r="M53" s="56">
        <v>3</v>
      </c>
      <c r="N53" s="56"/>
      <c r="O53" s="56"/>
      <c r="P53" s="56"/>
      <c r="Q53" s="56"/>
      <c r="R53" s="56"/>
      <c r="S53" s="56"/>
      <c r="T53" s="56"/>
      <c r="U53" s="56"/>
      <c r="V53" s="56"/>
      <c r="W53" s="56"/>
      <c r="X53" s="56"/>
      <c r="Y53" s="56"/>
      <c r="Z53" s="56"/>
      <c r="AA53" s="56"/>
      <c r="AB53" s="56"/>
      <c r="AC53" s="56"/>
      <c r="AD53" s="56"/>
      <c r="AE53" s="56"/>
      <c r="AF53" s="56"/>
      <c r="AG53" s="70" t="s">
        <v>1063</v>
      </c>
      <c r="AH53" s="192" t="s">
        <v>1015</v>
      </c>
      <c r="AI53" s="192"/>
      <c r="AJ53" s="193"/>
      <c r="AK53" s="55" t="s">
        <v>328</v>
      </c>
      <c r="AL53" s="267">
        <f t="shared" si="1"/>
        <v>3</v>
      </c>
      <c r="AM53" s="159"/>
      <c r="AN53" s="269">
        <v>0.6</v>
      </c>
      <c r="AO53" s="55" t="s">
        <v>1031</v>
      </c>
      <c r="AP53" s="55" t="s">
        <v>1057</v>
      </c>
      <c r="AQ53" s="57" t="s">
        <v>20</v>
      </c>
    </row>
    <row r="54" spans="1:43" s="51" customFormat="1" ht="35" customHeight="1">
      <c r="A54" s="94" t="s">
        <v>1580</v>
      </c>
      <c r="B54" s="92" t="s">
        <v>1012</v>
      </c>
      <c r="C54" s="56">
        <v>2</v>
      </c>
      <c r="D54" s="56"/>
      <c r="E54" s="104">
        <f t="shared" si="0"/>
        <v>5</v>
      </c>
      <c r="F54" s="56">
        <v>2</v>
      </c>
      <c r="G54" s="56">
        <v>3</v>
      </c>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70" t="s">
        <v>1061</v>
      </c>
      <c r="AH54" s="192" t="s">
        <v>1016</v>
      </c>
      <c r="AI54" s="192"/>
      <c r="AJ54" s="193"/>
      <c r="AK54" s="55" t="s">
        <v>1062</v>
      </c>
      <c r="AL54" s="267">
        <f t="shared" si="1"/>
        <v>20</v>
      </c>
      <c r="AM54" s="159"/>
      <c r="AN54" s="269">
        <v>4</v>
      </c>
      <c r="AO54" s="55" t="s">
        <v>1031</v>
      </c>
      <c r="AP54" s="55" t="s">
        <v>1057</v>
      </c>
      <c r="AQ54" s="57" t="s">
        <v>31</v>
      </c>
    </row>
    <row r="55" spans="1:43" ht="35" customHeight="1">
      <c r="A55" s="94" t="s">
        <v>1581</v>
      </c>
      <c r="B55" s="91" t="s">
        <v>1017</v>
      </c>
      <c r="C55" s="53">
        <v>9</v>
      </c>
      <c r="E55" s="104">
        <f t="shared" si="0"/>
        <v>109</v>
      </c>
      <c r="F55" s="53">
        <v>16</v>
      </c>
      <c r="G55" s="123">
        <v>30</v>
      </c>
      <c r="H55" s="124">
        <v>14</v>
      </c>
      <c r="I55" s="125">
        <v>13</v>
      </c>
      <c r="J55" s="124">
        <v>7</v>
      </c>
      <c r="K55" s="126">
        <v>9</v>
      </c>
      <c r="L55" s="125">
        <v>7</v>
      </c>
      <c r="M55" s="126">
        <v>7</v>
      </c>
      <c r="N55" s="53">
        <v>6</v>
      </c>
      <c r="AG55" s="69" t="s">
        <v>1033</v>
      </c>
      <c r="AH55" s="192" t="s">
        <v>101</v>
      </c>
      <c r="AI55" s="192"/>
      <c r="AJ55" s="193"/>
      <c r="AL55" s="266">
        <f t="shared" si="1"/>
        <v>19.5</v>
      </c>
      <c r="AM55" s="158" t="s">
        <v>1919</v>
      </c>
      <c r="AN55" s="266">
        <f>0.9*3+0.7+0.5</f>
        <v>3.9000000000000004</v>
      </c>
      <c r="AO55" s="43" t="s">
        <v>1055</v>
      </c>
      <c r="AP55" s="43" t="s">
        <v>1056</v>
      </c>
      <c r="AQ55" s="54" t="s">
        <v>19</v>
      </c>
    </row>
    <row r="56" spans="1:43" ht="35" customHeight="1">
      <c r="A56" s="94" t="s">
        <v>1582</v>
      </c>
      <c r="B56" s="91" t="s">
        <v>1017</v>
      </c>
      <c r="C56" s="53">
        <v>7</v>
      </c>
      <c r="E56" s="104">
        <f t="shared" si="0"/>
        <v>97</v>
      </c>
      <c r="F56" s="53">
        <v>34</v>
      </c>
      <c r="G56" s="53">
        <v>18</v>
      </c>
      <c r="H56" s="53">
        <v>18</v>
      </c>
      <c r="I56" s="53">
        <v>9</v>
      </c>
      <c r="J56" s="53">
        <v>7</v>
      </c>
      <c r="K56" s="53">
        <v>8</v>
      </c>
      <c r="L56" s="53">
        <v>3</v>
      </c>
      <c r="AG56" s="69" t="s">
        <v>1033</v>
      </c>
      <c r="AH56" s="192" t="s">
        <v>109</v>
      </c>
      <c r="AI56" s="192"/>
      <c r="AJ56" s="193"/>
      <c r="AL56" s="266">
        <f t="shared" si="1"/>
        <v>22.5</v>
      </c>
      <c r="AN56" s="270">
        <v>4.5</v>
      </c>
      <c r="AO56" s="43" t="s">
        <v>1055</v>
      </c>
      <c r="AP56" s="43" t="s">
        <v>1056</v>
      </c>
      <c r="AQ56" s="54" t="s">
        <v>19</v>
      </c>
    </row>
    <row r="57" spans="1:43" s="51" customFormat="1" ht="35" customHeight="1">
      <c r="A57" s="94" t="s">
        <v>1583</v>
      </c>
      <c r="B57" s="92" t="s">
        <v>1018</v>
      </c>
      <c r="C57" s="56"/>
      <c r="D57" s="56">
        <v>2</v>
      </c>
      <c r="E57" s="104">
        <f t="shared" si="0"/>
        <v>8</v>
      </c>
      <c r="F57" s="56">
        <v>6</v>
      </c>
      <c r="G57" s="56">
        <v>2</v>
      </c>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70" t="s">
        <v>1051</v>
      </c>
      <c r="AH57" s="192" t="s">
        <v>506</v>
      </c>
      <c r="AI57" s="192"/>
      <c r="AJ57" s="193"/>
      <c r="AL57" s="267">
        <f t="shared" si="1"/>
        <v>2</v>
      </c>
      <c r="AM57" s="159"/>
      <c r="AN57" s="267">
        <v>0.4</v>
      </c>
      <c r="AO57" s="55" t="s">
        <v>1053</v>
      </c>
      <c r="AP57" s="55" t="s">
        <v>1054</v>
      </c>
      <c r="AQ57" s="57" t="s">
        <v>18</v>
      </c>
    </row>
    <row r="58" spans="1:43" s="51" customFormat="1" ht="35" customHeight="1">
      <c r="A58" s="94" t="s">
        <v>1584</v>
      </c>
      <c r="B58" s="92" t="s">
        <v>1018</v>
      </c>
      <c r="C58" s="56">
        <v>4</v>
      </c>
      <c r="D58" s="56"/>
      <c r="E58" s="104">
        <f t="shared" si="0"/>
        <v>24</v>
      </c>
      <c r="F58" s="56">
        <v>9</v>
      </c>
      <c r="G58" s="56">
        <v>5</v>
      </c>
      <c r="H58" s="56">
        <v>8</v>
      </c>
      <c r="I58" s="56">
        <v>2</v>
      </c>
      <c r="J58" s="56"/>
      <c r="K58" s="56"/>
      <c r="L58" s="56"/>
      <c r="M58" s="56"/>
      <c r="N58" s="56"/>
      <c r="O58" s="56"/>
      <c r="P58" s="56"/>
      <c r="Q58" s="56"/>
      <c r="R58" s="56"/>
      <c r="S58" s="56"/>
      <c r="T58" s="56"/>
      <c r="U58" s="56"/>
      <c r="V58" s="56"/>
      <c r="W58" s="56"/>
      <c r="X58" s="56"/>
      <c r="Y58" s="56"/>
      <c r="Z58" s="56"/>
      <c r="AA58" s="56"/>
      <c r="AB58" s="56"/>
      <c r="AC58" s="56"/>
      <c r="AD58" s="56"/>
      <c r="AE58" s="56"/>
      <c r="AF58" s="56"/>
      <c r="AG58" s="70" t="s">
        <v>1051</v>
      </c>
      <c r="AH58" s="192" t="s">
        <v>596</v>
      </c>
      <c r="AI58" s="192"/>
      <c r="AJ58" s="193"/>
      <c r="AL58" s="267">
        <f t="shared" si="1"/>
        <v>3</v>
      </c>
      <c r="AM58" s="159"/>
      <c r="AN58" s="267">
        <v>0.6</v>
      </c>
      <c r="AO58" s="55" t="s">
        <v>1053</v>
      </c>
      <c r="AP58" s="55" t="s">
        <v>1054</v>
      </c>
      <c r="AQ58" s="57" t="s">
        <v>19</v>
      </c>
    </row>
    <row r="59" spans="1:43" ht="35" customHeight="1">
      <c r="A59" s="94" t="s">
        <v>1585</v>
      </c>
      <c r="B59" s="91" t="s">
        <v>1019</v>
      </c>
      <c r="C59" s="53">
        <v>8</v>
      </c>
      <c r="E59" s="104">
        <f t="shared" si="0"/>
        <v>82</v>
      </c>
      <c r="F59" s="53">
        <v>28</v>
      </c>
      <c r="G59" s="53">
        <v>18</v>
      </c>
      <c r="H59" s="53">
        <v>7</v>
      </c>
      <c r="I59" s="53">
        <v>9</v>
      </c>
      <c r="J59" s="53">
        <v>7</v>
      </c>
      <c r="K59" s="53">
        <v>4</v>
      </c>
      <c r="L59" s="53">
        <v>6</v>
      </c>
      <c r="M59" s="53">
        <v>3</v>
      </c>
      <c r="AG59" s="69" t="s">
        <v>1052</v>
      </c>
      <c r="AH59" s="192" t="s">
        <v>1049</v>
      </c>
      <c r="AI59" s="192"/>
      <c r="AJ59" s="193"/>
      <c r="AK59" s="43" t="s">
        <v>1127</v>
      </c>
      <c r="AL59" s="266">
        <f t="shared" si="1"/>
        <v>12.5</v>
      </c>
      <c r="AN59" s="270">
        <v>2.5</v>
      </c>
      <c r="AO59" s="43" t="s">
        <v>1031</v>
      </c>
      <c r="AP59" s="43" t="s">
        <v>1050</v>
      </c>
      <c r="AQ59" s="54" t="s">
        <v>19</v>
      </c>
    </row>
    <row r="60" spans="1:43" ht="35" customHeight="1">
      <c r="A60" s="94" t="s">
        <v>1586</v>
      </c>
      <c r="B60" s="91" t="s">
        <v>1019</v>
      </c>
      <c r="C60" s="53">
        <v>8</v>
      </c>
      <c r="E60" s="104">
        <f t="shared" si="0"/>
        <v>63</v>
      </c>
      <c r="F60" s="53">
        <v>9</v>
      </c>
      <c r="G60" s="53">
        <v>12</v>
      </c>
      <c r="H60" s="53">
        <v>12</v>
      </c>
      <c r="I60" s="53">
        <v>6</v>
      </c>
      <c r="J60" s="53">
        <v>10</v>
      </c>
      <c r="K60" s="53">
        <v>4</v>
      </c>
      <c r="L60" s="53">
        <v>7</v>
      </c>
      <c r="M60" s="53">
        <v>3</v>
      </c>
      <c r="AG60" s="69" t="s">
        <v>1052</v>
      </c>
      <c r="AH60" s="192" t="s">
        <v>1049</v>
      </c>
      <c r="AI60" s="192"/>
      <c r="AJ60" s="193"/>
      <c r="AK60" s="43" t="s">
        <v>1128</v>
      </c>
      <c r="AL60" s="266">
        <f t="shared" si="1"/>
        <v>10</v>
      </c>
      <c r="AN60" s="270">
        <v>2</v>
      </c>
      <c r="AO60" s="43" t="s">
        <v>1031</v>
      </c>
      <c r="AP60" s="43" t="s">
        <v>1050</v>
      </c>
      <c r="AQ60" s="54" t="s">
        <v>19</v>
      </c>
    </row>
    <row r="61" spans="1:43" s="51" customFormat="1" ht="35" customHeight="1">
      <c r="A61" s="94" t="s">
        <v>1587</v>
      </c>
      <c r="B61" s="92" t="s">
        <v>1027</v>
      </c>
      <c r="C61" s="56">
        <v>2</v>
      </c>
      <c r="D61" s="56"/>
      <c r="E61" s="104">
        <f t="shared" si="0"/>
        <v>22</v>
      </c>
      <c r="F61" s="56">
        <v>11</v>
      </c>
      <c r="G61" s="56">
        <v>11</v>
      </c>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70" t="s">
        <v>1036</v>
      </c>
      <c r="AH61" s="192" t="s">
        <v>1034</v>
      </c>
      <c r="AI61" s="192"/>
      <c r="AJ61" s="193"/>
      <c r="AK61" s="55" t="s">
        <v>1127</v>
      </c>
      <c r="AL61" s="267">
        <f t="shared" si="1"/>
        <v>5</v>
      </c>
      <c r="AM61" s="159"/>
      <c r="AN61" s="269">
        <v>1</v>
      </c>
      <c r="AO61" s="55" t="s">
        <v>1031</v>
      </c>
      <c r="AP61" s="55" t="s">
        <v>1032</v>
      </c>
      <c r="AQ61" s="57" t="s">
        <v>159</v>
      </c>
    </row>
    <row r="62" spans="1:43" s="51" customFormat="1" ht="35" customHeight="1">
      <c r="A62" s="94" t="s">
        <v>1588</v>
      </c>
      <c r="B62" s="92" t="s">
        <v>1027</v>
      </c>
      <c r="C62" s="56">
        <v>3</v>
      </c>
      <c r="D62" s="56"/>
      <c r="E62" s="104">
        <f t="shared" si="0"/>
        <v>27</v>
      </c>
      <c r="F62" s="56">
        <v>10</v>
      </c>
      <c r="G62" s="56">
        <v>10</v>
      </c>
      <c r="H62" s="56">
        <v>7</v>
      </c>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70" t="s">
        <v>1036</v>
      </c>
      <c r="AH62" s="192" t="s">
        <v>1034</v>
      </c>
      <c r="AI62" s="192"/>
      <c r="AJ62" s="193"/>
      <c r="AK62" s="55" t="s">
        <v>1128</v>
      </c>
      <c r="AL62" s="267">
        <f t="shared" si="1"/>
        <v>5</v>
      </c>
      <c r="AM62" s="159"/>
      <c r="AN62" s="269">
        <v>1</v>
      </c>
      <c r="AO62" s="55" t="s">
        <v>1031</v>
      </c>
      <c r="AP62" s="55" t="s">
        <v>1032</v>
      </c>
      <c r="AQ62" s="57" t="s">
        <v>159</v>
      </c>
    </row>
    <row r="63" spans="1:43" s="51" customFormat="1" ht="35" customHeight="1">
      <c r="A63" s="94" t="s">
        <v>1589</v>
      </c>
      <c r="B63" s="92" t="s">
        <v>1027</v>
      </c>
      <c r="C63" s="56">
        <v>9</v>
      </c>
      <c r="D63" s="56"/>
      <c r="E63" s="104">
        <f t="shared" si="0"/>
        <v>105</v>
      </c>
      <c r="F63" s="122">
        <v>21</v>
      </c>
      <c r="G63" s="123">
        <v>12</v>
      </c>
      <c r="H63" s="123">
        <v>9</v>
      </c>
      <c r="I63" s="124">
        <v>10</v>
      </c>
      <c r="J63" s="124">
        <v>11</v>
      </c>
      <c r="K63" s="125">
        <v>12</v>
      </c>
      <c r="L63" s="125">
        <v>10</v>
      </c>
      <c r="M63" s="56">
        <v>10</v>
      </c>
      <c r="N63" s="56">
        <v>10</v>
      </c>
      <c r="O63" s="56"/>
      <c r="P63" s="56"/>
      <c r="Q63" s="56"/>
      <c r="R63" s="56"/>
      <c r="S63" s="56"/>
      <c r="T63" s="56"/>
      <c r="U63" s="56"/>
      <c r="V63" s="56"/>
      <c r="W63" s="56"/>
      <c r="X63" s="56"/>
      <c r="Y63" s="56"/>
      <c r="Z63" s="56"/>
      <c r="AA63" s="56"/>
      <c r="AB63" s="56"/>
      <c r="AC63" s="56"/>
      <c r="AD63" s="56"/>
      <c r="AE63" s="56"/>
      <c r="AF63" s="56"/>
      <c r="AG63" s="70" t="s">
        <v>1036</v>
      </c>
      <c r="AH63" s="192" t="s">
        <v>1034</v>
      </c>
      <c r="AI63" s="192"/>
      <c r="AJ63" s="193"/>
      <c r="AK63" s="55" t="s">
        <v>1129</v>
      </c>
      <c r="AL63" s="267">
        <f t="shared" si="1"/>
        <v>16.5</v>
      </c>
      <c r="AM63" s="160" t="s">
        <v>1920</v>
      </c>
      <c r="AN63" s="267">
        <f>0.7+0.9+0.5+0.7+0.5</f>
        <v>3.3</v>
      </c>
      <c r="AO63" s="55" t="s">
        <v>1031</v>
      </c>
      <c r="AP63" s="55" t="s">
        <v>1032</v>
      </c>
      <c r="AQ63" s="57" t="s">
        <v>159</v>
      </c>
    </row>
    <row r="64" spans="1:43" ht="35" customHeight="1">
      <c r="E64" s="101" t="s">
        <v>1792</v>
      </c>
    </row>
    <row r="65" spans="5:5" ht="35" customHeight="1">
      <c r="E65" s="101" t="s">
        <v>1793</v>
      </c>
    </row>
    <row r="66" spans="5:5" ht="35" customHeight="1">
      <c r="E66" s="101" t="s">
        <v>1800</v>
      </c>
    </row>
  </sheetData>
  <phoneticPr fontId="2" type="noConversion"/>
  <pageMargins left="0.39000000000000007" right="0.39000000000000007" top="0.59" bottom="0.59" header="0.31" footer="0.31"/>
  <pageSetup paperSize="9" scale="61" fitToHeight="3" orientation="landscape" r:id="rId1"/>
  <headerFooter>
    <oddFooter xml:space="preserve">&amp;R镇沅&amp;P/ &amp;N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41"/>
  <sheetViews>
    <sheetView workbookViewId="0">
      <pane ySplit="1" topLeftCell="A32" activePane="bottomLeft" state="frozen"/>
      <selection pane="bottomLeft" activeCell="AM1" sqref="AM1:AM1048576"/>
    </sheetView>
  </sheetViews>
  <sheetFormatPr baseColWidth="10" defaultColWidth="8.83203125" defaultRowHeight="23" customHeight="1"/>
  <cols>
    <col min="1" max="2" width="10" style="91" customWidth="1"/>
    <col min="3" max="4" width="5.6640625" style="53" customWidth="1"/>
    <col min="5" max="5" width="10" style="101" bestFit="1" customWidth="1"/>
    <col min="6" max="14" width="4.33203125" style="53" customWidth="1"/>
    <col min="15" max="32" width="5.5" style="53" customWidth="1"/>
    <col min="33" max="33" width="41" style="44" customWidth="1"/>
    <col min="34" max="36" width="14.5" style="194" customWidth="1"/>
    <col min="37" max="37" width="14.5" style="60" customWidth="1"/>
    <col min="38" max="38" width="13.1640625" style="53" customWidth="1"/>
    <col min="39" max="39" width="13.1640625" style="197" customWidth="1"/>
    <col min="40" max="40" width="9.6640625" style="53" bestFit="1" customWidth="1"/>
    <col min="41" max="41" width="20.5" style="43" bestFit="1" customWidth="1"/>
    <col min="42" max="42" width="12.6640625" style="43" bestFit="1" customWidth="1"/>
    <col min="43" max="16384" width="8.83203125" style="42"/>
  </cols>
  <sheetData>
    <row r="1" spans="1:42" ht="23" customHeight="1">
      <c r="A1" s="91" t="s">
        <v>1718</v>
      </c>
      <c r="B1" s="91" t="s">
        <v>1590</v>
      </c>
      <c r="C1" s="53" t="s">
        <v>1592</v>
      </c>
      <c r="D1" s="53" t="s">
        <v>1593</v>
      </c>
      <c r="E1" s="101" t="s">
        <v>1594</v>
      </c>
      <c r="F1" s="43" t="s">
        <v>1595</v>
      </c>
      <c r="G1" s="43" t="s">
        <v>755</v>
      </c>
      <c r="H1" s="43" t="s">
        <v>756</v>
      </c>
      <c r="I1" s="43" t="s">
        <v>757</v>
      </c>
      <c r="J1" s="43" t="s">
        <v>758</v>
      </c>
      <c r="K1" s="43" t="s">
        <v>759</v>
      </c>
      <c r="L1" s="43" t="s">
        <v>760</v>
      </c>
      <c r="M1" s="43" t="s">
        <v>761</v>
      </c>
      <c r="N1" s="43" t="s">
        <v>762</v>
      </c>
      <c r="O1" s="43" t="s">
        <v>763</v>
      </c>
      <c r="P1" s="43" t="s">
        <v>1132</v>
      </c>
      <c r="Q1" s="43" t="s">
        <v>1133</v>
      </c>
      <c r="R1" s="43" t="s">
        <v>1134</v>
      </c>
      <c r="S1" s="43" t="s">
        <v>1135</v>
      </c>
      <c r="T1" s="43" t="s">
        <v>1136</v>
      </c>
      <c r="U1" s="43" t="s">
        <v>1137</v>
      </c>
      <c r="V1" s="43" t="s">
        <v>1138</v>
      </c>
      <c r="W1" s="43" t="s">
        <v>1139</v>
      </c>
      <c r="X1" s="43" t="s">
        <v>1140</v>
      </c>
      <c r="Y1" s="43" t="s">
        <v>1141</v>
      </c>
      <c r="Z1" s="43" t="s">
        <v>1142</v>
      </c>
      <c r="AA1" s="43" t="s">
        <v>1143</v>
      </c>
      <c r="AB1" s="43" t="s">
        <v>1144</v>
      </c>
      <c r="AC1" s="43" t="s">
        <v>1145</v>
      </c>
      <c r="AD1" s="43" t="s">
        <v>1146</v>
      </c>
      <c r="AE1" s="43" t="s">
        <v>1147</v>
      </c>
      <c r="AF1" s="43" t="s">
        <v>1148</v>
      </c>
      <c r="AG1" s="44" t="s">
        <v>1591</v>
      </c>
      <c r="AH1" s="174" t="s">
        <v>1930</v>
      </c>
      <c r="AI1" s="175" t="s">
        <v>1931</v>
      </c>
      <c r="AJ1" s="176" t="s">
        <v>2017</v>
      </c>
      <c r="AK1" s="43" t="s">
        <v>6</v>
      </c>
      <c r="AL1" s="90" t="s">
        <v>1801</v>
      </c>
      <c r="AM1" s="196" t="s">
        <v>2022</v>
      </c>
      <c r="AN1" s="53" t="s">
        <v>1594</v>
      </c>
      <c r="AO1" s="43" t="s">
        <v>1596</v>
      </c>
      <c r="AP1" s="43" t="s">
        <v>1597</v>
      </c>
    </row>
    <row r="2" spans="1:42" ht="23" customHeight="1">
      <c r="A2" s="91" t="s">
        <v>1760</v>
      </c>
      <c r="B2" s="91" t="s">
        <v>1598</v>
      </c>
      <c r="C2" s="53">
        <v>6</v>
      </c>
      <c r="E2" s="102">
        <f t="shared" ref="E2:E30" si="0">SUM(F2:O2)</f>
        <v>20</v>
      </c>
      <c r="F2" s="53">
        <v>1</v>
      </c>
      <c r="G2" s="53">
        <v>1</v>
      </c>
      <c r="H2" s="53">
        <v>5</v>
      </c>
      <c r="I2" s="53">
        <v>5</v>
      </c>
      <c r="J2" s="53">
        <v>5</v>
      </c>
      <c r="K2" s="53">
        <v>3</v>
      </c>
      <c r="AH2" s="194" t="s">
        <v>1599</v>
      </c>
      <c r="AL2" s="53">
        <v>4</v>
      </c>
      <c r="AN2" s="53">
        <v>5</v>
      </c>
    </row>
    <row r="3" spans="1:42" ht="23" customHeight="1">
      <c r="A3" s="91" t="s">
        <v>1761</v>
      </c>
      <c r="B3" s="91" t="s">
        <v>1600</v>
      </c>
      <c r="D3" s="53">
        <v>2</v>
      </c>
      <c r="E3" s="102">
        <f t="shared" si="0"/>
        <v>9</v>
      </c>
      <c r="F3" s="53">
        <v>4</v>
      </c>
      <c r="G3" s="53">
        <v>5</v>
      </c>
      <c r="AG3" s="44" t="s">
        <v>1601</v>
      </c>
      <c r="AH3" s="194">
        <v>20160726</v>
      </c>
      <c r="AL3" s="53">
        <v>2</v>
      </c>
      <c r="AN3" s="53">
        <v>5</v>
      </c>
      <c r="AO3" s="43" t="s">
        <v>1602</v>
      </c>
      <c r="AP3" s="43" t="s">
        <v>1603</v>
      </c>
    </row>
    <row r="4" spans="1:42" ht="23" customHeight="1">
      <c r="A4" s="91" t="s">
        <v>1762</v>
      </c>
      <c r="B4" s="91" t="s">
        <v>1604</v>
      </c>
      <c r="C4" s="53">
        <v>1</v>
      </c>
      <c r="E4" s="102">
        <f t="shared" si="0"/>
        <v>1</v>
      </c>
      <c r="F4" s="53">
        <v>1</v>
      </c>
      <c r="AG4" s="44" t="s">
        <v>1606</v>
      </c>
      <c r="AH4" s="194" t="s">
        <v>1605</v>
      </c>
      <c r="AL4" s="53">
        <v>0.5</v>
      </c>
      <c r="AM4" s="198" t="s">
        <v>1802</v>
      </c>
      <c r="AN4" s="53">
        <v>1</v>
      </c>
      <c r="AO4" s="43" t="s">
        <v>1607</v>
      </c>
      <c r="AP4" s="43" t="s">
        <v>1608</v>
      </c>
    </row>
    <row r="5" spans="1:42" ht="23" customHeight="1">
      <c r="A5" s="91" t="s">
        <v>1763</v>
      </c>
      <c r="B5" s="91" t="s">
        <v>1609</v>
      </c>
      <c r="D5" s="53">
        <v>14</v>
      </c>
      <c r="E5" s="102">
        <f>SUM(F5:S5)</f>
        <v>15</v>
      </c>
      <c r="F5" s="53">
        <v>1</v>
      </c>
      <c r="G5" s="53">
        <v>1</v>
      </c>
      <c r="H5" s="53">
        <v>1</v>
      </c>
      <c r="I5" s="53">
        <v>1</v>
      </c>
      <c r="J5" s="53">
        <v>1</v>
      </c>
      <c r="K5" s="53">
        <v>1</v>
      </c>
      <c r="L5" s="53">
        <v>1</v>
      </c>
      <c r="M5" s="53">
        <v>1</v>
      </c>
      <c r="N5" s="53">
        <v>1</v>
      </c>
      <c r="O5" s="53">
        <v>1</v>
      </c>
      <c r="P5" s="53">
        <v>1</v>
      </c>
      <c r="Q5" s="53">
        <v>1</v>
      </c>
      <c r="R5" s="53">
        <v>1</v>
      </c>
      <c r="S5" s="53">
        <v>2</v>
      </c>
      <c r="AG5" s="44" t="s">
        <v>1610</v>
      </c>
      <c r="AH5" s="194">
        <v>20160810</v>
      </c>
      <c r="AL5" s="53">
        <v>15</v>
      </c>
      <c r="AN5" s="53">
        <v>3</v>
      </c>
      <c r="AO5" s="43" t="s">
        <v>1611</v>
      </c>
      <c r="AP5" s="43" t="s">
        <v>1612</v>
      </c>
    </row>
    <row r="6" spans="1:42" ht="23" customHeight="1">
      <c r="A6" s="91" t="s">
        <v>1764</v>
      </c>
      <c r="B6" s="91" t="s">
        <v>1118</v>
      </c>
      <c r="C6" s="53">
        <v>2</v>
      </c>
      <c r="E6" s="102">
        <f t="shared" si="0"/>
        <v>5</v>
      </c>
      <c r="F6" s="53">
        <v>3</v>
      </c>
      <c r="G6" s="61">
        <v>2</v>
      </c>
      <c r="AG6" s="44" t="s">
        <v>1613</v>
      </c>
      <c r="AH6" s="194" t="s">
        <v>879</v>
      </c>
      <c r="AL6" s="53">
        <v>1.5</v>
      </c>
      <c r="AN6" s="53">
        <v>3</v>
      </c>
      <c r="AO6" s="43" t="s">
        <v>342</v>
      </c>
      <c r="AP6" s="43" t="s">
        <v>879</v>
      </c>
    </row>
    <row r="7" spans="1:42" ht="23" customHeight="1">
      <c r="A7" s="91" t="s">
        <v>1765</v>
      </c>
      <c r="B7" s="91" t="s">
        <v>1120</v>
      </c>
      <c r="D7" s="53">
        <v>2</v>
      </c>
      <c r="E7" s="102">
        <f t="shared" si="0"/>
        <v>2</v>
      </c>
      <c r="F7" s="53">
        <v>1</v>
      </c>
      <c r="G7" s="53">
        <v>1</v>
      </c>
      <c r="AG7" s="44" t="s">
        <v>1614</v>
      </c>
      <c r="AH7" s="194">
        <v>20160706</v>
      </c>
      <c r="AL7" s="53">
        <v>1</v>
      </c>
      <c r="AM7" s="198"/>
      <c r="AN7" s="53">
        <v>1</v>
      </c>
      <c r="AO7" s="43" t="s">
        <v>1615</v>
      </c>
      <c r="AP7" s="43" t="s">
        <v>1616</v>
      </c>
    </row>
    <row r="8" spans="1:42" ht="23" customHeight="1">
      <c r="A8" s="91" t="s">
        <v>1766</v>
      </c>
      <c r="B8" s="91" t="s">
        <v>1121</v>
      </c>
      <c r="D8" s="53">
        <v>1</v>
      </c>
      <c r="E8" s="102">
        <f t="shared" si="0"/>
        <v>1</v>
      </c>
      <c r="F8" s="53">
        <v>1</v>
      </c>
      <c r="AG8" s="44" t="s">
        <v>1617</v>
      </c>
      <c r="AH8" s="194">
        <v>20160729</v>
      </c>
      <c r="AL8" s="53">
        <v>0.5</v>
      </c>
      <c r="AM8" s="198" t="s">
        <v>1802</v>
      </c>
      <c r="AN8" s="53">
        <v>1</v>
      </c>
      <c r="AO8" s="43" t="s">
        <v>342</v>
      </c>
      <c r="AP8" s="43" t="s">
        <v>879</v>
      </c>
    </row>
    <row r="9" spans="1:42" ht="23" customHeight="1">
      <c r="A9" s="91" t="s">
        <v>1767</v>
      </c>
      <c r="B9" s="91" t="s">
        <v>1122</v>
      </c>
      <c r="D9" s="53">
        <v>1</v>
      </c>
      <c r="E9" s="102">
        <f t="shared" si="0"/>
        <v>1</v>
      </c>
      <c r="F9" s="53">
        <v>1</v>
      </c>
      <c r="AG9" s="44" t="s">
        <v>1618</v>
      </c>
      <c r="AH9" s="194" t="s">
        <v>879</v>
      </c>
      <c r="AL9" s="53">
        <v>0.5</v>
      </c>
      <c r="AM9" s="198" t="s">
        <v>1802</v>
      </c>
      <c r="AN9" s="53">
        <v>1</v>
      </c>
      <c r="AO9" s="43" t="s">
        <v>1619</v>
      </c>
      <c r="AP9" s="43" t="s">
        <v>1620</v>
      </c>
    </row>
    <row r="10" spans="1:42" ht="23" customHeight="1">
      <c r="A10" s="91" t="s">
        <v>1768</v>
      </c>
      <c r="B10" s="91" t="s">
        <v>1123</v>
      </c>
      <c r="D10" s="53">
        <v>10</v>
      </c>
      <c r="E10" s="102">
        <f t="shared" si="0"/>
        <v>11</v>
      </c>
      <c r="F10" s="53">
        <v>1</v>
      </c>
      <c r="G10" s="53">
        <v>1</v>
      </c>
      <c r="H10" s="53">
        <v>1</v>
      </c>
      <c r="I10" s="53">
        <v>1</v>
      </c>
      <c r="J10" s="53">
        <v>1</v>
      </c>
      <c r="K10" s="53">
        <v>1</v>
      </c>
      <c r="L10" s="53">
        <v>1</v>
      </c>
      <c r="M10" s="53">
        <v>1</v>
      </c>
      <c r="N10" s="53">
        <v>1</v>
      </c>
      <c r="O10" s="53">
        <v>2</v>
      </c>
      <c r="AG10" s="44" t="s">
        <v>1621</v>
      </c>
      <c r="AH10" s="194">
        <v>20160812</v>
      </c>
      <c r="AL10" s="53">
        <v>10</v>
      </c>
      <c r="AN10" s="53">
        <v>1</v>
      </c>
      <c r="AO10" s="43" t="s">
        <v>342</v>
      </c>
      <c r="AP10" s="43" t="s">
        <v>1622</v>
      </c>
    </row>
    <row r="11" spans="1:42" ht="23" customHeight="1">
      <c r="A11" s="91" t="s">
        <v>1769</v>
      </c>
      <c r="B11" s="91" t="s">
        <v>1124</v>
      </c>
      <c r="D11" s="53">
        <v>11</v>
      </c>
      <c r="E11" s="102">
        <f>SUM(F11:P11)</f>
        <v>13</v>
      </c>
      <c r="F11" s="53">
        <v>1</v>
      </c>
      <c r="G11" s="53">
        <v>1</v>
      </c>
      <c r="H11" s="53">
        <v>1</v>
      </c>
      <c r="I11" s="53">
        <v>1</v>
      </c>
      <c r="J11" s="53">
        <v>1</v>
      </c>
      <c r="K11" s="53">
        <v>1</v>
      </c>
      <c r="L11" s="53">
        <v>1</v>
      </c>
      <c r="M11" s="53">
        <v>1</v>
      </c>
      <c r="N11" s="53">
        <v>1</v>
      </c>
      <c r="O11" s="53">
        <v>1</v>
      </c>
      <c r="P11" s="53">
        <v>3</v>
      </c>
      <c r="AG11" s="44" t="s">
        <v>1623</v>
      </c>
      <c r="AH11" s="194">
        <v>20160815</v>
      </c>
      <c r="AL11" s="53">
        <v>10</v>
      </c>
      <c r="AN11" s="53">
        <v>2</v>
      </c>
      <c r="AO11" s="43" t="s">
        <v>342</v>
      </c>
      <c r="AP11" s="43" t="s">
        <v>1624</v>
      </c>
    </row>
    <row r="12" spans="1:42" ht="23" customHeight="1">
      <c r="A12" s="91" t="s">
        <v>1770</v>
      </c>
      <c r="B12" s="91" t="s">
        <v>1125</v>
      </c>
      <c r="D12" s="53">
        <v>5</v>
      </c>
      <c r="E12" s="102">
        <f t="shared" si="0"/>
        <v>15</v>
      </c>
      <c r="F12" s="53">
        <v>4</v>
      </c>
      <c r="G12" s="53">
        <v>2</v>
      </c>
      <c r="H12" s="53">
        <v>2</v>
      </c>
      <c r="I12" s="53">
        <v>1</v>
      </c>
      <c r="J12" s="53">
        <v>6</v>
      </c>
      <c r="AG12" s="44" t="s">
        <v>1625</v>
      </c>
      <c r="AH12" s="194">
        <v>20160717</v>
      </c>
      <c r="AL12" s="53">
        <v>3</v>
      </c>
      <c r="AN12" s="53">
        <v>5</v>
      </c>
      <c r="AO12" s="43" t="s">
        <v>1626</v>
      </c>
      <c r="AP12" s="43" t="s">
        <v>1627</v>
      </c>
    </row>
    <row r="13" spans="1:42" ht="23" customHeight="1">
      <c r="A13" s="91" t="s">
        <v>1771</v>
      </c>
      <c r="B13" s="91" t="s">
        <v>1126</v>
      </c>
      <c r="D13" s="53">
        <v>2</v>
      </c>
      <c r="E13" s="102">
        <f t="shared" si="0"/>
        <v>8</v>
      </c>
      <c r="F13" s="53">
        <v>3</v>
      </c>
      <c r="G13" s="53">
        <v>5</v>
      </c>
      <c r="AG13" s="44" t="s">
        <v>1628</v>
      </c>
      <c r="AH13" s="194">
        <v>20160720</v>
      </c>
      <c r="AL13" s="53">
        <v>2</v>
      </c>
      <c r="AN13" s="53">
        <v>5</v>
      </c>
      <c r="AO13" s="43" t="s">
        <v>1629</v>
      </c>
      <c r="AP13" s="43" t="s">
        <v>1630</v>
      </c>
    </row>
    <row r="14" spans="1:42" ht="23" customHeight="1">
      <c r="A14" s="91" t="s">
        <v>1772</v>
      </c>
      <c r="B14" s="91" t="s">
        <v>1631</v>
      </c>
      <c r="D14" s="53">
        <v>5</v>
      </c>
      <c r="E14" s="102">
        <f t="shared" si="0"/>
        <v>9</v>
      </c>
      <c r="F14" s="53">
        <v>1</v>
      </c>
      <c r="G14" s="53">
        <v>1</v>
      </c>
      <c r="H14" s="53">
        <v>2</v>
      </c>
      <c r="I14" s="53">
        <v>2</v>
      </c>
      <c r="J14" s="53">
        <v>3</v>
      </c>
      <c r="AG14" s="44" t="s">
        <v>1618</v>
      </c>
      <c r="AH14" s="194" t="s">
        <v>879</v>
      </c>
      <c r="AL14" s="53">
        <v>2.5</v>
      </c>
      <c r="AN14" s="53">
        <v>3</v>
      </c>
      <c r="AO14" s="43" t="s">
        <v>1632</v>
      </c>
      <c r="AP14" s="43" t="s">
        <v>1633</v>
      </c>
    </row>
    <row r="15" spans="1:42" ht="23" customHeight="1">
      <c r="A15" s="91" t="s">
        <v>1773</v>
      </c>
      <c r="B15" s="91" t="s">
        <v>1634</v>
      </c>
      <c r="C15" s="53">
        <v>1</v>
      </c>
      <c r="E15" s="102">
        <f t="shared" si="0"/>
        <v>1</v>
      </c>
      <c r="F15" s="53">
        <v>1</v>
      </c>
      <c r="AG15" s="44" t="s">
        <v>1635</v>
      </c>
      <c r="AH15" s="194" t="s">
        <v>879</v>
      </c>
      <c r="AL15" s="53">
        <v>0.5</v>
      </c>
      <c r="AM15" s="198" t="s">
        <v>1802</v>
      </c>
      <c r="AN15" s="53">
        <v>1</v>
      </c>
      <c r="AO15" s="43" t="s">
        <v>342</v>
      </c>
      <c r="AP15" s="43" t="s">
        <v>1636</v>
      </c>
    </row>
    <row r="16" spans="1:42" ht="23" customHeight="1">
      <c r="A16" s="91" t="s">
        <v>1774</v>
      </c>
      <c r="B16" s="91" t="s">
        <v>1637</v>
      </c>
      <c r="C16" s="53">
        <v>1</v>
      </c>
      <c r="E16" s="102">
        <f t="shared" si="0"/>
        <v>6</v>
      </c>
      <c r="F16" s="53">
        <v>6</v>
      </c>
      <c r="AG16" s="44" t="s">
        <v>1639</v>
      </c>
      <c r="AH16" s="194" t="s">
        <v>1638</v>
      </c>
      <c r="AL16" s="53">
        <v>1.5</v>
      </c>
      <c r="AN16" s="53">
        <v>10</v>
      </c>
      <c r="AO16" s="43" t="s">
        <v>342</v>
      </c>
      <c r="AP16" s="43" t="s">
        <v>879</v>
      </c>
    </row>
    <row r="17" spans="1:42" ht="23" customHeight="1">
      <c r="A17" s="91" t="s">
        <v>1775</v>
      </c>
      <c r="B17" s="91" t="s">
        <v>1640</v>
      </c>
      <c r="C17" s="53">
        <v>1</v>
      </c>
      <c r="E17" s="102">
        <f t="shared" si="0"/>
        <v>10</v>
      </c>
      <c r="F17" s="53">
        <v>10</v>
      </c>
      <c r="AG17" s="44" t="s">
        <v>1642</v>
      </c>
      <c r="AH17" s="194" t="s">
        <v>1641</v>
      </c>
      <c r="AL17" s="53">
        <v>2</v>
      </c>
      <c r="AN17" s="53">
        <v>10</v>
      </c>
      <c r="AO17" s="43" t="s">
        <v>342</v>
      </c>
      <c r="AP17" s="43" t="s">
        <v>879</v>
      </c>
    </row>
    <row r="18" spans="1:42" ht="23" customHeight="1">
      <c r="A18" s="91" t="s">
        <v>1776</v>
      </c>
      <c r="B18" s="91" t="s">
        <v>1643</v>
      </c>
      <c r="C18" s="53">
        <v>5</v>
      </c>
      <c r="E18" s="102">
        <f t="shared" si="0"/>
        <v>5</v>
      </c>
      <c r="F18" s="53">
        <v>1</v>
      </c>
      <c r="G18" s="53">
        <v>1</v>
      </c>
      <c r="H18" s="53">
        <v>1</v>
      </c>
      <c r="I18" s="53">
        <v>1</v>
      </c>
      <c r="J18" s="53">
        <v>1</v>
      </c>
      <c r="AG18" s="44" t="s">
        <v>1645</v>
      </c>
      <c r="AH18" s="194" t="s">
        <v>1644</v>
      </c>
      <c r="AL18" s="53">
        <v>1.5</v>
      </c>
      <c r="AN18" s="53">
        <v>1</v>
      </c>
      <c r="AO18" s="43" t="s">
        <v>1646</v>
      </c>
      <c r="AP18" s="43" t="s">
        <v>1647</v>
      </c>
    </row>
    <row r="19" spans="1:42" ht="23" customHeight="1">
      <c r="A19" s="91" t="s">
        <v>1777</v>
      </c>
      <c r="B19" s="91" t="s">
        <v>1648</v>
      </c>
      <c r="C19" s="53">
        <v>5</v>
      </c>
      <c r="E19" s="102">
        <f t="shared" si="0"/>
        <v>5</v>
      </c>
      <c r="F19" s="53">
        <v>1</v>
      </c>
      <c r="G19" s="53">
        <v>1</v>
      </c>
      <c r="H19" s="53">
        <v>1</v>
      </c>
      <c r="I19" s="53">
        <v>1</v>
      </c>
      <c r="J19" s="53">
        <v>1</v>
      </c>
      <c r="AG19" s="44" t="s">
        <v>1645</v>
      </c>
      <c r="AH19" s="194" t="s">
        <v>1649</v>
      </c>
      <c r="AL19" s="53">
        <v>1.5</v>
      </c>
      <c r="AN19" s="53">
        <v>1</v>
      </c>
      <c r="AO19" s="43" t="s">
        <v>1646</v>
      </c>
      <c r="AP19" s="43" t="s">
        <v>1650</v>
      </c>
    </row>
    <row r="20" spans="1:42" ht="23" customHeight="1">
      <c r="A20" s="91" t="s">
        <v>1778</v>
      </c>
      <c r="B20" s="91" t="s">
        <v>1651</v>
      </c>
      <c r="C20" s="53">
        <v>2</v>
      </c>
      <c r="E20" s="102">
        <f t="shared" si="0"/>
        <v>2</v>
      </c>
      <c r="F20" s="53">
        <v>1</v>
      </c>
      <c r="G20" s="53">
        <v>1</v>
      </c>
      <c r="AG20" s="44" t="s">
        <v>1618</v>
      </c>
      <c r="AH20" s="194" t="s">
        <v>879</v>
      </c>
      <c r="AL20" s="53">
        <v>1.5</v>
      </c>
      <c r="AN20" s="53">
        <v>1</v>
      </c>
      <c r="AO20" s="43" t="s">
        <v>342</v>
      </c>
      <c r="AP20" s="43" t="s">
        <v>1652</v>
      </c>
    </row>
    <row r="21" spans="1:42" ht="23" customHeight="1">
      <c r="A21" s="91" t="s">
        <v>1779</v>
      </c>
      <c r="B21" s="91" t="s">
        <v>1651</v>
      </c>
      <c r="D21" s="53">
        <v>7</v>
      </c>
      <c r="E21" s="102">
        <f t="shared" si="0"/>
        <v>9</v>
      </c>
      <c r="F21" s="53">
        <v>1</v>
      </c>
      <c r="G21" s="53">
        <v>1</v>
      </c>
      <c r="H21" s="53">
        <v>1</v>
      </c>
      <c r="I21" s="53">
        <v>1</v>
      </c>
      <c r="J21" s="53">
        <v>1</v>
      </c>
      <c r="K21" s="53">
        <v>2</v>
      </c>
      <c r="L21" s="53">
        <v>2</v>
      </c>
      <c r="AG21" s="44" t="s">
        <v>1618</v>
      </c>
      <c r="AH21" s="194" t="s">
        <v>879</v>
      </c>
      <c r="AL21" s="53">
        <v>2.5</v>
      </c>
      <c r="AN21" s="53">
        <v>1</v>
      </c>
      <c r="AO21" s="43" t="s">
        <v>342</v>
      </c>
      <c r="AP21" s="43" t="s">
        <v>1652</v>
      </c>
    </row>
    <row r="22" spans="1:42" ht="23" customHeight="1">
      <c r="A22" s="91" t="s">
        <v>1780</v>
      </c>
      <c r="B22" s="91" t="s">
        <v>1653</v>
      </c>
      <c r="C22" s="53">
        <v>1</v>
      </c>
      <c r="E22" s="102">
        <f t="shared" si="0"/>
        <v>2</v>
      </c>
      <c r="F22" s="53">
        <v>2</v>
      </c>
      <c r="AG22" s="44" t="s">
        <v>1655</v>
      </c>
      <c r="AH22" s="195" t="s">
        <v>1654</v>
      </c>
      <c r="AI22" s="195"/>
      <c r="AJ22" s="195"/>
      <c r="AK22" s="95"/>
      <c r="AL22" s="53">
        <v>2.5</v>
      </c>
      <c r="AN22" s="53" t="s">
        <v>342</v>
      </c>
      <c r="AO22" s="43" t="s">
        <v>1656</v>
      </c>
      <c r="AP22" s="43" t="s">
        <v>1657</v>
      </c>
    </row>
    <row r="23" spans="1:42" ht="23" customHeight="1">
      <c r="A23" s="91" t="s">
        <v>1781</v>
      </c>
      <c r="B23" s="91" t="s">
        <v>1658</v>
      </c>
      <c r="C23" s="53">
        <v>1</v>
      </c>
      <c r="E23" s="102">
        <f t="shared" si="0"/>
        <v>3</v>
      </c>
      <c r="F23" s="61">
        <v>3</v>
      </c>
      <c r="AG23" s="44" t="s">
        <v>1659</v>
      </c>
      <c r="AH23" s="194" t="s">
        <v>879</v>
      </c>
      <c r="AL23" s="53">
        <v>0.5</v>
      </c>
      <c r="AM23" s="198" t="s">
        <v>1802</v>
      </c>
      <c r="AN23" s="53">
        <v>3</v>
      </c>
      <c r="AO23" s="43" t="s">
        <v>342</v>
      </c>
      <c r="AP23" s="43" t="s">
        <v>1660</v>
      </c>
    </row>
    <row r="24" spans="1:42" ht="23" customHeight="1">
      <c r="A24" s="91" t="s">
        <v>1782</v>
      </c>
      <c r="B24" s="91" t="s">
        <v>1658</v>
      </c>
      <c r="C24" s="53">
        <v>5</v>
      </c>
      <c r="E24" s="102">
        <f t="shared" si="0"/>
        <v>15</v>
      </c>
      <c r="F24" s="53">
        <v>1</v>
      </c>
      <c r="G24" s="53">
        <v>3</v>
      </c>
      <c r="H24" s="53">
        <v>3</v>
      </c>
      <c r="I24" s="53">
        <v>3</v>
      </c>
      <c r="J24" s="53">
        <v>5</v>
      </c>
      <c r="AG24" s="44" t="s">
        <v>1659</v>
      </c>
      <c r="AH24" s="194" t="s">
        <v>879</v>
      </c>
      <c r="AL24" s="53">
        <v>1</v>
      </c>
      <c r="AN24" s="53">
        <v>5</v>
      </c>
      <c r="AO24" s="43" t="s">
        <v>342</v>
      </c>
      <c r="AP24" s="43" t="s">
        <v>1660</v>
      </c>
    </row>
    <row r="25" spans="1:42" ht="23" customHeight="1">
      <c r="A25" s="91" t="s">
        <v>1783</v>
      </c>
      <c r="B25" s="91" t="s">
        <v>1661</v>
      </c>
      <c r="C25" s="53">
        <v>1</v>
      </c>
      <c r="E25" s="102">
        <f t="shared" si="0"/>
        <v>2</v>
      </c>
      <c r="F25" s="53">
        <v>2</v>
      </c>
      <c r="AG25" s="44" t="s">
        <v>1662</v>
      </c>
      <c r="AH25" s="194">
        <v>20160730</v>
      </c>
      <c r="AL25" s="53">
        <v>10</v>
      </c>
      <c r="AN25" s="53">
        <v>1</v>
      </c>
      <c r="AO25" s="43" t="s">
        <v>1663</v>
      </c>
      <c r="AP25" s="43" t="s">
        <v>1664</v>
      </c>
    </row>
    <row r="26" spans="1:42" ht="23" customHeight="1">
      <c r="A26" s="91" t="s">
        <v>1784</v>
      </c>
      <c r="B26" s="91" t="s">
        <v>1665</v>
      </c>
      <c r="C26" s="53">
        <v>10</v>
      </c>
      <c r="E26" s="102">
        <f t="shared" si="0"/>
        <v>10</v>
      </c>
      <c r="F26" s="53">
        <v>1</v>
      </c>
      <c r="G26" s="53">
        <v>1</v>
      </c>
      <c r="H26" s="53">
        <v>1</v>
      </c>
      <c r="I26" s="53">
        <v>1</v>
      </c>
      <c r="J26" s="53">
        <v>1</v>
      </c>
      <c r="K26" s="53">
        <v>1</v>
      </c>
      <c r="L26" s="53">
        <v>1</v>
      </c>
      <c r="M26" s="53">
        <v>1</v>
      </c>
      <c r="N26" s="53">
        <v>1</v>
      </c>
      <c r="O26" s="53">
        <v>1</v>
      </c>
      <c r="AG26" s="44" t="s">
        <v>1666</v>
      </c>
      <c r="AH26" s="194">
        <v>20160730</v>
      </c>
      <c r="AL26" s="53">
        <v>7.5</v>
      </c>
      <c r="AN26" s="53">
        <v>1</v>
      </c>
      <c r="AO26" s="43" t="s">
        <v>1667</v>
      </c>
      <c r="AP26" s="43" t="s">
        <v>1668</v>
      </c>
    </row>
    <row r="27" spans="1:42" ht="23" customHeight="1">
      <c r="A27" s="91" t="s">
        <v>1785</v>
      </c>
      <c r="B27" s="91" t="s">
        <v>1665</v>
      </c>
      <c r="C27" s="53">
        <v>4</v>
      </c>
      <c r="E27" s="102">
        <f t="shared" si="0"/>
        <v>4</v>
      </c>
      <c r="F27" s="53">
        <v>1</v>
      </c>
      <c r="G27" s="53">
        <v>1</v>
      </c>
      <c r="H27" s="53">
        <v>1</v>
      </c>
      <c r="I27" s="53">
        <v>1</v>
      </c>
      <c r="AG27" s="44" t="s">
        <v>1666</v>
      </c>
      <c r="AH27" s="194">
        <v>20160801</v>
      </c>
      <c r="AL27" s="53">
        <v>4</v>
      </c>
      <c r="AN27" s="53">
        <v>10</v>
      </c>
      <c r="AO27" s="43" t="s">
        <v>1667</v>
      </c>
      <c r="AP27" s="43" t="s">
        <v>1668</v>
      </c>
    </row>
    <row r="28" spans="1:42" ht="23" customHeight="1">
      <c r="A28" s="91" t="s">
        <v>1786</v>
      </c>
      <c r="B28" s="91" t="s">
        <v>1669</v>
      </c>
      <c r="C28" s="53">
        <v>1</v>
      </c>
      <c r="E28" s="102">
        <f t="shared" si="0"/>
        <v>3</v>
      </c>
      <c r="F28" s="53">
        <v>3</v>
      </c>
      <c r="AG28" s="44" t="s">
        <v>1670</v>
      </c>
      <c r="AH28" s="194">
        <v>20160810</v>
      </c>
      <c r="AL28" s="53">
        <v>1</v>
      </c>
      <c r="AN28" s="53">
        <v>3</v>
      </c>
      <c r="AO28" s="43" t="s">
        <v>1671</v>
      </c>
      <c r="AP28" s="43" t="s">
        <v>1672</v>
      </c>
    </row>
    <row r="29" spans="1:42" ht="23" customHeight="1">
      <c r="A29" s="91" t="s">
        <v>1787</v>
      </c>
      <c r="B29" s="91" t="s">
        <v>1673</v>
      </c>
      <c r="C29" s="53">
        <v>5</v>
      </c>
      <c r="E29" s="102">
        <f t="shared" si="0"/>
        <v>14</v>
      </c>
      <c r="F29" s="53">
        <v>2</v>
      </c>
      <c r="G29" s="53">
        <v>2</v>
      </c>
      <c r="H29" s="53">
        <v>2</v>
      </c>
      <c r="I29" s="53">
        <v>3</v>
      </c>
      <c r="J29" s="53">
        <v>5</v>
      </c>
      <c r="AG29" s="44" t="s">
        <v>1675</v>
      </c>
      <c r="AH29" s="194" t="s">
        <v>1674</v>
      </c>
      <c r="AL29" s="53">
        <v>1</v>
      </c>
      <c r="AN29" s="53">
        <v>5</v>
      </c>
      <c r="AO29" s="43" t="s">
        <v>1676</v>
      </c>
      <c r="AP29" s="43" t="s">
        <v>1677</v>
      </c>
    </row>
    <row r="30" spans="1:42" ht="23" customHeight="1">
      <c r="A30" s="91" t="s">
        <v>1788</v>
      </c>
      <c r="B30" s="91" t="s">
        <v>1673</v>
      </c>
      <c r="D30" s="53">
        <v>5</v>
      </c>
      <c r="E30" s="102">
        <f t="shared" si="0"/>
        <v>6</v>
      </c>
      <c r="F30" s="53">
        <v>1</v>
      </c>
      <c r="G30" s="53">
        <v>1</v>
      </c>
      <c r="H30" s="53">
        <v>1</v>
      </c>
      <c r="I30" s="53">
        <v>1</v>
      </c>
      <c r="J30" s="53">
        <v>2</v>
      </c>
      <c r="AG30" s="44" t="s">
        <v>1675</v>
      </c>
      <c r="AH30" s="194" t="s">
        <v>1678</v>
      </c>
      <c r="AL30" s="53">
        <v>1.5</v>
      </c>
      <c r="AN30" s="53">
        <v>3</v>
      </c>
      <c r="AO30" s="43" t="s">
        <v>1676</v>
      </c>
      <c r="AP30" s="43" t="s">
        <v>1677</v>
      </c>
    </row>
    <row r="31" spans="1:42" ht="23" customHeight="1">
      <c r="B31" s="91" t="s">
        <v>1117</v>
      </c>
      <c r="C31" s="53">
        <v>4</v>
      </c>
      <c r="E31" s="101" t="s">
        <v>1759</v>
      </c>
      <c r="AG31" s="44" t="s">
        <v>1680</v>
      </c>
      <c r="AH31" s="194" t="s">
        <v>1679</v>
      </c>
      <c r="AN31" s="53" t="s">
        <v>342</v>
      </c>
      <c r="AO31" s="43" t="s">
        <v>1681</v>
      </c>
      <c r="AP31" s="43" t="s">
        <v>1682</v>
      </c>
    </row>
    <row r="32" spans="1:42" ht="23" customHeight="1">
      <c r="B32" s="91" t="s">
        <v>1119</v>
      </c>
      <c r="D32" s="53">
        <v>1</v>
      </c>
      <c r="E32" s="101" t="s">
        <v>1759</v>
      </c>
      <c r="AG32" s="44" t="s">
        <v>1683</v>
      </c>
      <c r="AH32" s="194">
        <v>20160730</v>
      </c>
      <c r="AN32" s="53" t="s">
        <v>342</v>
      </c>
      <c r="AO32" s="43" t="s">
        <v>1684</v>
      </c>
      <c r="AP32" s="43" t="s">
        <v>1685</v>
      </c>
    </row>
    <row r="33" spans="2:42" ht="23" customHeight="1">
      <c r="B33" s="91" t="s">
        <v>1686</v>
      </c>
      <c r="C33" s="53">
        <v>4</v>
      </c>
      <c r="E33" s="101" t="s">
        <v>1759</v>
      </c>
      <c r="AG33" s="44" t="s">
        <v>1687</v>
      </c>
      <c r="AH33" s="194">
        <v>20160710</v>
      </c>
      <c r="AN33" s="53">
        <v>3</v>
      </c>
      <c r="AO33" s="43" t="s">
        <v>1688</v>
      </c>
      <c r="AP33" s="43" t="s">
        <v>1689</v>
      </c>
    </row>
    <row r="34" spans="2:42" ht="23" customHeight="1">
      <c r="B34" s="91" t="s">
        <v>1690</v>
      </c>
      <c r="D34" s="53">
        <v>20</v>
      </c>
      <c r="E34" s="101" t="s">
        <v>1759</v>
      </c>
      <c r="AG34" s="44" t="s">
        <v>1692</v>
      </c>
      <c r="AH34" s="194" t="s">
        <v>1691</v>
      </c>
      <c r="AN34" s="53" t="s">
        <v>1693</v>
      </c>
      <c r="AO34" s="43" t="s">
        <v>1694</v>
      </c>
      <c r="AP34" s="43" t="s">
        <v>1695</v>
      </c>
    </row>
    <row r="35" spans="2:42" ht="23" customHeight="1">
      <c r="B35" s="91" t="s">
        <v>1696</v>
      </c>
      <c r="D35" s="53">
        <v>9</v>
      </c>
      <c r="E35" s="101" t="s">
        <v>1759</v>
      </c>
      <c r="AG35" s="44" t="s">
        <v>1697</v>
      </c>
      <c r="AH35" s="194">
        <v>20160803</v>
      </c>
      <c r="AN35" s="53">
        <v>1</v>
      </c>
      <c r="AO35" s="43" t="s">
        <v>1698</v>
      </c>
      <c r="AP35" s="43" t="s">
        <v>1699</v>
      </c>
    </row>
    <row r="36" spans="2:42" ht="23" customHeight="1">
      <c r="B36" s="91" t="s">
        <v>1700</v>
      </c>
      <c r="D36" s="53">
        <v>20</v>
      </c>
      <c r="E36" s="101" t="s">
        <v>1759</v>
      </c>
      <c r="AG36" s="44" t="s">
        <v>1701</v>
      </c>
      <c r="AH36" s="194">
        <v>20160729</v>
      </c>
      <c r="AN36" s="53" t="s">
        <v>1702</v>
      </c>
      <c r="AO36" s="43" t="s">
        <v>1703</v>
      </c>
      <c r="AP36" s="43" t="s">
        <v>1704</v>
      </c>
    </row>
    <row r="37" spans="2:42" ht="23" customHeight="1">
      <c r="B37" s="91" t="s">
        <v>1700</v>
      </c>
      <c r="C37" s="53">
        <v>10</v>
      </c>
      <c r="E37" s="101" t="s">
        <v>1759</v>
      </c>
      <c r="AG37" s="44" t="s">
        <v>1701</v>
      </c>
      <c r="AH37" s="194">
        <v>20160731</v>
      </c>
      <c r="AN37" s="53">
        <v>10</v>
      </c>
      <c r="AO37" s="43" t="s">
        <v>1703</v>
      </c>
      <c r="AP37" s="43" t="s">
        <v>1704</v>
      </c>
    </row>
    <row r="38" spans="2:42" ht="23" customHeight="1">
      <c r="B38" s="91" t="s">
        <v>1700</v>
      </c>
      <c r="C38" s="53">
        <v>10</v>
      </c>
      <c r="E38" s="101" t="s">
        <v>1759</v>
      </c>
      <c r="AG38" s="44" t="s">
        <v>1701</v>
      </c>
      <c r="AH38" s="194">
        <v>20160802</v>
      </c>
      <c r="AN38" s="53">
        <v>10</v>
      </c>
      <c r="AO38" s="43" t="s">
        <v>1703</v>
      </c>
      <c r="AP38" s="43" t="s">
        <v>1704</v>
      </c>
    </row>
    <row r="39" spans="2:42" ht="23" customHeight="1">
      <c r="B39" s="91" t="s">
        <v>1705</v>
      </c>
      <c r="D39" s="53">
        <v>2</v>
      </c>
      <c r="E39" s="101" t="s">
        <v>1759</v>
      </c>
      <c r="AG39" s="44" t="s">
        <v>1706</v>
      </c>
      <c r="AH39" s="194">
        <v>20160827</v>
      </c>
      <c r="AN39" s="53" t="s">
        <v>1702</v>
      </c>
      <c r="AO39" s="43" t="s">
        <v>1707</v>
      </c>
      <c r="AP39" s="43" t="s">
        <v>1708</v>
      </c>
    </row>
    <row r="40" spans="2:42" ht="23" customHeight="1">
      <c r="B40" s="91" t="s">
        <v>1709</v>
      </c>
      <c r="C40" s="100" t="s">
        <v>1758</v>
      </c>
      <c r="D40" s="100" t="s">
        <v>1758</v>
      </c>
      <c r="AG40" s="44" t="s">
        <v>1710</v>
      </c>
      <c r="AH40" s="194" t="s">
        <v>1116</v>
      </c>
      <c r="AO40" s="43" t="s">
        <v>1711</v>
      </c>
      <c r="AP40" s="43" t="s">
        <v>1712</v>
      </c>
    </row>
    <row r="41" spans="2:42" ht="23" customHeight="1">
      <c r="B41" s="91" t="s">
        <v>1713</v>
      </c>
      <c r="C41" s="100" t="s">
        <v>1758</v>
      </c>
      <c r="D41" s="100" t="s">
        <v>1758</v>
      </c>
      <c r="AG41" s="44" t="s">
        <v>1714</v>
      </c>
      <c r="AH41" s="194" t="s">
        <v>1116</v>
      </c>
      <c r="AO41" s="43" t="s">
        <v>1715</v>
      </c>
      <c r="AP41" s="43" t="s">
        <v>1716</v>
      </c>
    </row>
  </sheetData>
  <phoneticPr fontId="2" type="noConversion"/>
  <pageMargins left="0.39370078740157483" right="0.39370078740157483" top="0.74803149606299213" bottom="0.74803149606299213" header="0.31496062992125984" footer="0.31496062992125984"/>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4"/>
  <sheetViews>
    <sheetView workbookViewId="0">
      <selection activeCell="D6" sqref="D6"/>
    </sheetView>
  </sheetViews>
  <sheetFormatPr baseColWidth="10" defaultColWidth="27.33203125" defaultRowHeight="55" customHeight="1"/>
  <cols>
    <col min="1" max="1" width="29" style="3" bestFit="1" customWidth="1"/>
    <col min="2" max="2" width="21.6640625" style="4" customWidth="1"/>
    <col min="3" max="3" width="15" style="4" bestFit="1" customWidth="1"/>
    <col min="4" max="4" width="30.6640625" style="4" customWidth="1"/>
    <col min="5" max="16384" width="27.33203125" style="1"/>
  </cols>
  <sheetData>
    <row r="1" spans="1:4" ht="55" customHeight="1">
      <c r="A1" s="3" t="s">
        <v>432</v>
      </c>
      <c r="B1" s="4" t="s">
        <v>427</v>
      </c>
      <c r="C1" s="4" t="s">
        <v>99</v>
      </c>
      <c r="D1" s="4" t="s">
        <v>436</v>
      </c>
    </row>
    <row r="2" spans="1:4" ht="55" customHeight="1">
      <c r="A2" s="3" t="s">
        <v>432</v>
      </c>
      <c r="B2" s="4" t="s">
        <v>427</v>
      </c>
      <c r="C2" s="4" t="s">
        <v>99</v>
      </c>
      <c r="D2" s="4" t="s">
        <v>437</v>
      </c>
    </row>
    <row r="3" spans="1:4" ht="55" customHeight="1">
      <c r="A3" s="3" t="s">
        <v>432</v>
      </c>
      <c r="B3" s="4" t="s">
        <v>427</v>
      </c>
      <c r="C3" s="4" t="s">
        <v>435</v>
      </c>
      <c r="D3" s="4" t="s">
        <v>438</v>
      </c>
    </row>
    <row r="4" spans="1:4" ht="55" customHeight="1">
      <c r="A4" s="3" t="s">
        <v>432</v>
      </c>
      <c r="B4" s="4" t="s">
        <v>427</v>
      </c>
      <c r="C4" s="4" t="s">
        <v>435</v>
      </c>
      <c r="D4" s="4" t="s">
        <v>439</v>
      </c>
    </row>
    <row r="5" spans="1:4" ht="55" customHeight="1">
      <c r="A5" s="3" t="s">
        <v>432</v>
      </c>
      <c r="B5" s="4" t="s">
        <v>427</v>
      </c>
      <c r="C5" s="4" t="s">
        <v>447</v>
      </c>
      <c r="D5" s="4" t="s">
        <v>397</v>
      </c>
    </row>
    <row r="6" spans="1:4" ht="55" customHeight="1">
      <c r="A6" s="3" t="s">
        <v>432</v>
      </c>
      <c r="B6" s="4" t="s">
        <v>427</v>
      </c>
      <c r="C6" s="4" t="s">
        <v>447</v>
      </c>
      <c r="D6" s="4" t="s">
        <v>437</v>
      </c>
    </row>
    <row r="7" spans="1:4" ht="55" customHeight="1">
      <c r="A7" s="3" t="s">
        <v>432</v>
      </c>
      <c r="B7" s="4" t="s">
        <v>427</v>
      </c>
      <c r="C7" s="4" t="s">
        <v>448</v>
      </c>
      <c r="D7" s="4" t="s">
        <v>398</v>
      </c>
    </row>
    <row r="8" spans="1:4" ht="55" customHeight="1">
      <c r="A8" s="3" t="s">
        <v>432</v>
      </c>
      <c r="B8" s="4" t="s">
        <v>427</v>
      </c>
      <c r="C8" s="4" t="s">
        <v>448</v>
      </c>
      <c r="D8" s="4" t="s">
        <v>450</v>
      </c>
    </row>
    <row r="9" spans="1:4" ht="55" customHeight="1">
      <c r="A9" s="3" t="s">
        <v>331</v>
      </c>
      <c r="B9" s="4" t="s">
        <v>467</v>
      </c>
      <c r="C9" s="4" t="s">
        <v>334</v>
      </c>
      <c r="D9" s="4" t="s">
        <v>337</v>
      </c>
    </row>
    <row r="10" spans="1:4" ht="55" customHeight="1">
      <c r="A10" s="3" t="s">
        <v>331</v>
      </c>
      <c r="B10" s="4" t="s">
        <v>467</v>
      </c>
      <c r="C10" s="4" t="s">
        <v>223</v>
      </c>
      <c r="D10" s="4" t="s">
        <v>337</v>
      </c>
    </row>
    <row r="11" spans="1:4" ht="55" customHeight="1">
      <c r="A11" s="3" t="s">
        <v>331</v>
      </c>
      <c r="B11" s="4" t="s">
        <v>338</v>
      </c>
      <c r="C11" s="4" t="s">
        <v>187</v>
      </c>
      <c r="D11" s="4" t="s">
        <v>339</v>
      </c>
    </row>
    <row r="12" spans="1:4" ht="55" customHeight="1">
      <c r="A12" s="3" t="s">
        <v>331</v>
      </c>
      <c r="B12" s="4" t="s">
        <v>340</v>
      </c>
      <c r="C12" s="4" t="s">
        <v>98</v>
      </c>
      <c r="D12" s="4" t="s">
        <v>337</v>
      </c>
    </row>
    <row r="13" spans="1:4" ht="55" customHeight="1">
      <c r="A13" s="3" t="s">
        <v>331</v>
      </c>
      <c r="B13" s="4" t="s">
        <v>342</v>
      </c>
      <c r="C13" s="4" t="s">
        <v>344</v>
      </c>
      <c r="D13" s="4" t="s">
        <v>344</v>
      </c>
    </row>
    <row r="14" spans="1:4" ht="55" customHeight="1">
      <c r="A14" s="3" t="s">
        <v>331</v>
      </c>
      <c r="B14" s="4" t="s">
        <v>346</v>
      </c>
      <c r="C14" s="4" t="s">
        <v>345</v>
      </c>
      <c r="D14" s="4" t="s">
        <v>337</v>
      </c>
    </row>
    <row r="15" spans="1:4" ht="55" customHeight="1">
      <c r="A15" s="3" t="s">
        <v>331</v>
      </c>
      <c r="B15" s="4" t="s">
        <v>347</v>
      </c>
      <c r="C15" s="4" t="s">
        <v>97</v>
      </c>
      <c r="D15" s="4" t="s">
        <v>348</v>
      </c>
    </row>
    <row r="16" spans="1:4" ht="55" customHeight="1">
      <c r="A16" s="3" t="s">
        <v>331</v>
      </c>
      <c r="B16" s="4" t="s">
        <v>349</v>
      </c>
      <c r="C16" s="4" t="s">
        <v>3</v>
      </c>
      <c r="D16" s="4" t="s">
        <v>337</v>
      </c>
    </row>
    <row r="17" spans="1:4" ht="55" customHeight="1">
      <c r="A17" s="3" t="s">
        <v>331</v>
      </c>
      <c r="B17" s="4" t="s">
        <v>350</v>
      </c>
      <c r="C17" s="4" t="s">
        <v>99</v>
      </c>
      <c r="D17" s="4" t="s">
        <v>351</v>
      </c>
    </row>
    <row r="18" spans="1:4" ht="55" customHeight="1">
      <c r="A18" s="3" t="s">
        <v>331</v>
      </c>
      <c r="B18" s="4" t="s">
        <v>352</v>
      </c>
      <c r="C18" s="4" t="s">
        <v>353</v>
      </c>
      <c r="D18" s="4" t="s">
        <v>354</v>
      </c>
    </row>
    <row r="19" spans="1:4" ht="55" customHeight="1">
      <c r="A19" s="3" t="s">
        <v>372</v>
      </c>
      <c r="B19" s="4" t="s">
        <v>377</v>
      </c>
      <c r="C19" s="4" t="s">
        <v>375</v>
      </c>
      <c r="D19" s="4" t="s">
        <v>376</v>
      </c>
    </row>
    <row r="20" spans="1:4" ht="55" customHeight="1">
      <c r="A20" s="3" t="s">
        <v>372</v>
      </c>
      <c r="B20" s="4" t="s">
        <v>377</v>
      </c>
      <c r="C20" s="4" t="s">
        <v>375</v>
      </c>
      <c r="D20" s="4" t="s">
        <v>378</v>
      </c>
    </row>
    <row r="21" spans="1:4" ht="55" customHeight="1">
      <c r="A21" s="3" t="s">
        <v>372</v>
      </c>
      <c r="B21" s="4" t="s">
        <v>377</v>
      </c>
      <c r="C21" s="4" t="s">
        <v>379</v>
      </c>
      <c r="D21" s="4" t="s">
        <v>380</v>
      </c>
    </row>
    <row r="22" spans="1:4" ht="55" customHeight="1">
      <c r="A22" s="3" t="s">
        <v>372</v>
      </c>
      <c r="B22" s="4" t="s">
        <v>377</v>
      </c>
      <c r="C22" s="4" t="s">
        <v>379</v>
      </c>
      <c r="D22" s="4" t="s">
        <v>381</v>
      </c>
    </row>
    <row r="23" spans="1:4" ht="55" customHeight="1">
      <c r="A23" s="3" t="s">
        <v>372</v>
      </c>
      <c r="B23" s="4" t="s">
        <v>342</v>
      </c>
    </row>
    <row r="24" spans="1:4" ht="55" customHeight="1">
      <c r="A24" s="3" t="s">
        <v>372</v>
      </c>
      <c r="B24" s="4" t="s">
        <v>377</v>
      </c>
      <c r="C24" s="4" t="s">
        <v>447</v>
      </c>
      <c r="D24" s="4" t="s">
        <v>412</v>
      </c>
    </row>
    <row r="25" spans="1:4" ht="55" customHeight="1">
      <c r="A25" s="3" t="s">
        <v>372</v>
      </c>
      <c r="B25" s="4" t="s">
        <v>377</v>
      </c>
      <c r="C25" s="4" t="s">
        <v>447</v>
      </c>
      <c r="D25" s="4" t="s">
        <v>411</v>
      </c>
    </row>
    <row r="26" spans="1:4" ht="55" customHeight="1">
      <c r="A26" s="3" t="s">
        <v>372</v>
      </c>
      <c r="B26" s="4" t="s">
        <v>377</v>
      </c>
      <c r="C26" s="4" t="s">
        <v>448</v>
      </c>
      <c r="D26" s="4" t="s">
        <v>449</v>
      </c>
    </row>
    <row r="27" spans="1:4" ht="55" customHeight="1">
      <c r="A27" s="3" t="s">
        <v>372</v>
      </c>
      <c r="B27" s="4" t="s">
        <v>377</v>
      </c>
      <c r="C27" s="4" t="s">
        <v>448</v>
      </c>
      <c r="D27" s="4" t="s">
        <v>414</v>
      </c>
    </row>
    <row r="28" spans="1:4" ht="55" customHeight="1">
      <c r="A28" s="3" t="s">
        <v>392</v>
      </c>
      <c r="B28" s="4" t="s">
        <v>395</v>
      </c>
      <c r="C28" s="4" t="s">
        <v>98</v>
      </c>
      <c r="D28" s="4" t="s">
        <v>397</v>
      </c>
    </row>
    <row r="29" spans="1:4" ht="55" customHeight="1">
      <c r="A29" s="3" t="s">
        <v>392</v>
      </c>
      <c r="B29" s="4" t="s">
        <v>395</v>
      </c>
      <c r="C29" s="4" t="s">
        <v>98</v>
      </c>
      <c r="D29" s="4" t="s">
        <v>398</v>
      </c>
    </row>
    <row r="30" spans="1:4" ht="55" customHeight="1">
      <c r="A30" s="3" t="s">
        <v>392</v>
      </c>
      <c r="B30" s="4" t="s">
        <v>395</v>
      </c>
      <c r="C30" s="4" t="s">
        <v>396</v>
      </c>
      <c r="D30" s="4" t="s">
        <v>399</v>
      </c>
    </row>
    <row r="31" spans="1:4" ht="55" customHeight="1">
      <c r="A31" s="3" t="s">
        <v>392</v>
      </c>
      <c r="B31" s="4" t="s">
        <v>395</v>
      </c>
      <c r="C31" s="4" t="s">
        <v>396</v>
      </c>
      <c r="D31" s="4" t="s">
        <v>400</v>
      </c>
    </row>
    <row r="32" spans="1:4" ht="55" customHeight="1">
      <c r="A32" s="3" t="s">
        <v>392</v>
      </c>
      <c r="B32" s="4" t="s">
        <v>395</v>
      </c>
      <c r="C32" s="4" t="s">
        <v>455</v>
      </c>
      <c r="D32" s="4" t="s">
        <v>436</v>
      </c>
    </row>
    <row r="33" spans="1:4" ht="55" customHeight="1">
      <c r="A33" s="3" t="s">
        <v>392</v>
      </c>
      <c r="B33" s="4" t="s">
        <v>395</v>
      </c>
      <c r="C33" s="4" t="s">
        <v>455</v>
      </c>
      <c r="D33" s="4" t="s">
        <v>437</v>
      </c>
    </row>
    <row r="34" spans="1:4" ht="55" customHeight="1">
      <c r="A34" s="3" t="s">
        <v>392</v>
      </c>
      <c r="B34" s="4" t="s">
        <v>395</v>
      </c>
      <c r="C34" s="4" t="s">
        <v>456</v>
      </c>
      <c r="D34" s="4" t="s">
        <v>439</v>
      </c>
    </row>
    <row r="35" spans="1:4" ht="55" customHeight="1">
      <c r="A35" s="3" t="s">
        <v>392</v>
      </c>
      <c r="B35" s="4" t="s">
        <v>395</v>
      </c>
      <c r="C35" s="4" t="s">
        <v>456</v>
      </c>
      <c r="D35" s="4" t="s">
        <v>439</v>
      </c>
    </row>
    <row r="36" spans="1:4" ht="55" customHeight="1">
      <c r="A36" s="3" t="s">
        <v>470</v>
      </c>
      <c r="B36" s="4" t="s">
        <v>324</v>
      </c>
      <c r="C36" s="4" t="s">
        <v>41</v>
      </c>
      <c r="D36" s="4" t="s">
        <v>325</v>
      </c>
    </row>
    <row r="37" spans="1:4" ht="55" customHeight="1">
      <c r="A37" s="3" t="s">
        <v>470</v>
      </c>
      <c r="B37" s="4" t="s">
        <v>324</v>
      </c>
      <c r="C37" s="4" t="s">
        <v>326</v>
      </c>
      <c r="D37" s="4" t="s">
        <v>327</v>
      </c>
    </row>
    <row r="38" spans="1:4" ht="55" customHeight="1">
      <c r="A38" s="3" t="s">
        <v>470</v>
      </c>
      <c r="B38" s="4" t="s">
        <v>323</v>
      </c>
      <c r="C38" s="4" t="s">
        <v>100</v>
      </c>
      <c r="D38" s="4" t="s">
        <v>328</v>
      </c>
    </row>
    <row r="39" spans="1:4" ht="55" customHeight="1">
      <c r="A39" s="3" t="s">
        <v>470</v>
      </c>
      <c r="B39" s="4" t="s">
        <v>323</v>
      </c>
      <c r="C39" s="4" t="s">
        <v>100</v>
      </c>
      <c r="D39" s="4" t="s">
        <v>325</v>
      </c>
    </row>
    <row r="40" spans="1:4" ht="55" customHeight="1">
      <c r="A40" s="3" t="s">
        <v>470</v>
      </c>
      <c r="B40" s="4" t="s">
        <v>323</v>
      </c>
      <c r="C40" s="4" t="s">
        <v>329</v>
      </c>
      <c r="D40" s="4" t="s">
        <v>327</v>
      </c>
    </row>
    <row r="41" spans="1:4" ht="55" customHeight="1">
      <c r="A41" s="3" t="s">
        <v>364</v>
      </c>
      <c r="B41" s="4" t="s">
        <v>367</v>
      </c>
      <c r="C41" s="4" t="s">
        <v>366</v>
      </c>
    </row>
    <row r="42" spans="1:4" ht="55" customHeight="1">
      <c r="A42" s="3" t="s">
        <v>364</v>
      </c>
      <c r="B42" s="4" t="s">
        <v>368</v>
      </c>
      <c r="C42" s="4" t="s">
        <v>369</v>
      </c>
    </row>
    <row r="43" spans="1:4" ht="55" customHeight="1">
      <c r="A43" s="3" t="s">
        <v>364</v>
      </c>
      <c r="B43" s="4" t="s">
        <v>371</v>
      </c>
      <c r="C43" s="4" t="s">
        <v>370</v>
      </c>
    </row>
    <row r="44" spans="1:4" ht="55" customHeight="1">
      <c r="A44" s="3" t="s">
        <v>355</v>
      </c>
      <c r="B44" s="4" t="s">
        <v>359</v>
      </c>
      <c r="C44" s="4" t="s">
        <v>358</v>
      </c>
    </row>
    <row r="45" spans="1:4" ht="55" customHeight="1">
      <c r="A45" s="3" t="s">
        <v>355</v>
      </c>
      <c r="B45" s="4" t="s">
        <v>359</v>
      </c>
      <c r="C45" s="4" t="s">
        <v>360</v>
      </c>
    </row>
    <row r="46" spans="1:4" ht="55" customHeight="1">
      <c r="A46" s="3" t="s">
        <v>355</v>
      </c>
      <c r="B46" s="4" t="s">
        <v>359</v>
      </c>
      <c r="C46" s="4" t="s">
        <v>361</v>
      </c>
    </row>
    <row r="47" spans="1:4" ht="55" customHeight="1">
      <c r="A47" s="3" t="s">
        <v>355</v>
      </c>
      <c r="B47" s="4" t="s">
        <v>359</v>
      </c>
      <c r="C47" s="4" t="s">
        <v>362</v>
      </c>
    </row>
    <row r="48" spans="1:4" ht="55" customHeight="1">
      <c r="A48" s="3" t="s">
        <v>355</v>
      </c>
      <c r="B48" s="4" t="s">
        <v>359</v>
      </c>
      <c r="C48" s="4" t="s">
        <v>363</v>
      </c>
    </row>
    <row r="49" spans="1:4" ht="55" customHeight="1">
      <c r="A49" s="3" t="s">
        <v>382</v>
      </c>
      <c r="B49" s="4" t="s">
        <v>387</v>
      </c>
      <c r="C49" s="4" t="s">
        <v>385</v>
      </c>
      <c r="D49" s="4" t="s">
        <v>388</v>
      </c>
    </row>
    <row r="50" spans="1:4" ht="55" customHeight="1">
      <c r="A50" s="3" t="s">
        <v>382</v>
      </c>
      <c r="B50" s="4" t="s">
        <v>387</v>
      </c>
      <c r="C50" s="4" t="s">
        <v>385</v>
      </c>
      <c r="D50" s="4" t="s">
        <v>389</v>
      </c>
    </row>
    <row r="51" spans="1:4" ht="55" customHeight="1">
      <c r="A51" s="3" t="s">
        <v>382</v>
      </c>
      <c r="B51" s="4" t="s">
        <v>387</v>
      </c>
      <c r="C51" s="4" t="s">
        <v>98</v>
      </c>
      <c r="D51" s="4" t="s">
        <v>390</v>
      </c>
    </row>
    <row r="52" spans="1:4" ht="55" customHeight="1">
      <c r="A52" s="3" t="s">
        <v>382</v>
      </c>
      <c r="B52" s="4" t="s">
        <v>387</v>
      </c>
      <c r="C52" s="4" t="s">
        <v>98</v>
      </c>
      <c r="D52" s="4" t="s">
        <v>391</v>
      </c>
    </row>
    <row r="53" spans="1:4" ht="55" customHeight="1">
      <c r="A53" s="3" t="s">
        <v>408</v>
      </c>
      <c r="B53" s="4" t="s">
        <v>386</v>
      </c>
      <c r="C53" s="4" t="s">
        <v>396</v>
      </c>
      <c r="D53" s="4" t="s">
        <v>411</v>
      </c>
    </row>
    <row r="54" spans="1:4" ht="55" customHeight="1">
      <c r="A54" s="3" t="s">
        <v>408</v>
      </c>
      <c r="B54" s="4" t="s">
        <v>386</v>
      </c>
      <c r="C54" s="4" t="s">
        <v>396</v>
      </c>
      <c r="D54" s="4" t="s">
        <v>412</v>
      </c>
    </row>
    <row r="55" spans="1:4" ht="55" customHeight="1">
      <c r="A55" s="3" t="s">
        <v>408</v>
      </c>
      <c r="B55" s="4" t="s">
        <v>386</v>
      </c>
      <c r="C55" s="4" t="s">
        <v>99</v>
      </c>
      <c r="D55" s="4" t="s">
        <v>413</v>
      </c>
    </row>
    <row r="56" spans="1:4" ht="55" customHeight="1">
      <c r="A56" s="3" t="s">
        <v>408</v>
      </c>
      <c r="B56" s="4" t="s">
        <v>386</v>
      </c>
      <c r="C56" s="4" t="s">
        <v>99</v>
      </c>
      <c r="D56" s="4" t="s">
        <v>414</v>
      </c>
    </row>
    <row r="57" spans="1:4" ht="55" customHeight="1">
      <c r="A57" s="3" t="s">
        <v>415</v>
      </c>
      <c r="B57" s="4" t="s">
        <v>394</v>
      </c>
      <c r="C57" s="4" t="s">
        <v>418</v>
      </c>
      <c r="D57" s="4" t="s">
        <v>420</v>
      </c>
    </row>
    <row r="58" spans="1:4" ht="55" customHeight="1">
      <c r="A58" s="3" t="s">
        <v>415</v>
      </c>
      <c r="B58" s="4" t="s">
        <v>394</v>
      </c>
      <c r="C58" s="4" t="s">
        <v>418</v>
      </c>
      <c r="D58" s="4" t="s">
        <v>421</v>
      </c>
    </row>
    <row r="59" spans="1:4" ht="55" customHeight="1">
      <c r="A59" s="3" t="s">
        <v>415</v>
      </c>
      <c r="B59" s="4" t="s">
        <v>394</v>
      </c>
      <c r="C59" s="4" t="s">
        <v>419</v>
      </c>
      <c r="D59" s="4" t="s">
        <v>422</v>
      </c>
    </row>
    <row r="60" spans="1:4" ht="55" customHeight="1">
      <c r="A60" s="3" t="s">
        <v>415</v>
      </c>
      <c r="B60" s="4" t="s">
        <v>394</v>
      </c>
      <c r="C60" s="4" t="s">
        <v>419</v>
      </c>
      <c r="D60" s="4" t="s">
        <v>423</v>
      </c>
    </row>
    <row r="61" spans="1:4" ht="55" customHeight="1">
      <c r="A61" s="3" t="s">
        <v>424</v>
      </c>
      <c r="B61" s="4" t="s">
        <v>428</v>
      </c>
      <c r="C61" s="4" t="s">
        <v>101</v>
      </c>
      <c r="D61" s="4" t="s">
        <v>429</v>
      </c>
    </row>
    <row r="62" spans="1:4" ht="55" customHeight="1">
      <c r="A62" s="3" t="s">
        <v>424</v>
      </c>
      <c r="B62" s="4" t="s">
        <v>428</v>
      </c>
      <c r="C62" s="4" t="s">
        <v>101</v>
      </c>
      <c r="D62" s="4" t="s">
        <v>430</v>
      </c>
    </row>
    <row r="63" spans="1:4" ht="55" customHeight="1">
      <c r="A63" s="3" t="s">
        <v>424</v>
      </c>
      <c r="B63" s="4" t="s">
        <v>428</v>
      </c>
      <c r="C63" s="4" t="s">
        <v>227</v>
      </c>
      <c r="D63" s="4" t="s">
        <v>421</v>
      </c>
    </row>
    <row r="64" spans="1:4" ht="55" customHeight="1">
      <c r="A64" s="3" t="s">
        <v>424</v>
      </c>
      <c r="B64" s="4" t="s">
        <v>428</v>
      </c>
      <c r="C64" s="4" t="s">
        <v>227</v>
      </c>
      <c r="D64" s="4" t="s">
        <v>431</v>
      </c>
    </row>
    <row r="65" spans="1:4" ht="55" customHeight="1">
      <c r="A65" s="3" t="s">
        <v>401</v>
      </c>
      <c r="B65" s="4" t="s">
        <v>472</v>
      </c>
      <c r="C65" s="4" t="s">
        <v>375</v>
      </c>
      <c r="D65" s="4" t="s">
        <v>404</v>
      </c>
    </row>
    <row r="66" spans="1:4" ht="55" customHeight="1">
      <c r="A66" s="3" t="s">
        <v>401</v>
      </c>
      <c r="B66" s="4" t="s">
        <v>472</v>
      </c>
      <c r="C66" s="4" t="s">
        <v>375</v>
      </c>
      <c r="D66" s="4" t="s">
        <v>405</v>
      </c>
    </row>
    <row r="67" spans="1:4" ht="55" customHeight="1">
      <c r="A67" s="3" t="s">
        <v>401</v>
      </c>
      <c r="B67" s="4" t="s">
        <v>472</v>
      </c>
      <c r="C67" s="4" t="s">
        <v>379</v>
      </c>
      <c r="D67" s="4" t="s">
        <v>406</v>
      </c>
    </row>
    <row r="68" spans="1:4" ht="55" customHeight="1">
      <c r="A68" s="3" t="s">
        <v>401</v>
      </c>
      <c r="B68" s="4" t="s">
        <v>472</v>
      </c>
      <c r="C68" s="4" t="s">
        <v>379</v>
      </c>
      <c r="D68" s="4" t="s">
        <v>407</v>
      </c>
    </row>
    <row r="69" spans="1:4" ht="55" customHeight="1">
      <c r="A69" s="3" t="s">
        <v>440</v>
      </c>
      <c r="B69" s="4" t="s">
        <v>441</v>
      </c>
      <c r="C69" s="4" t="s">
        <v>379</v>
      </c>
      <c r="D69" s="4" t="s">
        <v>443</v>
      </c>
    </row>
    <row r="70" spans="1:4" ht="55" customHeight="1">
      <c r="A70" s="3" t="s">
        <v>440</v>
      </c>
      <c r="B70" s="4" t="s">
        <v>441</v>
      </c>
      <c r="C70" s="4" t="s">
        <v>379</v>
      </c>
      <c r="D70" s="4" t="s">
        <v>444</v>
      </c>
    </row>
    <row r="71" spans="1:4" ht="55" customHeight="1">
      <c r="A71" s="3" t="s">
        <v>440</v>
      </c>
      <c r="B71" s="4" t="s">
        <v>441</v>
      </c>
      <c r="C71" s="4" t="s">
        <v>418</v>
      </c>
      <c r="D71" s="4" t="s">
        <v>445</v>
      </c>
    </row>
    <row r="72" spans="1:4" ht="55" customHeight="1">
      <c r="A72" s="3" t="s">
        <v>440</v>
      </c>
      <c r="B72" s="4" t="s">
        <v>441</v>
      </c>
      <c r="C72" s="4" t="s">
        <v>418</v>
      </c>
      <c r="D72" s="4" t="s">
        <v>446</v>
      </c>
    </row>
    <row r="73" spans="1:4" ht="55" customHeight="1">
      <c r="A73" s="3" t="s">
        <v>451</v>
      </c>
      <c r="B73" s="4" t="s">
        <v>465</v>
      </c>
      <c r="C73" s="4" t="s">
        <v>219</v>
      </c>
      <c r="D73" s="4" t="s">
        <v>454</v>
      </c>
    </row>
    <row r="74" spans="1:4" ht="55" customHeight="1">
      <c r="A74" s="3" t="s">
        <v>451</v>
      </c>
      <c r="B74" s="4" t="s">
        <v>342</v>
      </c>
    </row>
    <row r="75" spans="1:4" ht="55" customHeight="1">
      <c r="A75" s="3" t="s">
        <v>451</v>
      </c>
      <c r="B75" s="4" t="s">
        <v>342</v>
      </c>
    </row>
    <row r="76" spans="1:4" ht="55" customHeight="1">
      <c r="A76" s="3" t="s">
        <v>451</v>
      </c>
      <c r="B76" s="4" t="s">
        <v>342</v>
      </c>
    </row>
    <row r="77" spans="1:4" ht="55" customHeight="1">
      <c r="A77" s="3" t="s">
        <v>451</v>
      </c>
      <c r="B77" s="4" t="s">
        <v>342</v>
      </c>
    </row>
    <row r="78" spans="1:4" ht="55" customHeight="1">
      <c r="A78" s="3" t="s">
        <v>342</v>
      </c>
      <c r="B78" s="4" t="s">
        <v>336</v>
      </c>
      <c r="C78" s="4" t="s">
        <v>469</v>
      </c>
    </row>
    <row r="79" spans="1:4" ht="55" customHeight="1">
      <c r="A79" s="3" t="s">
        <v>342</v>
      </c>
      <c r="B79" s="4" t="s">
        <v>335</v>
      </c>
      <c r="C79" s="4" t="s">
        <v>319</v>
      </c>
      <c r="D79" s="4" t="s">
        <v>320</v>
      </c>
    </row>
    <row r="80" spans="1:4" ht="55" customHeight="1">
      <c r="A80" s="3" t="s">
        <v>457</v>
      </c>
      <c r="B80" s="4" t="s">
        <v>341</v>
      </c>
      <c r="C80" s="4" t="s">
        <v>473</v>
      </c>
      <c r="D80" s="4" t="s">
        <v>474</v>
      </c>
    </row>
    <row r="81" spans="1:4" ht="55" customHeight="1">
      <c r="A81" s="3" t="s">
        <v>457</v>
      </c>
      <c r="B81" s="4" t="s">
        <v>341</v>
      </c>
      <c r="C81" s="4" t="s">
        <v>475</v>
      </c>
      <c r="D81" s="4" t="s">
        <v>474</v>
      </c>
    </row>
    <row r="82" spans="1:4" ht="55" customHeight="1">
      <c r="A82" s="3" t="s">
        <v>457</v>
      </c>
      <c r="B82" s="4" t="s">
        <v>341</v>
      </c>
      <c r="C82" s="4" t="s">
        <v>476</v>
      </c>
      <c r="D82" s="4" t="s">
        <v>474</v>
      </c>
    </row>
    <row r="83" spans="1:4" ht="55" customHeight="1">
      <c r="A83" s="3" t="s">
        <v>457</v>
      </c>
      <c r="B83" s="4" t="s">
        <v>341</v>
      </c>
      <c r="C83" s="4" t="s">
        <v>477</v>
      </c>
      <c r="D83" s="4" t="s">
        <v>474</v>
      </c>
    </row>
    <row r="84" spans="1:4" ht="55" customHeight="1">
      <c r="A84" s="3" t="s">
        <v>457</v>
      </c>
      <c r="B84" s="4" t="s">
        <v>478</v>
      </c>
      <c r="C84" s="4" t="s">
        <v>479</v>
      </c>
      <c r="D84" s="4" t="s">
        <v>474</v>
      </c>
    </row>
    <row r="85" spans="1:4" ht="55" customHeight="1">
      <c r="A85" s="3" t="s">
        <v>458</v>
      </c>
      <c r="B85" s="4" t="s">
        <v>480</v>
      </c>
      <c r="C85" s="4" t="s">
        <v>481</v>
      </c>
      <c r="D85" s="4" t="s">
        <v>482</v>
      </c>
    </row>
    <row r="86" spans="1:4" ht="55" customHeight="1">
      <c r="A86" s="3" t="s">
        <v>458</v>
      </c>
      <c r="B86" s="4" t="s">
        <v>480</v>
      </c>
      <c r="C86" s="4" t="s">
        <v>481</v>
      </c>
      <c r="D86" s="4" t="s">
        <v>483</v>
      </c>
    </row>
    <row r="87" spans="1:4" ht="55" customHeight="1">
      <c r="A87" s="3" t="s">
        <v>458</v>
      </c>
      <c r="B87" s="4" t="s">
        <v>480</v>
      </c>
      <c r="C87" s="4" t="s">
        <v>481</v>
      </c>
      <c r="D87" s="4" t="s">
        <v>484</v>
      </c>
    </row>
    <row r="88" spans="1:4" ht="55" customHeight="1">
      <c r="A88" s="3" t="s">
        <v>458</v>
      </c>
      <c r="B88" s="4" t="s">
        <v>480</v>
      </c>
      <c r="C88" s="4" t="s">
        <v>481</v>
      </c>
      <c r="D88" s="4" t="s">
        <v>485</v>
      </c>
    </row>
    <row r="89" spans="1:4" ht="55" customHeight="1">
      <c r="A89" s="3" t="s">
        <v>458</v>
      </c>
      <c r="B89" s="4" t="s">
        <v>486</v>
      </c>
      <c r="C89" s="4" t="s">
        <v>481</v>
      </c>
      <c r="D89" s="4" t="s">
        <v>487</v>
      </c>
    </row>
    <row r="90" spans="1:4" ht="55" customHeight="1">
      <c r="A90" s="3" t="s">
        <v>459</v>
      </c>
      <c r="B90" s="4" t="s">
        <v>488</v>
      </c>
      <c r="C90" s="4" t="s">
        <v>489</v>
      </c>
      <c r="D90" s="4" t="s">
        <v>489</v>
      </c>
    </row>
    <row r="91" spans="1:4" ht="55" customHeight="1">
      <c r="A91" s="3" t="s">
        <v>459</v>
      </c>
      <c r="B91" s="4" t="s">
        <v>488</v>
      </c>
      <c r="C91" s="4" t="s">
        <v>489</v>
      </c>
      <c r="D91" s="4" t="s">
        <v>489</v>
      </c>
    </row>
    <row r="92" spans="1:4" ht="55" customHeight="1">
      <c r="A92" s="3" t="s">
        <v>459</v>
      </c>
      <c r="B92" s="4" t="s">
        <v>488</v>
      </c>
      <c r="C92" s="4" t="s">
        <v>489</v>
      </c>
      <c r="D92" s="4" t="s">
        <v>489</v>
      </c>
    </row>
    <row r="93" spans="1:4" ht="55" customHeight="1">
      <c r="A93" s="3" t="s">
        <v>459</v>
      </c>
      <c r="B93" s="4" t="s">
        <v>488</v>
      </c>
      <c r="C93" s="4" t="s">
        <v>489</v>
      </c>
      <c r="D93" s="4" t="s">
        <v>489</v>
      </c>
    </row>
    <row r="94" spans="1:4" ht="55" customHeight="1">
      <c r="A94" s="3" t="s">
        <v>459</v>
      </c>
      <c r="B94" s="4" t="s">
        <v>490</v>
      </c>
      <c r="C94" s="4" t="s">
        <v>491</v>
      </c>
      <c r="D94" s="4" t="s">
        <v>492</v>
      </c>
    </row>
    <row r="95" spans="1:4" ht="55" customHeight="1">
      <c r="A95" s="3" t="s">
        <v>460</v>
      </c>
      <c r="B95" s="4" t="s">
        <v>493</v>
      </c>
      <c r="C95" s="4" t="s">
        <v>494</v>
      </c>
      <c r="D95" s="4" t="s">
        <v>495</v>
      </c>
    </row>
    <row r="96" spans="1:4" ht="55" customHeight="1">
      <c r="A96" s="3" t="s">
        <v>460</v>
      </c>
      <c r="B96" s="4" t="s">
        <v>496</v>
      </c>
      <c r="C96" s="4" t="s">
        <v>494</v>
      </c>
      <c r="D96" s="4" t="s">
        <v>497</v>
      </c>
    </row>
    <row r="97" spans="1:4" ht="55" customHeight="1">
      <c r="A97" s="3" t="s">
        <v>460</v>
      </c>
      <c r="B97" s="4" t="s">
        <v>498</v>
      </c>
      <c r="C97" s="4" t="s">
        <v>494</v>
      </c>
      <c r="D97" s="4" t="s">
        <v>499</v>
      </c>
    </row>
    <row r="98" spans="1:4" ht="55" customHeight="1">
      <c r="A98" s="3" t="s">
        <v>460</v>
      </c>
      <c r="B98" s="4" t="s">
        <v>498</v>
      </c>
      <c r="C98" s="4" t="s">
        <v>494</v>
      </c>
      <c r="D98" s="4" t="s">
        <v>500</v>
      </c>
    </row>
    <row r="99" spans="1:4" ht="55" customHeight="1">
      <c r="A99" s="3" t="s">
        <v>460</v>
      </c>
      <c r="B99" s="4" t="s">
        <v>501</v>
      </c>
      <c r="C99" s="4" t="s">
        <v>494</v>
      </c>
      <c r="D99" s="4" t="s">
        <v>502</v>
      </c>
    </row>
    <row r="100" spans="1:4" ht="55" customHeight="1">
      <c r="A100" s="3" t="s">
        <v>461</v>
      </c>
      <c r="B100" s="4" t="s">
        <v>503</v>
      </c>
      <c r="C100" s="4" t="s">
        <v>479</v>
      </c>
      <c r="D100" s="4" t="s">
        <v>504</v>
      </c>
    </row>
    <row r="101" spans="1:4" ht="55" customHeight="1">
      <c r="A101" s="3" t="s">
        <v>461</v>
      </c>
      <c r="B101" s="4" t="s">
        <v>488</v>
      </c>
      <c r="C101" s="4" t="s">
        <v>489</v>
      </c>
    </row>
    <row r="102" spans="1:4" ht="55" customHeight="1">
      <c r="A102" s="3" t="s">
        <v>461</v>
      </c>
      <c r="B102" s="4" t="s">
        <v>488</v>
      </c>
      <c r="C102" s="4" t="s">
        <v>489</v>
      </c>
    </row>
    <row r="103" spans="1:4" ht="55" customHeight="1">
      <c r="A103" s="3" t="s">
        <v>461</v>
      </c>
      <c r="B103" s="4" t="s">
        <v>488</v>
      </c>
      <c r="C103" s="4" t="s">
        <v>489</v>
      </c>
    </row>
    <row r="104" spans="1:4" ht="55" customHeight="1">
      <c r="A104" s="3" t="s">
        <v>461</v>
      </c>
      <c r="B104" s="4" t="s">
        <v>488</v>
      </c>
      <c r="C104" s="4" t="s">
        <v>489</v>
      </c>
    </row>
    <row r="105" spans="1:4" ht="55" customHeight="1">
      <c r="A105" s="3" t="s">
        <v>462</v>
      </c>
      <c r="B105" s="4" t="s">
        <v>505</v>
      </c>
      <c r="C105" s="4" t="s">
        <v>506</v>
      </c>
      <c r="D105" s="4" t="s">
        <v>507</v>
      </c>
    </row>
    <row r="106" spans="1:4" ht="55" customHeight="1">
      <c r="A106" s="3" t="s">
        <v>462</v>
      </c>
      <c r="B106" s="4" t="s">
        <v>463</v>
      </c>
      <c r="C106" s="4" t="s">
        <v>506</v>
      </c>
      <c r="D106" s="4" t="s">
        <v>508</v>
      </c>
    </row>
    <row r="107" spans="1:4" ht="55" customHeight="1">
      <c r="A107" s="3" t="s">
        <v>462</v>
      </c>
      <c r="B107" s="4" t="s">
        <v>463</v>
      </c>
      <c r="C107" s="4" t="s">
        <v>506</v>
      </c>
      <c r="D107" s="4" t="s">
        <v>509</v>
      </c>
    </row>
    <row r="108" spans="1:4" ht="55" customHeight="1">
      <c r="A108" s="3" t="s">
        <v>462</v>
      </c>
      <c r="B108" s="4" t="s">
        <v>488</v>
      </c>
      <c r="C108" s="4" t="s">
        <v>489</v>
      </c>
      <c r="D108" s="4" t="s">
        <v>510</v>
      </c>
    </row>
    <row r="109" spans="1:4" ht="55" customHeight="1">
      <c r="A109" s="3" t="s">
        <v>462</v>
      </c>
      <c r="B109" s="4" t="s">
        <v>463</v>
      </c>
      <c r="C109" s="4" t="s">
        <v>506</v>
      </c>
      <c r="D109" s="4" t="s">
        <v>511</v>
      </c>
    </row>
    <row r="110" spans="1:4" ht="55" customHeight="1">
      <c r="A110" s="3" t="s">
        <v>464</v>
      </c>
      <c r="B110" s="4" t="s">
        <v>488</v>
      </c>
      <c r="C110" s="4" t="s">
        <v>489</v>
      </c>
    </row>
    <row r="111" spans="1:4" ht="55" customHeight="1">
      <c r="A111" s="3" t="s">
        <v>464</v>
      </c>
      <c r="B111" s="4" t="s">
        <v>341</v>
      </c>
      <c r="C111" s="4" t="s">
        <v>343</v>
      </c>
    </row>
    <row r="112" spans="1:4" ht="55" customHeight="1">
      <c r="A112" s="3" t="s">
        <v>464</v>
      </c>
      <c r="B112" s="4" t="s">
        <v>341</v>
      </c>
      <c r="C112" s="4" t="s">
        <v>343</v>
      </c>
    </row>
    <row r="113" spans="1:4" ht="55" customHeight="1">
      <c r="A113" s="3" t="s">
        <v>464</v>
      </c>
      <c r="B113" s="4" t="s">
        <v>341</v>
      </c>
      <c r="C113" s="4" t="s">
        <v>343</v>
      </c>
    </row>
    <row r="114" spans="1:4" ht="55" customHeight="1">
      <c r="A114" s="3" t="s">
        <v>464</v>
      </c>
      <c r="B114" s="4" t="s">
        <v>512</v>
      </c>
      <c r="C114" s="4" t="s">
        <v>479</v>
      </c>
      <c r="D114" s="4" t="s">
        <v>513</v>
      </c>
    </row>
    <row r="115" spans="1:4" ht="55" customHeight="1">
      <c r="A115" s="3" t="s">
        <v>466</v>
      </c>
      <c r="B115" s="4" t="s">
        <v>514</v>
      </c>
      <c r="C115" s="4" t="s">
        <v>506</v>
      </c>
      <c r="D115" s="4" t="s">
        <v>515</v>
      </c>
    </row>
    <row r="116" spans="1:4" ht="55" customHeight="1">
      <c r="A116" s="3" t="s">
        <v>466</v>
      </c>
      <c r="B116" s="4" t="s">
        <v>516</v>
      </c>
      <c r="C116" s="4" t="s">
        <v>506</v>
      </c>
      <c r="D116" s="4" t="s">
        <v>517</v>
      </c>
    </row>
    <row r="117" spans="1:4" ht="55" customHeight="1">
      <c r="A117" s="3" t="s">
        <v>466</v>
      </c>
      <c r="B117" s="4" t="s">
        <v>518</v>
      </c>
      <c r="C117" s="4" t="s">
        <v>506</v>
      </c>
      <c r="D117" s="4" t="s">
        <v>519</v>
      </c>
    </row>
    <row r="118" spans="1:4" ht="55" customHeight="1">
      <c r="A118" s="3" t="s">
        <v>466</v>
      </c>
      <c r="B118" s="4" t="s">
        <v>520</v>
      </c>
      <c r="C118" s="4" t="s">
        <v>506</v>
      </c>
      <c r="D118" s="4" t="s">
        <v>521</v>
      </c>
    </row>
    <row r="119" spans="1:4" ht="55" customHeight="1">
      <c r="A119" s="3" t="s">
        <v>466</v>
      </c>
      <c r="B119" s="4" t="s">
        <v>514</v>
      </c>
      <c r="C119" s="4" t="s">
        <v>506</v>
      </c>
      <c r="D119" s="4" t="s">
        <v>519</v>
      </c>
    </row>
    <row r="120" spans="1:4" ht="55" customHeight="1">
      <c r="A120" s="3" t="s">
        <v>536</v>
      </c>
      <c r="B120" s="4" t="s">
        <v>522</v>
      </c>
      <c r="C120" s="4" t="s">
        <v>494</v>
      </c>
      <c r="D120" s="4" t="s">
        <v>523</v>
      </c>
    </row>
    <row r="121" spans="1:4" ht="55" customHeight="1">
      <c r="A121" s="3" t="s">
        <v>536</v>
      </c>
      <c r="B121" s="4" t="s">
        <v>522</v>
      </c>
      <c r="C121" s="4" t="s">
        <v>494</v>
      </c>
      <c r="D121" s="4" t="s">
        <v>525</v>
      </c>
    </row>
    <row r="122" spans="1:4" ht="55" customHeight="1">
      <c r="A122" s="3" t="s">
        <v>537</v>
      </c>
      <c r="B122" s="4" t="s">
        <v>526</v>
      </c>
      <c r="C122" s="4" t="s">
        <v>494</v>
      </c>
      <c r="D122" s="4" t="s">
        <v>527</v>
      </c>
    </row>
    <row r="123" spans="1:4" ht="55" customHeight="1">
      <c r="A123" s="3" t="s">
        <v>538</v>
      </c>
      <c r="B123" s="4" t="s">
        <v>529</v>
      </c>
      <c r="C123" s="4" t="s">
        <v>494</v>
      </c>
      <c r="D123" s="4" t="s">
        <v>530</v>
      </c>
    </row>
    <row r="124" spans="1:4" ht="55" customHeight="1">
      <c r="A124" s="3" t="s">
        <v>535</v>
      </c>
      <c r="B124" s="4" t="s">
        <v>532</v>
      </c>
      <c r="C124" s="4" t="s">
        <v>494</v>
      </c>
      <c r="D124" s="4" t="s">
        <v>533</v>
      </c>
    </row>
  </sheetData>
  <phoneticPr fontId="2" type="noConversion"/>
  <pageMargins left="0.39370078740157483" right="0.39370078740157483" top="0.39370078740157483" bottom="0.3937007874015748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8"/>
  <sheetViews>
    <sheetView topLeftCell="A85" workbookViewId="0">
      <selection activeCell="G92" sqref="G92"/>
    </sheetView>
  </sheetViews>
  <sheetFormatPr baseColWidth="10" defaultColWidth="8.83203125" defaultRowHeight="42" customHeight="1"/>
  <cols>
    <col min="1" max="1" width="16.6640625" style="11" bestFit="1" customWidth="1"/>
    <col min="2" max="2" width="15" style="12" bestFit="1" customWidth="1"/>
    <col min="3" max="3" width="26" style="5" customWidth="1"/>
    <col min="4" max="4" width="7.1640625" style="1" bestFit="1" customWidth="1"/>
    <col min="5" max="5" width="4.5" style="1" bestFit="1" customWidth="1"/>
    <col min="6" max="16384" width="8.83203125" style="9"/>
  </cols>
  <sheetData>
    <row r="1" spans="1:5" ht="42" customHeight="1">
      <c r="A1" s="11" t="s">
        <v>539</v>
      </c>
      <c r="B1" s="12" t="s">
        <v>252</v>
      </c>
      <c r="D1" s="1" t="s">
        <v>125</v>
      </c>
      <c r="E1" s="1" t="s">
        <v>18</v>
      </c>
    </row>
    <row r="2" spans="1:5" ht="42" customHeight="1">
      <c r="A2" s="11" t="s">
        <v>539</v>
      </c>
      <c r="B2" s="12" t="s">
        <v>221</v>
      </c>
      <c r="D2" s="1" t="s">
        <v>125</v>
      </c>
      <c r="E2" s="1" t="s">
        <v>18</v>
      </c>
    </row>
    <row r="3" spans="1:5" ht="42" customHeight="1">
      <c r="A3" s="11" t="s">
        <v>539</v>
      </c>
      <c r="B3" s="12" t="s">
        <v>353</v>
      </c>
      <c r="D3" s="1" t="s">
        <v>149</v>
      </c>
      <c r="E3" s="1" t="s">
        <v>19</v>
      </c>
    </row>
    <row r="4" spans="1:5" ht="42" customHeight="1">
      <c r="A4" s="11" t="s">
        <v>539</v>
      </c>
      <c r="B4" s="12" t="s">
        <v>540</v>
      </c>
      <c r="D4" s="1" t="s">
        <v>20</v>
      </c>
      <c r="E4" s="1" t="s">
        <v>19</v>
      </c>
    </row>
    <row r="5" spans="1:5" ht="42" customHeight="1">
      <c r="A5" s="11" t="s">
        <v>541</v>
      </c>
      <c r="B5" s="12" t="s">
        <v>66</v>
      </c>
      <c r="D5" s="1" t="s">
        <v>19</v>
      </c>
      <c r="E5" s="1" t="s">
        <v>31</v>
      </c>
    </row>
    <row r="6" spans="1:5" ht="42" customHeight="1">
      <c r="A6" s="11" t="s">
        <v>541</v>
      </c>
      <c r="B6" s="12" t="s">
        <v>97</v>
      </c>
      <c r="C6" s="5" t="s">
        <v>610</v>
      </c>
      <c r="D6" s="1" t="s">
        <v>225</v>
      </c>
      <c r="E6" s="1" t="s">
        <v>31</v>
      </c>
    </row>
    <row r="7" spans="1:5" ht="42" customHeight="1">
      <c r="A7" s="11" t="s">
        <v>541</v>
      </c>
      <c r="B7" s="12" t="s">
        <v>353</v>
      </c>
      <c r="C7" s="5" t="s">
        <v>611</v>
      </c>
      <c r="D7" s="1" t="s">
        <v>92</v>
      </c>
      <c r="E7" s="1" t="s">
        <v>31</v>
      </c>
    </row>
    <row r="8" spans="1:5" ht="42" customHeight="1">
      <c r="A8" s="11" t="s">
        <v>541</v>
      </c>
      <c r="B8" s="12" t="s">
        <v>542</v>
      </c>
      <c r="C8" s="5" t="s">
        <v>610</v>
      </c>
      <c r="D8" s="1" t="s">
        <v>18</v>
      </c>
      <c r="E8" s="1" t="s">
        <v>31</v>
      </c>
    </row>
    <row r="9" spans="1:5" ht="42" customHeight="1">
      <c r="A9" s="11" t="s">
        <v>543</v>
      </c>
      <c r="B9" s="12" t="s">
        <v>544</v>
      </c>
      <c r="C9" s="5" t="s">
        <v>623</v>
      </c>
      <c r="D9" s="1" t="s">
        <v>19</v>
      </c>
      <c r="E9" s="1" t="s">
        <v>18</v>
      </c>
    </row>
    <row r="10" spans="1:5" ht="42" customHeight="1">
      <c r="A10" s="11" t="s">
        <v>543</v>
      </c>
      <c r="B10" s="12" t="s">
        <v>319</v>
      </c>
      <c r="C10" s="5" t="s">
        <v>622</v>
      </c>
      <c r="D10" s="1" t="s">
        <v>19</v>
      </c>
      <c r="E10" s="1" t="s">
        <v>19</v>
      </c>
    </row>
    <row r="11" spans="1:5" ht="42" customHeight="1">
      <c r="A11" s="11" t="s">
        <v>543</v>
      </c>
      <c r="B11" s="12" t="s">
        <v>448</v>
      </c>
      <c r="C11" s="5" t="s">
        <v>620</v>
      </c>
      <c r="D11" s="1" t="s">
        <v>18</v>
      </c>
      <c r="E11" s="1" t="s">
        <v>19</v>
      </c>
    </row>
    <row r="12" spans="1:5" ht="42" customHeight="1">
      <c r="A12" s="11" t="s">
        <v>543</v>
      </c>
      <c r="B12" s="12" t="s">
        <v>545</v>
      </c>
      <c r="C12" s="5" t="s">
        <v>621</v>
      </c>
      <c r="D12" s="1" t="s">
        <v>19</v>
      </c>
      <c r="E12" s="1" t="s">
        <v>159</v>
      </c>
    </row>
    <row r="13" spans="1:5" ht="42" customHeight="1">
      <c r="A13" s="11" t="s">
        <v>543</v>
      </c>
      <c r="B13" s="12" t="s">
        <v>545</v>
      </c>
      <c r="C13" s="5" t="s">
        <v>619</v>
      </c>
      <c r="D13" s="1" t="s">
        <v>18</v>
      </c>
      <c r="E13" s="1" t="s">
        <v>18</v>
      </c>
    </row>
    <row r="14" spans="1:5" ht="42" customHeight="1">
      <c r="A14" s="11" t="s">
        <v>543</v>
      </c>
      <c r="B14" s="12" t="s">
        <v>469</v>
      </c>
      <c r="C14" s="5" t="s">
        <v>618</v>
      </c>
    </row>
    <row r="15" spans="1:5" ht="42" customHeight="1">
      <c r="A15" s="11" t="s">
        <v>543</v>
      </c>
      <c r="B15" s="12" t="s">
        <v>615</v>
      </c>
      <c r="C15" s="5" t="s">
        <v>617</v>
      </c>
    </row>
    <row r="16" spans="1:5" ht="42" customHeight="1">
      <c r="A16" s="11" t="s">
        <v>543</v>
      </c>
      <c r="B16" s="12" t="s">
        <v>344</v>
      </c>
      <c r="C16" s="5" t="s">
        <v>616</v>
      </c>
    </row>
    <row r="17" spans="1:5" ht="42" customHeight="1">
      <c r="A17" s="11" t="s">
        <v>546</v>
      </c>
      <c r="B17" s="12" t="s">
        <v>547</v>
      </c>
      <c r="D17" s="1" t="s">
        <v>19</v>
      </c>
      <c r="E17" s="1" t="s">
        <v>31</v>
      </c>
    </row>
    <row r="18" spans="1:5" ht="42" customHeight="1">
      <c r="A18" s="11" t="s">
        <v>548</v>
      </c>
      <c r="B18" s="12" t="s">
        <v>549</v>
      </c>
      <c r="D18" s="1" t="s">
        <v>330</v>
      </c>
      <c r="E18" s="1" t="s">
        <v>31</v>
      </c>
    </row>
    <row r="19" spans="1:5" ht="42" customHeight="1">
      <c r="A19" s="11" t="s">
        <v>548</v>
      </c>
      <c r="B19" s="12" t="s">
        <v>379</v>
      </c>
      <c r="D19" s="1" t="s">
        <v>19</v>
      </c>
      <c r="E19" s="1" t="s">
        <v>31</v>
      </c>
    </row>
    <row r="20" spans="1:5" ht="42" customHeight="1">
      <c r="A20" s="11" t="s">
        <v>548</v>
      </c>
      <c r="B20" s="12" t="s">
        <v>219</v>
      </c>
      <c r="D20" s="1" t="s">
        <v>19</v>
      </c>
      <c r="E20" s="1" t="s">
        <v>31</v>
      </c>
    </row>
    <row r="21" spans="1:5" ht="42" customHeight="1">
      <c r="A21" s="11" t="s">
        <v>548</v>
      </c>
      <c r="B21" s="12" t="s">
        <v>550</v>
      </c>
      <c r="D21" s="1" t="s">
        <v>19</v>
      </c>
      <c r="E21" s="1" t="s">
        <v>20</v>
      </c>
    </row>
    <row r="22" spans="1:5" ht="42" customHeight="1">
      <c r="A22" s="11" t="s">
        <v>548</v>
      </c>
      <c r="B22" s="12" t="s">
        <v>344</v>
      </c>
      <c r="D22" s="1" t="s">
        <v>19</v>
      </c>
      <c r="E22" s="1" t="s">
        <v>31</v>
      </c>
    </row>
    <row r="23" spans="1:5" ht="42" customHeight="1">
      <c r="A23" s="11" t="s">
        <v>551</v>
      </c>
      <c r="B23" s="12" t="s">
        <v>635</v>
      </c>
      <c r="D23" s="1" t="s">
        <v>553</v>
      </c>
      <c r="E23" s="1" t="s">
        <v>31</v>
      </c>
    </row>
    <row r="24" spans="1:5" ht="42" customHeight="1">
      <c r="A24" s="11" t="s">
        <v>551</v>
      </c>
      <c r="B24" s="12" t="s">
        <v>633</v>
      </c>
      <c r="D24" s="1" t="s">
        <v>19</v>
      </c>
      <c r="E24" s="1" t="s">
        <v>31</v>
      </c>
    </row>
    <row r="25" spans="1:5" ht="42" customHeight="1">
      <c r="A25" s="11" t="s">
        <v>551</v>
      </c>
      <c r="B25" s="12" t="s">
        <v>636</v>
      </c>
      <c r="D25" s="1" t="s">
        <v>19</v>
      </c>
      <c r="E25" s="1" t="s">
        <v>31</v>
      </c>
    </row>
    <row r="26" spans="1:5" ht="42" customHeight="1">
      <c r="A26" s="11" t="s">
        <v>554</v>
      </c>
      <c r="B26" s="12" t="s">
        <v>243</v>
      </c>
      <c r="C26" s="5" t="s">
        <v>642</v>
      </c>
      <c r="D26" s="1" t="s">
        <v>19</v>
      </c>
      <c r="E26" s="1" t="s">
        <v>159</v>
      </c>
    </row>
    <row r="27" spans="1:5" ht="42" customHeight="1">
      <c r="A27" s="11" t="s">
        <v>554</v>
      </c>
      <c r="B27" s="12" t="s">
        <v>638</v>
      </c>
      <c r="C27" s="5" t="s">
        <v>641</v>
      </c>
      <c r="D27" s="1" t="s">
        <v>556</v>
      </c>
      <c r="E27" s="1" t="s">
        <v>27</v>
      </c>
    </row>
    <row r="28" spans="1:5" ht="42" customHeight="1">
      <c r="A28" s="11" t="s">
        <v>554</v>
      </c>
      <c r="B28" s="12" t="s">
        <v>242</v>
      </c>
      <c r="C28" s="5" t="s">
        <v>641</v>
      </c>
      <c r="D28" s="1" t="s">
        <v>19</v>
      </c>
      <c r="E28" s="1" t="s">
        <v>159</v>
      </c>
    </row>
    <row r="29" spans="1:5" ht="42" customHeight="1">
      <c r="A29" s="11" t="s">
        <v>554</v>
      </c>
      <c r="B29" s="12" t="s">
        <v>639</v>
      </c>
      <c r="C29" s="5" t="s">
        <v>640</v>
      </c>
      <c r="D29" s="1" t="s">
        <v>19</v>
      </c>
      <c r="E29" s="1" t="s">
        <v>159</v>
      </c>
    </row>
    <row r="30" spans="1:5" ht="42" customHeight="1">
      <c r="A30" s="11" t="s">
        <v>557</v>
      </c>
      <c r="B30" s="12" t="s">
        <v>555</v>
      </c>
      <c r="C30" s="5" t="s">
        <v>646</v>
      </c>
      <c r="D30" s="1" t="s">
        <v>21</v>
      </c>
      <c r="E30" s="1" t="s">
        <v>159</v>
      </c>
    </row>
    <row r="31" spans="1:5" ht="42" customHeight="1">
      <c r="A31" s="11" t="s">
        <v>557</v>
      </c>
      <c r="B31" s="12" t="s">
        <v>252</v>
      </c>
      <c r="D31" s="1" t="s">
        <v>149</v>
      </c>
      <c r="E31" s="1" t="s">
        <v>159</v>
      </c>
    </row>
    <row r="32" spans="1:5" ht="42" customHeight="1">
      <c r="A32" s="11" t="s">
        <v>557</v>
      </c>
      <c r="B32" s="12" t="s">
        <v>182</v>
      </c>
      <c r="D32" s="1" t="s">
        <v>92</v>
      </c>
      <c r="E32" s="1" t="s">
        <v>19</v>
      </c>
    </row>
    <row r="33" spans="1:5" ht="42" customHeight="1">
      <c r="A33" s="11" t="s">
        <v>557</v>
      </c>
      <c r="B33" s="12" t="s">
        <v>558</v>
      </c>
      <c r="D33" s="1" t="s">
        <v>559</v>
      </c>
      <c r="E33" s="1" t="s">
        <v>20</v>
      </c>
    </row>
    <row r="34" spans="1:5" ht="42" customHeight="1">
      <c r="A34" s="11" t="s">
        <v>560</v>
      </c>
      <c r="B34" s="12" t="s">
        <v>334</v>
      </c>
      <c r="D34" s="1" t="s">
        <v>31</v>
      </c>
      <c r="E34" s="1" t="s">
        <v>19</v>
      </c>
    </row>
    <row r="35" spans="1:5" ht="42" customHeight="1">
      <c r="A35" s="11" t="s">
        <v>560</v>
      </c>
      <c r="B35" s="12" t="s">
        <v>252</v>
      </c>
      <c r="D35" s="1" t="s">
        <v>31</v>
      </c>
      <c r="E35" s="1" t="s">
        <v>18</v>
      </c>
    </row>
    <row r="36" spans="1:5" ht="42" customHeight="1">
      <c r="A36" s="11" t="s">
        <v>560</v>
      </c>
      <c r="B36" s="12" t="s">
        <v>651</v>
      </c>
      <c r="D36" s="1" t="s">
        <v>559</v>
      </c>
      <c r="E36" s="1" t="s">
        <v>20</v>
      </c>
    </row>
    <row r="37" spans="1:5" ht="42" customHeight="1">
      <c r="A37" s="11" t="s">
        <v>561</v>
      </c>
      <c r="B37" s="12" t="s">
        <v>658</v>
      </c>
      <c r="C37" s="5" t="s">
        <v>660</v>
      </c>
      <c r="D37" s="1" t="s">
        <v>19</v>
      </c>
      <c r="E37" s="1" t="s">
        <v>19</v>
      </c>
    </row>
    <row r="38" spans="1:5" ht="42" customHeight="1">
      <c r="A38" s="11" t="s">
        <v>561</v>
      </c>
      <c r="B38" s="12" t="s">
        <v>187</v>
      </c>
      <c r="C38" s="5" t="s">
        <v>662</v>
      </c>
      <c r="D38" s="1" t="s">
        <v>19</v>
      </c>
      <c r="E38" s="1" t="s">
        <v>27</v>
      </c>
    </row>
    <row r="39" spans="1:5" ht="42" customHeight="1">
      <c r="A39" s="11" t="s">
        <v>561</v>
      </c>
      <c r="B39" s="12" t="s">
        <v>562</v>
      </c>
      <c r="C39" s="5" t="s">
        <v>663</v>
      </c>
      <c r="D39" s="1" t="s">
        <v>553</v>
      </c>
      <c r="E39" s="1" t="s">
        <v>20</v>
      </c>
    </row>
    <row r="40" spans="1:5" ht="42" customHeight="1">
      <c r="A40" s="11" t="s">
        <v>561</v>
      </c>
      <c r="B40" s="12" t="s">
        <v>563</v>
      </c>
      <c r="C40" s="5" t="s">
        <v>661</v>
      </c>
      <c r="D40" s="1" t="s">
        <v>18</v>
      </c>
      <c r="E40" s="1" t="s">
        <v>19</v>
      </c>
    </row>
    <row r="41" spans="1:5" ht="42" customHeight="1">
      <c r="A41" s="11" t="s">
        <v>564</v>
      </c>
      <c r="B41" s="12" t="s">
        <v>666</v>
      </c>
      <c r="D41" s="1" t="s">
        <v>225</v>
      </c>
      <c r="E41" s="1" t="s">
        <v>18</v>
      </c>
    </row>
    <row r="42" spans="1:5" ht="42" customHeight="1">
      <c r="A42" s="11" t="s">
        <v>564</v>
      </c>
      <c r="B42" s="12" t="s">
        <v>667</v>
      </c>
      <c r="D42" s="1" t="s">
        <v>559</v>
      </c>
      <c r="E42" s="1" t="s">
        <v>19</v>
      </c>
    </row>
    <row r="43" spans="1:5" ht="42" customHeight="1">
      <c r="A43" s="11" t="s">
        <v>565</v>
      </c>
      <c r="B43" s="12" t="s">
        <v>673</v>
      </c>
      <c r="D43" s="1" t="s">
        <v>159</v>
      </c>
      <c r="E43" s="1" t="s">
        <v>21</v>
      </c>
    </row>
    <row r="44" spans="1:5" ht="42" customHeight="1">
      <c r="A44" s="11" t="s">
        <v>565</v>
      </c>
      <c r="B44" s="12" t="s">
        <v>671</v>
      </c>
      <c r="D44" s="1" t="s">
        <v>566</v>
      </c>
      <c r="E44" s="1" t="s">
        <v>21</v>
      </c>
    </row>
    <row r="45" spans="1:5" ht="42" customHeight="1">
      <c r="A45" s="11" t="s">
        <v>567</v>
      </c>
      <c r="B45" s="12" t="s">
        <v>435</v>
      </c>
      <c r="D45" s="1" t="s">
        <v>92</v>
      </c>
      <c r="E45" s="1" t="s">
        <v>90</v>
      </c>
    </row>
    <row r="46" spans="1:5" ht="42" customHeight="1">
      <c r="A46" s="11" t="s">
        <v>567</v>
      </c>
      <c r="B46" s="12" t="s">
        <v>435</v>
      </c>
      <c r="D46" s="1" t="s">
        <v>568</v>
      </c>
      <c r="E46" s="1" t="s">
        <v>31</v>
      </c>
    </row>
    <row r="47" spans="1:5" ht="42" customHeight="1">
      <c r="A47" s="11" t="s">
        <v>569</v>
      </c>
      <c r="B47" s="12" t="s">
        <v>334</v>
      </c>
      <c r="D47" s="1" t="s">
        <v>559</v>
      </c>
      <c r="E47" s="1" t="s">
        <v>31</v>
      </c>
    </row>
    <row r="48" spans="1:5" ht="42" customHeight="1">
      <c r="A48" s="11" t="s">
        <v>569</v>
      </c>
      <c r="B48" s="12" t="s">
        <v>345</v>
      </c>
      <c r="D48" s="1" t="s">
        <v>19</v>
      </c>
      <c r="E48" s="1" t="s">
        <v>31</v>
      </c>
    </row>
    <row r="49" spans="1:5" ht="42" customHeight="1">
      <c r="A49" s="11" t="s">
        <v>569</v>
      </c>
      <c r="B49" s="12" t="s">
        <v>385</v>
      </c>
      <c r="D49" s="1" t="s">
        <v>18</v>
      </c>
      <c r="E49" s="1" t="s">
        <v>31</v>
      </c>
    </row>
    <row r="50" spans="1:5" ht="42" customHeight="1">
      <c r="A50" s="11" t="s">
        <v>569</v>
      </c>
      <c r="B50" s="12" t="s">
        <v>353</v>
      </c>
      <c r="D50" s="1" t="s">
        <v>18</v>
      </c>
      <c r="E50" s="1" t="s">
        <v>18</v>
      </c>
    </row>
    <row r="51" spans="1:5" ht="42" customHeight="1">
      <c r="A51" s="11" t="s">
        <v>569</v>
      </c>
      <c r="B51" s="12" t="s">
        <v>570</v>
      </c>
      <c r="D51" s="1" t="s">
        <v>18</v>
      </c>
      <c r="E51" s="1" t="s">
        <v>31</v>
      </c>
    </row>
    <row r="52" spans="1:5" ht="42" customHeight="1">
      <c r="A52" s="11" t="s">
        <v>571</v>
      </c>
      <c r="B52" s="12" t="s">
        <v>43</v>
      </c>
      <c r="C52" s="5" t="s">
        <v>680</v>
      </c>
      <c r="D52" s="1" t="s">
        <v>19</v>
      </c>
      <c r="E52" s="1" t="s">
        <v>18</v>
      </c>
    </row>
    <row r="53" spans="1:5" ht="42" customHeight="1">
      <c r="A53" s="11" t="s">
        <v>571</v>
      </c>
      <c r="B53" s="12" t="s">
        <v>572</v>
      </c>
      <c r="C53" s="5" t="s">
        <v>681</v>
      </c>
      <c r="D53" s="1" t="s">
        <v>19</v>
      </c>
      <c r="E53" s="1" t="s">
        <v>18</v>
      </c>
    </row>
    <row r="54" spans="1:5" ht="42" customHeight="1">
      <c r="A54" s="11" t="s">
        <v>571</v>
      </c>
      <c r="B54" s="12" t="s">
        <v>573</v>
      </c>
      <c r="C54" s="5" t="s">
        <v>682</v>
      </c>
      <c r="D54" s="1" t="s">
        <v>19</v>
      </c>
      <c r="E54" s="1" t="s">
        <v>18</v>
      </c>
    </row>
    <row r="55" spans="1:5" ht="42" customHeight="1">
      <c r="A55" s="11" t="s">
        <v>571</v>
      </c>
      <c r="B55" s="12" t="s">
        <v>575</v>
      </c>
      <c r="C55" s="5" t="s">
        <v>683</v>
      </c>
      <c r="D55" s="1" t="s">
        <v>19</v>
      </c>
      <c r="E55" s="1" t="s">
        <v>18</v>
      </c>
    </row>
    <row r="56" spans="1:5" ht="42" customHeight="1">
      <c r="A56" s="11" t="s">
        <v>571</v>
      </c>
      <c r="B56" s="12" t="s">
        <v>684</v>
      </c>
      <c r="C56" s="5" t="s">
        <v>685</v>
      </c>
      <c r="D56" s="1" t="s">
        <v>330</v>
      </c>
      <c r="E56" s="1" t="s">
        <v>18</v>
      </c>
    </row>
    <row r="57" spans="1:5" ht="42" customHeight="1">
      <c r="A57" s="11" t="s">
        <v>576</v>
      </c>
      <c r="B57" s="12" t="s">
        <v>577</v>
      </c>
      <c r="C57" s="5" t="s">
        <v>695</v>
      </c>
      <c r="D57" s="1" t="s">
        <v>330</v>
      </c>
      <c r="E57" s="1" t="s">
        <v>18</v>
      </c>
    </row>
    <row r="58" spans="1:5" ht="42" customHeight="1">
      <c r="A58" s="11" t="s">
        <v>576</v>
      </c>
      <c r="B58" s="12" t="s">
        <v>578</v>
      </c>
      <c r="C58" s="5" t="s">
        <v>694</v>
      </c>
      <c r="D58" s="1" t="s">
        <v>19</v>
      </c>
      <c r="E58" s="1" t="s">
        <v>19</v>
      </c>
    </row>
    <row r="59" spans="1:5" ht="42" customHeight="1">
      <c r="A59" s="11" t="s">
        <v>576</v>
      </c>
      <c r="B59" s="12" t="s">
        <v>578</v>
      </c>
      <c r="C59" s="5" t="s">
        <v>691</v>
      </c>
      <c r="D59" s="1" t="s">
        <v>19</v>
      </c>
      <c r="E59" s="1" t="s">
        <v>159</v>
      </c>
    </row>
    <row r="60" spans="1:5" ht="42" customHeight="1">
      <c r="A60" s="11" t="s">
        <v>576</v>
      </c>
      <c r="B60" s="12" t="s">
        <v>447</v>
      </c>
      <c r="C60" s="5" t="s">
        <v>692</v>
      </c>
      <c r="D60" s="1" t="s">
        <v>19</v>
      </c>
      <c r="E60" s="1" t="s">
        <v>27</v>
      </c>
    </row>
    <row r="61" spans="1:5" ht="42" customHeight="1">
      <c r="A61" s="11" t="s">
        <v>576</v>
      </c>
      <c r="B61" s="12" t="s">
        <v>447</v>
      </c>
      <c r="C61" s="5" t="s">
        <v>693</v>
      </c>
      <c r="D61" s="1" t="s">
        <v>19</v>
      </c>
      <c r="E61" s="1" t="s">
        <v>159</v>
      </c>
    </row>
    <row r="62" spans="1:5" ht="42" customHeight="1">
      <c r="A62" s="11" t="s">
        <v>579</v>
      </c>
      <c r="B62" s="12" t="s">
        <v>81</v>
      </c>
      <c r="D62" s="1" t="s">
        <v>92</v>
      </c>
      <c r="E62" s="1" t="s">
        <v>19</v>
      </c>
    </row>
    <row r="63" spans="1:5" ht="42" customHeight="1">
      <c r="A63" s="11" t="s">
        <v>580</v>
      </c>
      <c r="B63" s="12" t="s">
        <v>552</v>
      </c>
      <c r="C63" s="5" t="s">
        <v>749</v>
      </c>
      <c r="D63" s="1" t="s">
        <v>581</v>
      </c>
      <c r="E63" s="1" t="s">
        <v>21</v>
      </c>
    </row>
    <row r="64" spans="1:5" ht="42" customHeight="1">
      <c r="A64" s="11" t="s">
        <v>580</v>
      </c>
      <c r="B64" s="12" t="s">
        <v>582</v>
      </c>
      <c r="C64" s="5" t="s">
        <v>753</v>
      </c>
      <c r="D64" s="1" t="s">
        <v>19</v>
      </c>
      <c r="E64" s="1" t="s">
        <v>21</v>
      </c>
    </row>
    <row r="65" spans="1:5" ht="42" customHeight="1">
      <c r="A65" s="11" t="s">
        <v>580</v>
      </c>
      <c r="B65" s="12" t="s">
        <v>185</v>
      </c>
      <c r="C65" s="5" t="s">
        <v>752</v>
      </c>
      <c r="D65" s="1" t="s">
        <v>19</v>
      </c>
      <c r="E65" s="1" t="s">
        <v>18</v>
      </c>
    </row>
    <row r="66" spans="1:5" ht="42" customHeight="1">
      <c r="A66" s="11" t="s">
        <v>580</v>
      </c>
      <c r="B66" s="12" t="s">
        <v>550</v>
      </c>
      <c r="C66" s="5" t="s">
        <v>751</v>
      </c>
      <c r="D66" s="1" t="s">
        <v>19</v>
      </c>
      <c r="E66" s="1" t="s">
        <v>20</v>
      </c>
    </row>
    <row r="67" spans="1:5" ht="42" customHeight="1">
      <c r="A67" s="11" t="s">
        <v>580</v>
      </c>
      <c r="B67" s="12" t="s">
        <v>4</v>
      </c>
      <c r="C67" s="5" t="s">
        <v>750</v>
      </c>
      <c r="D67" s="1" t="s">
        <v>19</v>
      </c>
      <c r="E67" s="1" t="s">
        <v>21</v>
      </c>
    </row>
    <row r="68" spans="1:5" ht="42" customHeight="1">
      <c r="A68" s="11" t="s">
        <v>583</v>
      </c>
      <c r="B68" s="12" t="s">
        <v>164</v>
      </c>
      <c r="C68" s="5" t="s">
        <v>743</v>
      </c>
      <c r="D68" s="1" t="s">
        <v>225</v>
      </c>
      <c r="E68" s="1" t="s">
        <v>19</v>
      </c>
    </row>
    <row r="69" spans="1:5" ht="42" customHeight="1">
      <c r="A69" s="11" t="s">
        <v>583</v>
      </c>
      <c r="B69" s="12" t="s">
        <v>547</v>
      </c>
      <c r="C69" s="5" t="s">
        <v>744</v>
      </c>
      <c r="D69" s="1" t="s">
        <v>556</v>
      </c>
      <c r="E69" s="1" t="s">
        <v>21</v>
      </c>
    </row>
    <row r="70" spans="1:5" ht="42" customHeight="1">
      <c r="A70" s="11" t="s">
        <v>583</v>
      </c>
      <c r="B70" s="12" t="s">
        <v>353</v>
      </c>
      <c r="C70" s="5" t="s">
        <v>742</v>
      </c>
      <c r="D70" s="1" t="s">
        <v>225</v>
      </c>
      <c r="E70" s="1" t="s">
        <v>18</v>
      </c>
    </row>
    <row r="71" spans="1:5" ht="42" customHeight="1">
      <c r="A71" s="11" t="s">
        <v>583</v>
      </c>
      <c r="B71" s="12" t="s">
        <v>584</v>
      </c>
      <c r="C71" s="5" t="s">
        <v>741</v>
      </c>
      <c r="D71" s="1" t="s">
        <v>92</v>
      </c>
      <c r="E71" s="1" t="s">
        <v>18</v>
      </c>
    </row>
    <row r="72" spans="1:5" ht="42" customHeight="1">
      <c r="A72" s="11" t="s">
        <v>585</v>
      </c>
      <c r="B72" s="12" t="s">
        <v>586</v>
      </c>
      <c r="D72" s="1" t="s">
        <v>92</v>
      </c>
      <c r="E72" s="1" t="s">
        <v>18</v>
      </c>
    </row>
    <row r="73" spans="1:5" ht="42" customHeight="1">
      <c r="A73" s="11" t="s">
        <v>587</v>
      </c>
      <c r="B73" s="12" t="s">
        <v>547</v>
      </c>
      <c r="C73" s="5" t="s">
        <v>737</v>
      </c>
      <c r="D73" s="1" t="s">
        <v>330</v>
      </c>
      <c r="E73" s="1" t="s">
        <v>18</v>
      </c>
    </row>
    <row r="74" spans="1:5" ht="42" customHeight="1">
      <c r="A74" s="11" t="s">
        <v>587</v>
      </c>
      <c r="B74" s="12" t="s">
        <v>588</v>
      </c>
      <c r="C74" s="5" t="s">
        <v>734</v>
      </c>
      <c r="D74" s="1" t="s">
        <v>19</v>
      </c>
      <c r="E74" s="1" t="s">
        <v>18</v>
      </c>
    </row>
    <row r="75" spans="1:5" ht="42" customHeight="1">
      <c r="A75" s="11" t="s">
        <v>587</v>
      </c>
      <c r="B75" s="12" t="s">
        <v>589</v>
      </c>
      <c r="C75" s="5" t="s">
        <v>733</v>
      </c>
      <c r="D75" s="1" t="s">
        <v>19</v>
      </c>
      <c r="E75" s="1" t="s">
        <v>18</v>
      </c>
    </row>
    <row r="76" spans="1:5" ht="42" customHeight="1">
      <c r="A76" s="11" t="s">
        <v>587</v>
      </c>
      <c r="B76" s="12" t="s">
        <v>334</v>
      </c>
      <c r="C76" s="5" t="s">
        <v>736</v>
      </c>
      <c r="D76" s="1" t="s">
        <v>19</v>
      </c>
      <c r="E76" s="1" t="s">
        <v>18</v>
      </c>
    </row>
    <row r="77" spans="1:5" ht="42" customHeight="1">
      <c r="A77" s="11" t="s">
        <v>587</v>
      </c>
      <c r="B77" s="12" t="s">
        <v>187</v>
      </c>
      <c r="C77" s="5" t="s">
        <v>735</v>
      </c>
      <c r="D77" s="1" t="s">
        <v>19</v>
      </c>
      <c r="E77" s="1" t="s">
        <v>18</v>
      </c>
    </row>
    <row r="78" spans="1:5" ht="42" customHeight="1">
      <c r="A78" s="11" t="s">
        <v>590</v>
      </c>
      <c r="B78" s="12" t="s">
        <v>574</v>
      </c>
      <c r="D78" s="1" t="s">
        <v>18</v>
      </c>
      <c r="E78" s="1" t="s">
        <v>159</v>
      </c>
    </row>
    <row r="79" spans="1:5" ht="42" customHeight="1">
      <c r="A79" s="11" t="s">
        <v>590</v>
      </c>
      <c r="B79" s="12" t="s">
        <v>574</v>
      </c>
      <c r="D79" s="1" t="s">
        <v>125</v>
      </c>
      <c r="E79" s="1" t="s">
        <v>19</v>
      </c>
    </row>
    <row r="80" spans="1:5" ht="42" customHeight="1">
      <c r="A80" s="11" t="s">
        <v>590</v>
      </c>
      <c r="B80" s="12" t="s">
        <v>574</v>
      </c>
      <c r="D80" s="1" t="s">
        <v>556</v>
      </c>
      <c r="E80" s="1" t="s">
        <v>18</v>
      </c>
    </row>
    <row r="81" spans="1:5" ht="42" customHeight="1">
      <c r="A81" s="11" t="s">
        <v>591</v>
      </c>
      <c r="B81" s="12" t="s">
        <v>419</v>
      </c>
      <c r="D81" s="1" t="s">
        <v>92</v>
      </c>
      <c r="E81" s="1" t="s">
        <v>18</v>
      </c>
    </row>
    <row r="82" spans="1:5" ht="42" customHeight="1">
      <c r="A82" s="11" t="s">
        <v>591</v>
      </c>
      <c r="B82" s="12" t="s">
        <v>164</v>
      </c>
      <c r="D82" s="1" t="s">
        <v>125</v>
      </c>
      <c r="E82" s="1" t="s">
        <v>18</v>
      </c>
    </row>
    <row r="83" spans="1:5" ht="42" customHeight="1">
      <c r="A83" s="11" t="s">
        <v>591</v>
      </c>
      <c r="B83" s="12" t="s">
        <v>41</v>
      </c>
      <c r="D83" s="1" t="s">
        <v>31</v>
      </c>
      <c r="E83" s="1" t="s">
        <v>18</v>
      </c>
    </row>
    <row r="84" spans="1:5" ht="42" customHeight="1">
      <c r="A84" s="11" t="s">
        <v>591</v>
      </c>
      <c r="B84" s="12" t="s">
        <v>185</v>
      </c>
      <c r="D84" s="1" t="s">
        <v>21</v>
      </c>
      <c r="E84" s="1" t="s">
        <v>19</v>
      </c>
    </row>
    <row r="85" spans="1:5" ht="42" customHeight="1">
      <c r="A85" s="11" t="s">
        <v>592</v>
      </c>
      <c r="B85" s="12" t="s">
        <v>593</v>
      </c>
      <c r="C85" s="5" t="s">
        <v>728</v>
      </c>
      <c r="D85" s="1" t="s">
        <v>594</v>
      </c>
    </row>
    <row r="86" spans="1:5" ht="42" customHeight="1">
      <c r="A86" s="11" t="s">
        <v>592</v>
      </c>
      <c r="B86" s="12" t="s">
        <v>593</v>
      </c>
      <c r="C86" s="5" t="s">
        <v>729</v>
      </c>
      <c r="D86" s="1" t="s">
        <v>19</v>
      </c>
      <c r="E86" s="1" t="s">
        <v>159</v>
      </c>
    </row>
    <row r="87" spans="1:5" ht="42" customHeight="1">
      <c r="A87" s="11" t="s">
        <v>595</v>
      </c>
      <c r="B87" s="12" t="s">
        <v>722</v>
      </c>
      <c r="C87" s="5" t="s">
        <v>723</v>
      </c>
      <c r="D87" s="1" t="s">
        <v>581</v>
      </c>
    </row>
    <row r="88" spans="1:5" ht="42" customHeight="1">
      <c r="A88" s="11" t="s">
        <v>595</v>
      </c>
      <c r="B88" s="12" t="s">
        <v>596</v>
      </c>
      <c r="C88" s="5" t="s">
        <v>724</v>
      </c>
      <c r="D88" s="1" t="s">
        <v>19</v>
      </c>
      <c r="E88" s="1" t="s">
        <v>27</v>
      </c>
    </row>
    <row r="89" spans="1:5" ht="42" customHeight="1">
      <c r="A89" s="11" t="s">
        <v>597</v>
      </c>
      <c r="B89" s="12" t="s">
        <v>344</v>
      </c>
      <c r="D89" s="1" t="s">
        <v>125</v>
      </c>
      <c r="E89" s="1" t="s">
        <v>159</v>
      </c>
    </row>
    <row r="90" spans="1:5" ht="42" customHeight="1">
      <c r="A90" s="11" t="s">
        <v>597</v>
      </c>
      <c r="B90" s="12" t="s">
        <v>574</v>
      </c>
      <c r="D90" s="1" t="s">
        <v>566</v>
      </c>
      <c r="E90" s="1" t="s">
        <v>18</v>
      </c>
    </row>
    <row r="91" spans="1:5" ht="42" customHeight="1">
      <c r="A91" s="11" t="s">
        <v>598</v>
      </c>
      <c r="B91" s="12" t="s">
        <v>599</v>
      </c>
      <c r="C91" s="5" t="s">
        <v>715</v>
      </c>
      <c r="D91" s="1" t="s">
        <v>19</v>
      </c>
      <c r="E91" s="1" t="s">
        <v>159</v>
      </c>
    </row>
    <row r="92" spans="1:5" ht="42" customHeight="1">
      <c r="A92" s="11" t="s">
        <v>598</v>
      </c>
      <c r="B92" s="12" t="s">
        <v>600</v>
      </c>
      <c r="C92" s="5" t="s">
        <v>716</v>
      </c>
      <c r="D92" s="1" t="s">
        <v>19</v>
      </c>
      <c r="E92" s="1" t="s">
        <v>19</v>
      </c>
    </row>
    <row r="93" spans="1:5" ht="42" customHeight="1">
      <c r="A93" s="11" t="s">
        <v>598</v>
      </c>
      <c r="B93" s="12" t="s">
        <v>600</v>
      </c>
      <c r="C93" s="5" t="s">
        <v>718</v>
      </c>
      <c r="D93" s="1" t="s">
        <v>568</v>
      </c>
      <c r="E93" s="1" t="s">
        <v>18</v>
      </c>
    </row>
    <row r="94" spans="1:5" ht="42" customHeight="1">
      <c r="A94" s="11" t="s">
        <v>598</v>
      </c>
      <c r="B94" s="12" t="s">
        <v>244</v>
      </c>
      <c r="C94" s="5" t="s">
        <v>717</v>
      </c>
      <c r="D94" s="1" t="s">
        <v>31</v>
      </c>
      <c r="E94" s="1" t="s">
        <v>19</v>
      </c>
    </row>
    <row r="95" spans="1:5" ht="42" customHeight="1">
      <c r="A95" s="11" t="s">
        <v>601</v>
      </c>
      <c r="B95" s="12" t="s">
        <v>555</v>
      </c>
      <c r="D95" s="1" t="s">
        <v>19</v>
      </c>
      <c r="E95" s="1" t="s">
        <v>19</v>
      </c>
    </row>
    <row r="96" spans="1:5" ht="42" customHeight="1">
      <c r="A96" s="11" t="s">
        <v>601</v>
      </c>
      <c r="B96" s="12" t="s">
        <v>506</v>
      </c>
      <c r="D96" s="2" t="s">
        <v>19</v>
      </c>
      <c r="E96" s="2" t="s">
        <v>19</v>
      </c>
    </row>
    <row r="97" spans="1:5" ht="42" customHeight="1">
      <c r="A97" s="11" t="s">
        <v>601</v>
      </c>
      <c r="B97" s="12" t="s">
        <v>506</v>
      </c>
      <c r="D97" s="1" t="s">
        <v>92</v>
      </c>
      <c r="E97" s="1" t="s">
        <v>19</v>
      </c>
    </row>
    <row r="98" spans="1:5" ht="42" customHeight="1">
      <c r="A98" s="11" t="s">
        <v>601</v>
      </c>
      <c r="B98" s="12" t="s">
        <v>81</v>
      </c>
      <c r="D98" s="1" t="s">
        <v>19</v>
      </c>
      <c r="E98" s="1" t="s">
        <v>19</v>
      </c>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506"/>
  <sheetViews>
    <sheetView workbookViewId="0">
      <pane ySplit="1" topLeftCell="A115" activePane="bottomLeft" state="frozen"/>
      <selection pane="bottomLeft" activeCell="B448" sqref="B448"/>
    </sheetView>
  </sheetViews>
  <sheetFormatPr baseColWidth="10" defaultColWidth="8.83203125" defaultRowHeight="15"/>
  <cols>
    <col min="1" max="2" width="19.1640625" style="202" customWidth="1"/>
    <col min="3" max="3" width="15" style="207" customWidth="1"/>
    <col min="4" max="4" width="17" style="207" customWidth="1"/>
    <col min="5" max="5" width="14.83203125" style="202" customWidth="1"/>
    <col min="6" max="6" width="26.33203125" style="202" customWidth="1"/>
    <col min="7" max="7" width="22.83203125" style="202" customWidth="1"/>
    <col min="8" max="8" width="13.33203125" style="207" customWidth="1"/>
    <col min="9" max="9" width="21.1640625" style="202" bestFit="1" customWidth="1"/>
    <col min="10" max="10" width="30.5" style="202" customWidth="1"/>
    <col min="11" max="11" width="58.1640625" style="202" customWidth="1"/>
    <col min="12" max="12" width="9.83203125" style="202" bestFit="1" customWidth="1"/>
    <col min="13" max="42" width="9" style="202" bestFit="1" customWidth="1"/>
    <col min="43" max="43" width="23" style="202" customWidth="1"/>
    <col min="44" max="44" width="15.83203125" style="202" customWidth="1"/>
    <col min="45" max="45" width="9" style="202" bestFit="1" customWidth="1"/>
    <col min="46" max="46" width="12.5" style="202" customWidth="1"/>
    <col min="47" max="47" width="20.83203125" style="202" customWidth="1"/>
    <col min="48" max="48" width="19.5" style="202" customWidth="1"/>
    <col min="49" max="49" width="8.83203125" style="202"/>
    <col min="50" max="50" width="11.1640625" style="202" customWidth="1"/>
    <col min="51" max="51" width="9" style="202" bestFit="1" customWidth="1"/>
  </cols>
  <sheetData>
    <row r="1" spans="1:51">
      <c r="A1" s="202" t="s">
        <v>3383</v>
      </c>
      <c r="B1" s="202" t="s">
        <v>3371</v>
      </c>
      <c r="C1" s="203" t="s">
        <v>3333</v>
      </c>
      <c r="D1" s="203" t="s">
        <v>3185</v>
      </c>
      <c r="E1" s="202" t="s">
        <v>3179</v>
      </c>
      <c r="F1" s="202" t="s">
        <v>853</v>
      </c>
      <c r="G1" s="202" t="s">
        <v>854</v>
      </c>
      <c r="H1" s="203" t="s">
        <v>3186</v>
      </c>
      <c r="I1" s="202" t="s">
        <v>3180</v>
      </c>
      <c r="J1" s="202" t="s">
        <v>2175</v>
      </c>
      <c r="K1" s="202" t="s">
        <v>2176</v>
      </c>
      <c r="L1" s="202" t="s">
        <v>2171</v>
      </c>
      <c r="M1" s="202" t="s">
        <v>2021</v>
      </c>
      <c r="N1" s="202" t="s">
        <v>2172</v>
      </c>
      <c r="O1" s="202" t="s">
        <v>2173</v>
      </c>
      <c r="P1" s="202" t="s">
        <v>2174</v>
      </c>
      <c r="Q1" s="202" t="s">
        <v>755</v>
      </c>
      <c r="R1" s="202" t="s">
        <v>756</v>
      </c>
      <c r="S1" s="202" t="s">
        <v>757</v>
      </c>
      <c r="T1" s="202" t="s">
        <v>758</v>
      </c>
      <c r="U1" s="202" t="s">
        <v>759</v>
      </c>
      <c r="V1" s="202" t="s">
        <v>760</v>
      </c>
      <c r="W1" s="202" t="s">
        <v>761</v>
      </c>
      <c r="X1" s="202" t="s">
        <v>762</v>
      </c>
      <c r="Y1" s="202" t="s">
        <v>763</v>
      </c>
      <c r="Z1" s="202" t="s">
        <v>1132</v>
      </c>
      <c r="AA1" s="202" t="s">
        <v>1133</v>
      </c>
      <c r="AB1" s="202" t="s">
        <v>1134</v>
      </c>
      <c r="AC1" s="202" t="s">
        <v>1135</v>
      </c>
      <c r="AD1" s="202" t="s">
        <v>1136</v>
      </c>
      <c r="AE1" s="202" t="s">
        <v>1137</v>
      </c>
      <c r="AF1" s="202" t="s">
        <v>1138</v>
      </c>
      <c r="AG1" s="202" t="s">
        <v>1139</v>
      </c>
      <c r="AH1" s="202" t="s">
        <v>1140</v>
      </c>
      <c r="AI1" s="202" t="s">
        <v>1141</v>
      </c>
      <c r="AJ1" s="202" t="s">
        <v>1142</v>
      </c>
      <c r="AK1" s="202" t="s">
        <v>1143</v>
      </c>
      <c r="AL1" s="202" t="s">
        <v>1144</v>
      </c>
      <c r="AM1" s="202" t="s">
        <v>1145</v>
      </c>
      <c r="AN1" s="202" t="s">
        <v>1146</v>
      </c>
      <c r="AO1" s="202" t="s">
        <v>1147</v>
      </c>
      <c r="AP1" s="202" t="s">
        <v>1148</v>
      </c>
      <c r="AQ1" s="202" t="s">
        <v>1930</v>
      </c>
      <c r="AR1" s="202" t="s">
        <v>1931</v>
      </c>
      <c r="AS1" s="202" t="s">
        <v>2017</v>
      </c>
      <c r="AT1" s="202" t="s">
        <v>2019</v>
      </c>
      <c r="AU1" s="202" t="s">
        <v>2020</v>
      </c>
      <c r="AV1" s="202" t="s">
        <v>1928</v>
      </c>
      <c r="AX1" s="202" t="s">
        <v>3178</v>
      </c>
      <c r="AY1" s="202" t="s">
        <v>2023</v>
      </c>
    </row>
    <row r="2" spans="1:51">
      <c r="A2" s="202" t="str">
        <f>IF(I2="NA",E2,CONCATENATE(E2,"&amp;",I2))</f>
        <v>李天荣</v>
      </c>
      <c r="B2" s="202">
        <f>IF(C2&lt;&gt;"NA",C2,VLOOKUP(K2,Update_from_YIFIP!$X$2:$AD$174,7,FALSE))</f>
        <v>0</v>
      </c>
      <c r="C2" s="207">
        <f>IF(H2=D2,H2,IF(ISNUMBER(H2-D2),CONCATENATE(H2," or ",D2),IF(ISNUMBER(H2),H2,D2)))</f>
        <v>0</v>
      </c>
      <c r="D2" s="207">
        <f>IF(ISNA(VLOOKUP(E2,$AX$2:$AY$173,2,FALSE)) = TRUE, "NA", VLOOKUP(E2,$AX$2:$AY$173,2,FALSE))</f>
        <v>0</v>
      </c>
      <c r="E2" s="202" t="s">
        <v>2076</v>
      </c>
      <c r="F2" s="202" t="s">
        <v>2551</v>
      </c>
      <c r="G2" s="202" t="s">
        <v>2552</v>
      </c>
      <c r="H2" s="207" t="str">
        <f t="shared" ref="H2:H65" si="0">IF(ISNA(VLOOKUP(I2,$AX$2:$AY$173,2,FALSE)) = TRUE, "NA", VLOOKUP(I2,$AX$2:$AY$173,2,FALSE))</f>
        <v>NA</v>
      </c>
      <c r="I2" s="202" t="s">
        <v>1929</v>
      </c>
      <c r="J2" s="202" t="s">
        <v>394</v>
      </c>
      <c r="K2" s="202" t="s">
        <v>2550</v>
      </c>
      <c r="L2" s="202" t="s">
        <v>1384</v>
      </c>
      <c r="M2" s="202">
        <v>6</v>
      </c>
      <c r="N2" s="202">
        <v>0</v>
      </c>
      <c r="O2" s="202">
        <v>42</v>
      </c>
      <c r="P2" s="202">
        <v>7</v>
      </c>
      <c r="Q2" s="202">
        <v>10</v>
      </c>
      <c r="R2" s="202">
        <v>4</v>
      </c>
      <c r="S2" s="202">
        <v>6</v>
      </c>
      <c r="T2" s="202">
        <v>8</v>
      </c>
      <c r="U2" s="202">
        <v>7</v>
      </c>
      <c r="V2" s="202">
        <v>0</v>
      </c>
      <c r="W2" s="202">
        <v>0</v>
      </c>
      <c r="X2" s="202">
        <v>0</v>
      </c>
      <c r="Y2" s="202">
        <v>0</v>
      </c>
      <c r="Z2" s="202">
        <v>0</v>
      </c>
      <c r="AA2" s="202">
        <v>0</v>
      </c>
      <c r="AB2" s="202">
        <v>0</v>
      </c>
      <c r="AC2" s="202">
        <v>0</v>
      </c>
      <c r="AD2" s="202">
        <v>0</v>
      </c>
      <c r="AE2" s="202">
        <v>0</v>
      </c>
      <c r="AF2" s="202">
        <v>0</v>
      </c>
      <c r="AG2" s="202">
        <v>0</v>
      </c>
      <c r="AH2" s="202">
        <v>0</v>
      </c>
      <c r="AI2" s="202">
        <v>0</v>
      </c>
      <c r="AJ2" s="202">
        <v>0</v>
      </c>
      <c r="AK2" s="202">
        <v>0</v>
      </c>
      <c r="AL2" s="202">
        <v>0</v>
      </c>
      <c r="AM2" s="202">
        <v>0</v>
      </c>
      <c r="AN2" s="202">
        <v>0</v>
      </c>
      <c r="AO2" s="202">
        <v>0</v>
      </c>
      <c r="AP2" s="202">
        <v>0</v>
      </c>
      <c r="AQ2" s="202" t="s">
        <v>2549</v>
      </c>
      <c r="AR2" s="202">
        <v>0</v>
      </c>
      <c r="AS2" s="202">
        <v>0</v>
      </c>
      <c r="AT2" s="202">
        <v>7.5</v>
      </c>
      <c r="AU2" s="202">
        <v>0</v>
      </c>
      <c r="AV2" s="202">
        <v>1.5</v>
      </c>
      <c r="AX2" s="202" t="s">
        <v>2076</v>
      </c>
      <c r="AY2" s="202">
        <v>0</v>
      </c>
    </row>
    <row r="3" spans="1:51">
      <c r="A3" s="202" t="str">
        <f t="shared" ref="A3:A66" si="1">IF(I3="NA",E3,CONCATENATE(E3,"&amp;",I3))</f>
        <v>李天荣</v>
      </c>
      <c r="B3" s="202">
        <f>IF(C3&lt;&gt;"NA",C3,VLOOKUP(K3,Update_from_YIFIP!$X$2:$AD$174,7,FALSE))</f>
        <v>0</v>
      </c>
      <c r="C3" s="207">
        <f t="shared" ref="C3:C65" si="2">IF(H3=D3,H3,IF(ISNUMBER(H3-D3),CONCATENATE(H3," or ",D3),IF(ISNUMBER(H3),H3,D3)))</f>
        <v>0</v>
      </c>
      <c r="D3" s="207">
        <f t="shared" ref="D3:D65" si="3">IF(ISNA(VLOOKUP(E3,$AX$2:$AY$173,2,FALSE)) = TRUE, "NA", VLOOKUP(E3,$AX$2:$AY$173,2,FALSE))</f>
        <v>0</v>
      </c>
      <c r="E3" s="202" t="s">
        <v>2076</v>
      </c>
      <c r="F3" s="202" t="s">
        <v>2551</v>
      </c>
      <c r="G3" s="202" t="s">
        <v>2552</v>
      </c>
      <c r="H3" s="207" t="str">
        <f t="shared" si="0"/>
        <v>NA</v>
      </c>
      <c r="I3" s="202" t="s">
        <v>1929</v>
      </c>
      <c r="J3" s="202" t="s">
        <v>394</v>
      </c>
      <c r="K3" s="202" t="s">
        <v>2553</v>
      </c>
      <c r="L3" s="202" t="s">
        <v>1385</v>
      </c>
      <c r="M3" s="202">
        <v>5</v>
      </c>
      <c r="N3" s="202">
        <v>0</v>
      </c>
      <c r="O3" s="202">
        <v>34</v>
      </c>
      <c r="P3" s="202">
        <v>5</v>
      </c>
      <c r="Q3" s="202">
        <v>17</v>
      </c>
      <c r="R3" s="202">
        <v>5</v>
      </c>
      <c r="S3" s="202">
        <v>3</v>
      </c>
      <c r="T3" s="202">
        <v>4</v>
      </c>
      <c r="U3" s="202">
        <v>0</v>
      </c>
      <c r="V3" s="202">
        <v>0</v>
      </c>
      <c r="W3" s="202">
        <v>0</v>
      </c>
      <c r="X3" s="202">
        <v>0</v>
      </c>
      <c r="Y3" s="202">
        <v>0</v>
      </c>
      <c r="Z3" s="202">
        <v>0</v>
      </c>
      <c r="AA3" s="202">
        <v>0</v>
      </c>
      <c r="AB3" s="202">
        <v>0</v>
      </c>
      <c r="AC3" s="202">
        <v>0</v>
      </c>
      <c r="AD3" s="202">
        <v>0</v>
      </c>
      <c r="AE3" s="202">
        <v>0</v>
      </c>
      <c r="AF3" s="202">
        <v>0</v>
      </c>
      <c r="AG3" s="202">
        <v>0</v>
      </c>
      <c r="AH3" s="202">
        <v>0</v>
      </c>
      <c r="AI3" s="202">
        <v>0</v>
      </c>
      <c r="AJ3" s="202">
        <v>0</v>
      </c>
      <c r="AK3" s="202">
        <v>0</v>
      </c>
      <c r="AL3" s="202">
        <v>0</v>
      </c>
      <c r="AM3" s="202">
        <v>0</v>
      </c>
      <c r="AN3" s="202">
        <v>0</v>
      </c>
      <c r="AO3" s="202">
        <v>0</v>
      </c>
      <c r="AP3" s="202">
        <v>0</v>
      </c>
      <c r="AQ3" s="202" t="s">
        <v>2549</v>
      </c>
      <c r="AR3" s="202">
        <v>0</v>
      </c>
      <c r="AS3" s="202">
        <v>0</v>
      </c>
      <c r="AT3" s="202">
        <v>10</v>
      </c>
      <c r="AU3" s="202">
        <v>0</v>
      </c>
      <c r="AV3" s="202">
        <v>2</v>
      </c>
      <c r="AX3" s="202" t="s">
        <v>3197</v>
      </c>
      <c r="AY3" s="202">
        <v>1</v>
      </c>
    </row>
    <row r="4" spans="1:51">
      <c r="A4" s="202" t="str">
        <f t="shared" si="1"/>
        <v>李天荣</v>
      </c>
      <c r="B4" s="202">
        <f>IF(C4&lt;&gt;"NA",C4,VLOOKUP(K4,Update_from_YIFIP!$X$2:$AD$174,7,FALSE))</f>
        <v>0</v>
      </c>
      <c r="C4" s="207">
        <f t="shared" si="2"/>
        <v>0</v>
      </c>
      <c r="D4" s="207">
        <f t="shared" si="3"/>
        <v>0</v>
      </c>
      <c r="E4" s="202" t="s">
        <v>2076</v>
      </c>
      <c r="F4" s="202" t="s">
        <v>2551</v>
      </c>
      <c r="G4" s="202" t="s">
        <v>2552</v>
      </c>
      <c r="H4" s="207" t="str">
        <f t="shared" si="0"/>
        <v>NA</v>
      </c>
      <c r="I4" s="202" t="s">
        <v>1929</v>
      </c>
      <c r="J4" s="202" t="s">
        <v>394</v>
      </c>
      <c r="K4" s="202" t="s">
        <v>2555</v>
      </c>
      <c r="L4" s="202" t="s">
        <v>1386</v>
      </c>
      <c r="M4" s="202">
        <v>5</v>
      </c>
      <c r="N4" s="202">
        <v>0</v>
      </c>
      <c r="O4" s="202">
        <v>43</v>
      </c>
      <c r="P4" s="202">
        <v>21</v>
      </c>
      <c r="Q4" s="202">
        <v>12</v>
      </c>
      <c r="R4" s="202">
        <v>7</v>
      </c>
      <c r="S4" s="202">
        <v>2</v>
      </c>
      <c r="T4" s="202">
        <v>1</v>
      </c>
      <c r="U4" s="202">
        <v>0</v>
      </c>
      <c r="V4" s="202">
        <v>0</v>
      </c>
      <c r="W4" s="202">
        <v>0</v>
      </c>
      <c r="X4" s="202">
        <v>0</v>
      </c>
      <c r="Y4" s="202">
        <v>0</v>
      </c>
      <c r="Z4" s="202">
        <v>0</v>
      </c>
      <c r="AA4" s="202">
        <v>0</v>
      </c>
      <c r="AB4" s="202">
        <v>0</v>
      </c>
      <c r="AC4" s="202">
        <v>0</v>
      </c>
      <c r="AD4" s="202">
        <v>0</v>
      </c>
      <c r="AE4" s="202">
        <v>0</v>
      </c>
      <c r="AF4" s="202">
        <v>0</v>
      </c>
      <c r="AG4" s="202">
        <v>0</v>
      </c>
      <c r="AH4" s="202">
        <v>0</v>
      </c>
      <c r="AI4" s="202">
        <v>0</v>
      </c>
      <c r="AJ4" s="202">
        <v>0</v>
      </c>
      <c r="AK4" s="202">
        <v>0</v>
      </c>
      <c r="AL4" s="202">
        <v>0</v>
      </c>
      <c r="AM4" s="202">
        <v>0</v>
      </c>
      <c r="AN4" s="202">
        <v>0</v>
      </c>
      <c r="AO4" s="202">
        <v>0</v>
      </c>
      <c r="AP4" s="202">
        <v>0</v>
      </c>
      <c r="AQ4" s="202" t="s">
        <v>2554</v>
      </c>
      <c r="AR4" s="202">
        <v>0</v>
      </c>
      <c r="AS4" s="202">
        <v>0</v>
      </c>
      <c r="AT4" s="202">
        <v>12.5</v>
      </c>
      <c r="AU4" s="202">
        <v>0</v>
      </c>
      <c r="AV4" s="202">
        <v>2.5</v>
      </c>
      <c r="AX4" s="202" t="s">
        <v>2154</v>
      </c>
      <c r="AY4" s="202">
        <v>2</v>
      </c>
    </row>
    <row r="5" spans="1:51">
      <c r="A5" s="202" t="str">
        <f t="shared" si="1"/>
        <v>李天荣</v>
      </c>
      <c r="B5" s="202">
        <f>IF(C5&lt;&gt;"NA",C5,VLOOKUP(K5,Update_from_YIFIP!$X$2:$AD$174,7,FALSE))</f>
        <v>0</v>
      </c>
      <c r="C5" s="207">
        <f t="shared" si="2"/>
        <v>0</v>
      </c>
      <c r="D5" s="207">
        <f t="shared" si="3"/>
        <v>0</v>
      </c>
      <c r="E5" s="202" t="s">
        <v>2076</v>
      </c>
      <c r="F5" s="202" t="s">
        <v>2551</v>
      </c>
      <c r="G5" s="202" t="s">
        <v>2552</v>
      </c>
      <c r="H5" s="207" t="str">
        <f t="shared" si="0"/>
        <v>NA</v>
      </c>
      <c r="I5" s="202" t="s">
        <v>1929</v>
      </c>
      <c r="J5" s="202" t="s">
        <v>394</v>
      </c>
      <c r="K5" s="202" t="s">
        <v>2556</v>
      </c>
      <c r="L5" s="202" t="s">
        <v>1387</v>
      </c>
      <c r="M5" s="202">
        <v>6</v>
      </c>
      <c r="N5" s="202">
        <v>0</v>
      </c>
      <c r="O5" s="202">
        <v>70</v>
      </c>
      <c r="P5" s="202">
        <v>14</v>
      </c>
      <c r="Q5" s="202">
        <v>19</v>
      </c>
      <c r="R5" s="202">
        <v>17</v>
      </c>
      <c r="S5" s="202">
        <v>13</v>
      </c>
      <c r="T5" s="202">
        <v>4</v>
      </c>
      <c r="U5" s="202">
        <v>3</v>
      </c>
      <c r="V5" s="202">
        <v>0</v>
      </c>
      <c r="W5" s="202">
        <v>0</v>
      </c>
      <c r="X5" s="202">
        <v>0</v>
      </c>
      <c r="Y5" s="202">
        <v>0</v>
      </c>
      <c r="Z5" s="202">
        <v>0</v>
      </c>
      <c r="AA5" s="202">
        <v>0</v>
      </c>
      <c r="AB5" s="202">
        <v>0</v>
      </c>
      <c r="AC5" s="202">
        <v>0</v>
      </c>
      <c r="AD5" s="202">
        <v>0</v>
      </c>
      <c r="AE5" s="202">
        <v>0</v>
      </c>
      <c r="AF5" s="202">
        <v>0</v>
      </c>
      <c r="AG5" s="202">
        <v>0</v>
      </c>
      <c r="AH5" s="202">
        <v>0</v>
      </c>
      <c r="AI5" s="202">
        <v>0</v>
      </c>
      <c r="AJ5" s="202">
        <v>0</v>
      </c>
      <c r="AK5" s="202">
        <v>0</v>
      </c>
      <c r="AL5" s="202">
        <v>0</v>
      </c>
      <c r="AM5" s="202">
        <v>0</v>
      </c>
      <c r="AN5" s="202">
        <v>0</v>
      </c>
      <c r="AO5" s="202">
        <v>0</v>
      </c>
      <c r="AP5" s="202">
        <v>0</v>
      </c>
      <c r="AQ5" s="202" t="s">
        <v>2554</v>
      </c>
      <c r="AR5" s="202">
        <v>0</v>
      </c>
      <c r="AS5" s="202">
        <v>0</v>
      </c>
      <c r="AT5" s="202">
        <v>15</v>
      </c>
      <c r="AU5" s="202">
        <v>0</v>
      </c>
      <c r="AV5" s="202">
        <v>3</v>
      </c>
      <c r="AX5" s="202" t="s">
        <v>2071</v>
      </c>
      <c r="AY5" s="202">
        <v>3</v>
      </c>
    </row>
    <row r="6" spans="1:51">
      <c r="A6" s="202" t="str">
        <f t="shared" si="1"/>
        <v>张学良</v>
      </c>
      <c r="B6" s="202">
        <f>IF(C6&lt;&gt;"NA",C6,VLOOKUP(K6,Update_from_YIFIP!$X$2:$AD$174,7,FALSE))</f>
        <v>2</v>
      </c>
      <c r="C6" s="207">
        <f t="shared" si="2"/>
        <v>2</v>
      </c>
      <c r="D6" s="207">
        <f>IF(ISNA(VLOOKUP(E6,$AX$2:$AY$173,2,FALSE)) = TRUE, "NA", VLOOKUP(E6,$AX$2:$AY$173,2,FALSE))</f>
        <v>2</v>
      </c>
      <c r="E6" s="202" t="s">
        <v>2154</v>
      </c>
      <c r="F6" s="202" t="s">
        <v>2975</v>
      </c>
      <c r="G6" s="202" t="s">
        <v>2976</v>
      </c>
      <c r="H6" s="207" t="str">
        <f t="shared" si="0"/>
        <v>NA</v>
      </c>
      <c r="I6" s="202" t="s">
        <v>1929</v>
      </c>
      <c r="J6" s="202" t="s">
        <v>2972</v>
      </c>
      <c r="K6" s="202" t="s">
        <v>2974</v>
      </c>
      <c r="L6" s="202" t="s">
        <v>1743</v>
      </c>
      <c r="M6" s="202">
        <v>0</v>
      </c>
      <c r="N6" s="202">
        <v>7</v>
      </c>
      <c r="O6" s="202">
        <v>26</v>
      </c>
      <c r="P6" s="202">
        <v>1</v>
      </c>
      <c r="Q6" s="202">
        <v>2</v>
      </c>
      <c r="R6" s="202">
        <v>3</v>
      </c>
      <c r="S6" s="202">
        <v>3</v>
      </c>
      <c r="T6" s="202">
        <v>3</v>
      </c>
      <c r="U6" s="202">
        <v>5</v>
      </c>
      <c r="V6" s="202">
        <v>9</v>
      </c>
      <c r="W6" s="202">
        <v>0</v>
      </c>
      <c r="X6" s="202">
        <v>0</v>
      </c>
      <c r="Y6" s="202">
        <v>0</v>
      </c>
      <c r="Z6" s="202">
        <v>0</v>
      </c>
      <c r="AA6" s="202">
        <v>0</v>
      </c>
      <c r="AB6" s="202">
        <v>0</v>
      </c>
      <c r="AC6" s="202">
        <v>0</v>
      </c>
      <c r="AD6" s="202">
        <v>0</v>
      </c>
      <c r="AE6" s="202">
        <v>0</v>
      </c>
      <c r="AF6" s="202">
        <v>0</v>
      </c>
      <c r="AG6" s="202">
        <v>0</v>
      </c>
      <c r="AH6" s="202">
        <v>0</v>
      </c>
      <c r="AI6" s="202">
        <v>0</v>
      </c>
      <c r="AJ6" s="202">
        <v>0</v>
      </c>
      <c r="AK6" s="202">
        <v>0</v>
      </c>
      <c r="AL6" s="202">
        <v>0</v>
      </c>
      <c r="AM6" s="202">
        <v>0</v>
      </c>
      <c r="AN6" s="202">
        <v>0</v>
      </c>
      <c r="AO6" s="202">
        <v>0</v>
      </c>
      <c r="AP6" s="202">
        <v>0</v>
      </c>
      <c r="AQ6" s="202" t="s">
        <v>2973</v>
      </c>
      <c r="AR6" s="202">
        <v>0</v>
      </c>
      <c r="AS6" s="202">
        <v>0</v>
      </c>
      <c r="AT6" s="202">
        <v>10</v>
      </c>
      <c r="AU6" s="202">
        <v>0</v>
      </c>
      <c r="AV6" s="202" t="s">
        <v>1929</v>
      </c>
      <c r="AX6" s="202" t="s">
        <v>2067</v>
      </c>
      <c r="AY6" s="202">
        <v>4</v>
      </c>
    </row>
    <row r="7" spans="1:51">
      <c r="A7" s="202" t="str">
        <f t="shared" si="1"/>
        <v>张学良</v>
      </c>
      <c r="B7" s="202">
        <f>IF(C7&lt;&gt;"NA",C7,VLOOKUP(K7,Update_from_YIFIP!$X$2:$AD$174,7,FALSE))</f>
        <v>2</v>
      </c>
      <c r="C7" s="207">
        <f t="shared" si="2"/>
        <v>2</v>
      </c>
      <c r="D7" s="207">
        <f t="shared" si="3"/>
        <v>2</v>
      </c>
      <c r="E7" s="202" t="s">
        <v>2154</v>
      </c>
      <c r="F7" s="202" t="s">
        <v>2975</v>
      </c>
      <c r="G7" s="202" t="s">
        <v>2976</v>
      </c>
      <c r="H7" s="207" t="str">
        <f t="shared" si="0"/>
        <v>NA</v>
      </c>
      <c r="I7" s="202" t="s">
        <v>1929</v>
      </c>
      <c r="J7" s="202" t="s">
        <v>2972</v>
      </c>
      <c r="K7" s="202" t="s">
        <v>2978</v>
      </c>
      <c r="L7" s="202" t="s">
        <v>1744</v>
      </c>
      <c r="M7" s="202">
        <v>4</v>
      </c>
      <c r="N7" s="202">
        <v>0</v>
      </c>
      <c r="O7" s="202">
        <v>9</v>
      </c>
      <c r="P7" s="202">
        <v>1</v>
      </c>
      <c r="Q7" s="202">
        <v>2</v>
      </c>
      <c r="R7" s="202">
        <v>2</v>
      </c>
      <c r="S7" s="202">
        <v>4</v>
      </c>
      <c r="T7" s="202">
        <v>0</v>
      </c>
      <c r="U7" s="202">
        <v>0</v>
      </c>
      <c r="V7" s="202">
        <v>0</v>
      </c>
      <c r="W7" s="202">
        <v>0</v>
      </c>
      <c r="X7" s="202">
        <v>0</v>
      </c>
      <c r="Y7" s="202">
        <v>0</v>
      </c>
      <c r="Z7" s="202">
        <v>0</v>
      </c>
      <c r="AA7" s="202">
        <v>0</v>
      </c>
      <c r="AB7" s="202">
        <v>0</v>
      </c>
      <c r="AC7" s="202">
        <v>0</v>
      </c>
      <c r="AD7" s="202">
        <v>0</v>
      </c>
      <c r="AE7" s="202">
        <v>0</v>
      </c>
      <c r="AF7" s="202">
        <v>0</v>
      </c>
      <c r="AG7" s="202">
        <v>0</v>
      </c>
      <c r="AH7" s="202">
        <v>0</v>
      </c>
      <c r="AI7" s="202">
        <v>0</v>
      </c>
      <c r="AJ7" s="202">
        <v>0</v>
      </c>
      <c r="AK7" s="202">
        <v>0</v>
      </c>
      <c r="AL7" s="202">
        <v>0</v>
      </c>
      <c r="AM7" s="202">
        <v>0</v>
      </c>
      <c r="AN7" s="202">
        <v>0</v>
      </c>
      <c r="AO7" s="202">
        <v>0</v>
      </c>
      <c r="AP7" s="202">
        <v>0</v>
      </c>
      <c r="AQ7" s="202" t="s">
        <v>2977</v>
      </c>
      <c r="AR7" s="202">
        <v>0</v>
      </c>
      <c r="AS7" s="202">
        <v>0</v>
      </c>
      <c r="AT7" s="202">
        <v>4</v>
      </c>
      <c r="AU7" s="202">
        <v>0</v>
      </c>
      <c r="AV7" s="202" t="s">
        <v>1929</v>
      </c>
      <c r="AX7" s="202" t="s">
        <v>2050</v>
      </c>
      <c r="AY7" s="202">
        <v>5</v>
      </c>
    </row>
    <row r="8" spans="1:51">
      <c r="A8" s="202" t="str">
        <f t="shared" si="1"/>
        <v>张学良</v>
      </c>
      <c r="B8" s="202">
        <f>IF(C8&lt;&gt;"NA",C8,VLOOKUP(K8,Update_from_YIFIP!$X$2:$AD$174,7,FALSE))</f>
        <v>2</v>
      </c>
      <c r="C8" s="207">
        <f t="shared" si="2"/>
        <v>2</v>
      </c>
      <c r="D8" s="207">
        <f t="shared" si="3"/>
        <v>2</v>
      </c>
      <c r="E8" s="202" t="s">
        <v>2154</v>
      </c>
      <c r="F8" s="202" t="s">
        <v>2975</v>
      </c>
      <c r="G8" s="202" t="s">
        <v>2976</v>
      </c>
      <c r="H8" s="207" t="str">
        <f t="shared" si="0"/>
        <v>NA</v>
      </c>
      <c r="I8" s="202" t="s">
        <v>1929</v>
      </c>
      <c r="J8" s="202" t="s">
        <v>2972</v>
      </c>
      <c r="K8" s="202" t="s">
        <v>2980</v>
      </c>
      <c r="L8" s="202" t="s">
        <v>1745</v>
      </c>
      <c r="M8" s="202">
        <v>2</v>
      </c>
      <c r="N8" s="202">
        <v>0</v>
      </c>
      <c r="O8" s="202">
        <v>2</v>
      </c>
      <c r="P8" s="202">
        <v>1</v>
      </c>
      <c r="Q8" s="202">
        <v>1</v>
      </c>
      <c r="R8" s="202">
        <v>0</v>
      </c>
      <c r="S8" s="202">
        <v>0</v>
      </c>
      <c r="T8" s="202">
        <v>0</v>
      </c>
      <c r="U8" s="202">
        <v>0</v>
      </c>
      <c r="V8" s="202">
        <v>0</v>
      </c>
      <c r="W8" s="202">
        <v>0</v>
      </c>
      <c r="X8" s="202">
        <v>0</v>
      </c>
      <c r="Y8" s="202">
        <v>0</v>
      </c>
      <c r="Z8" s="202">
        <v>0</v>
      </c>
      <c r="AA8" s="202">
        <v>0</v>
      </c>
      <c r="AB8" s="202">
        <v>0</v>
      </c>
      <c r="AC8" s="202">
        <v>0</v>
      </c>
      <c r="AD8" s="202">
        <v>0</v>
      </c>
      <c r="AE8" s="202">
        <v>0</v>
      </c>
      <c r="AF8" s="202">
        <v>0</v>
      </c>
      <c r="AG8" s="202">
        <v>0</v>
      </c>
      <c r="AH8" s="202">
        <v>0</v>
      </c>
      <c r="AI8" s="202">
        <v>0</v>
      </c>
      <c r="AJ8" s="202">
        <v>0</v>
      </c>
      <c r="AK8" s="202">
        <v>0</v>
      </c>
      <c r="AL8" s="202">
        <v>0</v>
      </c>
      <c r="AM8" s="202">
        <v>0</v>
      </c>
      <c r="AN8" s="202">
        <v>0</v>
      </c>
      <c r="AO8" s="202">
        <v>0</v>
      </c>
      <c r="AP8" s="202">
        <v>0</v>
      </c>
      <c r="AQ8" s="202" t="s">
        <v>2979</v>
      </c>
      <c r="AR8" s="202">
        <v>0</v>
      </c>
      <c r="AS8" s="202">
        <v>0</v>
      </c>
      <c r="AT8" s="202">
        <v>13</v>
      </c>
      <c r="AU8" s="202">
        <v>0</v>
      </c>
      <c r="AV8" s="202" t="s">
        <v>1929</v>
      </c>
      <c r="AX8" s="202" t="s">
        <v>2121</v>
      </c>
      <c r="AY8" s="202">
        <v>6</v>
      </c>
    </row>
    <row r="9" spans="1:51">
      <c r="A9" s="202" t="str">
        <f t="shared" si="1"/>
        <v>张学良</v>
      </c>
      <c r="B9" s="202">
        <f>IF(C9&lt;&gt;"NA",C9,VLOOKUP(K9,Update_from_YIFIP!$X$2:$AD$174,7,FALSE))</f>
        <v>2</v>
      </c>
      <c r="C9" s="207">
        <f t="shared" si="2"/>
        <v>2</v>
      </c>
      <c r="D9" s="207">
        <f t="shared" si="3"/>
        <v>2</v>
      </c>
      <c r="E9" s="202" t="s">
        <v>2154</v>
      </c>
      <c r="F9" s="202" t="s">
        <v>2975</v>
      </c>
      <c r="G9" s="202" t="s">
        <v>2976</v>
      </c>
      <c r="H9" s="207" t="str">
        <f t="shared" si="0"/>
        <v>NA</v>
      </c>
      <c r="I9" s="202" t="s">
        <v>1929</v>
      </c>
      <c r="J9" s="202" t="s">
        <v>2972</v>
      </c>
      <c r="K9" s="202" t="s">
        <v>2982</v>
      </c>
      <c r="L9" s="202" t="s">
        <v>1746</v>
      </c>
      <c r="M9" s="202">
        <v>4</v>
      </c>
      <c r="N9" s="202">
        <v>0</v>
      </c>
      <c r="O9" s="202">
        <v>10</v>
      </c>
      <c r="P9" s="202">
        <v>1</v>
      </c>
      <c r="Q9" s="202">
        <v>2</v>
      </c>
      <c r="R9" s="202">
        <v>2</v>
      </c>
      <c r="S9" s="202">
        <v>5</v>
      </c>
      <c r="T9" s="202">
        <v>0</v>
      </c>
      <c r="U9" s="202">
        <v>0</v>
      </c>
      <c r="V9" s="202">
        <v>0</v>
      </c>
      <c r="W9" s="202">
        <v>0</v>
      </c>
      <c r="X9" s="202">
        <v>0</v>
      </c>
      <c r="Y9" s="202">
        <v>0</v>
      </c>
      <c r="Z9" s="202">
        <v>0</v>
      </c>
      <c r="AA9" s="202">
        <v>0</v>
      </c>
      <c r="AB9" s="202">
        <v>0</v>
      </c>
      <c r="AC9" s="202">
        <v>0</v>
      </c>
      <c r="AD9" s="202">
        <v>0</v>
      </c>
      <c r="AE9" s="202">
        <v>0</v>
      </c>
      <c r="AF9" s="202">
        <v>0</v>
      </c>
      <c r="AG9" s="202">
        <v>0</v>
      </c>
      <c r="AH9" s="202">
        <v>0</v>
      </c>
      <c r="AI9" s="202">
        <v>0</v>
      </c>
      <c r="AJ9" s="202">
        <v>0</v>
      </c>
      <c r="AK9" s="202">
        <v>0</v>
      </c>
      <c r="AL9" s="202">
        <v>0</v>
      </c>
      <c r="AM9" s="202">
        <v>0</v>
      </c>
      <c r="AN9" s="202">
        <v>0</v>
      </c>
      <c r="AO9" s="202">
        <v>0</v>
      </c>
      <c r="AP9" s="202">
        <v>0</v>
      </c>
      <c r="AQ9" s="202" t="s">
        <v>2981</v>
      </c>
      <c r="AR9" s="202">
        <v>0</v>
      </c>
      <c r="AS9" s="202">
        <v>0</v>
      </c>
      <c r="AT9" s="202">
        <v>3</v>
      </c>
      <c r="AU9" s="202">
        <v>0</v>
      </c>
      <c r="AV9" s="202" t="s">
        <v>1929</v>
      </c>
      <c r="AX9" s="202" t="s">
        <v>2130</v>
      </c>
      <c r="AY9" s="202">
        <v>7</v>
      </c>
    </row>
    <row r="10" spans="1:51">
      <c r="A10" s="202" t="str">
        <f t="shared" si="1"/>
        <v>张学良</v>
      </c>
      <c r="B10" s="202">
        <f>IF(C10&lt;&gt;"NA",C10,VLOOKUP(K10,Update_from_YIFIP!$X$2:$AD$174,7,FALSE))</f>
        <v>2</v>
      </c>
      <c r="C10" s="207">
        <f t="shared" si="2"/>
        <v>2</v>
      </c>
      <c r="D10" s="207">
        <f t="shared" si="3"/>
        <v>2</v>
      </c>
      <c r="E10" s="202" t="s">
        <v>2154</v>
      </c>
      <c r="F10" s="202" t="s">
        <v>2975</v>
      </c>
      <c r="G10" s="202" t="s">
        <v>2976</v>
      </c>
      <c r="H10" s="207" t="str">
        <f t="shared" si="0"/>
        <v>NA</v>
      </c>
      <c r="I10" s="202" t="s">
        <v>1929</v>
      </c>
      <c r="J10" s="202" t="s">
        <v>2972</v>
      </c>
      <c r="K10" s="202" t="s">
        <v>2984</v>
      </c>
      <c r="L10" s="202" t="s">
        <v>1747</v>
      </c>
      <c r="M10" s="202">
        <v>3</v>
      </c>
      <c r="N10" s="202">
        <v>0</v>
      </c>
      <c r="O10" s="202">
        <v>11</v>
      </c>
      <c r="P10" s="202">
        <v>2</v>
      </c>
      <c r="Q10" s="202">
        <v>3</v>
      </c>
      <c r="R10" s="202">
        <v>6</v>
      </c>
      <c r="S10" s="202">
        <v>0</v>
      </c>
      <c r="T10" s="202">
        <v>0</v>
      </c>
      <c r="U10" s="202">
        <v>0</v>
      </c>
      <c r="V10" s="202">
        <v>0</v>
      </c>
      <c r="W10" s="202">
        <v>0</v>
      </c>
      <c r="X10" s="202">
        <v>0</v>
      </c>
      <c r="Y10" s="202">
        <v>0</v>
      </c>
      <c r="Z10" s="202">
        <v>0</v>
      </c>
      <c r="AA10" s="202">
        <v>0</v>
      </c>
      <c r="AB10" s="202">
        <v>0</v>
      </c>
      <c r="AC10" s="202">
        <v>0</v>
      </c>
      <c r="AD10" s="202">
        <v>0</v>
      </c>
      <c r="AE10" s="202">
        <v>0</v>
      </c>
      <c r="AF10" s="202">
        <v>0</v>
      </c>
      <c r="AG10" s="202">
        <v>0</v>
      </c>
      <c r="AH10" s="202">
        <v>0</v>
      </c>
      <c r="AI10" s="202">
        <v>0</v>
      </c>
      <c r="AJ10" s="202">
        <v>0</v>
      </c>
      <c r="AK10" s="202">
        <v>0</v>
      </c>
      <c r="AL10" s="202">
        <v>0</v>
      </c>
      <c r="AM10" s="202">
        <v>0</v>
      </c>
      <c r="AN10" s="202">
        <v>0</v>
      </c>
      <c r="AO10" s="202">
        <v>0</v>
      </c>
      <c r="AP10" s="202">
        <v>0</v>
      </c>
      <c r="AQ10" s="202" t="s">
        <v>2983</v>
      </c>
      <c r="AR10" s="202">
        <v>0</v>
      </c>
      <c r="AS10" s="202">
        <v>0</v>
      </c>
      <c r="AT10" s="202">
        <v>0.5</v>
      </c>
      <c r="AU10" s="202" t="s">
        <v>2319</v>
      </c>
      <c r="AV10" s="202" t="s">
        <v>1929</v>
      </c>
      <c r="AX10" s="202" t="s">
        <v>2129</v>
      </c>
      <c r="AY10" s="202">
        <v>8</v>
      </c>
    </row>
    <row r="11" spans="1:51">
      <c r="A11" s="202" t="str">
        <f t="shared" si="1"/>
        <v>李明祥</v>
      </c>
      <c r="B11" s="202">
        <f>IF(C11&lt;&gt;"NA",C11,VLOOKUP(K11,Update_from_YIFIP!$X$2:$AD$174,7,FALSE))</f>
        <v>3</v>
      </c>
      <c r="C11" s="207">
        <f t="shared" si="2"/>
        <v>3</v>
      </c>
      <c r="D11" s="207">
        <f t="shared" si="3"/>
        <v>3</v>
      </c>
      <c r="E11" s="202" t="s">
        <v>2071</v>
      </c>
      <c r="F11" s="202" t="s">
        <v>2747</v>
      </c>
      <c r="G11" s="202" t="s">
        <v>2748</v>
      </c>
      <c r="H11" s="207" t="str">
        <f t="shared" si="0"/>
        <v>NA</v>
      </c>
      <c r="I11" s="202" t="s">
        <v>1929</v>
      </c>
      <c r="J11" s="202" t="s">
        <v>2743</v>
      </c>
      <c r="K11" s="202" t="s">
        <v>2745</v>
      </c>
      <c r="L11" s="202" t="s">
        <v>1455</v>
      </c>
      <c r="M11" s="202">
        <v>10</v>
      </c>
      <c r="N11" s="202">
        <v>0</v>
      </c>
      <c r="O11" s="202">
        <v>130</v>
      </c>
      <c r="P11" s="202">
        <v>8</v>
      </c>
      <c r="Q11" s="202">
        <v>12</v>
      </c>
      <c r="R11" s="202">
        <v>19</v>
      </c>
      <c r="S11" s="202">
        <v>16</v>
      </c>
      <c r="T11" s="202">
        <v>21</v>
      </c>
      <c r="U11" s="202">
        <v>9</v>
      </c>
      <c r="V11" s="202">
        <v>8</v>
      </c>
      <c r="W11" s="202">
        <v>10</v>
      </c>
      <c r="X11" s="202">
        <v>16</v>
      </c>
      <c r="Y11" s="202">
        <v>11</v>
      </c>
      <c r="Z11" s="202">
        <v>0</v>
      </c>
      <c r="AA11" s="202">
        <v>0</v>
      </c>
      <c r="AB11" s="202">
        <v>0</v>
      </c>
      <c r="AC11" s="202">
        <v>0</v>
      </c>
      <c r="AD11" s="202">
        <v>0</v>
      </c>
      <c r="AE11" s="202">
        <v>0</v>
      </c>
      <c r="AF11" s="202">
        <v>0</v>
      </c>
      <c r="AG11" s="202">
        <v>0</v>
      </c>
      <c r="AH11" s="202">
        <v>0</v>
      </c>
      <c r="AI11" s="202">
        <v>0</v>
      </c>
      <c r="AJ11" s="202">
        <v>0</v>
      </c>
      <c r="AK11" s="202">
        <v>0</v>
      </c>
      <c r="AL11" s="202">
        <v>0</v>
      </c>
      <c r="AM11" s="202">
        <v>0</v>
      </c>
      <c r="AN11" s="202">
        <v>0</v>
      </c>
      <c r="AO11" s="202">
        <v>0</v>
      </c>
      <c r="AP11" s="202">
        <v>0</v>
      </c>
      <c r="AQ11" s="202" t="s">
        <v>2744</v>
      </c>
      <c r="AR11" s="202">
        <v>0</v>
      </c>
      <c r="AS11" s="202">
        <v>0</v>
      </c>
      <c r="AT11" s="202">
        <v>40</v>
      </c>
      <c r="AU11" s="202" t="s">
        <v>2746</v>
      </c>
      <c r="AV11" s="202">
        <v>8</v>
      </c>
      <c r="AX11" s="202" t="s">
        <v>2042</v>
      </c>
      <c r="AY11" s="202">
        <v>9</v>
      </c>
    </row>
    <row r="12" spans="1:51">
      <c r="A12" s="202" t="str">
        <f t="shared" si="1"/>
        <v>李明祥</v>
      </c>
      <c r="B12" s="202">
        <f>IF(C12&lt;&gt;"NA",C12,VLOOKUP(K12,Update_from_YIFIP!$X$2:$AD$174,7,FALSE))</f>
        <v>3</v>
      </c>
      <c r="C12" s="207">
        <f t="shared" si="2"/>
        <v>3</v>
      </c>
      <c r="D12" s="207">
        <f t="shared" si="3"/>
        <v>3</v>
      </c>
      <c r="E12" s="202" t="s">
        <v>2071</v>
      </c>
      <c r="F12" s="202" t="s">
        <v>2747</v>
      </c>
      <c r="G12" s="202" t="s">
        <v>2748</v>
      </c>
      <c r="H12" s="207" t="str">
        <f t="shared" si="0"/>
        <v>NA</v>
      </c>
      <c r="I12" s="202" t="s">
        <v>1929</v>
      </c>
      <c r="J12" s="202" t="s">
        <v>2743</v>
      </c>
      <c r="K12" s="202" t="s">
        <v>2750</v>
      </c>
      <c r="L12" s="202" t="s">
        <v>1456</v>
      </c>
      <c r="M12" s="202">
        <v>0</v>
      </c>
      <c r="N12" s="202">
        <v>5</v>
      </c>
      <c r="O12" s="202">
        <v>81</v>
      </c>
      <c r="P12" s="202">
        <v>19</v>
      </c>
      <c r="Q12" s="202">
        <v>10</v>
      </c>
      <c r="R12" s="202">
        <v>16</v>
      </c>
      <c r="S12" s="202">
        <v>17</v>
      </c>
      <c r="T12" s="202">
        <v>19</v>
      </c>
      <c r="U12" s="202">
        <v>0</v>
      </c>
      <c r="V12" s="202">
        <v>0</v>
      </c>
      <c r="W12" s="202">
        <v>0</v>
      </c>
      <c r="X12" s="202">
        <v>0</v>
      </c>
      <c r="Y12" s="202">
        <v>0</v>
      </c>
      <c r="Z12" s="202">
        <v>0</v>
      </c>
      <c r="AA12" s="202">
        <v>0</v>
      </c>
      <c r="AB12" s="202">
        <v>0</v>
      </c>
      <c r="AC12" s="202">
        <v>0</v>
      </c>
      <c r="AD12" s="202">
        <v>0</v>
      </c>
      <c r="AE12" s="202">
        <v>0</v>
      </c>
      <c r="AF12" s="202">
        <v>0</v>
      </c>
      <c r="AG12" s="202">
        <v>0</v>
      </c>
      <c r="AH12" s="202">
        <v>0</v>
      </c>
      <c r="AI12" s="202">
        <v>0</v>
      </c>
      <c r="AJ12" s="202">
        <v>0</v>
      </c>
      <c r="AK12" s="202">
        <v>0</v>
      </c>
      <c r="AL12" s="202">
        <v>0</v>
      </c>
      <c r="AM12" s="202">
        <v>0</v>
      </c>
      <c r="AN12" s="202">
        <v>0</v>
      </c>
      <c r="AO12" s="202">
        <v>0</v>
      </c>
      <c r="AP12" s="202">
        <v>0</v>
      </c>
      <c r="AQ12" s="202" t="s">
        <v>2749</v>
      </c>
      <c r="AR12" s="202">
        <v>0</v>
      </c>
      <c r="AS12" s="202">
        <v>0</v>
      </c>
      <c r="AT12" s="202">
        <v>12.5</v>
      </c>
      <c r="AU12" s="202">
        <v>0</v>
      </c>
      <c r="AV12" s="202">
        <v>2.5</v>
      </c>
      <c r="AX12" s="202" t="s">
        <v>2105</v>
      </c>
      <c r="AY12" s="202">
        <v>10</v>
      </c>
    </row>
    <row r="13" spans="1:51">
      <c r="A13" s="202" t="str">
        <f t="shared" si="1"/>
        <v>李明祥</v>
      </c>
      <c r="B13" s="202">
        <f>IF(C13&lt;&gt;"NA",C13,VLOOKUP(K13,Update_from_YIFIP!$X$2:$AD$174,7,FALSE))</f>
        <v>3</v>
      </c>
      <c r="C13" s="207">
        <f t="shared" si="2"/>
        <v>3</v>
      </c>
      <c r="D13" s="207">
        <f t="shared" si="3"/>
        <v>3</v>
      </c>
      <c r="E13" s="202" t="s">
        <v>2071</v>
      </c>
      <c r="F13" s="202" t="s">
        <v>2747</v>
      </c>
      <c r="G13" s="202" t="s">
        <v>2748</v>
      </c>
      <c r="H13" s="207" t="str">
        <f t="shared" si="0"/>
        <v>NA</v>
      </c>
      <c r="I13" s="202" t="s">
        <v>1929</v>
      </c>
      <c r="J13" s="202" t="s">
        <v>2743</v>
      </c>
      <c r="K13" s="202" t="s">
        <v>2750</v>
      </c>
      <c r="L13" s="202" t="s">
        <v>1457</v>
      </c>
      <c r="M13" s="202">
        <v>10</v>
      </c>
      <c r="N13" s="202">
        <v>0</v>
      </c>
      <c r="O13" s="202">
        <v>203</v>
      </c>
      <c r="P13" s="202">
        <v>18</v>
      </c>
      <c r="Q13" s="202">
        <v>24</v>
      </c>
      <c r="R13" s="202">
        <v>15</v>
      </c>
      <c r="S13" s="202">
        <v>16</v>
      </c>
      <c r="T13" s="202">
        <v>13</v>
      </c>
      <c r="U13" s="202">
        <v>28</v>
      </c>
      <c r="V13" s="202">
        <v>21</v>
      </c>
      <c r="W13" s="202">
        <v>21</v>
      </c>
      <c r="X13" s="202">
        <v>17</v>
      </c>
      <c r="Y13" s="202">
        <v>30</v>
      </c>
      <c r="Z13" s="202">
        <v>0</v>
      </c>
      <c r="AA13" s="202">
        <v>0</v>
      </c>
      <c r="AB13" s="202">
        <v>0</v>
      </c>
      <c r="AC13" s="202">
        <v>0</v>
      </c>
      <c r="AD13" s="202">
        <v>0</v>
      </c>
      <c r="AE13" s="202">
        <v>0</v>
      </c>
      <c r="AF13" s="202">
        <v>0</v>
      </c>
      <c r="AG13" s="202">
        <v>0</v>
      </c>
      <c r="AH13" s="202">
        <v>0</v>
      </c>
      <c r="AI13" s="202">
        <v>0</v>
      </c>
      <c r="AJ13" s="202">
        <v>0</v>
      </c>
      <c r="AK13" s="202">
        <v>0</v>
      </c>
      <c r="AL13" s="202">
        <v>0</v>
      </c>
      <c r="AM13" s="202">
        <v>0</v>
      </c>
      <c r="AN13" s="202">
        <v>0</v>
      </c>
      <c r="AO13" s="202">
        <v>0</v>
      </c>
      <c r="AP13" s="202">
        <v>0</v>
      </c>
      <c r="AQ13" s="202" t="s">
        <v>2751</v>
      </c>
      <c r="AR13" s="202">
        <v>0</v>
      </c>
      <c r="AS13" s="202">
        <v>0</v>
      </c>
      <c r="AT13" s="202">
        <v>62.5</v>
      </c>
      <c r="AU13" s="202" t="s">
        <v>2752</v>
      </c>
      <c r="AV13" s="202">
        <v>12.5</v>
      </c>
      <c r="AX13" s="202" t="s">
        <v>2127</v>
      </c>
      <c r="AY13" s="202">
        <v>11</v>
      </c>
    </row>
    <row r="14" spans="1:51">
      <c r="A14" s="202" t="str">
        <f t="shared" si="1"/>
        <v>李明祥</v>
      </c>
      <c r="B14" s="202">
        <f>IF(C14&lt;&gt;"NA",C14,VLOOKUP(K14,Update_from_YIFIP!$X$2:$AD$174,7,FALSE))</f>
        <v>3</v>
      </c>
      <c r="C14" s="207">
        <f t="shared" si="2"/>
        <v>3</v>
      </c>
      <c r="D14" s="207">
        <f t="shared" si="3"/>
        <v>3</v>
      </c>
      <c r="E14" s="202" t="s">
        <v>2071</v>
      </c>
      <c r="F14" s="202" t="s">
        <v>2747</v>
      </c>
      <c r="G14" s="202" t="s">
        <v>2748</v>
      </c>
      <c r="H14" s="207" t="str">
        <f t="shared" si="0"/>
        <v>NA</v>
      </c>
      <c r="I14" s="202" t="s">
        <v>1929</v>
      </c>
      <c r="J14" s="202" t="s">
        <v>2743</v>
      </c>
      <c r="K14" s="202" t="s">
        <v>2754</v>
      </c>
      <c r="L14" s="202" t="s">
        <v>1458</v>
      </c>
      <c r="M14" s="202">
        <v>10</v>
      </c>
      <c r="N14" s="202">
        <v>0</v>
      </c>
      <c r="O14" s="202">
        <v>181</v>
      </c>
      <c r="P14" s="202">
        <v>23</v>
      </c>
      <c r="Q14" s="202">
        <v>16</v>
      </c>
      <c r="R14" s="202">
        <v>16</v>
      </c>
      <c r="S14" s="202">
        <v>11</v>
      </c>
      <c r="T14" s="202">
        <v>41</v>
      </c>
      <c r="U14" s="202">
        <v>10</v>
      </c>
      <c r="V14" s="202">
        <v>16</v>
      </c>
      <c r="W14" s="202">
        <v>8</v>
      </c>
      <c r="X14" s="202">
        <v>26</v>
      </c>
      <c r="Y14" s="202">
        <v>14</v>
      </c>
      <c r="Z14" s="202">
        <v>0</v>
      </c>
      <c r="AA14" s="202">
        <v>0</v>
      </c>
      <c r="AB14" s="202">
        <v>0</v>
      </c>
      <c r="AC14" s="202">
        <v>0</v>
      </c>
      <c r="AD14" s="202">
        <v>0</v>
      </c>
      <c r="AE14" s="202">
        <v>0</v>
      </c>
      <c r="AF14" s="202">
        <v>0</v>
      </c>
      <c r="AG14" s="202">
        <v>0</v>
      </c>
      <c r="AH14" s="202">
        <v>0</v>
      </c>
      <c r="AI14" s="202">
        <v>0</v>
      </c>
      <c r="AJ14" s="202">
        <v>0</v>
      </c>
      <c r="AK14" s="202">
        <v>0</v>
      </c>
      <c r="AL14" s="202">
        <v>0</v>
      </c>
      <c r="AM14" s="202">
        <v>0</v>
      </c>
      <c r="AN14" s="202">
        <v>0</v>
      </c>
      <c r="AO14" s="202">
        <v>0</v>
      </c>
      <c r="AP14" s="202">
        <v>0</v>
      </c>
      <c r="AQ14" s="202" t="s">
        <v>2753</v>
      </c>
      <c r="AR14" s="202">
        <v>0</v>
      </c>
      <c r="AS14" s="202">
        <v>0</v>
      </c>
      <c r="AT14" s="202">
        <v>50.5</v>
      </c>
      <c r="AU14" s="202" t="s">
        <v>2755</v>
      </c>
      <c r="AV14" s="202">
        <v>10.1</v>
      </c>
      <c r="AX14" s="202" t="s">
        <v>2028</v>
      </c>
      <c r="AY14" s="202">
        <v>12</v>
      </c>
    </row>
    <row r="15" spans="1:51">
      <c r="A15" s="202" t="str">
        <f t="shared" si="1"/>
        <v>李开应&amp;苏连发</v>
      </c>
      <c r="B15" s="202">
        <f>IF(C15&lt;&gt;"NA",C15,VLOOKUP(K15,Update_from_YIFIP!$X$2:$AD$174,7,FALSE))</f>
        <v>4</v>
      </c>
      <c r="C15" s="207">
        <f t="shared" si="2"/>
        <v>4</v>
      </c>
      <c r="D15" s="207">
        <f t="shared" si="3"/>
        <v>4</v>
      </c>
      <c r="E15" s="202" t="s">
        <v>2067</v>
      </c>
      <c r="F15" s="202" t="s">
        <v>2428</v>
      </c>
      <c r="G15" s="202" t="s">
        <v>2427</v>
      </c>
      <c r="H15" s="207" t="str">
        <f t="shared" si="0"/>
        <v>NA</v>
      </c>
      <c r="I15" s="202" t="s">
        <v>3175</v>
      </c>
      <c r="J15" s="202" t="s">
        <v>2275</v>
      </c>
      <c r="K15" s="202" t="s">
        <v>2426</v>
      </c>
      <c r="L15" s="202" t="s">
        <v>1295</v>
      </c>
      <c r="M15" s="202">
        <v>10</v>
      </c>
      <c r="N15" s="202">
        <v>0</v>
      </c>
      <c r="O15" s="202">
        <v>75</v>
      </c>
      <c r="P15" s="202">
        <v>4</v>
      </c>
      <c r="Q15" s="202">
        <v>7</v>
      </c>
      <c r="R15" s="202">
        <v>2</v>
      </c>
      <c r="S15" s="202">
        <v>7</v>
      </c>
      <c r="T15" s="202">
        <v>6</v>
      </c>
      <c r="U15" s="202">
        <v>5</v>
      </c>
      <c r="V15" s="202">
        <v>6</v>
      </c>
      <c r="W15" s="202">
        <v>4</v>
      </c>
      <c r="X15" s="202">
        <v>14</v>
      </c>
      <c r="Y15" s="202">
        <v>20</v>
      </c>
      <c r="Z15" s="202">
        <v>0</v>
      </c>
      <c r="AA15" s="202">
        <v>0</v>
      </c>
      <c r="AB15" s="202">
        <v>0</v>
      </c>
      <c r="AC15" s="202">
        <v>0</v>
      </c>
      <c r="AD15" s="202">
        <v>0</v>
      </c>
      <c r="AE15" s="202">
        <v>0</v>
      </c>
      <c r="AF15" s="202">
        <v>0</v>
      </c>
      <c r="AG15" s="202">
        <v>0</v>
      </c>
      <c r="AH15" s="202">
        <v>0</v>
      </c>
      <c r="AI15" s="202">
        <v>0</v>
      </c>
      <c r="AJ15" s="202">
        <v>0</v>
      </c>
      <c r="AK15" s="202">
        <v>0</v>
      </c>
      <c r="AL15" s="202">
        <v>0</v>
      </c>
      <c r="AM15" s="202">
        <v>0</v>
      </c>
      <c r="AN15" s="202">
        <v>0</v>
      </c>
      <c r="AO15" s="202">
        <v>0</v>
      </c>
      <c r="AP15" s="202">
        <v>0</v>
      </c>
      <c r="AQ15" s="202" t="s">
        <v>1942</v>
      </c>
      <c r="AR15" s="202" t="s">
        <v>1942</v>
      </c>
      <c r="AS15" s="202">
        <v>0</v>
      </c>
      <c r="AT15" s="202">
        <v>10</v>
      </c>
      <c r="AU15" s="202">
        <v>0</v>
      </c>
      <c r="AV15" s="202">
        <v>2</v>
      </c>
      <c r="AX15" s="202" t="s">
        <v>2165</v>
      </c>
      <c r="AY15" s="202">
        <v>13</v>
      </c>
    </row>
    <row r="16" spans="1:51">
      <c r="A16" s="202" t="str">
        <f t="shared" si="1"/>
        <v>李开应&amp;苏连发</v>
      </c>
      <c r="B16" s="202">
        <f>IF(C16&lt;&gt;"NA",C16,VLOOKUP(K16,Update_from_YIFIP!$X$2:$AD$174,7,FALSE))</f>
        <v>4</v>
      </c>
      <c r="C16" s="207">
        <f t="shared" si="2"/>
        <v>4</v>
      </c>
      <c r="D16" s="207">
        <f t="shared" si="3"/>
        <v>4</v>
      </c>
      <c r="E16" s="202" t="s">
        <v>2067</v>
      </c>
      <c r="F16" s="202" t="s">
        <v>2428</v>
      </c>
      <c r="G16" s="202" t="s">
        <v>2427</v>
      </c>
      <c r="H16" s="207" t="str">
        <f t="shared" si="0"/>
        <v>NA</v>
      </c>
      <c r="I16" s="202" t="s">
        <v>3175</v>
      </c>
      <c r="J16" s="202" t="s">
        <v>2275</v>
      </c>
      <c r="K16" s="202" t="s">
        <v>2429</v>
      </c>
      <c r="L16" s="202" t="s">
        <v>1296</v>
      </c>
      <c r="M16" s="202">
        <v>10</v>
      </c>
      <c r="N16" s="202">
        <v>0</v>
      </c>
      <c r="O16" s="202">
        <v>59</v>
      </c>
      <c r="P16" s="202">
        <v>3</v>
      </c>
      <c r="Q16" s="202">
        <v>4</v>
      </c>
      <c r="R16" s="202">
        <v>4</v>
      </c>
      <c r="S16" s="202">
        <v>5</v>
      </c>
      <c r="T16" s="202">
        <v>8</v>
      </c>
      <c r="U16" s="202">
        <v>7</v>
      </c>
      <c r="V16" s="202">
        <v>7</v>
      </c>
      <c r="W16" s="202">
        <v>7</v>
      </c>
      <c r="X16" s="202">
        <v>7</v>
      </c>
      <c r="Y16" s="202">
        <v>7</v>
      </c>
      <c r="Z16" s="202">
        <v>0</v>
      </c>
      <c r="AA16" s="202">
        <v>0</v>
      </c>
      <c r="AB16" s="202">
        <v>0</v>
      </c>
      <c r="AC16" s="202">
        <v>0</v>
      </c>
      <c r="AD16" s="202">
        <v>0</v>
      </c>
      <c r="AE16" s="202">
        <v>0</v>
      </c>
      <c r="AF16" s="202">
        <v>0</v>
      </c>
      <c r="AG16" s="202">
        <v>0</v>
      </c>
      <c r="AH16" s="202">
        <v>0</v>
      </c>
      <c r="AI16" s="202">
        <v>0</v>
      </c>
      <c r="AJ16" s="202">
        <v>0</v>
      </c>
      <c r="AK16" s="202">
        <v>0</v>
      </c>
      <c r="AL16" s="202">
        <v>0</v>
      </c>
      <c r="AM16" s="202">
        <v>0</v>
      </c>
      <c r="AN16" s="202">
        <v>0</v>
      </c>
      <c r="AO16" s="202">
        <v>0</v>
      </c>
      <c r="AP16" s="202">
        <v>0</v>
      </c>
      <c r="AQ16" s="202" t="s">
        <v>1976</v>
      </c>
      <c r="AR16" s="202" t="s">
        <v>1976</v>
      </c>
      <c r="AS16" s="202">
        <v>0</v>
      </c>
      <c r="AT16" s="202">
        <v>12.5</v>
      </c>
      <c r="AU16" s="202">
        <v>0</v>
      </c>
      <c r="AV16" s="202">
        <v>2.5</v>
      </c>
      <c r="AX16" s="202" t="s">
        <v>2049</v>
      </c>
      <c r="AY16" s="202">
        <v>14</v>
      </c>
    </row>
    <row r="17" spans="1:51">
      <c r="A17" s="202" t="str">
        <f t="shared" si="1"/>
        <v>李开应&amp;苏连发</v>
      </c>
      <c r="B17" s="202">
        <f>IF(C17&lt;&gt;"NA",C17,VLOOKUP(K17,Update_from_YIFIP!$X$2:$AD$174,7,FALSE))</f>
        <v>4</v>
      </c>
      <c r="C17" s="207">
        <f t="shared" si="2"/>
        <v>4</v>
      </c>
      <c r="D17" s="207">
        <f t="shared" si="3"/>
        <v>4</v>
      </c>
      <c r="E17" s="202" t="s">
        <v>2067</v>
      </c>
      <c r="F17" s="202" t="s">
        <v>2428</v>
      </c>
      <c r="G17" s="202" t="s">
        <v>2427</v>
      </c>
      <c r="H17" s="207" t="str">
        <f t="shared" si="0"/>
        <v>NA</v>
      </c>
      <c r="I17" s="202" t="s">
        <v>3175</v>
      </c>
      <c r="J17" s="202" t="s">
        <v>2275</v>
      </c>
      <c r="K17" s="202" t="s">
        <v>2430</v>
      </c>
      <c r="L17" s="202" t="s">
        <v>1297</v>
      </c>
      <c r="M17" s="202">
        <v>10</v>
      </c>
      <c r="N17" s="202">
        <v>0</v>
      </c>
      <c r="O17" s="202">
        <v>71</v>
      </c>
      <c r="P17" s="202">
        <v>4</v>
      </c>
      <c r="Q17" s="202">
        <v>4</v>
      </c>
      <c r="R17" s="202">
        <v>2</v>
      </c>
      <c r="S17" s="202">
        <v>3</v>
      </c>
      <c r="T17" s="202">
        <v>6</v>
      </c>
      <c r="U17" s="202">
        <v>4</v>
      </c>
      <c r="V17" s="202">
        <v>4</v>
      </c>
      <c r="W17" s="202">
        <v>8</v>
      </c>
      <c r="X17" s="202">
        <v>6</v>
      </c>
      <c r="Y17" s="202">
        <v>30</v>
      </c>
      <c r="Z17" s="202">
        <v>0</v>
      </c>
      <c r="AA17" s="202">
        <v>0</v>
      </c>
      <c r="AB17" s="202">
        <v>0</v>
      </c>
      <c r="AC17" s="202">
        <v>0</v>
      </c>
      <c r="AD17" s="202">
        <v>0</v>
      </c>
      <c r="AE17" s="202">
        <v>0</v>
      </c>
      <c r="AF17" s="202">
        <v>0</v>
      </c>
      <c r="AG17" s="202">
        <v>0</v>
      </c>
      <c r="AH17" s="202">
        <v>0</v>
      </c>
      <c r="AI17" s="202">
        <v>0</v>
      </c>
      <c r="AJ17" s="202">
        <v>0</v>
      </c>
      <c r="AK17" s="202">
        <v>0</v>
      </c>
      <c r="AL17" s="202">
        <v>0</v>
      </c>
      <c r="AM17" s="202">
        <v>0</v>
      </c>
      <c r="AN17" s="202">
        <v>0</v>
      </c>
      <c r="AO17" s="202">
        <v>0</v>
      </c>
      <c r="AP17" s="202">
        <v>0</v>
      </c>
      <c r="AQ17" s="202" t="s">
        <v>1935</v>
      </c>
      <c r="AR17" s="202" t="s">
        <v>1935</v>
      </c>
      <c r="AS17" s="202">
        <v>0</v>
      </c>
      <c r="AT17" s="202">
        <v>10</v>
      </c>
      <c r="AU17" s="202">
        <v>0</v>
      </c>
      <c r="AV17" s="202">
        <v>2</v>
      </c>
      <c r="AX17" s="202" t="s">
        <v>2153</v>
      </c>
      <c r="AY17" s="202">
        <v>15</v>
      </c>
    </row>
    <row r="18" spans="1:51">
      <c r="A18" s="202" t="str">
        <f t="shared" si="1"/>
        <v>李开应&amp;苏连发</v>
      </c>
      <c r="B18" s="202">
        <f>IF(C18&lt;&gt;"NA",C18,VLOOKUP(K18,Update_from_YIFIP!$X$2:$AD$174,7,FALSE))</f>
        <v>4</v>
      </c>
      <c r="C18" s="207">
        <f t="shared" si="2"/>
        <v>4</v>
      </c>
      <c r="D18" s="207">
        <f t="shared" si="3"/>
        <v>4</v>
      </c>
      <c r="E18" s="202" t="s">
        <v>2067</v>
      </c>
      <c r="F18" s="202" t="s">
        <v>2428</v>
      </c>
      <c r="G18" s="202" t="s">
        <v>2427</v>
      </c>
      <c r="H18" s="207" t="str">
        <f t="shared" si="0"/>
        <v>NA</v>
      </c>
      <c r="I18" s="202" t="s">
        <v>3175</v>
      </c>
      <c r="J18" s="202" t="s">
        <v>2275</v>
      </c>
      <c r="K18" s="202" t="s">
        <v>2431</v>
      </c>
      <c r="L18" s="202" t="s">
        <v>1298</v>
      </c>
      <c r="M18" s="202">
        <v>10</v>
      </c>
      <c r="N18" s="202">
        <v>0</v>
      </c>
      <c r="O18" s="202">
        <v>77</v>
      </c>
      <c r="P18" s="202">
        <v>4</v>
      </c>
      <c r="Q18" s="202">
        <v>4</v>
      </c>
      <c r="R18" s="202">
        <v>5</v>
      </c>
      <c r="S18" s="202">
        <v>5</v>
      </c>
      <c r="T18" s="202">
        <v>5</v>
      </c>
      <c r="U18" s="202">
        <v>6</v>
      </c>
      <c r="V18" s="202">
        <v>6</v>
      </c>
      <c r="W18" s="202">
        <v>6</v>
      </c>
      <c r="X18" s="202">
        <v>8</v>
      </c>
      <c r="Y18" s="202">
        <v>28</v>
      </c>
      <c r="Z18" s="202">
        <v>0</v>
      </c>
      <c r="AA18" s="202">
        <v>0</v>
      </c>
      <c r="AB18" s="202">
        <v>0</v>
      </c>
      <c r="AC18" s="202">
        <v>0</v>
      </c>
      <c r="AD18" s="202">
        <v>0</v>
      </c>
      <c r="AE18" s="202">
        <v>0</v>
      </c>
      <c r="AF18" s="202">
        <v>0</v>
      </c>
      <c r="AG18" s="202">
        <v>0</v>
      </c>
      <c r="AH18" s="202">
        <v>0</v>
      </c>
      <c r="AI18" s="202">
        <v>0</v>
      </c>
      <c r="AJ18" s="202">
        <v>0</v>
      </c>
      <c r="AK18" s="202">
        <v>0</v>
      </c>
      <c r="AL18" s="202">
        <v>0</v>
      </c>
      <c r="AM18" s="202">
        <v>0</v>
      </c>
      <c r="AN18" s="202">
        <v>0</v>
      </c>
      <c r="AO18" s="202">
        <v>0</v>
      </c>
      <c r="AP18" s="202">
        <v>0</v>
      </c>
      <c r="AQ18" s="202" t="s">
        <v>1936</v>
      </c>
      <c r="AR18" s="202" t="s">
        <v>1936</v>
      </c>
      <c r="AS18" s="202">
        <v>0</v>
      </c>
      <c r="AT18" s="202">
        <v>12.5</v>
      </c>
      <c r="AU18" s="202">
        <v>0</v>
      </c>
      <c r="AV18" s="202">
        <v>2.5</v>
      </c>
      <c r="AX18" s="202" t="s">
        <v>2089</v>
      </c>
      <c r="AY18" s="202">
        <v>16</v>
      </c>
    </row>
    <row r="19" spans="1:51">
      <c r="A19" s="202" t="str">
        <f t="shared" si="1"/>
        <v>黄正先</v>
      </c>
      <c r="B19" s="202">
        <f>IF(C19&lt;&gt;"NA",C19,VLOOKUP(K19,Update_from_YIFIP!$X$2:$AD$174,7,FALSE))</f>
        <v>5</v>
      </c>
      <c r="C19" s="207">
        <f t="shared" si="2"/>
        <v>5</v>
      </c>
      <c r="D19" s="207">
        <f t="shared" si="3"/>
        <v>5</v>
      </c>
      <c r="E19" s="202" t="s">
        <v>2050</v>
      </c>
      <c r="F19" s="202" t="s">
        <v>1929</v>
      </c>
      <c r="G19" s="202" t="s">
        <v>3072</v>
      </c>
      <c r="H19" s="207" t="str">
        <f t="shared" si="0"/>
        <v>NA</v>
      </c>
      <c r="I19" s="202" t="s">
        <v>1929</v>
      </c>
      <c r="J19" s="202" t="s">
        <v>3070</v>
      </c>
      <c r="K19" s="202" t="s">
        <v>2514</v>
      </c>
      <c r="L19" s="202" t="s">
        <v>1576</v>
      </c>
      <c r="M19" s="202">
        <v>10</v>
      </c>
      <c r="N19" s="202">
        <v>0</v>
      </c>
      <c r="O19" s="202">
        <v>19</v>
      </c>
      <c r="P19" s="202">
        <v>1</v>
      </c>
      <c r="Q19" s="202">
        <v>1</v>
      </c>
      <c r="R19" s="202">
        <v>2</v>
      </c>
      <c r="S19" s="202">
        <v>2</v>
      </c>
      <c r="T19" s="202">
        <v>2</v>
      </c>
      <c r="U19" s="202">
        <v>2</v>
      </c>
      <c r="V19" s="202">
        <v>2</v>
      </c>
      <c r="W19" s="202">
        <v>2</v>
      </c>
      <c r="X19" s="202">
        <v>2</v>
      </c>
      <c r="Y19" s="202">
        <v>3</v>
      </c>
      <c r="Z19" s="202">
        <v>0</v>
      </c>
      <c r="AA19" s="202">
        <v>0</v>
      </c>
      <c r="AB19" s="202">
        <v>0</v>
      </c>
      <c r="AC19" s="202">
        <v>0</v>
      </c>
      <c r="AD19" s="202">
        <v>0</v>
      </c>
      <c r="AE19" s="202">
        <v>0</v>
      </c>
      <c r="AF19" s="202">
        <v>0</v>
      </c>
      <c r="AG19" s="202">
        <v>0</v>
      </c>
      <c r="AH19" s="202">
        <v>0</v>
      </c>
      <c r="AI19" s="202">
        <v>0</v>
      </c>
      <c r="AJ19" s="202">
        <v>0</v>
      </c>
      <c r="AK19" s="202">
        <v>0</v>
      </c>
      <c r="AL19" s="202">
        <v>0</v>
      </c>
      <c r="AM19" s="202">
        <v>0</v>
      </c>
      <c r="AN19" s="202">
        <v>0</v>
      </c>
      <c r="AO19" s="202">
        <v>0</v>
      </c>
      <c r="AP19" s="202">
        <v>0</v>
      </c>
      <c r="AQ19" s="202" t="s">
        <v>3071</v>
      </c>
      <c r="AR19" s="202">
        <v>0</v>
      </c>
      <c r="AS19" s="202">
        <v>0</v>
      </c>
      <c r="AT19" s="202">
        <v>5</v>
      </c>
      <c r="AU19" s="202">
        <v>0</v>
      </c>
      <c r="AV19" s="202">
        <v>1</v>
      </c>
      <c r="AX19" s="202" t="s">
        <v>2123</v>
      </c>
      <c r="AY19" s="202">
        <v>17</v>
      </c>
    </row>
    <row r="20" spans="1:51">
      <c r="A20" s="202" t="str">
        <f t="shared" si="1"/>
        <v>黄正先</v>
      </c>
      <c r="B20" s="202">
        <f>IF(C20&lt;&gt;"NA",C20,VLOOKUP(K20,Update_from_YIFIP!$X$2:$AD$174,7,FALSE))</f>
        <v>5</v>
      </c>
      <c r="C20" s="207">
        <f t="shared" si="2"/>
        <v>5</v>
      </c>
      <c r="D20" s="207">
        <f t="shared" si="3"/>
        <v>5</v>
      </c>
      <c r="E20" s="202" t="s">
        <v>2050</v>
      </c>
      <c r="F20" s="202" t="s">
        <v>1929</v>
      </c>
      <c r="G20" s="202" t="s">
        <v>3072</v>
      </c>
      <c r="H20" s="207" t="str">
        <f t="shared" si="0"/>
        <v>NA</v>
      </c>
      <c r="I20" s="202" t="s">
        <v>1929</v>
      </c>
      <c r="J20" s="202" t="s">
        <v>1058</v>
      </c>
      <c r="K20" s="202">
        <v>0</v>
      </c>
      <c r="L20" s="202" t="s">
        <v>1577</v>
      </c>
      <c r="M20" s="202">
        <v>10</v>
      </c>
      <c r="N20" s="202">
        <v>0</v>
      </c>
      <c r="O20" s="202">
        <v>34</v>
      </c>
      <c r="P20" s="202">
        <v>2</v>
      </c>
      <c r="Q20" s="202">
        <v>2</v>
      </c>
      <c r="R20" s="202">
        <v>5</v>
      </c>
      <c r="S20" s="202">
        <v>5</v>
      </c>
      <c r="T20" s="202">
        <v>3</v>
      </c>
      <c r="U20" s="202">
        <v>3</v>
      </c>
      <c r="V20" s="202">
        <v>3</v>
      </c>
      <c r="W20" s="202">
        <v>1</v>
      </c>
      <c r="X20" s="202">
        <v>4</v>
      </c>
      <c r="Y20" s="202">
        <v>6</v>
      </c>
      <c r="Z20" s="202">
        <v>0</v>
      </c>
      <c r="AA20" s="202">
        <v>0</v>
      </c>
      <c r="AB20" s="202">
        <v>0</v>
      </c>
      <c r="AC20" s="202">
        <v>0</v>
      </c>
      <c r="AD20" s="202">
        <v>0</v>
      </c>
      <c r="AE20" s="202">
        <v>0</v>
      </c>
      <c r="AF20" s="202">
        <v>0</v>
      </c>
      <c r="AG20" s="202">
        <v>0</v>
      </c>
      <c r="AH20" s="202">
        <v>0</v>
      </c>
      <c r="AI20" s="202">
        <v>0</v>
      </c>
      <c r="AJ20" s="202">
        <v>0</v>
      </c>
      <c r="AK20" s="202">
        <v>0</v>
      </c>
      <c r="AL20" s="202">
        <v>0</v>
      </c>
      <c r="AM20" s="202">
        <v>0</v>
      </c>
      <c r="AN20" s="202">
        <v>0</v>
      </c>
      <c r="AO20" s="202">
        <v>0</v>
      </c>
      <c r="AP20" s="202">
        <v>0</v>
      </c>
      <c r="AQ20" s="202" t="s">
        <v>3073</v>
      </c>
      <c r="AR20" s="202">
        <v>0</v>
      </c>
      <c r="AS20" s="202">
        <v>0</v>
      </c>
      <c r="AT20" s="202">
        <v>5</v>
      </c>
      <c r="AU20" s="202">
        <v>0</v>
      </c>
      <c r="AV20" s="202">
        <v>1</v>
      </c>
      <c r="AX20" s="202" t="s">
        <v>2048</v>
      </c>
      <c r="AY20" s="202">
        <v>18</v>
      </c>
    </row>
    <row r="21" spans="1:51">
      <c r="A21" s="202" t="str">
        <f t="shared" si="1"/>
        <v>黄正先</v>
      </c>
      <c r="B21" s="202">
        <f>IF(C21&lt;&gt;"NA",C21,VLOOKUP(K21,Update_from_YIFIP!$X$2:$AD$174,7,FALSE))</f>
        <v>5</v>
      </c>
      <c r="C21" s="207">
        <f t="shared" si="2"/>
        <v>5</v>
      </c>
      <c r="D21" s="207">
        <f t="shared" si="3"/>
        <v>5</v>
      </c>
      <c r="E21" s="202" t="s">
        <v>2050</v>
      </c>
      <c r="F21" s="202" t="s">
        <v>1929</v>
      </c>
      <c r="G21" s="202" t="s">
        <v>3072</v>
      </c>
      <c r="H21" s="207" t="str">
        <f t="shared" si="0"/>
        <v>NA</v>
      </c>
      <c r="I21" s="202" t="s">
        <v>1929</v>
      </c>
      <c r="J21" s="202" t="s">
        <v>1058</v>
      </c>
      <c r="K21" s="202">
        <v>0</v>
      </c>
      <c r="L21" s="202" t="s">
        <v>1578</v>
      </c>
      <c r="M21" s="202">
        <v>0</v>
      </c>
      <c r="N21" s="202">
        <v>4</v>
      </c>
      <c r="O21" s="202">
        <v>17</v>
      </c>
      <c r="P21" s="202">
        <v>1</v>
      </c>
      <c r="Q21" s="202">
        <v>4</v>
      </c>
      <c r="R21" s="202">
        <v>5</v>
      </c>
      <c r="S21" s="202">
        <v>7</v>
      </c>
      <c r="T21" s="202">
        <v>0</v>
      </c>
      <c r="U21" s="202">
        <v>0</v>
      </c>
      <c r="V21" s="202">
        <v>0</v>
      </c>
      <c r="W21" s="202">
        <v>0</v>
      </c>
      <c r="X21" s="202">
        <v>0</v>
      </c>
      <c r="Y21" s="202">
        <v>0</v>
      </c>
      <c r="Z21" s="202">
        <v>0</v>
      </c>
      <c r="AA21" s="202">
        <v>0</v>
      </c>
      <c r="AB21" s="202">
        <v>0</v>
      </c>
      <c r="AC21" s="202">
        <v>0</v>
      </c>
      <c r="AD21" s="202">
        <v>0</v>
      </c>
      <c r="AE21" s="202">
        <v>0</v>
      </c>
      <c r="AF21" s="202">
        <v>0</v>
      </c>
      <c r="AG21" s="202">
        <v>0</v>
      </c>
      <c r="AH21" s="202">
        <v>0</v>
      </c>
      <c r="AI21" s="202">
        <v>0</v>
      </c>
      <c r="AJ21" s="202">
        <v>0</v>
      </c>
      <c r="AK21" s="202">
        <v>0</v>
      </c>
      <c r="AL21" s="202">
        <v>0</v>
      </c>
      <c r="AM21" s="202">
        <v>0</v>
      </c>
      <c r="AN21" s="202">
        <v>0</v>
      </c>
      <c r="AO21" s="202">
        <v>0</v>
      </c>
      <c r="AP21" s="202">
        <v>0</v>
      </c>
      <c r="AQ21" s="202" t="s">
        <v>2516</v>
      </c>
      <c r="AR21" s="202">
        <v>0</v>
      </c>
      <c r="AS21" s="202">
        <v>0</v>
      </c>
      <c r="AT21" s="202">
        <v>5</v>
      </c>
      <c r="AU21" s="202">
        <v>0</v>
      </c>
      <c r="AV21" s="202">
        <v>1</v>
      </c>
      <c r="AX21" s="202" t="s">
        <v>2040</v>
      </c>
      <c r="AY21" s="202">
        <v>19</v>
      </c>
    </row>
    <row r="22" spans="1:51">
      <c r="A22" s="202" t="str">
        <f t="shared" si="1"/>
        <v>黄正先</v>
      </c>
      <c r="B22" s="202">
        <f>IF(C22&lt;&gt;"NA",C22,VLOOKUP(K22,Update_from_YIFIP!$X$2:$AD$174,7,FALSE))</f>
        <v>5</v>
      </c>
      <c r="C22" s="207">
        <f t="shared" si="2"/>
        <v>5</v>
      </c>
      <c r="D22" s="207">
        <f t="shared" si="3"/>
        <v>5</v>
      </c>
      <c r="E22" s="202" t="s">
        <v>2050</v>
      </c>
      <c r="F22" s="202" t="s">
        <v>1929</v>
      </c>
      <c r="G22" s="202" t="s">
        <v>3072</v>
      </c>
      <c r="H22" s="207" t="str">
        <f t="shared" si="0"/>
        <v>NA</v>
      </c>
      <c r="I22" s="202" t="s">
        <v>1929</v>
      </c>
      <c r="J22" s="202" t="s">
        <v>2024</v>
      </c>
      <c r="K22" s="202" t="s">
        <v>2517</v>
      </c>
      <c r="L22" s="202" t="s">
        <v>1579</v>
      </c>
      <c r="M22" s="202">
        <v>8</v>
      </c>
      <c r="N22" s="202">
        <v>0</v>
      </c>
      <c r="O22" s="202">
        <v>12</v>
      </c>
      <c r="P22" s="202">
        <v>1</v>
      </c>
      <c r="Q22" s="202">
        <v>1</v>
      </c>
      <c r="R22" s="202">
        <v>1</v>
      </c>
      <c r="S22" s="202">
        <v>1</v>
      </c>
      <c r="T22" s="202">
        <v>1</v>
      </c>
      <c r="U22" s="202">
        <v>2</v>
      </c>
      <c r="V22" s="202">
        <v>2</v>
      </c>
      <c r="W22" s="202">
        <v>3</v>
      </c>
      <c r="X22" s="202">
        <v>0</v>
      </c>
      <c r="Y22" s="202">
        <v>0</v>
      </c>
      <c r="Z22" s="202">
        <v>0</v>
      </c>
      <c r="AA22" s="202">
        <v>0</v>
      </c>
      <c r="AB22" s="202">
        <v>0</v>
      </c>
      <c r="AC22" s="202">
        <v>0</v>
      </c>
      <c r="AD22" s="202">
        <v>0</v>
      </c>
      <c r="AE22" s="202">
        <v>0</v>
      </c>
      <c r="AF22" s="202">
        <v>0</v>
      </c>
      <c r="AG22" s="202">
        <v>0</v>
      </c>
      <c r="AH22" s="202">
        <v>0</v>
      </c>
      <c r="AI22" s="202">
        <v>0</v>
      </c>
      <c r="AJ22" s="202">
        <v>0</v>
      </c>
      <c r="AK22" s="202">
        <v>0</v>
      </c>
      <c r="AL22" s="202">
        <v>0</v>
      </c>
      <c r="AM22" s="202">
        <v>0</v>
      </c>
      <c r="AN22" s="202">
        <v>0</v>
      </c>
      <c r="AO22" s="202">
        <v>0</v>
      </c>
      <c r="AP22" s="202">
        <v>0</v>
      </c>
      <c r="AQ22" s="202" t="s">
        <v>3074</v>
      </c>
      <c r="AR22" s="202">
        <v>0</v>
      </c>
      <c r="AS22" s="202">
        <v>0</v>
      </c>
      <c r="AT22" s="202">
        <v>3</v>
      </c>
      <c r="AU22" s="202">
        <v>0</v>
      </c>
      <c r="AV22" s="202">
        <v>0.6</v>
      </c>
      <c r="AX22" s="202" t="s">
        <v>2138</v>
      </c>
      <c r="AY22" s="202">
        <v>20</v>
      </c>
    </row>
    <row r="23" spans="1:51">
      <c r="A23" s="202" t="str">
        <f t="shared" si="1"/>
        <v>黄正先</v>
      </c>
      <c r="B23" s="202">
        <f>IF(C23&lt;&gt;"NA",C23,VLOOKUP(K23,Update_from_YIFIP!$X$2:$AD$174,7,FALSE))</f>
        <v>5</v>
      </c>
      <c r="C23" s="207">
        <f t="shared" si="2"/>
        <v>5</v>
      </c>
      <c r="D23" s="207">
        <f t="shared" si="3"/>
        <v>5</v>
      </c>
      <c r="E23" s="202" t="s">
        <v>2050</v>
      </c>
      <c r="F23" s="202" t="s">
        <v>1929</v>
      </c>
      <c r="G23" s="202" t="s">
        <v>3072</v>
      </c>
      <c r="H23" s="207" t="str">
        <f t="shared" si="0"/>
        <v>NA</v>
      </c>
      <c r="I23" s="202" t="s">
        <v>1929</v>
      </c>
      <c r="J23" s="202" t="s">
        <v>3075</v>
      </c>
      <c r="K23" s="202" t="s">
        <v>3077</v>
      </c>
      <c r="L23" s="202" t="s">
        <v>1580</v>
      </c>
      <c r="M23" s="202">
        <v>2</v>
      </c>
      <c r="N23" s="202">
        <v>0</v>
      </c>
      <c r="O23" s="202">
        <v>5</v>
      </c>
      <c r="P23" s="202">
        <v>2</v>
      </c>
      <c r="Q23" s="202">
        <v>3</v>
      </c>
      <c r="R23" s="202">
        <v>0</v>
      </c>
      <c r="S23" s="202">
        <v>0</v>
      </c>
      <c r="T23" s="202">
        <v>0</v>
      </c>
      <c r="U23" s="202">
        <v>0</v>
      </c>
      <c r="V23" s="202">
        <v>0</v>
      </c>
      <c r="W23" s="202">
        <v>0</v>
      </c>
      <c r="X23" s="202">
        <v>0</v>
      </c>
      <c r="Y23" s="202">
        <v>0</v>
      </c>
      <c r="Z23" s="202">
        <v>0</v>
      </c>
      <c r="AA23" s="202">
        <v>0</v>
      </c>
      <c r="AB23" s="202">
        <v>0</v>
      </c>
      <c r="AC23" s="202">
        <v>0</v>
      </c>
      <c r="AD23" s="202">
        <v>0</v>
      </c>
      <c r="AE23" s="202">
        <v>0</v>
      </c>
      <c r="AF23" s="202">
        <v>0</v>
      </c>
      <c r="AG23" s="202">
        <v>0</v>
      </c>
      <c r="AH23" s="202">
        <v>0</v>
      </c>
      <c r="AI23" s="202">
        <v>0</v>
      </c>
      <c r="AJ23" s="202">
        <v>0</v>
      </c>
      <c r="AK23" s="202">
        <v>0</v>
      </c>
      <c r="AL23" s="202">
        <v>0</v>
      </c>
      <c r="AM23" s="202">
        <v>0</v>
      </c>
      <c r="AN23" s="202">
        <v>0</v>
      </c>
      <c r="AO23" s="202">
        <v>0</v>
      </c>
      <c r="AP23" s="202">
        <v>0</v>
      </c>
      <c r="AQ23" s="202" t="s">
        <v>3076</v>
      </c>
      <c r="AR23" s="202">
        <v>0</v>
      </c>
      <c r="AS23" s="202">
        <v>0</v>
      </c>
      <c r="AT23" s="202">
        <v>20</v>
      </c>
      <c r="AU23" s="202">
        <v>0</v>
      </c>
      <c r="AV23" s="202">
        <v>4</v>
      </c>
      <c r="AX23" s="202" t="s">
        <v>2033</v>
      </c>
      <c r="AY23" s="202">
        <v>21</v>
      </c>
    </row>
    <row r="24" spans="1:51">
      <c r="A24" s="202" t="str">
        <f t="shared" si="1"/>
        <v>王光鹏&amp;王开岳</v>
      </c>
      <c r="B24" s="202">
        <f>IF(C24&lt;&gt;"NA",C24,VLOOKUP(K24,Update_from_YIFIP!$X$2:$AD$174,7,FALSE))</f>
        <v>6</v>
      </c>
      <c r="C24" s="207">
        <f t="shared" si="2"/>
        <v>6</v>
      </c>
      <c r="D24" s="207">
        <f t="shared" si="3"/>
        <v>6</v>
      </c>
      <c r="E24" s="202" t="s">
        <v>2121</v>
      </c>
      <c r="F24" s="202" t="s">
        <v>2310</v>
      </c>
      <c r="G24" s="202" t="s">
        <v>2311</v>
      </c>
      <c r="H24" s="207" t="str">
        <f t="shared" si="0"/>
        <v>NA</v>
      </c>
      <c r="I24" s="202" t="s">
        <v>3165</v>
      </c>
      <c r="J24" s="202" t="s">
        <v>2307</v>
      </c>
      <c r="K24" s="202" t="s">
        <v>2308</v>
      </c>
      <c r="L24" s="202" t="s">
        <v>1228</v>
      </c>
      <c r="M24" s="202">
        <v>10</v>
      </c>
      <c r="N24" s="202">
        <v>0</v>
      </c>
      <c r="O24" s="202">
        <v>177</v>
      </c>
      <c r="P24" s="202">
        <v>26</v>
      </c>
      <c r="Q24" s="202">
        <v>23</v>
      </c>
      <c r="R24" s="202">
        <v>18</v>
      </c>
      <c r="S24" s="202">
        <v>15</v>
      </c>
      <c r="T24" s="202">
        <v>25</v>
      </c>
      <c r="U24" s="202">
        <v>26</v>
      </c>
      <c r="V24" s="202">
        <v>17</v>
      </c>
      <c r="W24" s="202">
        <v>12</v>
      </c>
      <c r="X24" s="202">
        <v>9</v>
      </c>
      <c r="Y24" s="202">
        <v>6</v>
      </c>
      <c r="Z24" s="202">
        <v>0</v>
      </c>
      <c r="AA24" s="202">
        <v>0</v>
      </c>
      <c r="AB24" s="202">
        <v>0</v>
      </c>
      <c r="AC24" s="202">
        <v>0</v>
      </c>
      <c r="AD24" s="202">
        <v>0</v>
      </c>
      <c r="AE24" s="202">
        <v>0</v>
      </c>
      <c r="AF24" s="202">
        <v>0</v>
      </c>
      <c r="AG24" s="202">
        <v>0</v>
      </c>
      <c r="AH24" s="202">
        <v>0</v>
      </c>
      <c r="AI24" s="202">
        <v>0</v>
      </c>
      <c r="AJ24" s="202">
        <v>0</v>
      </c>
      <c r="AK24" s="202">
        <v>0</v>
      </c>
      <c r="AL24" s="202">
        <v>0</v>
      </c>
      <c r="AM24" s="202">
        <v>0</v>
      </c>
      <c r="AN24" s="202">
        <v>0</v>
      </c>
      <c r="AO24" s="202">
        <v>0</v>
      </c>
      <c r="AP24" s="202">
        <v>0</v>
      </c>
      <c r="AQ24" s="202" t="s">
        <v>1985</v>
      </c>
      <c r="AR24" s="202" t="s">
        <v>1985</v>
      </c>
      <c r="AS24" s="202">
        <v>0</v>
      </c>
      <c r="AT24" s="202">
        <v>52.5</v>
      </c>
      <c r="AU24" s="202" t="s">
        <v>2309</v>
      </c>
      <c r="AV24" s="202">
        <v>10.5</v>
      </c>
      <c r="AX24" s="202" t="s">
        <v>2125</v>
      </c>
      <c r="AY24" s="202">
        <v>22</v>
      </c>
    </row>
    <row r="25" spans="1:51">
      <c r="A25" s="202" t="str">
        <f t="shared" si="1"/>
        <v>王光鹏&amp;王开岳</v>
      </c>
      <c r="B25" s="202">
        <f>IF(C25&lt;&gt;"NA",C25,VLOOKUP(K25,Update_from_YIFIP!$X$2:$AD$174,7,FALSE))</f>
        <v>6</v>
      </c>
      <c r="C25" s="207">
        <f t="shared" si="2"/>
        <v>6</v>
      </c>
      <c r="D25" s="207">
        <f t="shared" si="3"/>
        <v>6</v>
      </c>
      <c r="E25" s="202" t="s">
        <v>2121</v>
      </c>
      <c r="F25" s="202" t="s">
        <v>2310</v>
      </c>
      <c r="G25" s="202" t="s">
        <v>2311</v>
      </c>
      <c r="H25" s="207" t="str">
        <f t="shared" si="0"/>
        <v>NA</v>
      </c>
      <c r="I25" s="202" t="s">
        <v>3165</v>
      </c>
      <c r="J25" s="202" t="s">
        <v>2220</v>
      </c>
      <c r="K25" s="202" t="s">
        <v>2312</v>
      </c>
      <c r="L25" s="202" t="s">
        <v>1229</v>
      </c>
      <c r="M25" s="202">
        <v>10</v>
      </c>
      <c r="N25" s="202">
        <v>0</v>
      </c>
      <c r="O25" s="202">
        <v>186</v>
      </c>
      <c r="P25" s="202">
        <v>17</v>
      </c>
      <c r="Q25" s="202">
        <v>19</v>
      </c>
      <c r="R25" s="202">
        <v>27</v>
      </c>
      <c r="S25" s="202">
        <v>20</v>
      </c>
      <c r="T25" s="202">
        <v>22</v>
      </c>
      <c r="U25" s="202">
        <v>13</v>
      </c>
      <c r="V25" s="202">
        <v>20</v>
      </c>
      <c r="W25" s="202">
        <v>14</v>
      </c>
      <c r="X25" s="202">
        <v>14</v>
      </c>
      <c r="Y25" s="202">
        <v>20</v>
      </c>
      <c r="Z25" s="202">
        <v>0</v>
      </c>
      <c r="AA25" s="202">
        <v>0</v>
      </c>
      <c r="AB25" s="202">
        <v>0</v>
      </c>
      <c r="AC25" s="202">
        <v>0</v>
      </c>
      <c r="AD25" s="202">
        <v>0</v>
      </c>
      <c r="AE25" s="202">
        <v>0</v>
      </c>
      <c r="AF25" s="202">
        <v>0</v>
      </c>
      <c r="AG25" s="202">
        <v>0</v>
      </c>
      <c r="AH25" s="202">
        <v>0</v>
      </c>
      <c r="AI25" s="202">
        <v>0</v>
      </c>
      <c r="AJ25" s="202">
        <v>0</v>
      </c>
      <c r="AK25" s="202">
        <v>0</v>
      </c>
      <c r="AL25" s="202">
        <v>0</v>
      </c>
      <c r="AM25" s="202">
        <v>0</v>
      </c>
      <c r="AN25" s="202">
        <v>0</v>
      </c>
      <c r="AO25" s="202">
        <v>0</v>
      </c>
      <c r="AP25" s="202">
        <v>0</v>
      </c>
      <c r="AQ25" s="202" t="s">
        <v>1986</v>
      </c>
      <c r="AR25" s="202" t="s">
        <v>1986</v>
      </c>
      <c r="AS25" s="202">
        <v>0</v>
      </c>
      <c r="AT25" s="202">
        <v>60</v>
      </c>
      <c r="AU25" s="202" t="s">
        <v>2313</v>
      </c>
      <c r="AV25" s="202">
        <v>12</v>
      </c>
      <c r="AX25" s="202" t="s">
        <v>2137</v>
      </c>
      <c r="AY25" s="202">
        <v>23</v>
      </c>
    </row>
    <row r="26" spans="1:51">
      <c r="A26" s="202" t="str">
        <f t="shared" si="1"/>
        <v>王光鹏&amp;王开岳</v>
      </c>
      <c r="B26" s="202">
        <f>IF(C26&lt;&gt;"NA",C26,VLOOKUP(K26,Update_from_YIFIP!$X$2:$AD$174,7,FALSE))</f>
        <v>6</v>
      </c>
      <c r="C26" s="207">
        <f t="shared" si="2"/>
        <v>6</v>
      </c>
      <c r="D26" s="207">
        <f t="shared" si="3"/>
        <v>6</v>
      </c>
      <c r="E26" s="202" t="s">
        <v>2121</v>
      </c>
      <c r="F26" s="202" t="s">
        <v>2310</v>
      </c>
      <c r="G26" s="202" t="s">
        <v>2311</v>
      </c>
      <c r="H26" s="207" t="str">
        <f t="shared" si="0"/>
        <v>NA</v>
      </c>
      <c r="I26" s="202" t="s">
        <v>3165</v>
      </c>
      <c r="J26" s="202" t="s">
        <v>2217</v>
      </c>
      <c r="K26" s="202" t="s">
        <v>2314</v>
      </c>
      <c r="L26" s="202" t="s">
        <v>1230</v>
      </c>
      <c r="M26" s="202">
        <v>9</v>
      </c>
      <c r="N26" s="202">
        <v>0</v>
      </c>
      <c r="O26" s="202">
        <v>189</v>
      </c>
      <c r="P26" s="202">
        <v>21</v>
      </c>
      <c r="Q26" s="202">
        <v>16</v>
      </c>
      <c r="R26" s="202">
        <v>25</v>
      </c>
      <c r="S26" s="202">
        <v>14</v>
      </c>
      <c r="T26" s="202">
        <v>14</v>
      </c>
      <c r="U26" s="202">
        <v>25</v>
      </c>
      <c r="V26" s="202">
        <v>29</v>
      </c>
      <c r="W26" s="202">
        <v>25</v>
      </c>
      <c r="X26" s="202">
        <v>20</v>
      </c>
      <c r="Y26" s="202">
        <v>0</v>
      </c>
      <c r="Z26" s="202">
        <v>0</v>
      </c>
      <c r="AA26" s="202">
        <v>0</v>
      </c>
      <c r="AB26" s="202">
        <v>0</v>
      </c>
      <c r="AC26" s="202">
        <v>0</v>
      </c>
      <c r="AD26" s="202">
        <v>0</v>
      </c>
      <c r="AE26" s="202">
        <v>0</v>
      </c>
      <c r="AF26" s="202">
        <v>0</v>
      </c>
      <c r="AG26" s="202">
        <v>0</v>
      </c>
      <c r="AH26" s="202">
        <v>0</v>
      </c>
      <c r="AI26" s="202">
        <v>0</v>
      </c>
      <c r="AJ26" s="202">
        <v>0</v>
      </c>
      <c r="AK26" s="202">
        <v>0</v>
      </c>
      <c r="AL26" s="202">
        <v>0</v>
      </c>
      <c r="AM26" s="202">
        <v>0</v>
      </c>
      <c r="AN26" s="202">
        <v>0</v>
      </c>
      <c r="AO26" s="202">
        <v>0</v>
      </c>
      <c r="AP26" s="202">
        <v>0</v>
      </c>
      <c r="AQ26" s="202" t="s">
        <v>1987</v>
      </c>
      <c r="AR26" s="202" t="s">
        <v>1987</v>
      </c>
      <c r="AS26" s="202">
        <v>0</v>
      </c>
      <c r="AT26" s="202">
        <v>38.5</v>
      </c>
      <c r="AU26" s="202" t="s">
        <v>2315</v>
      </c>
      <c r="AV26" s="202">
        <v>7.7</v>
      </c>
      <c r="AX26" s="202" t="s">
        <v>2162</v>
      </c>
      <c r="AY26" s="202">
        <v>24</v>
      </c>
    </row>
    <row r="27" spans="1:51">
      <c r="A27" s="202" t="str">
        <f t="shared" si="1"/>
        <v>王光鹏&amp;王开岳</v>
      </c>
      <c r="B27" s="202">
        <f>IF(C27&lt;&gt;"NA",C27,VLOOKUP(K27,Update_from_YIFIP!$X$2:$AD$174,7,FALSE))</f>
        <v>6</v>
      </c>
      <c r="C27" s="207">
        <f t="shared" si="2"/>
        <v>6</v>
      </c>
      <c r="D27" s="207">
        <f t="shared" si="3"/>
        <v>6</v>
      </c>
      <c r="E27" s="202" t="s">
        <v>2121</v>
      </c>
      <c r="F27" s="202" t="s">
        <v>2310</v>
      </c>
      <c r="G27" s="202" t="s">
        <v>2311</v>
      </c>
      <c r="H27" s="207" t="str">
        <f t="shared" si="0"/>
        <v>NA</v>
      </c>
      <c r="I27" s="202" t="s">
        <v>3165</v>
      </c>
      <c r="J27" s="202" t="s">
        <v>2217</v>
      </c>
      <c r="K27" s="202" t="s">
        <v>2316</v>
      </c>
      <c r="L27" s="202" t="s">
        <v>1231</v>
      </c>
      <c r="M27" s="202">
        <v>9</v>
      </c>
      <c r="N27" s="202">
        <v>0</v>
      </c>
      <c r="O27" s="202">
        <v>202</v>
      </c>
      <c r="P27" s="202">
        <v>17</v>
      </c>
      <c r="Q27" s="202">
        <v>15</v>
      </c>
      <c r="R27" s="202">
        <v>25</v>
      </c>
      <c r="S27" s="202">
        <v>32</v>
      </c>
      <c r="T27" s="202">
        <v>33</v>
      </c>
      <c r="U27" s="202">
        <v>22</v>
      </c>
      <c r="V27" s="202">
        <v>20</v>
      </c>
      <c r="W27" s="202">
        <v>23</v>
      </c>
      <c r="X27" s="202">
        <v>15</v>
      </c>
      <c r="Y27" s="202">
        <v>0</v>
      </c>
      <c r="Z27" s="202">
        <v>0</v>
      </c>
      <c r="AA27" s="202">
        <v>0</v>
      </c>
      <c r="AB27" s="202">
        <v>0</v>
      </c>
      <c r="AC27" s="202">
        <v>0</v>
      </c>
      <c r="AD27" s="202">
        <v>0</v>
      </c>
      <c r="AE27" s="202">
        <v>0</v>
      </c>
      <c r="AF27" s="202">
        <v>0</v>
      </c>
      <c r="AG27" s="202">
        <v>0</v>
      </c>
      <c r="AH27" s="202">
        <v>0</v>
      </c>
      <c r="AI27" s="202">
        <v>0</v>
      </c>
      <c r="AJ27" s="202">
        <v>0</v>
      </c>
      <c r="AK27" s="202">
        <v>0</v>
      </c>
      <c r="AL27" s="202">
        <v>0</v>
      </c>
      <c r="AM27" s="202">
        <v>0</v>
      </c>
      <c r="AN27" s="202">
        <v>0</v>
      </c>
      <c r="AO27" s="202">
        <v>0</v>
      </c>
      <c r="AP27" s="202">
        <v>0</v>
      </c>
      <c r="AQ27" s="202" t="s">
        <v>1988</v>
      </c>
      <c r="AR27" s="202" t="s">
        <v>1988</v>
      </c>
      <c r="AS27" s="202">
        <v>0</v>
      </c>
      <c r="AT27" s="202">
        <v>45.5</v>
      </c>
      <c r="AU27" s="202" t="s">
        <v>2317</v>
      </c>
      <c r="AV27" s="202">
        <v>9.1</v>
      </c>
      <c r="AX27" s="202" t="s">
        <v>2085</v>
      </c>
      <c r="AY27" s="202">
        <v>25</v>
      </c>
    </row>
    <row r="28" spans="1:51">
      <c r="A28" s="202" t="str">
        <f t="shared" si="1"/>
        <v>王光鹏&amp;王开岳</v>
      </c>
      <c r="B28" s="202">
        <f>IF(C28&lt;&gt;"NA",C28,VLOOKUP(K28,Update_from_YIFIP!$X$2:$AD$174,7,FALSE))</f>
        <v>6</v>
      </c>
      <c r="C28" s="207">
        <f t="shared" si="2"/>
        <v>6</v>
      </c>
      <c r="D28" s="207">
        <f t="shared" si="3"/>
        <v>6</v>
      </c>
      <c r="E28" s="202" t="s">
        <v>2121</v>
      </c>
      <c r="F28" s="202" t="s">
        <v>2310</v>
      </c>
      <c r="G28" s="202" t="s">
        <v>2311</v>
      </c>
      <c r="H28" s="207" t="str">
        <f t="shared" si="0"/>
        <v>NA</v>
      </c>
      <c r="I28" s="202" t="s">
        <v>3165</v>
      </c>
      <c r="J28" s="202" t="s">
        <v>2217</v>
      </c>
      <c r="K28" s="202" t="s">
        <v>2318</v>
      </c>
      <c r="L28" s="202" t="s">
        <v>1232</v>
      </c>
      <c r="M28" s="202">
        <v>0</v>
      </c>
      <c r="N28" s="202">
        <v>1</v>
      </c>
      <c r="O28" s="202">
        <v>1</v>
      </c>
      <c r="P28" s="202">
        <v>1</v>
      </c>
      <c r="Q28" s="202">
        <v>0</v>
      </c>
      <c r="R28" s="202">
        <v>0</v>
      </c>
      <c r="S28" s="202">
        <v>0</v>
      </c>
      <c r="T28" s="202">
        <v>0</v>
      </c>
      <c r="U28" s="202">
        <v>0</v>
      </c>
      <c r="V28" s="202">
        <v>0</v>
      </c>
      <c r="W28" s="202">
        <v>0</v>
      </c>
      <c r="X28" s="202">
        <v>0</v>
      </c>
      <c r="Y28" s="202">
        <v>0</v>
      </c>
      <c r="Z28" s="202">
        <v>0</v>
      </c>
      <c r="AA28" s="202">
        <v>0</v>
      </c>
      <c r="AB28" s="202">
        <v>0</v>
      </c>
      <c r="AC28" s="202">
        <v>0</v>
      </c>
      <c r="AD28" s="202">
        <v>0</v>
      </c>
      <c r="AE28" s="202">
        <v>0</v>
      </c>
      <c r="AF28" s="202">
        <v>0</v>
      </c>
      <c r="AG28" s="202">
        <v>0</v>
      </c>
      <c r="AH28" s="202">
        <v>0</v>
      </c>
      <c r="AI28" s="202">
        <v>0</v>
      </c>
      <c r="AJ28" s="202">
        <v>0</v>
      </c>
      <c r="AK28" s="202">
        <v>0</v>
      </c>
      <c r="AL28" s="202">
        <v>0</v>
      </c>
      <c r="AM28" s="202">
        <v>0</v>
      </c>
      <c r="AN28" s="202">
        <v>0</v>
      </c>
      <c r="AO28" s="202">
        <v>0</v>
      </c>
      <c r="AP28" s="202">
        <v>0</v>
      </c>
      <c r="AQ28" s="202">
        <v>0</v>
      </c>
      <c r="AR28" s="202">
        <v>0</v>
      </c>
      <c r="AS28" s="202">
        <v>0</v>
      </c>
      <c r="AT28" s="202">
        <v>0</v>
      </c>
      <c r="AU28" s="202" t="s">
        <v>2319</v>
      </c>
      <c r="AV28" s="202">
        <v>0</v>
      </c>
      <c r="AX28" s="202" t="s">
        <v>2119</v>
      </c>
      <c r="AY28" s="202">
        <v>26</v>
      </c>
    </row>
    <row r="29" spans="1:51">
      <c r="A29" s="202" t="str">
        <f t="shared" si="1"/>
        <v>王开远&amp;周开军</v>
      </c>
      <c r="B29" s="202">
        <f>IF(C29&lt;&gt;"NA",C29,VLOOKUP(K29,Update_from_YIFIP!$X$2:$AD$174,7,FALSE))</f>
        <v>7</v>
      </c>
      <c r="C29" s="207">
        <f t="shared" si="2"/>
        <v>7</v>
      </c>
      <c r="D29" s="207">
        <f t="shared" si="3"/>
        <v>7</v>
      </c>
      <c r="E29" s="202" t="s">
        <v>2130</v>
      </c>
      <c r="F29" s="202" t="s">
        <v>2213</v>
      </c>
      <c r="G29" s="202" t="s">
        <v>2214</v>
      </c>
      <c r="H29" s="207" t="str">
        <f t="shared" si="0"/>
        <v>NA</v>
      </c>
      <c r="I29" s="202" t="s">
        <v>3153</v>
      </c>
      <c r="J29" s="202" t="s">
        <v>2210</v>
      </c>
      <c r="K29" s="202" t="s">
        <v>2211</v>
      </c>
      <c r="L29" s="202" t="s">
        <v>1171</v>
      </c>
      <c r="M29" s="202">
        <v>9</v>
      </c>
      <c r="N29" s="202">
        <v>0</v>
      </c>
      <c r="O29" s="202">
        <v>178</v>
      </c>
      <c r="P29" s="202">
        <v>17</v>
      </c>
      <c r="Q29" s="202">
        <v>12</v>
      </c>
      <c r="R29" s="202">
        <v>22</v>
      </c>
      <c r="S29" s="202">
        <v>31</v>
      </c>
      <c r="T29" s="202">
        <v>33</v>
      </c>
      <c r="U29" s="202">
        <v>15</v>
      </c>
      <c r="V29" s="202">
        <v>17</v>
      </c>
      <c r="W29" s="202">
        <v>18</v>
      </c>
      <c r="X29" s="202">
        <v>13</v>
      </c>
      <c r="Y29" s="202">
        <v>0</v>
      </c>
      <c r="Z29" s="202">
        <v>0</v>
      </c>
      <c r="AA29" s="202">
        <v>0</v>
      </c>
      <c r="AB29" s="202">
        <v>0</v>
      </c>
      <c r="AC29" s="202">
        <v>0</v>
      </c>
      <c r="AD29" s="202">
        <v>0</v>
      </c>
      <c r="AE29" s="202">
        <v>0</v>
      </c>
      <c r="AF29" s="202">
        <v>0</v>
      </c>
      <c r="AG29" s="202">
        <v>0</v>
      </c>
      <c r="AH29" s="202">
        <v>0</v>
      </c>
      <c r="AI29" s="202">
        <v>0</v>
      </c>
      <c r="AJ29" s="202">
        <v>0</v>
      </c>
      <c r="AK29" s="202">
        <v>0</v>
      </c>
      <c r="AL29" s="202">
        <v>0</v>
      </c>
      <c r="AM29" s="202">
        <v>0</v>
      </c>
      <c r="AN29" s="202">
        <v>0</v>
      </c>
      <c r="AO29" s="202">
        <v>0</v>
      </c>
      <c r="AP29" s="202">
        <v>0</v>
      </c>
      <c r="AQ29" s="202" t="s">
        <v>1946</v>
      </c>
      <c r="AR29" s="202" t="s">
        <v>1946</v>
      </c>
      <c r="AS29" s="202">
        <v>0</v>
      </c>
      <c r="AT29" s="202">
        <v>48</v>
      </c>
      <c r="AU29" s="202" t="s">
        <v>2212</v>
      </c>
      <c r="AV29" s="202">
        <v>9.6</v>
      </c>
      <c r="AX29" s="202" t="s">
        <v>2118</v>
      </c>
      <c r="AY29" s="202">
        <v>27</v>
      </c>
    </row>
    <row r="30" spans="1:51">
      <c r="A30" s="202" t="str">
        <f t="shared" si="1"/>
        <v>王开远&amp;周开军</v>
      </c>
      <c r="B30" s="202">
        <f>IF(C30&lt;&gt;"NA",C30,VLOOKUP(K30,Update_from_YIFIP!$X$2:$AD$174,7,FALSE))</f>
        <v>7</v>
      </c>
      <c r="C30" s="207">
        <f t="shared" si="2"/>
        <v>7</v>
      </c>
      <c r="D30" s="207">
        <f t="shared" si="3"/>
        <v>7</v>
      </c>
      <c r="E30" s="202" t="s">
        <v>2130</v>
      </c>
      <c r="F30" s="202" t="s">
        <v>2213</v>
      </c>
      <c r="G30" s="202" t="s">
        <v>2214</v>
      </c>
      <c r="H30" s="207" t="str">
        <f t="shared" si="0"/>
        <v>NA</v>
      </c>
      <c r="I30" s="202" t="s">
        <v>3153</v>
      </c>
      <c r="J30" s="202" t="s">
        <v>2210</v>
      </c>
      <c r="K30" s="202" t="s">
        <v>2215</v>
      </c>
      <c r="L30" s="202" t="s">
        <v>1172</v>
      </c>
      <c r="M30" s="202">
        <v>10</v>
      </c>
      <c r="N30" s="202">
        <v>0</v>
      </c>
      <c r="O30" s="202">
        <v>235</v>
      </c>
      <c r="P30" s="202">
        <v>22</v>
      </c>
      <c r="Q30" s="202">
        <v>35</v>
      </c>
      <c r="R30" s="202">
        <v>18</v>
      </c>
      <c r="S30" s="202">
        <v>19</v>
      </c>
      <c r="T30" s="202">
        <v>40</v>
      </c>
      <c r="U30" s="202">
        <v>20</v>
      </c>
      <c r="V30" s="202">
        <v>19</v>
      </c>
      <c r="W30" s="202">
        <v>17</v>
      </c>
      <c r="X30" s="202">
        <v>27</v>
      </c>
      <c r="Y30" s="202">
        <v>18</v>
      </c>
      <c r="Z30" s="202">
        <v>0</v>
      </c>
      <c r="AA30" s="202">
        <v>0</v>
      </c>
      <c r="AB30" s="202">
        <v>0</v>
      </c>
      <c r="AC30" s="202">
        <v>0</v>
      </c>
      <c r="AD30" s="202">
        <v>0</v>
      </c>
      <c r="AE30" s="202">
        <v>0</v>
      </c>
      <c r="AF30" s="202">
        <v>0</v>
      </c>
      <c r="AG30" s="202">
        <v>0</v>
      </c>
      <c r="AH30" s="202">
        <v>0</v>
      </c>
      <c r="AI30" s="202">
        <v>0</v>
      </c>
      <c r="AJ30" s="202">
        <v>0</v>
      </c>
      <c r="AK30" s="202">
        <v>0</v>
      </c>
      <c r="AL30" s="202">
        <v>0</v>
      </c>
      <c r="AM30" s="202">
        <v>0</v>
      </c>
      <c r="AN30" s="202">
        <v>0</v>
      </c>
      <c r="AO30" s="202">
        <v>0</v>
      </c>
      <c r="AP30" s="202">
        <v>0</v>
      </c>
      <c r="AQ30" s="202" t="s">
        <v>1947</v>
      </c>
      <c r="AR30" s="202" t="s">
        <v>1947</v>
      </c>
      <c r="AS30" s="202">
        <v>0</v>
      </c>
      <c r="AT30" s="202">
        <v>41</v>
      </c>
      <c r="AU30" s="202" t="s">
        <v>2216</v>
      </c>
      <c r="AV30" s="202">
        <v>8.1999999999999993</v>
      </c>
      <c r="AX30" s="202" t="s">
        <v>2066</v>
      </c>
      <c r="AY30" s="202">
        <v>28</v>
      </c>
    </row>
    <row r="31" spans="1:51">
      <c r="A31" s="202" t="str">
        <f t="shared" si="1"/>
        <v>王开远&amp;周开军</v>
      </c>
      <c r="B31" s="202">
        <f>IF(C31&lt;&gt;"NA",C31,VLOOKUP(K31,Update_from_YIFIP!$X$2:$AD$174,7,FALSE))</f>
        <v>7</v>
      </c>
      <c r="C31" s="207">
        <f t="shared" si="2"/>
        <v>7</v>
      </c>
      <c r="D31" s="207">
        <f t="shared" si="3"/>
        <v>7</v>
      </c>
      <c r="E31" s="202" t="s">
        <v>2130</v>
      </c>
      <c r="F31" s="202" t="s">
        <v>2213</v>
      </c>
      <c r="G31" s="202" t="s">
        <v>2214</v>
      </c>
      <c r="H31" s="207" t="str">
        <f t="shared" si="0"/>
        <v>NA</v>
      </c>
      <c r="I31" s="202" t="s">
        <v>3153</v>
      </c>
      <c r="J31" s="202" t="s">
        <v>2217</v>
      </c>
      <c r="K31" s="202" t="s">
        <v>2218</v>
      </c>
      <c r="L31" s="202" t="s">
        <v>1173</v>
      </c>
      <c r="M31" s="202">
        <v>10</v>
      </c>
      <c r="N31" s="202">
        <v>0</v>
      </c>
      <c r="O31" s="202">
        <v>201</v>
      </c>
      <c r="P31" s="202">
        <v>34</v>
      </c>
      <c r="Q31" s="202">
        <v>9</v>
      </c>
      <c r="R31" s="202">
        <v>14</v>
      </c>
      <c r="S31" s="202">
        <v>10</v>
      </c>
      <c r="T31" s="202">
        <v>26</v>
      </c>
      <c r="U31" s="202">
        <v>27</v>
      </c>
      <c r="V31" s="202">
        <v>18</v>
      </c>
      <c r="W31" s="202">
        <v>17</v>
      </c>
      <c r="X31" s="202">
        <v>18</v>
      </c>
      <c r="Y31" s="202">
        <v>28</v>
      </c>
      <c r="Z31" s="202">
        <v>0</v>
      </c>
      <c r="AA31" s="202">
        <v>0</v>
      </c>
      <c r="AB31" s="202">
        <v>0</v>
      </c>
      <c r="AC31" s="202">
        <v>0</v>
      </c>
      <c r="AD31" s="202">
        <v>0</v>
      </c>
      <c r="AE31" s="202">
        <v>0</v>
      </c>
      <c r="AF31" s="202">
        <v>0</v>
      </c>
      <c r="AG31" s="202">
        <v>0</v>
      </c>
      <c r="AH31" s="202">
        <v>0</v>
      </c>
      <c r="AI31" s="202">
        <v>0</v>
      </c>
      <c r="AJ31" s="202">
        <v>0</v>
      </c>
      <c r="AK31" s="202">
        <v>0</v>
      </c>
      <c r="AL31" s="202">
        <v>0</v>
      </c>
      <c r="AM31" s="202">
        <v>0</v>
      </c>
      <c r="AN31" s="202">
        <v>0</v>
      </c>
      <c r="AO31" s="202">
        <v>0</v>
      </c>
      <c r="AP31" s="202">
        <v>0</v>
      </c>
      <c r="AQ31" s="202" t="s">
        <v>1948</v>
      </c>
      <c r="AR31" s="202" t="s">
        <v>1948</v>
      </c>
      <c r="AS31" s="202">
        <v>0</v>
      </c>
      <c r="AT31" s="202">
        <v>57.5</v>
      </c>
      <c r="AU31" s="202" t="s">
        <v>2219</v>
      </c>
      <c r="AV31" s="202">
        <v>11.5</v>
      </c>
      <c r="AX31" s="202" t="s">
        <v>2167</v>
      </c>
      <c r="AY31" s="202">
        <v>29</v>
      </c>
    </row>
    <row r="32" spans="1:51">
      <c r="A32" s="202" t="str">
        <f t="shared" si="1"/>
        <v>王开远&amp;周开军</v>
      </c>
      <c r="B32" s="202">
        <f>IF(C32&lt;&gt;"NA",C32,VLOOKUP(K32,Update_from_YIFIP!$X$2:$AD$174,7,FALSE))</f>
        <v>7</v>
      </c>
      <c r="C32" s="207">
        <f t="shared" si="2"/>
        <v>7</v>
      </c>
      <c r="D32" s="207">
        <f t="shared" si="3"/>
        <v>7</v>
      </c>
      <c r="E32" s="202" t="s">
        <v>2130</v>
      </c>
      <c r="F32" s="202" t="s">
        <v>2213</v>
      </c>
      <c r="G32" s="202" t="s">
        <v>2214</v>
      </c>
      <c r="H32" s="207" t="str">
        <f t="shared" si="0"/>
        <v>NA</v>
      </c>
      <c r="I32" s="202" t="s">
        <v>3153</v>
      </c>
      <c r="J32" s="202" t="s">
        <v>2220</v>
      </c>
      <c r="K32" s="202" t="s">
        <v>2221</v>
      </c>
      <c r="L32" s="202" t="s">
        <v>1174</v>
      </c>
      <c r="M32" s="202">
        <v>10</v>
      </c>
      <c r="N32" s="202">
        <v>0</v>
      </c>
      <c r="O32" s="202">
        <v>192</v>
      </c>
      <c r="P32" s="202">
        <v>23</v>
      </c>
      <c r="Q32" s="202">
        <v>28</v>
      </c>
      <c r="R32" s="202">
        <v>12</v>
      </c>
      <c r="S32" s="202">
        <v>17</v>
      </c>
      <c r="T32" s="202">
        <v>17</v>
      </c>
      <c r="U32" s="202">
        <v>23</v>
      </c>
      <c r="V32" s="202">
        <v>10</v>
      </c>
      <c r="W32" s="202">
        <v>16</v>
      </c>
      <c r="X32" s="202">
        <v>31</v>
      </c>
      <c r="Y32" s="202">
        <v>15</v>
      </c>
      <c r="Z32" s="202">
        <v>0</v>
      </c>
      <c r="AA32" s="202">
        <v>0</v>
      </c>
      <c r="AB32" s="202">
        <v>0</v>
      </c>
      <c r="AC32" s="202">
        <v>0</v>
      </c>
      <c r="AD32" s="202">
        <v>0</v>
      </c>
      <c r="AE32" s="202">
        <v>0</v>
      </c>
      <c r="AF32" s="202">
        <v>0</v>
      </c>
      <c r="AG32" s="202">
        <v>0</v>
      </c>
      <c r="AH32" s="202">
        <v>0</v>
      </c>
      <c r="AI32" s="202">
        <v>0</v>
      </c>
      <c r="AJ32" s="202">
        <v>0</v>
      </c>
      <c r="AK32" s="202">
        <v>0</v>
      </c>
      <c r="AL32" s="202">
        <v>0</v>
      </c>
      <c r="AM32" s="202">
        <v>0</v>
      </c>
      <c r="AN32" s="202">
        <v>0</v>
      </c>
      <c r="AO32" s="202">
        <v>0</v>
      </c>
      <c r="AP32" s="202">
        <v>0</v>
      </c>
      <c r="AQ32" s="202" t="s">
        <v>1949</v>
      </c>
      <c r="AR32" s="202" t="s">
        <v>1949</v>
      </c>
      <c r="AS32" s="202">
        <v>0</v>
      </c>
      <c r="AT32" s="202">
        <v>52.5</v>
      </c>
      <c r="AU32" s="202" t="s">
        <v>2222</v>
      </c>
      <c r="AV32" s="202">
        <v>10.5</v>
      </c>
      <c r="AX32" s="202" t="s">
        <v>2051</v>
      </c>
      <c r="AY32" s="202">
        <v>30</v>
      </c>
    </row>
    <row r="33" spans="1:51">
      <c r="A33" s="202" t="str">
        <f t="shared" si="1"/>
        <v>徐丕芳&amp;王开定</v>
      </c>
      <c r="B33" s="202">
        <f>IF(C33&lt;&gt;"NA",C33,VLOOKUP(K33,Update_from_YIFIP!$X$2:$AD$174,7,FALSE))</f>
        <v>8</v>
      </c>
      <c r="C33" s="207">
        <f t="shared" si="2"/>
        <v>8</v>
      </c>
      <c r="D33" s="207" t="str">
        <f t="shared" si="3"/>
        <v>NA</v>
      </c>
      <c r="E33" s="202" t="s">
        <v>3168</v>
      </c>
      <c r="F33" s="202" t="s">
        <v>2344</v>
      </c>
      <c r="G33" s="202" t="s">
        <v>2345</v>
      </c>
      <c r="H33" s="207">
        <f t="shared" si="0"/>
        <v>8</v>
      </c>
      <c r="I33" s="202" t="s">
        <v>2129</v>
      </c>
      <c r="J33" s="202" t="s">
        <v>2210</v>
      </c>
      <c r="K33" s="202" t="s">
        <v>2342</v>
      </c>
      <c r="L33" s="202" t="s">
        <v>1245</v>
      </c>
      <c r="M33" s="202">
        <v>10</v>
      </c>
      <c r="N33" s="202">
        <v>0</v>
      </c>
      <c r="O33" s="202">
        <v>198</v>
      </c>
      <c r="P33" s="202">
        <v>8</v>
      </c>
      <c r="Q33" s="202">
        <v>18</v>
      </c>
      <c r="R33" s="202">
        <v>12</v>
      </c>
      <c r="S33" s="202">
        <v>30</v>
      </c>
      <c r="T33" s="202">
        <v>24</v>
      </c>
      <c r="U33" s="202">
        <v>15</v>
      </c>
      <c r="V33" s="202">
        <v>23</v>
      </c>
      <c r="W33" s="202">
        <v>11</v>
      </c>
      <c r="X33" s="202">
        <v>27</v>
      </c>
      <c r="Y33" s="202">
        <v>30</v>
      </c>
      <c r="Z33" s="202">
        <v>0</v>
      </c>
      <c r="AA33" s="202">
        <v>0</v>
      </c>
      <c r="AB33" s="202">
        <v>0</v>
      </c>
      <c r="AC33" s="202">
        <v>0</v>
      </c>
      <c r="AD33" s="202">
        <v>0</v>
      </c>
      <c r="AE33" s="202">
        <v>0</v>
      </c>
      <c r="AF33" s="202">
        <v>0</v>
      </c>
      <c r="AG33" s="202">
        <v>0</v>
      </c>
      <c r="AH33" s="202">
        <v>0</v>
      </c>
      <c r="AI33" s="202">
        <v>0</v>
      </c>
      <c r="AJ33" s="202">
        <v>0</v>
      </c>
      <c r="AK33" s="202">
        <v>0</v>
      </c>
      <c r="AL33" s="202">
        <v>0</v>
      </c>
      <c r="AM33" s="202">
        <v>0</v>
      </c>
      <c r="AN33" s="202">
        <v>0</v>
      </c>
      <c r="AO33" s="202">
        <v>0</v>
      </c>
      <c r="AP33" s="202">
        <v>0</v>
      </c>
      <c r="AQ33" s="202" t="s">
        <v>1995</v>
      </c>
      <c r="AR33" s="202" t="s">
        <v>1995</v>
      </c>
      <c r="AS33" s="202">
        <v>0</v>
      </c>
      <c r="AT33" s="202">
        <v>46</v>
      </c>
      <c r="AU33" s="202" t="s">
        <v>2343</v>
      </c>
      <c r="AV33" s="202">
        <v>9.1999999999999993</v>
      </c>
      <c r="AX33" s="202" t="s">
        <v>2122</v>
      </c>
      <c r="AY33" s="202">
        <v>31</v>
      </c>
    </row>
    <row r="34" spans="1:51">
      <c r="A34" s="202" t="str">
        <f t="shared" si="1"/>
        <v>徐丕芳&amp;王开定</v>
      </c>
      <c r="B34" s="202">
        <f>IF(C34&lt;&gt;"NA",C34,VLOOKUP(K34,Update_from_YIFIP!$X$2:$AD$174,7,FALSE))</f>
        <v>8</v>
      </c>
      <c r="C34" s="207">
        <f t="shared" si="2"/>
        <v>8</v>
      </c>
      <c r="D34" s="207" t="str">
        <f t="shared" si="3"/>
        <v>NA</v>
      </c>
      <c r="E34" s="202" t="s">
        <v>3168</v>
      </c>
      <c r="F34" s="202" t="s">
        <v>2344</v>
      </c>
      <c r="G34" s="202" t="s">
        <v>2345</v>
      </c>
      <c r="H34" s="207">
        <f t="shared" si="0"/>
        <v>8</v>
      </c>
      <c r="I34" s="202" t="s">
        <v>2129</v>
      </c>
      <c r="J34" s="202" t="s">
        <v>2210</v>
      </c>
      <c r="K34" s="202" t="s">
        <v>2346</v>
      </c>
      <c r="L34" s="202" t="s">
        <v>1246</v>
      </c>
      <c r="M34" s="202">
        <v>10</v>
      </c>
      <c r="N34" s="202">
        <v>0</v>
      </c>
      <c r="O34" s="202">
        <v>180</v>
      </c>
      <c r="P34" s="202">
        <v>19</v>
      </c>
      <c r="Q34" s="202">
        <v>11</v>
      </c>
      <c r="R34" s="202">
        <v>21</v>
      </c>
      <c r="S34" s="202">
        <v>13</v>
      </c>
      <c r="T34" s="202">
        <v>18</v>
      </c>
      <c r="U34" s="202">
        <v>21</v>
      </c>
      <c r="V34" s="202">
        <v>19</v>
      </c>
      <c r="W34" s="202">
        <v>12</v>
      </c>
      <c r="X34" s="202">
        <v>29</v>
      </c>
      <c r="Y34" s="202">
        <v>17</v>
      </c>
      <c r="Z34" s="202">
        <v>0</v>
      </c>
      <c r="AA34" s="202">
        <v>0</v>
      </c>
      <c r="AB34" s="202">
        <v>0</v>
      </c>
      <c r="AC34" s="202">
        <v>0</v>
      </c>
      <c r="AD34" s="202">
        <v>0</v>
      </c>
      <c r="AE34" s="202">
        <v>0</v>
      </c>
      <c r="AF34" s="202">
        <v>0</v>
      </c>
      <c r="AG34" s="202">
        <v>0</v>
      </c>
      <c r="AH34" s="202">
        <v>0</v>
      </c>
      <c r="AI34" s="202">
        <v>0</v>
      </c>
      <c r="AJ34" s="202">
        <v>0</v>
      </c>
      <c r="AK34" s="202">
        <v>0</v>
      </c>
      <c r="AL34" s="202">
        <v>0</v>
      </c>
      <c r="AM34" s="202">
        <v>0</v>
      </c>
      <c r="AN34" s="202">
        <v>0</v>
      </c>
      <c r="AO34" s="202">
        <v>0</v>
      </c>
      <c r="AP34" s="202">
        <v>0</v>
      </c>
      <c r="AQ34" s="202" t="s">
        <v>1996</v>
      </c>
      <c r="AR34" s="202" t="s">
        <v>1996</v>
      </c>
      <c r="AS34" s="202">
        <v>0</v>
      </c>
      <c r="AT34" s="202">
        <v>47.5</v>
      </c>
      <c r="AU34" s="202" t="s">
        <v>2347</v>
      </c>
      <c r="AV34" s="202">
        <v>9.5</v>
      </c>
      <c r="AX34" s="202" t="s">
        <v>2124</v>
      </c>
      <c r="AY34" s="202">
        <v>32</v>
      </c>
    </row>
    <row r="35" spans="1:51">
      <c r="A35" s="202" t="str">
        <f t="shared" si="1"/>
        <v>徐丕芳&amp;王开定</v>
      </c>
      <c r="B35" s="202">
        <f>IF(C35&lt;&gt;"NA",C35,VLOOKUP(K35,Update_from_YIFIP!$X$2:$AD$174,7,FALSE))</f>
        <v>8</v>
      </c>
      <c r="C35" s="207">
        <f t="shared" si="2"/>
        <v>8</v>
      </c>
      <c r="D35" s="207" t="str">
        <f t="shared" si="3"/>
        <v>NA</v>
      </c>
      <c r="E35" s="202" t="s">
        <v>3168</v>
      </c>
      <c r="F35" s="202" t="s">
        <v>2344</v>
      </c>
      <c r="G35" s="202" t="s">
        <v>2345</v>
      </c>
      <c r="H35" s="207">
        <f t="shared" si="0"/>
        <v>8</v>
      </c>
      <c r="I35" s="202" t="s">
        <v>2129</v>
      </c>
      <c r="J35" s="202" t="s">
        <v>2210</v>
      </c>
      <c r="K35" s="202" t="s">
        <v>2348</v>
      </c>
      <c r="L35" s="202" t="s">
        <v>1247</v>
      </c>
      <c r="M35" s="202">
        <v>9</v>
      </c>
      <c r="N35" s="202">
        <v>0</v>
      </c>
      <c r="O35" s="202">
        <v>279</v>
      </c>
      <c r="P35" s="202">
        <v>20</v>
      </c>
      <c r="Q35" s="202">
        <v>40</v>
      </c>
      <c r="R35" s="202">
        <v>39</v>
      </c>
      <c r="S35" s="202">
        <v>46</v>
      </c>
      <c r="T35" s="202">
        <v>38</v>
      </c>
      <c r="U35" s="202">
        <v>28</v>
      </c>
      <c r="V35" s="202">
        <v>19</v>
      </c>
      <c r="W35" s="202">
        <v>33</v>
      </c>
      <c r="X35" s="202">
        <v>16</v>
      </c>
      <c r="Y35" s="202">
        <v>0</v>
      </c>
      <c r="Z35" s="202">
        <v>0</v>
      </c>
      <c r="AA35" s="202">
        <v>0</v>
      </c>
      <c r="AB35" s="202">
        <v>0</v>
      </c>
      <c r="AC35" s="202">
        <v>0</v>
      </c>
      <c r="AD35" s="202">
        <v>0</v>
      </c>
      <c r="AE35" s="202">
        <v>0</v>
      </c>
      <c r="AF35" s="202">
        <v>0</v>
      </c>
      <c r="AG35" s="202">
        <v>0</v>
      </c>
      <c r="AH35" s="202">
        <v>0</v>
      </c>
      <c r="AI35" s="202">
        <v>0</v>
      </c>
      <c r="AJ35" s="202">
        <v>0</v>
      </c>
      <c r="AK35" s="202">
        <v>0</v>
      </c>
      <c r="AL35" s="202">
        <v>0</v>
      </c>
      <c r="AM35" s="202">
        <v>0</v>
      </c>
      <c r="AN35" s="202">
        <v>0</v>
      </c>
      <c r="AO35" s="202">
        <v>0</v>
      </c>
      <c r="AP35" s="202">
        <v>0</v>
      </c>
      <c r="AQ35" s="202" t="s">
        <v>1997</v>
      </c>
      <c r="AR35" s="202" t="s">
        <v>1997</v>
      </c>
      <c r="AS35" s="202">
        <v>0</v>
      </c>
      <c r="AT35" s="202">
        <v>52</v>
      </c>
      <c r="AU35" s="202" t="s">
        <v>2349</v>
      </c>
      <c r="AV35" s="202">
        <v>10.4</v>
      </c>
      <c r="AX35" s="202" t="s">
        <v>2126</v>
      </c>
      <c r="AY35" s="202">
        <v>33</v>
      </c>
    </row>
    <row r="36" spans="1:51">
      <c r="A36" s="202" t="str">
        <f t="shared" si="1"/>
        <v>徐丕芳&amp;王开定</v>
      </c>
      <c r="B36" s="202">
        <f>IF(C36&lt;&gt;"NA",C36,VLOOKUP(K36,Update_from_YIFIP!$X$2:$AD$174,7,FALSE))</f>
        <v>8</v>
      </c>
      <c r="C36" s="207">
        <f t="shared" si="2"/>
        <v>8</v>
      </c>
      <c r="D36" s="207" t="str">
        <f t="shared" si="3"/>
        <v>NA</v>
      </c>
      <c r="E36" s="202" t="s">
        <v>3168</v>
      </c>
      <c r="F36" s="202" t="s">
        <v>2344</v>
      </c>
      <c r="G36" s="202" t="s">
        <v>2345</v>
      </c>
      <c r="H36" s="207">
        <f t="shared" si="0"/>
        <v>8</v>
      </c>
      <c r="I36" s="202" t="s">
        <v>2129</v>
      </c>
      <c r="J36" s="202" t="s">
        <v>2210</v>
      </c>
      <c r="K36" s="202">
        <v>0</v>
      </c>
      <c r="L36" s="202" t="s">
        <v>1248</v>
      </c>
      <c r="M36" s="202">
        <v>10</v>
      </c>
      <c r="N36" s="202">
        <v>0</v>
      </c>
      <c r="O36" s="202">
        <v>168</v>
      </c>
      <c r="P36" s="202">
        <v>14</v>
      </c>
      <c r="Q36" s="202">
        <v>27</v>
      </c>
      <c r="R36" s="202">
        <v>11</v>
      </c>
      <c r="S36" s="202">
        <v>24</v>
      </c>
      <c r="T36" s="202">
        <v>24</v>
      </c>
      <c r="U36" s="202">
        <v>11</v>
      </c>
      <c r="V36" s="202">
        <v>13</v>
      </c>
      <c r="W36" s="202">
        <v>13</v>
      </c>
      <c r="X36" s="202">
        <v>14</v>
      </c>
      <c r="Y36" s="202">
        <v>17</v>
      </c>
      <c r="Z36" s="202">
        <v>0</v>
      </c>
      <c r="AA36" s="202">
        <v>0</v>
      </c>
      <c r="AB36" s="202">
        <v>0</v>
      </c>
      <c r="AC36" s="202">
        <v>0</v>
      </c>
      <c r="AD36" s="202">
        <v>0</v>
      </c>
      <c r="AE36" s="202">
        <v>0</v>
      </c>
      <c r="AF36" s="202">
        <v>0</v>
      </c>
      <c r="AG36" s="202">
        <v>0</v>
      </c>
      <c r="AH36" s="202">
        <v>0</v>
      </c>
      <c r="AI36" s="202">
        <v>0</v>
      </c>
      <c r="AJ36" s="202">
        <v>0</v>
      </c>
      <c r="AK36" s="202">
        <v>0</v>
      </c>
      <c r="AL36" s="202">
        <v>0</v>
      </c>
      <c r="AM36" s="202">
        <v>0</v>
      </c>
      <c r="AN36" s="202">
        <v>0</v>
      </c>
      <c r="AO36" s="202">
        <v>0</v>
      </c>
      <c r="AP36" s="202">
        <v>0</v>
      </c>
      <c r="AQ36" s="202">
        <v>0</v>
      </c>
      <c r="AR36" s="202">
        <v>0</v>
      </c>
      <c r="AS36" s="202">
        <v>0</v>
      </c>
      <c r="AT36" s="202">
        <v>43</v>
      </c>
      <c r="AU36" s="202" t="s">
        <v>2350</v>
      </c>
      <c r="AV36" s="202">
        <v>8.6</v>
      </c>
      <c r="AX36" s="202" t="s">
        <v>2156</v>
      </c>
      <c r="AY36" s="202">
        <v>34</v>
      </c>
    </row>
    <row r="37" spans="1:51">
      <c r="A37" s="202" t="str">
        <f t="shared" si="1"/>
        <v>徐丕芳&amp;王开定</v>
      </c>
      <c r="B37" s="202">
        <f>IF(C37&lt;&gt;"NA",C37,VLOOKUP(K37,Update_from_YIFIP!$X$2:$AD$174,7,FALSE))</f>
        <v>8</v>
      </c>
      <c r="C37" s="207">
        <f t="shared" si="2"/>
        <v>8</v>
      </c>
      <c r="D37" s="207" t="str">
        <f t="shared" si="3"/>
        <v>NA</v>
      </c>
      <c r="E37" s="202" t="s">
        <v>3168</v>
      </c>
      <c r="F37" s="202" t="s">
        <v>2344</v>
      </c>
      <c r="G37" s="202" t="s">
        <v>2345</v>
      </c>
      <c r="H37" s="207">
        <f t="shared" si="0"/>
        <v>8</v>
      </c>
      <c r="I37" s="202" t="s">
        <v>2129</v>
      </c>
      <c r="J37" s="202" t="s">
        <v>2210</v>
      </c>
      <c r="K37" s="202" t="s">
        <v>203</v>
      </c>
      <c r="L37" s="202" t="s">
        <v>1249</v>
      </c>
      <c r="M37" s="202">
        <v>0</v>
      </c>
      <c r="N37" s="202">
        <v>1</v>
      </c>
      <c r="O37" s="202">
        <v>2</v>
      </c>
      <c r="P37" s="202">
        <v>2</v>
      </c>
      <c r="Q37" s="202">
        <v>0</v>
      </c>
      <c r="R37" s="202">
        <v>0</v>
      </c>
      <c r="S37" s="202">
        <v>0</v>
      </c>
      <c r="T37" s="202">
        <v>0</v>
      </c>
      <c r="U37" s="202">
        <v>0</v>
      </c>
      <c r="V37" s="202">
        <v>0</v>
      </c>
      <c r="W37" s="202">
        <v>0</v>
      </c>
      <c r="X37" s="202">
        <v>0</v>
      </c>
      <c r="Y37" s="202">
        <v>0</v>
      </c>
      <c r="Z37" s="202">
        <v>0</v>
      </c>
      <c r="AA37" s="202">
        <v>0</v>
      </c>
      <c r="AB37" s="202">
        <v>0</v>
      </c>
      <c r="AC37" s="202">
        <v>0</v>
      </c>
      <c r="AD37" s="202">
        <v>0</v>
      </c>
      <c r="AE37" s="202">
        <v>0</v>
      </c>
      <c r="AF37" s="202">
        <v>0</v>
      </c>
      <c r="AG37" s="202">
        <v>0</v>
      </c>
      <c r="AH37" s="202">
        <v>0</v>
      </c>
      <c r="AI37" s="202">
        <v>0</v>
      </c>
      <c r="AJ37" s="202">
        <v>0</v>
      </c>
      <c r="AK37" s="202">
        <v>0</v>
      </c>
      <c r="AL37" s="202">
        <v>0</v>
      </c>
      <c r="AM37" s="202">
        <v>0</v>
      </c>
      <c r="AN37" s="202">
        <v>0</v>
      </c>
      <c r="AO37" s="202">
        <v>0</v>
      </c>
      <c r="AP37" s="202">
        <v>0</v>
      </c>
      <c r="AQ37" s="202">
        <v>0</v>
      </c>
      <c r="AR37" s="202">
        <v>0</v>
      </c>
      <c r="AS37" s="202">
        <v>0</v>
      </c>
      <c r="AT37" s="202">
        <v>0.5</v>
      </c>
      <c r="AU37" s="202">
        <v>0</v>
      </c>
      <c r="AV37" s="202">
        <v>0.1</v>
      </c>
      <c r="AX37" s="202" t="s">
        <v>2058</v>
      </c>
      <c r="AY37" s="202">
        <v>35</v>
      </c>
    </row>
    <row r="38" spans="1:51">
      <c r="A38" s="202" t="str">
        <f t="shared" si="1"/>
        <v>郭万明</v>
      </c>
      <c r="B38" s="202">
        <f>IF(C38&lt;&gt;"NA",C38,VLOOKUP(K38,Update_from_YIFIP!$X$2:$AD$174,7,FALSE))</f>
        <v>9</v>
      </c>
      <c r="C38" s="207">
        <f t="shared" si="2"/>
        <v>9</v>
      </c>
      <c r="D38" s="207">
        <f t="shared" si="3"/>
        <v>9</v>
      </c>
      <c r="E38" s="202" t="s">
        <v>2042</v>
      </c>
      <c r="F38" s="202" t="s">
        <v>2198</v>
      </c>
      <c r="G38" s="202" t="s">
        <v>2199</v>
      </c>
      <c r="H38" s="207" t="str">
        <f t="shared" si="0"/>
        <v>NA</v>
      </c>
      <c r="I38" s="202" t="s">
        <v>1929</v>
      </c>
      <c r="J38" s="202" t="s">
        <v>2195</v>
      </c>
      <c r="K38" s="202" t="s">
        <v>2196</v>
      </c>
      <c r="L38" s="202" t="s">
        <v>1163</v>
      </c>
      <c r="M38" s="202">
        <v>10</v>
      </c>
      <c r="N38" s="202">
        <v>0</v>
      </c>
      <c r="O38" s="202">
        <v>172</v>
      </c>
      <c r="P38" s="202">
        <v>18</v>
      </c>
      <c r="Q38" s="202">
        <v>17</v>
      </c>
      <c r="R38" s="202">
        <v>17</v>
      </c>
      <c r="S38" s="202">
        <v>19</v>
      </c>
      <c r="T38" s="202">
        <v>23</v>
      </c>
      <c r="U38" s="202">
        <v>14</v>
      </c>
      <c r="V38" s="202">
        <v>17</v>
      </c>
      <c r="W38" s="202">
        <v>19</v>
      </c>
      <c r="X38" s="202">
        <v>14</v>
      </c>
      <c r="Y38" s="202">
        <v>14</v>
      </c>
      <c r="Z38" s="202">
        <v>0</v>
      </c>
      <c r="AA38" s="202">
        <v>0</v>
      </c>
      <c r="AB38" s="202">
        <v>0</v>
      </c>
      <c r="AC38" s="202">
        <v>0</v>
      </c>
      <c r="AD38" s="202">
        <v>0</v>
      </c>
      <c r="AE38" s="202">
        <v>0</v>
      </c>
      <c r="AF38" s="202">
        <v>0</v>
      </c>
      <c r="AG38" s="202">
        <v>0</v>
      </c>
      <c r="AH38" s="202">
        <v>0</v>
      </c>
      <c r="AI38" s="202">
        <v>0</v>
      </c>
      <c r="AJ38" s="202">
        <v>0</v>
      </c>
      <c r="AK38" s="202">
        <v>0</v>
      </c>
      <c r="AL38" s="202">
        <v>0</v>
      </c>
      <c r="AM38" s="202">
        <v>0</v>
      </c>
      <c r="AN38" s="202">
        <v>0</v>
      </c>
      <c r="AO38" s="202">
        <v>0</v>
      </c>
      <c r="AP38" s="202">
        <v>0</v>
      </c>
      <c r="AQ38" s="202" t="s">
        <v>1938</v>
      </c>
      <c r="AR38" s="202" t="s">
        <v>1938</v>
      </c>
      <c r="AS38" s="202">
        <v>0</v>
      </c>
      <c r="AT38" s="202">
        <v>52.5</v>
      </c>
      <c r="AU38" s="202" t="s">
        <v>2197</v>
      </c>
      <c r="AV38" s="202">
        <v>10.5</v>
      </c>
      <c r="AX38" s="202" t="s">
        <v>2096</v>
      </c>
      <c r="AY38" s="202">
        <v>36</v>
      </c>
    </row>
    <row r="39" spans="1:51">
      <c r="A39" s="202" t="str">
        <f t="shared" si="1"/>
        <v>郭万明</v>
      </c>
      <c r="B39" s="202">
        <f>IF(C39&lt;&gt;"NA",C39,VLOOKUP(K39,Update_from_YIFIP!$X$2:$AD$174,7,FALSE))</f>
        <v>9</v>
      </c>
      <c r="C39" s="207">
        <f t="shared" si="2"/>
        <v>9</v>
      </c>
      <c r="D39" s="207">
        <f t="shared" si="3"/>
        <v>9</v>
      </c>
      <c r="E39" s="202" t="s">
        <v>2042</v>
      </c>
      <c r="F39" s="202" t="s">
        <v>2198</v>
      </c>
      <c r="G39" s="202" t="s">
        <v>2199</v>
      </c>
      <c r="H39" s="207" t="str">
        <f t="shared" si="0"/>
        <v>NA</v>
      </c>
      <c r="I39" s="202" t="s">
        <v>1929</v>
      </c>
      <c r="J39" s="202" t="s">
        <v>2195</v>
      </c>
      <c r="K39" s="202" t="s">
        <v>2200</v>
      </c>
      <c r="L39" s="202" t="s">
        <v>1164</v>
      </c>
      <c r="M39" s="202">
        <v>10</v>
      </c>
      <c r="N39" s="202">
        <v>0</v>
      </c>
      <c r="O39" s="202">
        <v>237</v>
      </c>
      <c r="P39" s="202">
        <v>27</v>
      </c>
      <c r="Q39" s="202">
        <v>26</v>
      </c>
      <c r="R39" s="202">
        <v>24</v>
      </c>
      <c r="S39" s="202">
        <v>34</v>
      </c>
      <c r="T39" s="202">
        <v>23</v>
      </c>
      <c r="U39" s="202">
        <v>20</v>
      </c>
      <c r="V39" s="202">
        <v>18</v>
      </c>
      <c r="W39" s="202">
        <v>15</v>
      </c>
      <c r="X39" s="202">
        <v>25</v>
      </c>
      <c r="Y39" s="202">
        <v>25</v>
      </c>
      <c r="Z39" s="202">
        <v>0</v>
      </c>
      <c r="AA39" s="202">
        <v>0</v>
      </c>
      <c r="AB39" s="202">
        <v>0</v>
      </c>
      <c r="AC39" s="202">
        <v>0</v>
      </c>
      <c r="AD39" s="202">
        <v>0</v>
      </c>
      <c r="AE39" s="202">
        <v>0</v>
      </c>
      <c r="AF39" s="202">
        <v>0</v>
      </c>
      <c r="AG39" s="202">
        <v>0</v>
      </c>
      <c r="AH39" s="202">
        <v>0</v>
      </c>
      <c r="AI39" s="202">
        <v>0</v>
      </c>
      <c r="AJ39" s="202">
        <v>0</v>
      </c>
      <c r="AK39" s="202">
        <v>0</v>
      </c>
      <c r="AL39" s="202">
        <v>0</v>
      </c>
      <c r="AM39" s="202">
        <v>0</v>
      </c>
      <c r="AN39" s="202">
        <v>0</v>
      </c>
      <c r="AO39" s="202">
        <v>0</v>
      </c>
      <c r="AP39" s="202">
        <v>0</v>
      </c>
      <c r="AQ39" s="202" t="s">
        <v>1939</v>
      </c>
      <c r="AR39" s="202" t="s">
        <v>1939</v>
      </c>
      <c r="AS39" s="202">
        <v>0</v>
      </c>
      <c r="AT39" s="202">
        <v>55</v>
      </c>
      <c r="AU39" s="202" t="s">
        <v>2201</v>
      </c>
      <c r="AV39" s="202">
        <v>11</v>
      </c>
      <c r="AX39" s="202" t="s">
        <v>2029</v>
      </c>
      <c r="AY39" s="202">
        <v>37</v>
      </c>
    </row>
    <row r="40" spans="1:51">
      <c r="A40" s="202" t="str">
        <f t="shared" si="1"/>
        <v>郭万明</v>
      </c>
      <c r="B40" s="202">
        <f>IF(C40&lt;&gt;"NA",C40,VLOOKUP(K40,Update_from_YIFIP!$X$2:$AD$174,7,FALSE))</f>
        <v>9</v>
      </c>
      <c r="C40" s="207">
        <f t="shared" si="2"/>
        <v>9</v>
      </c>
      <c r="D40" s="207">
        <f t="shared" si="3"/>
        <v>9</v>
      </c>
      <c r="E40" s="202" t="s">
        <v>2042</v>
      </c>
      <c r="F40" s="202" t="s">
        <v>2198</v>
      </c>
      <c r="G40" s="202" t="s">
        <v>2199</v>
      </c>
      <c r="H40" s="207" t="str">
        <f t="shared" si="0"/>
        <v>NA</v>
      </c>
      <c r="I40" s="202" t="s">
        <v>1929</v>
      </c>
      <c r="J40" s="202" t="s">
        <v>45</v>
      </c>
      <c r="K40" s="202" t="s">
        <v>2202</v>
      </c>
      <c r="L40" s="202" t="s">
        <v>1165</v>
      </c>
      <c r="M40" s="202">
        <v>10</v>
      </c>
      <c r="N40" s="202">
        <v>0</v>
      </c>
      <c r="O40" s="202">
        <v>253</v>
      </c>
      <c r="P40" s="202">
        <v>30</v>
      </c>
      <c r="Q40" s="202">
        <v>15</v>
      </c>
      <c r="R40" s="202">
        <v>20</v>
      </c>
      <c r="S40" s="202">
        <v>27</v>
      </c>
      <c r="T40" s="202">
        <v>38</v>
      </c>
      <c r="U40" s="202">
        <v>31</v>
      </c>
      <c r="V40" s="202">
        <v>29</v>
      </c>
      <c r="W40" s="202">
        <v>14</v>
      </c>
      <c r="X40" s="202">
        <v>25</v>
      </c>
      <c r="Y40" s="202">
        <v>24</v>
      </c>
      <c r="Z40" s="202">
        <v>0</v>
      </c>
      <c r="AA40" s="202">
        <v>0</v>
      </c>
      <c r="AB40" s="202">
        <v>0</v>
      </c>
      <c r="AC40" s="202">
        <v>0</v>
      </c>
      <c r="AD40" s="202">
        <v>0</v>
      </c>
      <c r="AE40" s="202">
        <v>0</v>
      </c>
      <c r="AF40" s="202">
        <v>0</v>
      </c>
      <c r="AG40" s="202">
        <v>0</v>
      </c>
      <c r="AH40" s="202">
        <v>0</v>
      </c>
      <c r="AI40" s="202">
        <v>0</v>
      </c>
      <c r="AJ40" s="202">
        <v>0</v>
      </c>
      <c r="AK40" s="202">
        <v>0</v>
      </c>
      <c r="AL40" s="202">
        <v>0</v>
      </c>
      <c r="AM40" s="202">
        <v>0</v>
      </c>
      <c r="AN40" s="202">
        <v>0</v>
      </c>
      <c r="AO40" s="202">
        <v>0</v>
      </c>
      <c r="AP40" s="202">
        <v>0</v>
      </c>
      <c r="AQ40" s="202" t="s">
        <v>1940</v>
      </c>
      <c r="AR40" s="202" t="s">
        <v>1940</v>
      </c>
      <c r="AS40" s="202">
        <v>0</v>
      </c>
      <c r="AT40" s="202">
        <v>45.5</v>
      </c>
      <c r="AU40" s="202" t="s">
        <v>2203</v>
      </c>
      <c r="AV40" s="202">
        <v>9.1</v>
      </c>
      <c r="AX40" s="202" t="s">
        <v>2148</v>
      </c>
      <c r="AY40" s="202">
        <v>38</v>
      </c>
    </row>
    <row r="41" spans="1:51">
      <c r="A41" s="202" t="str">
        <f t="shared" si="1"/>
        <v>郭万明</v>
      </c>
      <c r="B41" s="202">
        <f>IF(C41&lt;&gt;"NA",C41,VLOOKUP(K41,Update_from_YIFIP!$X$2:$AD$174,7,FALSE))</f>
        <v>9</v>
      </c>
      <c r="C41" s="207">
        <f t="shared" si="2"/>
        <v>9</v>
      </c>
      <c r="D41" s="207">
        <f t="shared" si="3"/>
        <v>9</v>
      </c>
      <c r="E41" s="202" t="s">
        <v>2042</v>
      </c>
      <c r="F41" s="202" t="s">
        <v>2198</v>
      </c>
      <c r="G41" s="202" t="s">
        <v>2199</v>
      </c>
      <c r="H41" s="207" t="str">
        <f t="shared" si="0"/>
        <v>NA</v>
      </c>
      <c r="I41" s="202" t="s">
        <v>1929</v>
      </c>
      <c r="J41" s="202" t="s">
        <v>45</v>
      </c>
      <c r="K41" s="202" t="s">
        <v>2204</v>
      </c>
      <c r="L41" s="202" t="s">
        <v>1166</v>
      </c>
      <c r="M41" s="202">
        <v>10</v>
      </c>
      <c r="N41" s="202">
        <v>0</v>
      </c>
      <c r="O41" s="202">
        <v>210</v>
      </c>
      <c r="P41" s="202">
        <v>20</v>
      </c>
      <c r="Q41" s="202">
        <v>26</v>
      </c>
      <c r="R41" s="202">
        <v>15</v>
      </c>
      <c r="S41" s="202">
        <v>34</v>
      </c>
      <c r="T41" s="202">
        <v>13</v>
      </c>
      <c r="U41" s="202">
        <v>22</v>
      </c>
      <c r="V41" s="202">
        <v>27</v>
      </c>
      <c r="W41" s="202">
        <v>14</v>
      </c>
      <c r="X41" s="202">
        <v>19</v>
      </c>
      <c r="Y41" s="202">
        <v>20</v>
      </c>
      <c r="Z41" s="202">
        <v>0</v>
      </c>
      <c r="AA41" s="202">
        <v>0</v>
      </c>
      <c r="AB41" s="202">
        <v>0</v>
      </c>
      <c r="AC41" s="202">
        <v>0</v>
      </c>
      <c r="AD41" s="202">
        <v>0</v>
      </c>
      <c r="AE41" s="202">
        <v>0</v>
      </c>
      <c r="AF41" s="202">
        <v>0</v>
      </c>
      <c r="AG41" s="202">
        <v>0</v>
      </c>
      <c r="AH41" s="202">
        <v>0</v>
      </c>
      <c r="AI41" s="202">
        <v>0</v>
      </c>
      <c r="AJ41" s="202">
        <v>0</v>
      </c>
      <c r="AK41" s="202">
        <v>0</v>
      </c>
      <c r="AL41" s="202">
        <v>0</v>
      </c>
      <c r="AM41" s="202">
        <v>0</v>
      </c>
      <c r="AN41" s="202">
        <v>0</v>
      </c>
      <c r="AO41" s="202">
        <v>0</v>
      </c>
      <c r="AP41" s="202">
        <v>0</v>
      </c>
      <c r="AQ41" s="202" t="s">
        <v>1941</v>
      </c>
      <c r="AR41" s="202" t="s">
        <v>1941</v>
      </c>
      <c r="AS41" s="202">
        <v>0</v>
      </c>
      <c r="AT41" s="202">
        <v>60</v>
      </c>
      <c r="AU41" s="202" t="s">
        <v>2205</v>
      </c>
      <c r="AV41" s="202">
        <v>12</v>
      </c>
      <c r="AX41" s="202" t="s">
        <v>2103</v>
      </c>
      <c r="AY41" s="202">
        <v>39</v>
      </c>
    </row>
    <row r="42" spans="1:51">
      <c r="A42" s="202" t="str">
        <f t="shared" si="1"/>
        <v>罗永良</v>
      </c>
      <c r="B42" s="202">
        <f>IF(C42&lt;&gt;"NA",C42,VLOOKUP(K42,Update_from_YIFIP!$X$2:$AD$174,7,FALSE))</f>
        <v>10</v>
      </c>
      <c r="C42" s="207">
        <f t="shared" si="2"/>
        <v>10</v>
      </c>
      <c r="D42" s="207">
        <f t="shared" si="3"/>
        <v>10</v>
      </c>
      <c r="E42" s="202" t="s">
        <v>2105</v>
      </c>
      <c r="F42" s="202" t="s">
        <v>2268</v>
      </c>
      <c r="G42" s="202" t="s">
        <v>2269</v>
      </c>
      <c r="H42" s="207" t="str">
        <f t="shared" si="0"/>
        <v>NA</v>
      </c>
      <c r="I42" s="202" t="s">
        <v>1929</v>
      </c>
      <c r="J42" s="202" t="s">
        <v>2265</v>
      </c>
      <c r="K42" s="202" t="s">
        <v>2266</v>
      </c>
      <c r="L42" s="202" t="s">
        <v>1207</v>
      </c>
      <c r="M42" s="202">
        <v>8</v>
      </c>
      <c r="N42" s="202">
        <v>0</v>
      </c>
      <c r="O42" s="202">
        <v>169</v>
      </c>
      <c r="P42" s="202">
        <v>20</v>
      </c>
      <c r="Q42" s="202">
        <v>22</v>
      </c>
      <c r="R42" s="202">
        <v>21</v>
      </c>
      <c r="S42" s="202">
        <v>16</v>
      </c>
      <c r="T42" s="202">
        <v>26</v>
      </c>
      <c r="U42" s="202">
        <v>24</v>
      </c>
      <c r="V42" s="202">
        <v>26</v>
      </c>
      <c r="W42" s="202">
        <v>14</v>
      </c>
      <c r="X42" s="202">
        <v>0</v>
      </c>
      <c r="Y42" s="202">
        <v>0</v>
      </c>
      <c r="Z42" s="202">
        <v>0</v>
      </c>
      <c r="AA42" s="202">
        <v>0</v>
      </c>
      <c r="AB42" s="202">
        <v>0</v>
      </c>
      <c r="AC42" s="202">
        <v>0</v>
      </c>
      <c r="AD42" s="202">
        <v>0</v>
      </c>
      <c r="AE42" s="202">
        <v>0</v>
      </c>
      <c r="AF42" s="202">
        <v>0</v>
      </c>
      <c r="AG42" s="202">
        <v>0</v>
      </c>
      <c r="AH42" s="202">
        <v>0</v>
      </c>
      <c r="AI42" s="202">
        <v>0</v>
      </c>
      <c r="AJ42" s="202">
        <v>0</v>
      </c>
      <c r="AK42" s="202">
        <v>0</v>
      </c>
      <c r="AL42" s="202">
        <v>0</v>
      </c>
      <c r="AM42" s="202">
        <v>0</v>
      </c>
      <c r="AN42" s="202">
        <v>0</v>
      </c>
      <c r="AO42" s="202">
        <v>0</v>
      </c>
      <c r="AP42" s="202">
        <v>0</v>
      </c>
      <c r="AQ42" s="202" t="s">
        <v>1973</v>
      </c>
      <c r="AR42" s="202" t="s">
        <v>1973</v>
      </c>
      <c r="AS42" s="202">
        <v>0</v>
      </c>
      <c r="AT42" s="202">
        <v>31</v>
      </c>
      <c r="AU42" s="202" t="s">
        <v>2267</v>
      </c>
      <c r="AV42" s="202">
        <v>6.2</v>
      </c>
      <c r="AX42" s="202" t="s">
        <v>2132</v>
      </c>
      <c r="AY42" s="202">
        <v>40</v>
      </c>
    </row>
    <row r="43" spans="1:51">
      <c r="A43" s="202" t="str">
        <f t="shared" si="1"/>
        <v>罗永良</v>
      </c>
      <c r="B43" s="202">
        <f>IF(C43&lt;&gt;"NA",C43,VLOOKUP(K43,Update_from_YIFIP!$X$2:$AD$174,7,FALSE))</f>
        <v>10</v>
      </c>
      <c r="C43" s="207">
        <f t="shared" si="2"/>
        <v>10</v>
      </c>
      <c r="D43" s="207">
        <f t="shared" si="3"/>
        <v>10</v>
      </c>
      <c r="E43" s="202" t="s">
        <v>2105</v>
      </c>
      <c r="F43" s="202" t="s">
        <v>2268</v>
      </c>
      <c r="G43" s="202" t="s">
        <v>2269</v>
      </c>
      <c r="H43" s="207" t="str">
        <f t="shared" si="0"/>
        <v>NA</v>
      </c>
      <c r="I43" s="202" t="s">
        <v>1929</v>
      </c>
      <c r="J43" s="202" t="s">
        <v>2265</v>
      </c>
      <c r="K43" s="202" t="s">
        <v>2270</v>
      </c>
      <c r="L43" s="202" t="s">
        <v>1208</v>
      </c>
      <c r="M43" s="202">
        <v>3</v>
      </c>
      <c r="N43" s="202">
        <v>0</v>
      </c>
      <c r="O43" s="202">
        <v>17</v>
      </c>
      <c r="P43" s="202">
        <v>3</v>
      </c>
      <c r="Q43" s="202">
        <v>6</v>
      </c>
      <c r="R43" s="202">
        <v>8</v>
      </c>
      <c r="S43" s="202">
        <v>0</v>
      </c>
      <c r="T43" s="202">
        <v>0</v>
      </c>
      <c r="U43" s="202">
        <v>0</v>
      </c>
      <c r="V43" s="202">
        <v>0</v>
      </c>
      <c r="W43" s="202">
        <v>0</v>
      </c>
      <c r="X43" s="202">
        <v>0</v>
      </c>
      <c r="Y43" s="202">
        <v>0</v>
      </c>
      <c r="Z43" s="202">
        <v>0</v>
      </c>
      <c r="AA43" s="202">
        <v>0</v>
      </c>
      <c r="AB43" s="202">
        <v>0</v>
      </c>
      <c r="AC43" s="202">
        <v>0</v>
      </c>
      <c r="AD43" s="202">
        <v>0</v>
      </c>
      <c r="AE43" s="202">
        <v>0</v>
      </c>
      <c r="AF43" s="202">
        <v>0</v>
      </c>
      <c r="AG43" s="202">
        <v>0</v>
      </c>
      <c r="AH43" s="202">
        <v>0</v>
      </c>
      <c r="AI43" s="202">
        <v>0</v>
      </c>
      <c r="AJ43" s="202">
        <v>0</v>
      </c>
      <c r="AK43" s="202">
        <v>0</v>
      </c>
      <c r="AL43" s="202">
        <v>0</v>
      </c>
      <c r="AM43" s="202">
        <v>0</v>
      </c>
      <c r="AN43" s="202">
        <v>0</v>
      </c>
      <c r="AO43" s="202">
        <v>0</v>
      </c>
      <c r="AP43" s="202">
        <v>0</v>
      </c>
      <c r="AQ43" s="202" t="s">
        <v>1934</v>
      </c>
      <c r="AR43" s="202" t="s">
        <v>1934</v>
      </c>
      <c r="AS43" s="202">
        <v>0</v>
      </c>
      <c r="AT43" s="202">
        <v>3</v>
      </c>
      <c r="AU43" s="202">
        <v>0</v>
      </c>
      <c r="AV43" s="202">
        <v>0.6</v>
      </c>
      <c r="AX43" s="202" t="s">
        <v>2134</v>
      </c>
      <c r="AY43" s="202">
        <v>41</v>
      </c>
    </row>
    <row r="44" spans="1:51">
      <c r="A44" s="202" t="str">
        <f t="shared" si="1"/>
        <v>罗永良</v>
      </c>
      <c r="B44" s="202">
        <f>IF(C44&lt;&gt;"NA",C44,VLOOKUP(K44,Update_from_YIFIP!$X$2:$AD$174,7,FALSE))</f>
        <v>10</v>
      </c>
      <c r="C44" s="207">
        <f t="shared" si="2"/>
        <v>10</v>
      </c>
      <c r="D44" s="207">
        <f t="shared" si="3"/>
        <v>10</v>
      </c>
      <c r="E44" s="202" t="s">
        <v>2105</v>
      </c>
      <c r="F44" s="202" t="s">
        <v>2268</v>
      </c>
      <c r="G44" s="202" t="s">
        <v>2269</v>
      </c>
      <c r="H44" s="207" t="str">
        <f t="shared" si="0"/>
        <v>NA</v>
      </c>
      <c r="I44" s="202" t="s">
        <v>1929</v>
      </c>
      <c r="J44" s="202" t="s">
        <v>2265</v>
      </c>
      <c r="K44" s="202" t="s">
        <v>2271</v>
      </c>
      <c r="L44" s="202" t="s">
        <v>1209</v>
      </c>
      <c r="M44" s="202">
        <v>5</v>
      </c>
      <c r="N44" s="202">
        <v>0</v>
      </c>
      <c r="O44" s="202">
        <v>100</v>
      </c>
      <c r="P44" s="202">
        <v>22</v>
      </c>
      <c r="Q44" s="202">
        <v>21</v>
      </c>
      <c r="R44" s="202">
        <v>18</v>
      </c>
      <c r="S44" s="202">
        <v>16</v>
      </c>
      <c r="T44" s="202">
        <v>23</v>
      </c>
      <c r="U44" s="202">
        <v>0</v>
      </c>
      <c r="V44" s="202">
        <v>0</v>
      </c>
      <c r="W44" s="202">
        <v>0</v>
      </c>
      <c r="X44" s="202">
        <v>0</v>
      </c>
      <c r="Y44" s="202">
        <v>0</v>
      </c>
      <c r="Z44" s="202">
        <v>0</v>
      </c>
      <c r="AA44" s="202">
        <v>0</v>
      </c>
      <c r="AB44" s="202">
        <v>0</v>
      </c>
      <c r="AC44" s="202">
        <v>0</v>
      </c>
      <c r="AD44" s="202">
        <v>0</v>
      </c>
      <c r="AE44" s="202">
        <v>0</v>
      </c>
      <c r="AF44" s="202">
        <v>0</v>
      </c>
      <c r="AG44" s="202">
        <v>0</v>
      </c>
      <c r="AH44" s="202">
        <v>0</v>
      </c>
      <c r="AI44" s="202">
        <v>0</v>
      </c>
      <c r="AJ44" s="202">
        <v>0</v>
      </c>
      <c r="AK44" s="202">
        <v>0</v>
      </c>
      <c r="AL44" s="202">
        <v>0</v>
      </c>
      <c r="AM44" s="202">
        <v>0</v>
      </c>
      <c r="AN44" s="202">
        <v>0</v>
      </c>
      <c r="AO44" s="202">
        <v>0</v>
      </c>
      <c r="AP44" s="202">
        <v>0</v>
      </c>
      <c r="AQ44" s="202" t="s">
        <v>1974</v>
      </c>
      <c r="AR44" s="202" t="s">
        <v>1974</v>
      </c>
      <c r="AS44" s="202">
        <v>0</v>
      </c>
      <c r="AT44" s="202">
        <v>12</v>
      </c>
      <c r="AU44" s="202" t="s">
        <v>2272</v>
      </c>
      <c r="AV44" s="202">
        <v>2.4</v>
      </c>
      <c r="AX44" s="202" t="s">
        <v>2088</v>
      </c>
      <c r="AY44" s="202">
        <v>42</v>
      </c>
    </row>
    <row r="45" spans="1:51">
      <c r="A45" s="202" t="str">
        <f t="shared" si="1"/>
        <v>罗永良</v>
      </c>
      <c r="B45" s="202">
        <f>IF(C45&lt;&gt;"NA",C45,VLOOKUP(K45,Update_from_YIFIP!$X$2:$AD$174,7,FALSE))</f>
        <v>10</v>
      </c>
      <c r="C45" s="207">
        <f t="shared" si="2"/>
        <v>10</v>
      </c>
      <c r="D45" s="207">
        <f t="shared" si="3"/>
        <v>10</v>
      </c>
      <c r="E45" s="202" t="s">
        <v>2105</v>
      </c>
      <c r="F45" s="202" t="s">
        <v>2268</v>
      </c>
      <c r="G45" s="202" t="s">
        <v>2269</v>
      </c>
      <c r="H45" s="207" t="str">
        <f t="shared" si="0"/>
        <v>NA</v>
      </c>
      <c r="I45" s="202" t="s">
        <v>1929</v>
      </c>
      <c r="J45" s="202" t="s">
        <v>2265</v>
      </c>
      <c r="K45" s="202" t="s">
        <v>2273</v>
      </c>
      <c r="L45" s="202" t="s">
        <v>1210</v>
      </c>
      <c r="M45" s="202">
        <v>8</v>
      </c>
      <c r="N45" s="202">
        <v>0</v>
      </c>
      <c r="O45" s="202">
        <v>176</v>
      </c>
      <c r="P45" s="202">
        <v>27</v>
      </c>
      <c r="Q45" s="202">
        <v>21</v>
      </c>
      <c r="R45" s="202">
        <v>21</v>
      </c>
      <c r="S45" s="202">
        <v>17</v>
      </c>
      <c r="T45" s="202">
        <v>25</v>
      </c>
      <c r="U45" s="202">
        <v>35</v>
      </c>
      <c r="V45" s="202">
        <v>15</v>
      </c>
      <c r="W45" s="202">
        <v>15</v>
      </c>
      <c r="X45" s="202">
        <v>0</v>
      </c>
      <c r="Y45" s="202">
        <v>0</v>
      </c>
      <c r="Z45" s="202">
        <v>0</v>
      </c>
      <c r="AA45" s="202">
        <v>0</v>
      </c>
      <c r="AB45" s="202">
        <v>0</v>
      </c>
      <c r="AC45" s="202">
        <v>0</v>
      </c>
      <c r="AD45" s="202">
        <v>0</v>
      </c>
      <c r="AE45" s="202">
        <v>0</v>
      </c>
      <c r="AF45" s="202">
        <v>0</v>
      </c>
      <c r="AG45" s="202">
        <v>0</v>
      </c>
      <c r="AH45" s="202">
        <v>0</v>
      </c>
      <c r="AI45" s="202">
        <v>0</v>
      </c>
      <c r="AJ45" s="202">
        <v>0</v>
      </c>
      <c r="AK45" s="202">
        <v>0</v>
      </c>
      <c r="AL45" s="202">
        <v>0</v>
      </c>
      <c r="AM45" s="202">
        <v>0</v>
      </c>
      <c r="AN45" s="202">
        <v>0</v>
      </c>
      <c r="AO45" s="202">
        <v>0</v>
      </c>
      <c r="AP45" s="202">
        <v>0</v>
      </c>
      <c r="AQ45" s="202" t="s">
        <v>1975</v>
      </c>
      <c r="AR45" s="202" t="s">
        <v>1975</v>
      </c>
      <c r="AS45" s="202">
        <v>0</v>
      </c>
      <c r="AT45" s="202">
        <v>37.5</v>
      </c>
      <c r="AU45" s="202" t="s">
        <v>2274</v>
      </c>
      <c r="AV45" s="202">
        <v>7.5</v>
      </c>
      <c r="AX45" s="202" t="s">
        <v>2052</v>
      </c>
      <c r="AY45" s="202">
        <v>43</v>
      </c>
    </row>
    <row r="46" spans="1:51">
      <c r="A46" s="202" t="str">
        <f t="shared" si="1"/>
        <v>朱荣兴</v>
      </c>
      <c r="B46" s="202">
        <f>IF(C46&lt;&gt;"NA",C46,VLOOKUP(K46,Update_from_YIFIP!$X$2:$AD$174,7,FALSE))</f>
        <v>13</v>
      </c>
      <c r="C46" s="207">
        <f t="shared" si="2"/>
        <v>13</v>
      </c>
      <c r="D46" s="207">
        <f t="shared" si="3"/>
        <v>13</v>
      </c>
      <c r="E46" s="202" t="s">
        <v>2165</v>
      </c>
      <c r="F46" s="202" t="s">
        <v>2322</v>
      </c>
      <c r="G46" s="202" t="s">
        <v>2323</v>
      </c>
      <c r="H46" s="207" t="str">
        <f t="shared" si="0"/>
        <v>NA</v>
      </c>
      <c r="I46" s="202" t="s">
        <v>1929</v>
      </c>
      <c r="J46" s="202" t="s">
        <v>2320</v>
      </c>
      <c r="K46" s="202" t="s">
        <v>2321</v>
      </c>
      <c r="L46" s="202" t="s">
        <v>1233</v>
      </c>
      <c r="M46" s="202">
        <v>4</v>
      </c>
      <c r="N46" s="202">
        <v>0</v>
      </c>
      <c r="O46" s="202">
        <v>39</v>
      </c>
      <c r="P46" s="202">
        <v>9</v>
      </c>
      <c r="Q46" s="202">
        <v>10</v>
      </c>
      <c r="R46" s="202">
        <v>10</v>
      </c>
      <c r="S46" s="202">
        <v>10</v>
      </c>
      <c r="T46" s="202">
        <v>0</v>
      </c>
      <c r="U46" s="202">
        <v>0</v>
      </c>
      <c r="V46" s="202">
        <v>0</v>
      </c>
      <c r="W46" s="202">
        <v>0</v>
      </c>
      <c r="X46" s="202">
        <v>0</v>
      </c>
      <c r="Y46" s="202">
        <v>0</v>
      </c>
      <c r="Z46" s="202">
        <v>0</v>
      </c>
      <c r="AA46" s="202">
        <v>0</v>
      </c>
      <c r="AB46" s="202">
        <v>0</v>
      </c>
      <c r="AC46" s="202">
        <v>0</v>
      </c>
      <c r="AD46" s="202">
        <v>0</v>
      </c>
      <c r="AE46" s="202">
        <v>0</v>
      </c>
      <c r="AF46" s="202">
        <v>0</v>
      </c>
      <c r="AG46" s="202">
        <v>0</v>
      </c>
      <c r="AH46" s="202">
        <v>0</v>
      </c>
      <c r="AI46" s="202">
        <v>0</v>
      </c>
      <c r="AJ46" s="202">
        <v>0</v>
      </c>
      <c r="AK46" s="202">
        <v>0</v>
      </c>
      <c r="AL46" s="202">
        <v>0</v>
      </c>
      <c r="AM46" s="202">
        <v>0</v>
      </c>
      <c r="AN46" s="202">
        <v>0</v>
      </c>
      <c r="AO46" s="202">
        <v>0</v>
      </c>
      <c r="AP46" s="202">
        <v>0</v>
      </c>
      <c r="AQ46" s="202" t="s">
        <v>1973</v>
      </c>
      <c r="AR46" s="202" t="s">
        <v>1973</v>
      </c>
      <c r="AS46" s="202">
        <v>0</v>
      </c>
      <c r="AT46" s="202">
        <v>7.5</v>
      </c>
      <c r="AU46" s="202">
        <v>0</v>
      </c>
      <c r="AV46" s="202">
        <v>1.5</v>
      </c>
      <c r="AX46" s="202" t="s">
        <v>2060</v>
      </c>
      <c r="AY46" s="202">
        <v>44</v>
      </c>
    </row>
    <row r="47" spans="1:51">
      <c r="A47" s="202" t="str">
        <f t="shared" si="1"/>
        <v>朱荣兴</v>
      </c>
      <c r="B47" s="202">
        <f>IF(C47&lt;&gt;"NA",C47,VLOOKUP(K47,Update_from_YIFIP!$X$2:$AD$174,7,FALSE))</f>
        <v>13</v>
      </c>
      <c r="C47" s="207">
        <f t="shared" si="2"/>
        <v>13</v>
      </c>
      <c r="D47" s="207">
        <f t="shared" si="3"/>
        <v>13</v>
      </c>
      <c r="E47" s="202" t="s">
        <v>2165</v>
      </c>
      <c r="F47" s="202" t="s">
        <v>2322</v>
      </c>
      <c r="G47" s="202" t="s">
        <v>2323</v>
      </c>
      <c r="H47" s="207" t="str">
        <f t="shared" si="0"/>
        <v>NA</v>
      </c>
      <c r="I47" s="202" t="s">
        <v>1929</v>
      </c>
      <c r="J47" s="202" t="s">
        <v>2320</v>
      </c>
      <c r="K47" s="202" t="s">
        <v>2324</v>
      </c>
      <c r="L47" s="202" t="s">
        <v>1234</v>
      </c>
      <c r="M47" s="202">
        <v>8</v>
      </c>
      <c r="N47" s="202">
        <v>0</v>
      </c>
      <c r="O47" s="202">
        <v>85</v>
      </c>
      <c r="P47" s="202">
        <v>10</v>
      </c>
      <c r="Q47" s="202">
        <v>10</v>
      </c>
      <c r="R47" s="202">
        <v>10</v>
      </c>
      <c r="S47" s="202">
        <v>11</v>
      </c>
      <c r="T47" s="202">
        <v>13</v>
      </c>
      <c r="U47" s="202">
        <v>10</v>
      </c>
      <c r="V47" s="202">
        <v>10</v>
      </c>
      <c r="W47" s="202">
        <v>11</v>
      </c>
      <c r="X47" s="202">
        <v>0</v>
      </c>
      <c r="Y47" s="202">
        <v>0</v>
      </c>
      <c r="Z47" s="202">
        <v>0</v>
      </c>
      <c r="AA47" s="202">
        <v>0</v>
      </c>
      <c r="AB47" s="202">
        <v>0</v>
      </c>
      <c r="AC47" s="202">
        <v>0</v>
      </c>
      <c r="AD47" s="202">
        <v>0</v>
      </c>
      <c r="AE47" s="202">
        <v>0</v>
      </c>
      <c r="AF47" s="202">
        <v>0</v>
      </c>
      <c r="AG47" s="202">
        <v>0</v>
      </c>
      <c r="AH47" s="202">
        <v>0</v>
      </c>
      <c r="AI47" s="202">
        <v>0</v>
      </c>
      <c r="AJ47" s="202">
        <v>0</v>
      </c>
      <c r="AK47" s="202">
        <v>0</v>
      </c>
      <c r="AL47" s="202">
        <v>0</v>
      </c>
      <c r="AM47" s="202">
        <v>0</v>
      </c>
      <c r="AN47" s="202">
        <v>0</v>
      </c>
      <c r="AO47" s="202">
        <v>0</v>
      </c>
      <c r="AP47" s="202">
        <v>0</v>
      </c>
      <c r="AQ47" s="202" t="s">
        <v>1934</v>
      </c>
      <c r="AR47" s="202" t="s">
        <v>1934</v>
      </c>
      <c r="AS47" s="202">
        <v>0</v>
      </c>
      <c r="AT47" s="202">
        <v>15</v>
      </c>
      <c r="AU47" s="202">
        <v>0</v>
      </c>
      <c r="AV47" s="202">
        <v>3</v>
      </c>
      <c r="AX47" s="202" t="s">
        <v>2161</v>
      </c>
      <c r="AY47" s="202">
        <v>45</v>
      </c>
    </row>
    <row r="48" spans="1:51">
      <c r="A48" s="202" t="str">
        <f t="shared" si="1"/>
        <v>朱荣兴</v>
      </c>
      <c r="B48" s="202">
        <f>IF(C48&lt;&gt;"NA",C48,VLOOKUP(K48,Update_from_YIFIP!$X$2:$AD$174,7,FALSE))</f>
        <v>13</v>
      </c>
      <c r="C48" s="207">
        <f t="shared" si="2"/>
        <v>13</v>
      </c>
      <c r="D48" s="207">
        <f t="shared" si="3"/>
        <v>13</v>
      </c>
      <c r="E48" s="202" t="s">
        <v>2165</v>
      </c>
      <c r="F48" s="202" t="s">
        <v>2322</v>
      </c>
      <c r="G48" s="202" t="s">
        <v>2323</v>
      </c>
      <c r="H48" s="207" t="str">
        <f t="shared" si="0"/>
        <v>NA</v>
      </c>
      <c r="I48" s="202" t="s">
        <v>1929</v>
      </c>
      <c r="J48" s="202" t="s">
        <v>2320</v>
      </c>
      <c r="K48" s="202" t="s">
        <v>2325</v>
      </c>
      <c r="L48" s="202" t="s">
        <v>1235</v>
      </c>
      <c r="M48" s="202">
        <v>3</v>
      </c>
      <c r="N48" s="202">
        <v>0</v>
      </c>
      <c r="O48" s="202">
        <v>23</v>
      </c>
      <c r="P48" s="202">
        <v>11</v>
      </c>
      <c r="Q48" s="202">
        <v>3</v>
      </c>
      <c r="R48" s="202">
        <v>9</v>
      </c>
      <c r="S48" s="202">
        <v>0</v>
      </c>
      <c r="T48" s="202">
        <v>0</v>
      </c>
      <c r="U48" s="202">
        <v>0</v>
      </c>
      <c r="V48" s="202">
        <v>0</v>
      </c>
      <c r="W48" s="202">
        <v>0</v>
      </c>
      <c r="X48" s="202">
        <v>0</v>
      </c>
      <c r="Y48" s="202">
        <v>0</v>
      </c>
      <c r="Z48" s="202">
        <v>0</v>
      </c>
      <c r="AA48" s="202">
        <v>0</v>
      </c>
      <c r="AB48" s="202">
        <v>0</v>
      </c>
      <c r="AC48" s="202">
        <v>0</v>
      </c>
      <c r="AD48" s="202">
        <v>0</v>
      </c>
      <c r="AE48" s="202">
        <v>0</v>
      </c>
      <c r="AF48" s="202">
        <v>0</v>
      </c>
      <c r="AG48" s="202">
        <v>0</v>
      </c>
      <c r="AH48" s="202">
        <v>0</v>
      </c>
      <c r="AI48" s="202">
        <v>0</v>
      </c>
      <c r="AJ48" s="202">
        <v>0</v>
      </c>
      <c r="AK48" s="202">
        <v>0</v>
      </c>
      <c r="AL48" s="202">
        <v>0</v>
      </c>
      <c r="AM48" s="202">
        <v>0</v>
      </c>
      <c r="AN48" s="202">
        <v>0</v>
      </c>
      <c r="AO48" s="202">
        <v>0</v>
      </c>
      <c r="AP48" s="202">
        <v>0</v>
      </c>
      <c r="AQ48" s="202" t="s">
        <v>1989</v>
      </c>
      <c r="AR48" s="202" t="s">
        <v>1989</v>
      </c>
      <c r="AS48" s="202">
        <v>0</v>
      </c>
      <c r="AT48" s="202">
        <v>5</v>
      </c>
      <c r="AU48" s="202">
        <v>0</v>
      </c>
      <c r="AV48" s="202">
        <v>1</v>
      </c>
      <c r="AX48" s="202" t="s">
        <v>2055</v>
      </c>
      <c r="AY48" s="202">
        <v>46</v>
      </c>
    </row>
    <row r="49" spans="1:51">
      <c r="A49" s="202" t="str">
        <f t="shared" si="1"/>
        <v>黄丕山</v>
      </c>
      <c r="B49" s="202">
        <f>IF(C49&lt;&gt;"NA",C49,VLOOKUP(K49,Update_from_YIFIP!$X$2:$AD$174,7,FALSE))</f>
        <v>14</v>
      </c>
      <c r="C49" s="207">
        <f t="shared" si="2"/>
        <v>14</v>
      </c>
      <c r="D49" s="207">
        <f t="shared" si="3"/>
        <v>14</v>
      </c>
      <c r="E49" s="202" t="s">
        <v>2049</v>
      </c>
      <c r="F49" s="202" t="s">
        <v>2182</v>
      </c>
      <c r="G49" s="202" t="s">
        <v>2183</v>
      </c>
      <c r="H49" s="207" t="str">
        <f t="shared" si="0"/>
        <v>NA</v>
      </c>
      <c r="I49" s="202" t="s">
        <v>1929</v>
      </c>
      <c r="J49" s="202" t="s">
        <v>2181</v>
      </c>
      <c r="K49" s="202" t="s">
        <v>2018</v>
      </c>
      <c r="L49" s="202" t="s">
        <v>1154</v>
      </c>
      <c r="M49" s="202">
        <v>5</v>
      </c>
      <c r="N49" s="202">
        <v>0</v>
      </c>
      <c r="O49" s="202">
        <v>37</v>
      </c>
      <c r="P49" s="202">
        <v>2</v>
      </c>
      <c r="Q49" s="202">
        <v>6</v>
      </c>
      <c r="R49" s="202">
        <v>9</v>
      </c>
      <c r="S49" s="202">
        <v>8</v>
      </c>
      <c r="T49" s="202">
        <v>12</v>
      </c>
      <c r="U49" s="202">
        <v>0</v>
      </c>
      <c r="V49" s="202">
        <v>0</v>
      </c>
      <c r="W49" s="202">
        <v>0</v>
      </c>
      <c r="X49" s="202">
        <v>0</v>
      </c>
      <c r="Y49" s="202">
        <v>0</v>
      </c>
      <c r="Z49" s="202">
        <v>0</v>
      </c>
      <c r="AA49" s="202">
        <v>0</v>
      </c>
      <c r="AB49" s="202">
        <v>0</v>
      </c>
      <c r="AC49" s="202">
        <v>0</v>
      </c>
      <c r="AD49" s="202">
        <v>0</v>
      </c>
      <c r="AE49" s="202">
        <v>0</v>
      </c>
      <c r="AF49" s="202">
        <v>0</v>
      </c>
      <c r="AG49" s="202">
        <v>0</v>
      </c>
      <c r="AH49" s="202">
        <v>0</v>
      </c>
      <c r="AI49" s="202">
        <v>0</v>
      </c>
      <c r="AJ49" s="202">
        <v>0</v>
      </c>
      <c r="AK49" s="202">
        <v>0</v>
      </c>
      <c r="AL49" s="202">
        <v>0</v>
      </c>
      <c r="AM49" s="202">
        <v>0</v>
      </c>
      <c r="AN49" s="202">
        <v>0</v>
      </c>
      <c r="AO49" s="202">
        <v>0</v>
      </c>
      <c r="AP49" s="202">
        <v>0</v>
      </c>
      <c r="AQ49" s="202">
        <v>42564</v>
      </c>
      <c r="AR49" s="202">
        <v>42565</v>
      </c>
      <c r="AS49" s="202">
        <v>2541</v>
      </c>
      <c r="AT49" s="202">
        <v>5</v>
      </c>
      <c r="AU49" s="202">
        <v>0</v>
      </c>
      <c r="AV49" s="202">
        <v>1</v>
      </c>
      <c r="AX49" s="202" t="s">
        <v>2101</v>
      </c>
      <c r="AY49" s="202">
        <v>47</v>
      </c>
    </row>
    <row r="50" spans="1:51">
      <c r="A50" s="202" t="str">
        <f t="shared" si="1"/>
        <v>黄丕山</v>
      </c>
      <c r="B50" s="202">
        <f>IF(C50&lt;&gt;"NA",C50,VLOOKUP(K50,Update_from_YIFIP!$X$2:$AD$174,7,FALSE))</f>
        <v>14</v>
      </c>
      <c r="C50" s="207">
        <f t="shared" si="2"/>
        <v>14</v>
      </c>
      <c r="D50" s="207">
        <f t="shared" si="3"/>
        <v>14</v>
      </c>
      <c r="E50" s="202" t="s">
        <v>2049</v>
      </c>
      <c r="F50" s="202" t="s">
        <v>2182</v>
      </c>
      <c r="G50" s="202" t="s">
        <v>2183</v>
      </c>
      <c r="H50" s="207" t="str">
        <f t="shared" si="0"/>
        <v>NA</v>
      </c>
      <c r="I50" s="202" t="s">
        <v>1929</v>
      </c>
      <c r="J50" s="202" t="s">
        <v>2181</v>
      </c>
      <c r="K50" s="202" t="s">
        <v>2184</v>
      </c>
      <c r="L50" s="202" t="s">
        <v>1155</v>
      </c>
      <c r="M50" s="202">
        <v>5</v>
      </c>
      <c r="N50" s="202">
        <v>0</v>
      </c>
      <c r="O50" s="202">
        <v>21</v>
      </c>
      <c r="P50" s="202">
        <v>5</v>
      </c>
      <c r="Q50" s="202">
        <v>7</v>
      </c>
      <c r="R50" s="202">
        <v>1</v>
      </c>
      <c r="S50" s="202">
        <v>4</v>
      </c>
      <c r="T50" s="202">
        <v>4</v>
      </c>
      <c r="U50" s="202">
        <v>0</v>
      </c>
      <c r="V50" s="202">
        <v>0</v>
      </c>
      <c r="W50" s="202">
        <v>0</v>
      </c>
      <c r="X50" s="202">
        <v>0</v>
      </c>
      <c r="Y50" s="202">
        <v>0</v>
      </c>
      <c r="Z50" s="202">
        <v>0</v>
      </c>
      <c r="AA50" s="202">
        <v>0</v>
      </c>
      <c r="AB50" s="202">
        <v>0</v>
      </c>
      <c r="AC50" s="202">
        <v>0</v>
      </c>
      <c r="AD50" s="202">
        <v>0</v>
      </c>
      <c r="AE50" s="202">
        <v>0</v>
      </c>
      <c r="AF50" s="202">
        <v>0</v>
      </c>
      <c r="AG50" s="202">
        <v>0</v>
      </c>
      <c r="AH50" s="202">
        <v>0</v>
      </c>
      <c r="AI50" s="202">
        <v>0</v>
      </c>
      <c r="AJ50" s="202">
        <v>0</v>
      </c>
      <c r="AK50" s="202">
        <v>0</v>
      </c>
      <c r="AL50" s="202">
        <v>0</v>
      </c>
      <c r="AM50" s="202">
        <v>0</v>
      </c>
      <c r="AN50" s="202">
        <v>0</v>
      </c>
      <c r="AO50" s="202">
        <v>0</v>
      </c>
      <c r="AP50" s="202">
        <v>0</v>
      </c>
      <c r="AQ50" s="202">
        <v>42572</v>
      </c>
      <c r="AR50" s="202">
        <v>42575</v>
      </c>
      <c r="AS50" s="202">
        <v>0</v>
      </c>
      <c r="AT50" s="202">
        <v>4</v>
      </c>
      <c r="AU50" s="202">
        <v>0</v>
      </c>
      <c r="AV50" s="202">
        <v>0.8</v>
      </c>
      <c r="AX50" s="202" t="s">
        <v>2144</v>
      </c>
      <c r="AY50" s="202">
        <v>48</v>
      </c>
    </row>
    <row r="51" spans="1:51">
      <c r="A51" s="202" t="str">
        <f t="shared" si="1"/>
        <v>黄丕山</v>
      </c>
      <c r="B51" s="202">
        <f>IF(C51&lt;&gt;"NA",C51,VLOOKUP(K51,Update_from_YIFIP!$X$2:$AD$174,7,FALSE))</f>
        <v>14</v>
      </c>
      <c r="C51" s="207">
        <f t="shared" si="2"/>
        <v>14</v>
      </c>
      <c r="D51" s="207">
        <f t="shared" si="3"/>
        <v>14</v>
      </c>
      <c r="E51" s="202" t="s">
        <v>2049</v>
      </c>
      <c r="F51" s="202" t="s">
        <v>2182</v>
      </c>
      <c r="G51" s="202" t="s">
        <v>2183</v>
      </c>
      <c r="H51" s="207" t="str">
        <f t="shared" si="0"/>
        <v>NA</v>
      </c>
      <c r="I51" s="202" t="s">
        <v>1929</v>
      </c>
      <c r="J51" s="202" t="s">
        <v>2181</v>
      </c>
      <c r="K51" s="202" t="s">
        <v>2185</v>
      </c>
      <c r="L51" s="202" t="s">
        <v>1156</v>
      </c>
      <c r="M51" s="202">
        <v>2</v>
      </c>
      <c r="N51" s="202">
        <v>0</v>
      </c>
      <c r="O51" s="202">
        <v>5</v>
      </c>
      <c r="P51" s="202">
        <v>1</v>
      </c>
      <c r="Q51" s="202">
        <v>4</v>
      </c>
      <c r="R51" s="202">
        <v>0</v>
      </c>
      <c r="S51" s="202">
        <v>0</v>
      </c>
      <c r="T51" s="202">
        <v>0</v>
      </c>
      <c r="U51" s="202">
        <v>0</v>
      </c>
      <c r="V51" s="202">
        <v>0</v>
      </c>
      <c r="W51" s="202">
        <v>0</v>
      </c>
      <c r="X51" s="202">
        <v>0</v>
      </c>
      <c r="Y51" s="202">
        <v>0</v>
      </c>
      <c r="Z51" s="202">
        <v>0</v>
      </c>
      <c r="AA51" s="202">
        <v>0</v>
      </c>
      <c r="AB51" s="202">
        <v>0</v>
      </c>
      <c r="AC51" s="202">
        <v>0</v>
      </c>
      <c r="AD51" s="202">
        <v>0</v>
      </c>
      <c r="AE51" s="202">
        <v>0</v>
      </c>
      <c r="AF51" s="202">
        <v>0</v>
      </c>
      <c r="AG51" s="202">
        <v>0</v>
      </c>
      <c r="AH51" s="202">
        <v>0</v>
      </c>
      <c r="AI51" s="202">
        <v>0</v>
      </c>
      <c r="AJ51" s="202">
        <v>0</v>
      </c>
      <c r="AK51" s="202">
        <v>0</v>
      </c>
      <c r="AL51" s="202">
        <v>0</v>
      </c>
      <c r="AM51" s="202">
        <v>0</v>
      </c>
      <c r="AN51" s="202">
        <v>0</v>
      </c>
      <c r="AO51" s="202">
        <v>0</v>
      </c>
      <c r="AP51" s="202">
        <v>0</v>
      </c>
      <c r="AQ51" s="202">
        <v>42588</v>
      </c>
      <c r="AR51" s="202">
        <v>42590</v>
      </c>
      <c r="AS51" s="202">
        <v>0</v>
      </c>
      <c r="AT51" s="202">
        <v>1.5</v>
      </c>
      <c r="AU51" s="202">
        <v>0</v>
      </c>
      <c r="AV51" s="202">
        <v>0.3</v>
      </c>
      <c r="AX51" s="202" t="s">
        <v>2170</v>
      </c>
      <c r="AY51" s="202">
        <v>49</v>
      </c>
    </row>
    <row r="52" spans="1:51">
      <c r="A52" s="202" t="str">
        <f t="shared" si="1"/>
        <v>黄丕山</v>
      </c>
      <c r="B52" s="202">
        <f>IF(C52&lt;&gt;"NA",C52,VLOOKUP(K52,Update_from_YIFIP!$X$2:$AD$174,7,FALSE))</f>
        <v>14</v>
      </c>
      <c r="C52" s="207">
        <f t="shared" si="2"/>
        <v>14</v>
      </c>
      <c r="D52" s="207">
        <f t="shared" si="3"/>
        <v>14</v>
      </c>
      <c r="E52" s="202" t="s">
        <v>2049</v>
      </c>
      <c r="F52" s="202" t="s">
        <v>2182</v>
      </c>
      <c r="G52" s="202" t="s">
        <v>2183</v>
      </c>
      <c r="H52" s="207" t="str">
        <f t="shared" si="0"/>
        <v>NA</v>
      </c>
      <c r="I52" s="202" t="s">
        <v>1929</v>
      </c>
      <c r="J52" s="202" t="s">
        <v>2181</v>
      </c>
      <c r="K52" s="202" t="s">
        <v>2186</v>
      </c>
      <c r="L52" s="202" t="s">
        <v>1157</v>
      </c>
      <c r="M52" s="202">
        <v>3</v>
      </c>
      <c r="N52" s="202">
        <v>0</v>
      </c>
      <c r="O52" s="202">
        <v>14</v>
      </c>
      <c r="P52" s="202">
        <v>3</v>
      </c>
      <c r="Q52" s="202">
        <v>6</v>
      </c>
      <c r="R52" s="202">
        <v>5</v>
      </c>
      <c r="S52" s="202">
        <v>0</v>
      </c>
      <c r="T52" s="202">
        <v>0</v>
      </c>
      <c r="U52" s="202">
        <v>0</v>
      </c>
      <c r="V52" s="202">
        <v>0</v>
      </c>
      <c r="W52" s="202">
        <v>0</v>
      </c>
      <c r="X52" s="202">
        <v>0</v>
      </c>
      <c r="Y52" s="202">
        <v>0</v>
      </c>
      <c r="Z52" s="202">
        <v>0</v>
      </c>
      <c r="AA52" s="202">
        <v>0</v>
      </c>
      <c r="AB52" s="202">
        <v>0</v>
      </c>
      <c r="AC52" s="202">
        <v>0</v>
      </c>
      <c r="AD52" s="202">
        <v>0</v>
      </c>
      <c r="AE52" s="202">
        <v>0</v>
      </c>
      <c r="AF52" s="202">
        <v>0</v>
      </c>
      <c r="AG52" s="202">
        <v>0</v>
      </c>
      <c r="AH52" s="202">
        <v>0</v>
      </c>
      <c r="AI52" s="202">
        <v>0</v>
      </c>
      <c r="AJ52" s="202">
        <v>0</v>
      </c>
      <c r="AK52" s="202">
        <v>0</v>
      </c>
      <c r="AL52" s="202">
        <v>0</v>
      </c>
      <c r="AM52" s="202">
        <v>0</v>
      </c>
      <c r="AN52" s="202">
        <v>0</v>
      </c>
      <c r="AO52" s="202">
        <v>0</v>
      </c>
      <c r="AP52" s="202">
        <v>0</v>
      </c>
      <c r="AQ52" s="202">
        <v>42591</v>
      </c>
      <c r="AR52" s="202">
        <v>42597</v>
      </c>
      <c r="AS52" s="202">
        <v>0</v>
      </c>
      <c r="AT52" s="202">
        <v>4</v>
      </c>
      <c r="AU52" s="202">
        <v>0</v>
      </c>
      <c r="AV52" s="202">
        <v>0.8</v>
      </c>
      <c r="AX52" s="202" t="s">
        <v>2073</v>
      </c>
      <c r="AY52" s="202">
        <v>50</v>
      </c>
    </row>
    <row r="53" spans="1:51">
      <c r="A53" s="202" t="str">
        <f t="shared" si="1"/>
        <v>郭存义</v>
      </c>
      <c r="B53" s="202">
        <f>IF(C53&lt;&gt;"NA",C53,VLOOKUP(K53,Update_from_YIFIP!$X$2:$AD$174,7,FALSE))</f>
        <v>19</v>
      </c>
      <c r="C53" s="207">
        <f t="shared" si="2"/>
        <v>19</v>
      </c>
      <c r="D53" s="207">
        <f t="shared" si="3"/>
        <v>19</v>
      </c>
      <c r="E53" s="202" t="s">
        <v>2040</v>
      </c>
      <c r="F53" s="202" t="s">
        <v>2247</v>
      </c>
      <c r="G53" s="202" t="s">
        <v>2248</v>
      </c>
      <c r="H53" s="207" t="str">
        <f t="shared" si="0"/>
        <v>NA</v>
      </c>
      <c r="I53" s="202" t="s">
        <v>1929</v>
      </c>
      <c r="J53" s="202" t="s">
        <v>2246</v>
      </c>
      <c r="K53" s="202">
        <v>0</v>
      </c>
      <c r="L53" s="202" t="s">
        <v>1192</v>
      </c>
      <c r="M53" s="202">
        <v>10</v>
      </c>
      <c r="N53" s="202">
        <v>0</v>
      </c>
      <c r="O53" s="202">
        <v>16</v>
      </c>
      <c r="P53" s="202">
        <v>1</v>
      </c>
      <c r="Q53" s="202">
        <v>1</v>
      </c>
      <c r="R53" s="202">
        <v>2</v>
      </c>
      <c r="S53" s="202">
        <v>1</v>
      </c>
      <c r="T53" s="202">
        <v>1</v>
      </c>
      <c r="U53" s="202">
        <v>3</v>
      </c>
      <c r="V53" s="202">
        <v>3</v>
      </c>
      <c r="W53" s="202">
        <v>1</v>
      </c>
      <c r="X53" s="202">
        <v>1</v>
      </c>
      <c r="Y53" s="202">
        <v>2</v>
      </c>
      <c r="Z53" s="202">
        <v>0</v>
      </c>
      <c r="AA53" s="202">
        <v>0</v>
      </c>
      <c r="AB53" s="202">
        <v>0</v>
      </c>
      <c r="AC53" s="202">
        <v>0</v>
      </c>
      <c r="AD53" s="202">
        <v>0</v>
      </c>
      <c r="AE53" s="202">
        <v>0</v>
      </c>
      <c r="AF53" s="202">
        <v>0</v>
      </c>
      <c r="AG53" s="202">
        <v>0</v>
      </c>
      <c r="AH53" s="202">
        <v>0</v>
      </c>
      <c r="AI53" s="202">
        <v>0</v>
      </c>
      <c r="AJ53" s="202">
        <v>0</v>
      </c>
      <c r="AK53" s="202">
        <v>0</v>
      </c>
      <c r="AL53" s="202">
        <v>0</v>
      </c>
      <c r="AM53" s="202">
        <v>0</v>
      </c>
      <c r="AN53" s="202">
        <v>0</v>
      </c>
      <c r="AO53" s="202">
        <v>0</v>
      </c>
      <c r="AP53" s="202">
        <v>0</v>
      </c>
      <c r="AQ53" s="202" t="s">
        <v>1965</v>
      </c>
      <c r="AR53" s="202" t="s">
        <v>1965</v>
      </c>
      <c r="AS53" s="202">
        <v>0</v>
      </c>
      <c r="AT53" s="202">
        <v>4</v>
      </c>
      <c r="AU53" s="202">
        <v>0</v>
      </c>
      <c r="AV53" s="202">
        <v>0.8</v>
      </c>
      <c r="AX53" s="202" t="s">
        <v>2145</v>
      </c>
      <c r="AY53" s="202">
        <v>51</v>
      </c>
    </row>
    <row r="54" spans="1:51">
      <c r="A54" s="202" t="str">
        <f t="shared" si="1"/>
        <v>郭存义</v>
      </c>
      <c r="B54" s="202">
        <f>IF(C54&lt;&gt;"NA",C54,VLOOKUP(K54,Update_from_YIFIP!$X$2:$AD$174,7,FALSE))</f>
        <v>19</v>
      </c>
      <c r="C54" s="207">
        <f t="shared" si="2"/>
        <v>19</v>
      </c>
      <c r="D54" s="207">
        <f t="shared" si="3"/>
        <v>19</v>
      </c>
      <c r="E54" s="202" t="s">
        <v>2040</v>
      </c>
      <c r="F54" s="202" t="s">
        <v>2247</v>
      </c>
      <c r="G54" s="202" t="s">
        <v>2248</v>
      </c>
      <c r="H54" s="207" t="str">
        <f t="shared" si="0"/>
        <v>NA</v>
      </c>
      <c r="I54" s="202" t="s">
        <v>1929</v>
      </c>
      <c r="J54" s="202" t="s">
        <v>2246</v>
      </c>
      <c r="K54" s="202">
        <v>0</v>
      </c>
      <c r="L54" s="202" t="s">
        <v>1193</v>
      </c>
      <c r="M54" s="202">
        <v>10</v>
      </c>
      <c r="N54" s="202">
        <v>0</v>
      </c>
      <c r="O54" s="202">
        <v>23</v>
      </c>
      <c r="P54" s="202">
        <v>3</v>
      </c>
      <c r="Q54" s="202">
        <v>2</v>
      </c>
      <c r="R54" s="202">
        <v>2</v>
      </c>
      <c r="S54" s="202">
        <v>3</v>
      </c>
      <c r="T54" s="202">
        <v>2</v>
      </c>
      <c r="U54" s="202">
        <v>2</v>
      </c>
      <c r="V54" s="202">
        <v>2</v>
      </c>
      <c r="W54" s="202">
        <v>2</v>
      </c>
      <c r="X54" s="202">
        <v>3</v>
      </c>
      <c r="Y54" s="202">
        <v>2</v>
      </c>
      <c r="Z54" s="202">
        <v>0</v>
      </c>
      <c r="AA54" s="202">
        <v>0</v>
      </c>
      <c r="AB54" s="202">
        <v>0</v>
      </c>
      <c r="AC54" s="202">
        <v>0</v>
      </c>
      <c r="AD54" s="202">
        <v>0</v>
      </c>
      <c r="AE54" s="202">
        <v>0</v>
      </c>
      <c r="AF54" s="202">
        <v>0</v>
      </c>
      <c r="AG54" s="202">
        <v>0</v>
      </c>
      <c r="AH54" s="202">
        <v>0</v>
      </c>
      <c r="AI54" s="202">
        <v>0</v>
      </c>
      <c r="AJ54" s="202">
        <v>0</v>
      </c>
      <c r="AK54" s="202">
        <v>0</v>
      </c>
      <c r="AL54" s="202">
        <v>0</v>
      </c>
      <c r="AM54" s="202">
        <v>0</v>
      </c>
      <c r="AN54" s="202">
        <v>0</v>
      </c>
      <c r="AO54" s="202">
        <v>0</v>
      </c>
      <c r="AP54" s="202">
        <v>0</v>
      </c>
      <c r="AQ54" s="202" t="s">
        <v>1966</v>
      </c>
      <c r="AR54" s="202" t="s">
        <v>1966</v>
      </c>
      <c r="AS54" s="202">
        <v>0</v>
      </c>
      <c r="AT54" s="202">
        <v>5</v>
      </c>
      <c r="AU54" s="202">
        <v>0</v>
      </c>
      <c r="AV54" s="202">
        <v>1</v>
      </c>
      <c r="AX54" s="202" t="s">
        <v>2115</v>
      </c>
      <c r="AY54" s="202">
        <v>52</v>
      </c>
    </row>
    <row r="55" spans="1:51">
      <c r="A55" s="202" t="str">
        <f t="shared" si="1"/>
        <v>郭存义</v>
      </c>
      <c r="B55" s="202">
        <f>IF(C55&lt;&gt;"NA",C55,VLOOKUP(K55,Update_from_YIFIP!$X$2:$AD$174,7,FALSE))</f>
        <v>19</v>
      </c>
      <c r="C55" s="207">
        <f t="shared" si="2"/>
        <v>19</v>
      </c>
      <c r="D55" s="207">
        <f t="shared" si="3"/>
        <v>19</v>
      </c>
      <c r="E55" s="202" t="s">
        <v>2040</v>
      </c>
      <c r="F55" s="202" t="s">
        <v>2247</v>
      </c>
      <c r="G55" s="202" t="s">
        <v>2248</v>
      </c>
      <c r="H55" s="207" t="str">
        <f t="shared" si="0"/>
        <v>NA</v>
      </c>
      <c r="I55" s="202" t="s">
        <v>1929</v>
      </c>
      <c r="J55" s="202" t="s">
        <v>2246</v>
      </c>
      <c r="K55" s="202">
        <v>0</v>
      </c>
      <c r="L55" s="202" t="s">
        <v>1194</v>
      </c>
      <c r="M55" s="202">
        <v>9</v>
      </c>
      <c r="N55" s="202">
        <v>0</v>
      </c>
      <c r="O55" s="202">
        <v>23</v>
      </c>
      <c r="P55" s="202">
        <v>2</v>
      </c>
      <c r="Q55" s="202">
        <v>3</v>
      </c>
      <c r="R55" s="202">
        <v>3</v>
      </c>
      <c r="S55" s="202">
        <v>3</v>
      </c>
      <c r="T55" s="202">
        <v>3</v>
      </c>
      <c r="U55" s="202">
        <v>1</v>
      </c>
      <c r="V55" s="202">
        <v>2</v>
      </c>
      <c r="W55" s="202">
        <v>3</v>
      </c>
      <c r="X55" s="202">
        <v>3</v>
      </c>
      <c r="Y55" s="202">
        <v>0</v>
      </c>
      <c r="Z55" s="202">
        <v>0</v>
      </c>
      <c r="AA55" s="202">
        <v>0</v>
      </c>
      <c r="AB55" s="202">
        <v>0</v>
      </c>
      <c r="AC55" s="202">
        <v>0</v>
      </c>
      <c r="AD55" s="202">
        <v>0</v>
      </c>
      <c r="AE55" s="202">
        <v>0</v>
      </c>
      <c r="AF55" s="202">
        <v>0</v>
      </c>
      <c r="AG55" s="202">
        <v>0</v>
      </c>
      <c r="AH55" s="202">
        <v>0</v>
      </c>
      <c r="AI55" s="202">
        <v>0</v>
      </c>
      <c r="AJ55" s="202">
        <v>0</v>
      </c>
      <c r="AK55" s="202">
        <v>0</v>
      </c>
      <c r="AL55" s="202">
        <v>0</v>
      </c>
      <c r="AM55" s="202">
        <v>0</v>
      </c>
      <c r="AN55" s="202">
        <v>0</v>
      </c>
      <c r="AO55" s="202">
        <v>0</v>
      </c>
      <c r="AP55" s="202">
        <v>0</v>
      </c>
      <c r="AQ55" s="202" t="s">
        <v>1967</v>
      </c>
      <c r="AR55" s="202" t="s">
        <v>1967</v>
      </c>
      <c r="AS55" s="202">
        <v>0</v>
      </c>
      <c r="AT55" s="202">
        <v>2.5</v>
      </c>
      <c r="AU55" s="202">
        <v>0</v>
      </c>
      <c r="AV55" s="202">
        <v>0.5</v>
      </c>
      <c r="AX55" s="202" t="s">
        <v>2082</v>
      </c>
      <c r="AY55" s="202">
        <v>53</v>
      </c>
    </row>
    <row r="56" spans="1:51">
      <c r="A56" s="202" t="str">
        <f t="shared" si="1"/>
        <v>郭存义</v>
      </c>
      <c r="B56" s="202">
        <f>IF(C56&lt;&gt;"NA",C56,VLOOKUP(K56,Update_from_YIFIP!$X$2:$AD$174,7,FALSE))</f>
        <v>19</v>
      </c>
      <c r="C56" s="207">
        <f t="shared" si="2"/>
        <v>19</v>
      </c>
      <c r="D56" s="207">
        <f t="shared" si="3"/>
        <v>19</v>
      </c>
      <c r="E56" s="202" t="s">
        <v>2040</v>
      </c>
      <c r="F56" s="202" t="s">
        <v>2247</v>
      </c>
      <c r="G56" s="202" t="s">
        <v>2248</v>
      </c>
      <c r="H56" s="207" t="str">
        <f t="shared" si="0"/>
        <v>NA</v>
      </c>
      <c r="I56" s="202" t="s">
        <v>1929</v>
      </c>
      <c r="J56" s="202" t="s">
        <v>2246</v>
      </c>
      <c r="K56" s="202">
        <v>0</v>
      </c>
      <c r="L56" s="202" t="s">
        <v>1195</v>
      </c>
      <c r="M56" s="202">
        <v>10</v>
      </c>
      <c r="N56" s="202">
        <v>0</v>
      </c>
      <c r="O56" s="202">
        <v>24</v>
      </c>
      <c r="P56" s="202">
        <v>3</v>
      </c>
      <c r="Q56" s="202">
        <v>2</v>
      </c>
      <c r="R56" s="202">
        <v>3</v>
      </c>
      <c r="S56" s="202">
        <v>1</v>
      </c>
      <c r="T56" s="202">
        <v>2</v>
      </c>
      <c r="U56" s="202">
        <v>3</v>
      </c>
      <c r="V56" s="202">
        <v>2</v>
      </c>
      <c r="W56" s="202">
        <v>3</v>
      </c>
      <c r="X56" s="202">
        <v>3</v>
      </c>
      <c r="Y56" s="202">
        <v>2</v>
      </c>
      <c r="Z56" s="202">
        <v>0</v>
      </c>
      <c r="AA56" s="202">
        <v>0</v>
      </c>
      <c r="AB56" s="202">
        <v>0</v>
      </c>
      <c r="AC56" s="202">
        <v>0</v>
      </c>
      <c r="AD56" s="202">
        <v>0</v>
      </c>
      <c r="AE56" s="202">
        <v>0</v>
      </c>
      <c r="AF56" s="202">
        <v>0</v>
      </c>
      <c r="AG56" s="202">
        <v>0</v>
      </c>
      <c r="AH56" s="202">
        <v>0</v>
      </c>
      <c r="AI56" s="202">
        <v>0</v>
      </c>
      <c r="AJ56" s="202">
        <v>0</v>
      </c>
      <c r="AK56" s="202">
        <v>0</v>
      </c>
      <c r="AL56" s="202">
        <v>0</v>
      </c>
      <c r="AM56" s="202">
        <v>0</v>
      </c>
      <c r="AN56" s="202">
        <v>0</v>
      </c>
      <c r="AO56" s="202">
        <v>0</v>
      </c>
      <c r="AP56" s="202">
        <v>0</v>
      </c>
      <c r="AQ56" s="202" t="s">
        <v>1968</v>
      </c>
      <c r="AR56" s="202" t="s">
        <v>1968</v>
      </c>
      <c r="AS56" s="202">
        <v>0</v>
      </c>
      <c r="AT56" s="202">
        <v>4</v>
      </c>
      <c r="AU56" s="202">
        <v>0</v>
      </c>
      <c r="AV56" s="202">
        <v>0.8</v>
      </c>
      <c r="AX56" s="202" t="s">
        <v>2045</v>
      </c>
      <c r="AY56" s="202">
        <v>54</v>
      </c>
    </row>
    <row r="57" spans="1:51">
      <c r="A57" s="202" t="str">
        <f t="shared" si="1"/>
        <v>郭存义</v>
      </c>
      <c r="B57" s="202">
        <f>IF(C57&lt;&gt;"NA",C57,VLOOKUP(K57,Update_from_YIFIP!$X$2:$AD$174,7,FALSE))</f>
        <v>19</v>
      </c>
      <c r="C57" s="207">
        <f t="shared" si="2"/>
        <v>19</v>
      </c>
      <c r="D57" s="207">
        <f t="shared" si="3"/>
        <v>19</v>
      </c>
      <c r="E57" s="202" t="s">
        <v>2040</v>
      </c>
      <c r="F57" s="202" t="s">
        <v>2247</v>
      </c>
      <c r="G57" s="202" t="s">
        <v>2248</v>
      </c>
      <c r="H57" s="207" t="str">
        <f t="shared" si="0"/>
        <v>NA</v>
      </c>
      <c r="I57" s="202" t="s">
        <v>1929</v>
      </c>
      <c r="J57" s="202" t="s">
        <v>2246</v>
      </c>
      <c r="K57" s="202">
        <v>0</v>
      </c>
      <c r="L57" s="202" t="s">
        <v>1196</v>
      </c>
      <c r="M57" s="202">
        <v>0</v>
      </c>
      <c r="N57" s="202">
        <v>15</v>
      </c>
      <c r="O57" s="202">
        <v>39</v>
      </c>
      <c r="P57" s="202">
        <v>3</v>
      </c>
      <c r="Q57" s="202">
        <v>2</v>
      </c>
      <c r="R57" s="202">
        <v>1</v>
      </c>
      <c r="S57" s="202">
        <v>3</v>
      </c>
      <c r="T57" s="202">
        <v>2</v>
      </c>
      <c r="U57" s="202">
        <v>2</v>
      </c>
      <c r="V57" s="202">
        <v>4</v>
      </c>
      <c r="W57" s="202">
        <v>2</v>
      </c>
      <c r="X57" s="202">
        <v>4</v>
      </c>
      <c r="Y57" s="202">
        <v>5</v>
      </c>
      <c r="Z57" s="202">
        <v>3</v>
      </c>
      <c r="AA57" s="202">
        <v>2</v>
      </c>
      <c r="AB57" s="202">
        <v>1</v>
      </c>
      <c r="AC57" s="202">
        <v>2</v>
      </c>
      <c r="AD57" s="202">
        <v>3</v>
      </c>
      <c r="AE57" s="202">
        <v>0</v>
      </c>
      <c r="AF57" s="202">
        <v>0</v>
      </c>
      <c r="AG57" s="202">
        <v>0</v>
      </c>
      <c r="AH57" s="202">
        <v>0</v>
      </c>
      <c r="AI57" s="202">
        <v>0</v>
      </c>
      <c r="AJ57" s="202">
        <v>0</v>
      </c>
      <c r="AK57" s="202">
        <v>0</v>
      </c>
      <c r="AL57" s="202">
        <v>0</v>
      </c>
      <c r="AM57" s="202">
        <v>0</v>
      </c>
      <c r="AN57" s="202">
        <v>0</v>
      </c>
      <c r="AO57" s="202">
        <v>0</v>
      </c>
      <c r="AP57" s="202">
        <v>0</v>
      </c>
      <c r="AQ57" s="202" t="s">
        <v>1969</v>
      </c>
      <c r="AR57" s="202" t="s">
        <v>1969</v>
      </c>
      <c r="AS57" s="202">
        <v>0</v>
      </c>
      <c r="AT57" s="202">
        <v>5</v>
      </c>
      <c r="AU57" s="202">
        <v>0</v>
      </c>
      <c r="AV57" s="202">
        <v>1</v>
      </c>
      <c r="AX57" s="202" t="s">
        <v>2164</v>
      </c>
      <c r="AY57" s="202">
        <v>55</v>
      </c>
    </row>
    <row r="58" spans="1:51">
      <c r="A58" s="202" t="str">
        <f t="shared" si="1"/>
        <v>陈家发</v>
      </c>
      <c r="B58" s="202">
        <f>IF(C58&lt;&gt;"NA",C58,VLOOKUP(K58,Update_from_YIFIP!$X$2:$AD$174,7,FALSE))</f>
        <v>21</v>
      </c>
      <c r="C58" s="207">
        <f t="shared" si="2"/>
        <v>21</v>
      </c>
      <c r="D58" s="207">
        <f t="shared" si="3"/>
        <v>21</v>
      </c>
      <c r="E58" s="202" t="s">
        <v>2033</v>
      </c>
      <c r="F58" s="202" t="s">
        <v>2382</v>
      </c>
      <c r="G58" s="202" t="s">
        <v>2383</v>
      </c>
      <c r="H58" s="207" t="str">
        <f t="shared" si="0"/>
        <v>NA</v>
      </c>
      <c r="I58" s="202" t="s">
        <v>1929</v>
      </c>
      <c r="J58" s="202" t="s">
        <v>2380</v>
      </c>
      <c r="K58" s="202" t="s">
        <v>2381</v>
      </c>
      <c r="L58" s="202" t="s">
        <v>1267</v>
      </c>
      <c r="M58" s="202">
        <v>12</v>
      </c>
      <c r="N58" s="202">
        <v>0</v>
      </c>
      <c r="O58" s="202">
        <v>13</v>
      </c>
      <c r="P58" s="202">
        <v>1</v>
      </c>
      <c r="Q58" s="202">
        <v>1</v>
      </c>
      <c r="R58" s="202">
        <v>1</v>
      </c>
      <c r="S58" s="202">
        <v>1</v>
      </c>
      <c r="T58" s="202">
        <v>1</v>
      </c>
      <c r="U58" s="202">
        <v>1</v>
      </c>
      <c r="V58" s="202">
        <v>1</v>
      </c>
      <c r="W58" s="202">
        <v>1</v>
      </c>
      <c r="X58" s="202">
        <v>1</v>
      </c>
      <c r="Y58" s="202">
        <v>1</v>
      </c>
      <c r="Z58" s="202">
        <v>1</v>
      </c>
      <c r="AA58" s="202">
        <v>2</v>
      </c>
      <c r="AB58" s="202">
        <v>0</v>
      </c>
      <c r="AC58" s="202">
        <v>0</v>
      </c>
      <c r="AD58" s="202">
        <v>0</v>
      </c>
      <c r="AE58" s="202">
        <v>0</v>
      </c>
      <c r="AF58" s="202">
        <v>0</v>
      </c>
      <c r="AG58" s="202">
        <v>0</v>
      </c>
      <c r="AH58" s="202">
        <v>0</v>
      </c>
      <c r="AI58" s="202">
        <v>0</v>
      </c>
      <c r="AJ58" s="202">
        <v>0</v>
      </c>
      <c r="AK58" s="202">
        <v>0</v>
      </c>
      <c r="AL58" s="202">
        <v>0</v>
      </c>
      <c r="AM58" s="202">
        <v>0</v>
      </c>
      <c r="AN58" s="202">
        <v>0</v>
      </c>
      <c r="AO58" s="202">
        <v>0</v>
      </c>
      <c r="AP58" s="202">
        <v>0</v>
      </c>
      <c r="AQ58" s="202" t="s">
        <v>2006</v>
      </c>
      <c r="AR58" s="202" t="s">
        <v>2006</v>
      </c>
      <c r="AS58" s="202">
        <v>0</v>
      </c>
      <c r="AT58" s="202">
        <v>2.5</v>
      </c>
      <c r="AU58" s="202">
        <v>0</v>
      </c>
      <c r="AV58" s="202">
        <v>0.5</v>
      </c>
      <c r="AX58" s="202" t="s">
        <v>3295</v>
      </c>
      <c r="AY58" s="202">
        <v>56</v>
      </c>
    </row>
    <row r="59" spans="1:51">
      <c r="A59" s="202" t="str">
        <f t="shared" si="1"/>
        <v>陈家发</v>
      </c>
      <c r="B59" s="202">
        <f>IF(C59&lt;&gt;"NA",C59,VLOOKUP(K59,Update_from_YIFIP!$X$2:$AD$174,7,FALSE))</f>
        <v>21</v>
      </c>
      <c r="C59" s="207">
        <f t="shared" si="2"/>
        <v>21</v>
      </c>
      <c r="D59" s="207">
        <f t="shared" si="3"/>
        <v>21</v>
      </c>
      <c r="E59" s="202" t="s">
        <v>2033</v>
      </c>
      <c r="F59" s="202" t="s">
        <v>2382</v>
      </c>
      <c r="G59" s="202" t="s">
        <v>2383</v>
      </c>
      <c r="H59" s="207" t="str">
        <f t="shared" si="0"/>
        <v>NA</v>
      </c>
      <c r="I59" s="202" t="s">
        <v>1929</v>
      </c>
      <c r="J59" s="202" t="s">
        <v>2380</v>
      </c>
      <c r="K59" s="202" t="s">
        <v>2384</v>
      </c>
      <c r="L59" s="202" t="s">
        <v>1268</v>
      </c>
      <c r="M59" s="202">
        <v>10</v>
      </c>
      <c r="N59" s="202">
        <v>0</v>
      </c>
      <c r="O59" s="202">
        <v>10</v>
      </c>
      <c r="P59" s="202">
        <v>1</v>
      </c>
      <c r="Q59" s="202">
        <v>1</v>
      </c>
      <c r="R59" s="202">
        <v>1</v>
      </c>
      <c r="S59" s="202">
        <v>1</v>
      </c>
      <c r="T59" s="202">
        <v>1</v>
      </c>
      <c r="U59" s="202">
        <v>1</v>
      </c>
      <c r="V59" s="202">
        <v>1</v>
      </c>
      <c r="W59" s="202">
        <v>1</v>
      </c>
      <c r="X59" s="202">
        <v>1</v>
      </c>
      <c r="Y59" s="202">
        <v>1</v>
      </c>
      <c r="Z59" s="202">
        <v>0</v>
      </c>
      <c r="AA59" s="202">
        <v>0</v>
      </c>
      <c r="AB59" s="202">
        <v>0</v>
      </c>
      <c r="AC59" s="202">
        <v>0</v>
      </c>
      <c r="AD59" s="202">
        <v>0</v>
      </c>
      <c r="AE59" s="202">
        <v>0</v>
      </c>
      <c r="AF59" s="202">
        <v>0</v>
      </c>
      <c r="AG59" s="202">
        <v>0</v>
      </c>
      <c r="AH59" s="202">
        <v>0</v>
      </c>
      <c r="AI59" s="202">
        <v>0</v>
      </c>
      <c r="AJ59" s="202">
        <v>0</v>
      </c>
      <c r="AK59" s="202">
        <v>0</v>
      </c>
      <c r="AL59" s="202">
        <v>0</v>
      </c>
      <c r="AM59" s="202">
        <v>0</v>
      </c>
      <c r="AN59" s="202">
        <v>0</v>
      </c>
      <c r="AO59" s="202">
        <v>0</v>
      </c>
      <c r="AP59" s="202">
        <v>0</v>
      </c>
      <c r="AQ59" s="202" t="s">
        <v>2007</v>
      </c>
      <c r="AR59" s="202" t="s">
        <v>2007</v>
      </c>
      <c r="AS59" s="202">
        <v>0</v>
      </c>
      <c r="AT59" s="202">
        <v>3</v>
      </c>
      <c r="AU59" s="202">
        <v>0</v>
      </c>
      <c r="AV59" s="202">
        <v>0.6</v>
      </c>
      <c r="AX59" s="202" t="s">
        <v>2109</v>
      </c>
      <c r="AY59" s="202">
        <v>57</v>
      </c>
    </row>
    <row r="60" spans="1:51">
      <c r="A60" s="202" t="str">
        <f t="shared" si="1"/>
        <v>陈家发</v>
      </c>
      <c r="B60" s="202">
        <f>IF(C60&lt;&gt;"NA",C60,VLOOKUP(K60,Update_from_YIFIP!$X$2:$AD$174,7,FALSE))</f>
        <v>21</v>
      </c>
      <c r="C60" s="207">
        <f t="shared" si="2"/>
        <v>21</v>
      </c>
      <c r="D60" s="207">
        <f t="shared" si="3"/>
        <v>21</v>
      </c>
      <c r="E60" s="202" t="s">
        <v>2033</v>
      </c>
      <c r="F60" s="202" t="s">
        <v>2382</v>
      </c>
      <c r="G60" s="202" t="s">
        <v>2383</v>
      </c>
      <c r="H60" s="207" t="str">
        <f t="shared" si="0"/>
        <v>NA</v>
      </c>
      <c r="I60" s="202" t="s">
        <v>1929</v>
      </c>
      <c r="J60" s="202" t="s">
        <v>2380</v>
      </c>
      <c r="K60" s="202" t="s">
        <v>2385</v>
      </c>
      <c r="L60" s="202" t="s">
        <v>1269</v>
      </c>
      <c r="M60" s="202">
        <v>10</v>
      </c>
      <c r="N60" s="202">
        <v>0</v>
      </c>
      <c r="O60" s="202">
        <v>10</v>
      </c>
      <c r="P60" s="202">
        <v>1</v>
      </c>
      <c r="Q60" s="202">
        <v>1</v>
      </c>
      <c r="R60" s="202">
        <v>1</v>
      </c>
      <c r="S60" s="202">
        <v>1</v>
      </c>
      <c r="T60" s="202">
        <v>1</v>
      </c>
      <c r="U60" s="202">
        <v>1</v>
      </c>
      <c r="V60" s="202">
        <v>1</v>
      </c>
      <c r="W60" s="202">
        <v>1</v>
      </c>
      <c r="X60" s="202">
        <v>1</v>
      </c>
      <c r="Y60" s="202">
        <v>1</v>
      </c>
      <c r="Z60" s="202">
        <v>0</v>
      </c>
      <c r="AA60" s="202">
        <v>0</v>
      </c>
      <c r="AB60" s="202">
        <v>0</v>
      </c>
      <c r="AC60" s="202">
        <v>0</v>
      </c>
      <c r="AD60" s="202">
        <v>0</v>
      </c>
      <c r="AE60" s="202">
        <v>0</v>
      </c>
      <c r="AF60" s="202">
        <v>0</v>
      </c>
      <c r="AG60" s="202">
        <v>0</v>
      </c>
      <c r="AH60" s="202">
        <v>0</v>
      </c>
      <c r="AI60" s="202">
        <v>0</v>
      </c>
      <c r="AJ60" s="202">
        <v>0</v>
      </c>
      <c r="AK60" s="202">
        <v>0</v>
      </c>
      <c r="AL60" s="202">
        <v>0</v>
      </c>
      <c r="AM60" s="202">
        <v>0</v>
      </c>
      <c r="AN60" s="202">
        <v>0</v>
      </c>
      <c r="AO60" s="202">
        <v>0</v>
      </c>
      <c r="AP60" s="202">
        <v>0</v>
      </c>
      <c r="AQ60" s="202" t="s">
        <v>1999</v>
      </c>
      <c r="AR60" s="202" t="s">
        <v>1999</v>
      </c>
      <c r="AS60" s="202">
        <v>0</v>
      </c>
      <c r="AT60" s="202">
        <v>1.5</v>
      </c>
      <c r="AU60" s="202">
        <v>0</v>
      </c>
      <c r="AV60" s="202">
        <v>0.3</v>
      </c>
      <c r="AX60" s="202" t="s">
        <v>3294</v>
      </c>
      <c r="AY60" s="202">
        <v>58</v>
      </c>
    </row>
    <row r="61" spans="1:51">
      <c r="A61" s="202" t="str">
        <f t="shared" si="1"/>
        <v>陈家发</v>
      </c>
      <c r="B61" s="202">
        <f>IF(C61&lt;&gt;"NA",C61,VLOOKUP(K61,Update_from_YIFIP!$X$2:$AD$174,7,FALSE))</f>
        <v>21</v>
      </c>
      <c r="C61" s="207">
        <f t="shared" si="2"/>
        <v>21</v>
      </c>
      <c r="D61" s="207">
        <f t="shared" si="3"/>
        <v>21</v>
      </c>
      <c r="E61" s="202" t="s">
        <v>2033</v>
      </c>
      <c r="F61" s="202" t="s">
        <v>2382</v>
      </c>
      <c r="G61" s="202" t="s">
        <v>2383</v>
      </c>
      <c r="H61" s="207" t="str">
        <f t="shared" si="0"/>
        <v>NA</v>
      </c>
      <c r="I61" s="202" t="s">
        <v>1929</v>
      </c>
      <c r="J61" s="202" t="s">
        <v>2386</v>
      </c>
      <c r="K61" s="202" t="s">
        <v>2387</v>
      </c>
      <c r="L61" s="202" t="s">
        <v>1270</v>
      </c>
      <c r="M61" s="202">
        <v>0</v>
      </c>
      <c r="N61" s="202">
        <v>19</v>
      </c>
      <c r="O61" s="202">
        <v>42</v>
      </c>
      <c r="P61" s="202">
        <v>2</v>
      </c>
      <c r="Q61" s="202">
        <v>2</v>
      </c>
      <c r="R61" s="202">
        <v>2</v>
      </c>
      <c r="S61" s="202">
        <v>2</v>
      </c>
      <c r="T61" s="202">
        <v>2</v>
      </c>
      <c r="U61" s="202">
        <v>2</v>
      </c>
      <c r="V61" s="202">
        <v>2</v>
      </c>
      <c r="W61" s="202">
        <v>2</v>
      </c>
      <c r="X61" s="202">
        <v>2</v>
      </c>
      <c r="Y61" s="202">
        <v>2</v>
      </c>
      <c r="Z61" s="202">
        <v>2</v>
      </c>
      <c r="AA61" s="202">
        <v>2</v>
      </c>
      <c r="AB61" s="202">
        <v>2</v>
      </c>
      <c r="AC61" s="202">
        <v>2</v>
      </c>
      <c r="AD61" s="202">
        <v>2</v>
      </c>
      <c r="AE61" s="202">
        <v>2</v>
      </c>
      <c r="AF61" s="202">
        <v>3</v>
      </c>
      <c r="AG61" s="202">
        <v>3</v>
      </c>
      <c r="AH61" s="202">
        <v>4</v>
      </c>
      <c r="AI61" s="202">
        <v>0</v>
      </c>
      <c r="AJ61" s="202">
        <v>0</v>
      </c>
      <c r="AK61" s="202">
        <v>0</v>
      </c>
      <c r="AL61" s="202">
        <v>0</v>
      </c>
      <c r="AM61" s="202">
        <v>0</v>
      </c>
      <c r="AN61" s="202">
        <v>0</v>
      </c>
      <c r="AO61" s="202">
        <v>0</v>
      </c>
      <c r="AP61" s="202">
        <v>0</v>
      </c>
      <c r="AQ61" s="202" t="s">
        <v>1932</v>
      </c>
      <c r="AR61" s="202" t="s">
        <v>1932</v>
      </c>
      <c r="AS61" s="202">
        <v>0</v>
      </c>
      <c r="AT61" s="202">
        <v>2</v>
      </c>
      <c r="AU61" s="202">
        <v>0</v>
      </c>
      <c r="AV61" s="202">
        <v>0.4</v>
      </c>
      <c r="AX61" s="202" t="s">
        <v>2099</v>
      </c>
      <c r="AY61" s="202">
        <v>59</v>
      </c>
    </row>
    <row r="62" spans="1:51">
      <c r="A62" s="202" t="str">
        <f t="shared" si="1"/>
        <v>王贵友</v>
      </c>
      <c r="B62" s="202">
        <f>IF(C62&lt;&gt;"NA",C62,VLOOKUP(K62,Update_from_YIFIP!$X$2:$AD$174,7,FALSE))</f>
        <v>22</v>
      </c>
      <c r="C62" s="207">
        <f t="shared" si="2"/>
        <v>22</v>
      </c>
      <c r="D62" s="207">
        <f t="shared" si="3"/>
        <v>22</v>
      </c>
      <c r="E62" s="202" t="s">
        <v>2125</v>
      </c>
      <c r="F62" s="202" t="s">
        <v>2389</v>
      </c>
      <c r="G62" s="202" t="s">
        <v>2390</v>
      </c>
      <c r="H62" s="207" t="str">
        <f t="shared" si="0"/>
        <v>NA</v>
      </c>
      <c r="I62" s="202" t="s">
        <v>1929</v>
      </c>
      <c r="J62" s="202" t="s">
        <v>2388</v>
      </c>
      <c r="K62" s="202">
        <v>0</v>
      </c>
      <c r="L62" s="202" t="s">
        <v>1271</v>
      </c>
      <c r="M62" s="202">
        <v>2</v>
      </c>
      <c r="N62" s="202">
        <v>0</v>
      </c>
      <c r="O62" s="202">
        <v>6</v>
      </c>
      <c r="P62" s="202">
        <v>1</v>
      </c>
      <c r="Q62" s="202">
        <v>5</v>
      </c>
      <c r="R62" s="202">
        <v>0</v>
      </c>
      <c r="S62" s="202">
        <v>0</v>
      </c>
      <c r="T62" s="202">
        <v>0</v>
      </c>
      <c r="U62" s="202">
        <v>0</v>
      </c>
      <c r="V62" s="202">
        <v>0</v>
      </c>
      <c r="W62" s="202">
        <v>0</v>
      </c>
      <c r="X62" s="202">
        <v>0</v>
      </c>
      <c r="Y62" s="202">
        <v>0</v>
      </c>
      <c r="Z62" s="202">
        <v>0</v>
      </c>
      <c r="AA62" s="202">
        <v>0</v>
      </c>
      <c r="AB62" s="202">
        <v>0</v>
      </c>
      <c r="AC62" s="202">
        <v>0</v>
      </c>
      <c r="AD62" s="202">
        <v>0</v>
      </c>
      <c r="AE62" s="202">
        <v>0</v>
      </c>
      <c r="AF62" s="202">
        <v>0</v>
      </c>
      <c r="AG62" s="202">
        <v>0</v>
      </c>
      <c r="AH62" s="202">
        <v>0</v>
      </c>
      <c r="AI62" s="202">
        <v>0</v>
      </c>
      <c r="AJ62" s="202">
        <v>0</v>
      </c>
      <c r="AK62" s="202">
        <v>0</v>
      </c>
      <c r="AL62" s="202">
        <v>0</v>
      </c>
      <c r="AM62" s="202">
        <v>0</v>
      </c>
      <c r="AN62" s="202">
        <v>0</v>
      </c>
      <c r="AO62" s="202">
        <v>0</v>
      </c>
      <c r="AP62" s="202">
        <v>0</v>
      </c>
      <c r="AQ62" s="202" t="s">
        <v>2008</v>
      </c>
      <c r="AR62" s="202" t="s">
        <v>2008</v>
      </c>
      <c r="AS62" s="202">
        <v>0</v>
      </c>
      <c r="AT62" s="202">
        <v>1.5</v>
      </c>
      <c r="AU62" s="202">
        <v>0</v>
      </c>
      <c r="AV62" s="202">
        <v>0.3</v>
      </c>
      <c r="AX62" s="202" t="s">
        <v>2075</v>
      </c>
      <c r="AY62" s="202">
        <v>60</v>
      </c>
    </row>
    <row r="63" spans="1:51">
      <c r="A63" s="202" t="str">
        <f t="shared" si="1"/>
        <v>王贵友</v>
      </c>
      <c r="B63" s="202">
        <f>IF(C63&lt;&gt;"NA",C63,VLOOKUP(K63,Update_from_YIFIP!$X$2:$AD$174,7,FALSE))</f>
        <v>22</v>
      </c>
      <c r="C63" s="207">
        <f t="shared" si="2"/>
        <v>22</v>
      </c>
      <c r="D63" s="207">
        <f t="shared" si="3"/>
        <v>22</v>
      </c>
      <c r="E63" s="202" t="s">
        <v>2125</v>
      </c>
      <c r="F63" s="202" t="s">
        <v>2389</v>
      </c>
      <c r="G63" s="202" t="s">
        <v>2390</v>
      </c>
      <c r="H63" s="207" t="str">
        <f t="shared" si="0"/>
        <v>NA</v>
      </c>
      <c r="I63" s="202" t="s">
        <v>1929</v>
      </c>
      <c r="J63" s="202" t="s">
        <v>2388</v>
      </c>
      <c r="K63" s="202">
        <v>0</v>
      </c>
      <c r="L63" s="202" t="s">
        <v>1272</v>
      </c>
      <c r="M63" s="202">
        <v>10</v>
      </c>
      <c r="N63" s="202">
        <v>0</v>
      </c>
      <c r="O63" s="202">
        <v>39</v>
      </c>
      <c r="P63" s="202">
        <v>1</v>
      </c>
      <c r="Q63" s="202">
        <v>1</v>
      </c>
      <c r="R63" s="202">
        <v>2</v>
      </c>
      <c r="S63" s="202">
        <v>3</v>
      </c>
      <c r="T63" s="202">
        <v>3</v>
      </c>
      <c r="U63" s="202">
        <v>4</v>
      </c>
      <c r="V63" s="202">
        <v>5</v>
      </c>
      <c r="W63" s="202">
        <v>6</v>
      </c>
      <c r="X63" s="202">
        <v>6</v>
      </c>
      <c r="Y63" s="202">
        <v>8</v>
      </c>
      <c r="Z63" s="202">
        <v>0</v>
      </c>
      <c r="AA63" s="202">
        <v>0</v>
      </c>
      <c r="AB63" s="202">
        <v>0</v>
      </c>
      <c r="AC63" s="202">
        <v>0</v>
      </c>
      <c r="AD63" s="202">
        <v>0</v>
      </c>
      <c r="AE63" s="202">
        <v>0</v>
      </c>
      <c r="AF63" s="202">
        <v>0</v>
      </c>
      <c r="AG63" s="202">
        <v>0</v>
      </c>
      <c r="AH63" s="202">
        <v>0</v>
      </c>
      <c r="AI63" s="202">
        <v>0</v>
      </c>
      <c r="AJ63" s="202">
        <v>0</v>
      </c>
      <c r="AK63" s="202">
        <v>0</v>
      </c>
      <c r="AL63" s="202">
        <v>0</v>
      </c>
      <c r="AM63" s="202">
        <v>0</v>
      </c>
      <c r="AN63" s="202">
        <v>0</v>
      </c>
      <c r="AO63" s="202">
        <v>0</v>
      </c>
      <c r="AP63" s="202">
        <v>0</v>
      </c>
      <c r="AQ63" s="202" t="s">
        <v>2009</v>
      </c>
      <c r="AR63" s="202" t="s">
        <v>2009</v>
      </c>
      <c r="AS63" s="202">
        <v>0</v>
      </c>
      <c r="AT63" s="202">
        <v>6</v>
      </c>
      <c r="AU63" s="202">
        <v>0</v>
      </c>
      <c r="AV63" s="202">
        <v>1.2</v>
      </c>
      <c r="AX63" s="202" t="s">
        <v>2025</v>
      </c>
      <c r="AY63" s="202">
        <v>61</v>
      </c>
    </row>
    <row r="64" spans="1:51">
      <c r="A64" s="202" t="str">
        <f t="shared" si="1"/>
        <v>王贵友</v>
      </c>
      <c r="B64" s="202">
        <f>IF(C64&lt;&gt;"NA",C64,VLOOKUP(K64,Update_from_YIFIP!$X$2:$AD$174,7,FALSE))</f>
        <v>22</v>
      </c>
      <c r="C64" s="207">
        <f t="shared" si="2"/>
        <v>22</v>
      </c>
      <c r="D64" s="207">
        <f t="shared" si="3"/>
        <v>22</v>
      </c>
      <c r="E64" s="202" t="s">
        <v>2125</v>
      </c>
      <c r="F64" s="202" t="s">
        <v>2389</v>
      </c>
      <c r="G64" s="202" t="s">
        <v>2390</v>
      </c>
      <c r="H64" s="207" t="str">
        <f t="shared" si="0"/>
        <v>NA</v>
      </c>
      <c r="I64" s="202" t="s">
        <v>1929</v>
      </c>
      <c r="J64" s="202" t="s">
        <v>2388</v>
      </c>
      <c r="K64" s="202">
        <v>0</v>
      </c>
      <c r="L64" s="202" t="s">
        <v>1273</v>
      </c>
      <c r="M64" s="202">
        <v>20</v>
      </c>
      <c r="N64" s="202">
        <v>0</v>
      </c>
      <c r="O64" s="202">
        <v>85</v>
      </c>
      <c r="P64" s="202">
        <v>1</v>
      </c>
      <c r="Q64" s="202">
        <v>1</v>
      </c>
      <c r="R64" s="202">
        <v>1</v>
      </c>
      <c r="S64" s="202">
        <v>1</v>
      </c>
      <c r="T64" s="202">
        <v>1</v>
      </c>
      <c r="U64" s="202">
        <v>2</v>
      </c>
      <c r="V64" s="202">
        <v>2</v>
      </c>
      <c r="W64" s="202">
        <v>2</v>
      </c>
      <c r="X64" s="202">
        <v>3</v>
      </c>
      <c r="Y64" s="202">
        <v>3</v>
      </c>
      <c r="Z64" s="202">
        <v>3</v>
      </c>
      <c r="AA64" s="202">
        <v>3</v>
      </c>
      <c r="AB64" s="202">
        <v>4</v>
      </c>
      <c r="AC64" s="202">
        <v>4</v>
      </c>
      <c r="AD64" s="202">
        <v>4</v>
      </c>
      <c r="AE64" s="202">
        <v>5</v>
      </c>
      <c r="AF64" s="202">
        <v>6</v>
      </c>
      <c r="AG64" s="202">
        <v>8</v>
      </c>
      <c r="AH64" s="202">
        <v>15</v>
      </c>
      <c r="AI64" s="202">
        <v>16</v>
      </c>
      <c r="AJ64" s="202">
        <v>0</v>
      </c>
      <c r="AK64" s="202">
        <v>0</v>
      </c>
      <c r="AL64" s="202">
        <v>0</v>
      </c>
      <c r="AM64" s="202">
        <v>0</v>
      </c>
      <c r="AN64" s="202">
        <v>0</v>
      </c>
      <c r="AO64" s="202">
        <v>0</v>
      </c>
      <c r="AP64" s="202">
        <v>0</v>
      </c>
      <c r="AQ64" s="202" t="s">
        <v>2010</v>
      </c>
      <c r="AR64" s="202" t="s">
        <v>2010</v>
      </c>
      <c r="AS64" s="202">
        <v>0</v>
      </c>
      <c r="AT64" s="202">
        <v>12.5</v>
      </c>
      <c r="AU64" s="202">
        <v>0</v>
      </c>
      <c r="AV64" s="202">
        <v>2.5</v>
      </c>
      <c r="AX64" s="202" t="s">
        <v>2079</v>
      </c>
      <c r="AY64" s="202">
        <v>62</v>
      </c>
    </row>
    <row r="65" spans="1:51">
      <c r="A65" s="202" t="str">
        <f t="shared" si="1"/>
        <v>王贵友</v>
      </c>
      <c r="B65" s="202">
        <f>IF(C65&lt;&gt;"NA",C65,VLOOKUP(K65,Update_from_YIFIP!$X$2:$AD$174,7,FALSE))</f>
        <v>22</v>
      </c>
      <c r="C65" s="207">
        <f t="shared" si="2"/>
        <v>22</v>
      </c>
      <c r="D65" s="207">
        <f t="shared" si="3"/>
        <v>22</v>
      </c>
      <c r="E65" s="202" t="s">
        <v>2125</v>
      </c>
      <c r="F65" s="202" t="s">
        <v>2389</v>
      </c>
      <c r="G65" s="202" t="s">
        <v>2390</v>
      </c>
      <c r="H65" s="207" t="str">
        <f t="shared" si="0"/>
        <v>NA</v>
      </c>
      <c r="I65" s="202" t="s">
        <v>1929</v>
      </c>
      <c r="J65" s="202" t="s">
        <v>2388</v>
      </c>
      <c r="K65" s="202">
        <v>0</v>
      </c>
      <c r="L65" s="202" t="s">
        <v>1274</v>
      </c>
      <c r="M65" s="202">
        <v>0</v>
      </c>
      <c r="N65" s="202">
        <v>20</v>
      </c>
      <c r="O65" s="202">
        <v>68</v>
      </c>
      <c r="P65" s="202">
        <v>1</v>
      </c>
      <c r="Q65" s="202">
        <v>1</v>
      </c>
      <c r="R65" s="202">
        <v>2</v>
      </c>
      <c r="S65" s="202">
        <v>2</v>
      </c>
      <c r="T65" s="202">
        <v>2</v>
      </c>
      <c r="U65" s="202">
        <v>2</v>
      </c>
      <c r="V65" s="202">
        <v>2</v>
      </c>
      <c r="W65" s="202">
        <v>2</v>
      </c>
      <c r="X65" s="202">
        <v>3</v>
      </c>
      <c r="Y65" s="202">
        <v>3</v>
      </c>
      <c r="Z65" s="202">
        <v>3</v>
      </c>
      <c r="AA65" s="202">
        <v>3</v>
      </c>
      <c r="AB65" s="202">
        <v>3</v>
      </c>
      <c r="AC65" s="202">
        <v>4</v>
      </c>
      <c r="AD65" s="202">
        <v>4</v>
      </c>
      <c r="AE65" s="202">
        <v>5</v>
      </c>
      <c r="AF65" s="202">
        <v>6</v>
      </c>
      <c r="AG65" s="202">
        <v>6</v>
      </c>
      <c r="AH65" s="202">
        <v>6</v>
      </c>
      <c r="AI65" s="202">
        <v>8</v>
      </c>
      <c r="AJ65" s="202">
        <v>0</v>
      </c>
      <c r="AK65" s="202">
        <v>0</v>
      </c>
      <c r="AL65" s="202">
        <v>0</v>
      </c>
      <c r="AM65" s="202">
        <v>0</v>
      </c>
      <c r="AN65" s="202">
        <v>0</v>
      </c>
      <c r="AO65" s="202">
        <v>0</v>
      </c>
      <c r="AP65" s="202">
        <v>0</v>
      </c>
      <c r="AQ65" s="202" t="s">
        <v>2011</v>
      </c>
      <c r="AR65" s="202" t="s">
        <v>2011</v>
      </c>
      <c r="AS65" s="202">
        <v>0</v>
      </c>
      <c r="AT65" s="202">
        <v>12.5</v>
      </c>
      <c r="AU65" s="202">
        <v>0</v>
      </c>
      <c r="AV65" s="202">
        <v>2.5</v>
      </c>
      <c r="AX65" s="202" t="s">
        <v>2026</v>
      </c>
      <c r="AY65" s="202">
        <v>63</v>
      </c>
    </row>
    <row r="66" spans="1:51">
      <c r="A66" s="202" t="str">
        <f t="shared" si="1"/>
        <v>王炳兴&amp;李廷华</v>
      </c>
      <c r="B66" s="202">
        <f>IF(C66&lt;&gt;"NA",C66,VLOOKUP(K66,Update_from_YIFIP!$X$2:$AD$174,7,FALSE))</f>
        <v>26</v>
      </c>
      <c r="C66" s="207">
        <f t="shared" ref="C66:C129" si="4">IF(H66=D66,H66,IF(ISNUMBER(H66-D66),CONCATENATE(H66," or ",D66),IF(ISNUMBER(H66),H66,D66)))</f>
        <v>26</v>
      </c>
      <c r="D66" s="207">
        <f t="shared" ref="D66:D129" si="5">IF(ISNA(VLOOKUP(E66,$AX$2:$AY$173,2,FALSE)) = TRUE, "NA", VLOOKUP(E66,$AX$2:$AY$173,2,FALSE))</f>
        <v>26</v>
      </c>
      <c r="E66" s="202" t="s">
        <v>2119</v>
      </c>
      <c r="F66" s="202" t="s">
        <v>2277</v>
      </c>
      <c r="G66" s="202" t="s">
        <v>2278</v>
      </c>
      <c r="H66" s="207" t="str">
        <f t="shared" ref="H66:H129" si="6">IF(ISNA(VLOOKUP(I66,$AX$2:$AY$173,2,FALSE)) = TRUE, "NA", VLOOKUP(I66,$AX$2:$AY$173,2,FALSE))</f>
        <v>NA</v>
      </c>
      <c r="I66" s="202" t="s">
        <v>3162</v>
      </c>
      <c r="J66" s="202" t="s">
        <v>2275</v>
      </c>
      <c r="K66" s="202" t="s">
        <v>2276</v>
      </c>
      <c r="L66" s="202" t="s">
        <v>1211</v>
      </c>
      <c r="M66" s="202">
        <v>10</v>
      </c>
      <c r="N66" s="202">
        <v>0</v>
      </c>
      <c r="O66" s="202">
        <v>64</v>
      </c>
      <c r="P66" s="202">
        <v>15</v>
      </c>
      <c r="Q66" s="202">
        <v>3</v>
      </c>
      <c r="R66" s="202">
        <v>2</v>
      </c>
      <c r="S66" s="202">
        <v>6</v>
      </c>
      <c r="T66" s="202">
        <v>4</v>
      </c>
      <c r="U66" s="202">
        <v>6</v>
      </c>
      <c r="V66" s="202">
        <v>13</v>
      </c>
      <c r="W66" s="202">
        <v>3</v>
      </c>
      <c r="X66" s="202">
        <v>2</v>
      </c>
      <c r="Y66" s="202">
        <v>10</v>
      </c>
      <c r="Z66" s="202">
        <v>0</v>
      </c>
      <c r="AA66" s="202">
        <v>0</v>
      </c>
      <c r="AB66" s="202">
        <v>0</v>
      </c>
      <c r="AC66" s="202">
        <v>0</v>
      </c>
      <c r="AD66" s="202">
        <v>0</v>
      </c>
      <c r="AE66" s="202">
        <v>0</v>
      </c>
      <c r="AF66" s="202">
        <v>0</v>
      </c>
      <c r="AG66" s="202">
        <v>0</v>
      </c>
      <c r="AH66" s="202">
        <v>0</v>
      </c>
      <c r="AI66" s="202">
        <v>0</v>
      </c>
      <c r="AJ66" s="202">
        <v>0</v>
      </c>
      <c r="AK66" s="202">
        <v>0</v>
      </c>
      <c r="AL66" s="202">
        <v>0</v>
      </c>
      <c r="AM66" s="202">
        <v>0</v>
      </c>
      <c r="AN66" s="202">
        <v>0</v>
      </c>
      <c r="AO66" s="202">
        <v>0</v>
      </c>
      <c r="AP66" s="202">
        <v>0</v>
      </c>
      <c r="AQ66" s="202" t="s">
        <v>1942</v>
      </c>
      <c r="AR66" s="202" t="s">
        <v>1942</v>
      </c>
      <c r="AS66" s="202">
        <v>0</v>
      </c>
      <c r="AT66" s="202">
        <v>6</v>
      </c>
      <c r="AU66" s="202">
        <v>0</v>
      </c>
      <c r="AV66" s="202">
        <v>1.2</v>
      </c>
      <c r="AX66" s="202" t="s">
        <v>2093</v>
      </c>
      <c r="AY66" s="202">
        <v>64</v>
      </c>
    </row>
    <row r="67" spans="1:51">
      <c r="A67" s="202" t="str">
        <f t="shared" ref="A67:A130" si="7">IF(I67="NA",E67,CONCATENATE(E67,"&amp;",I67))</f>
        <v>王炳兴&amp;李廷华</v>
      </c>
      <c r="B67" s="202">
        <f>IF(C67&lt;&gt;"NA",C67,VLOOKUP(K67,Update_from_YIFIP!$X$2:$AD$174,7,FALSE))</f>
        <v>26</v>
      </c>
      <c r="C67" s="207">
        <f t="shared" si="4"/>
        <v>26</v>
      </c>
      <c r="D67" s="207">
        <f t="shared" si="5"/>
        <v>26</v>
      </c>
      <c r="E67" s="202" t="s">
        <v>2119</v>
      </c>
      <c r="F67" s="202" t="s">
        <v>2277</v>
      </c>
      <c r="G67" s="202" t="s">
        <v>2278</v>
      </c>
      <c r="H67" s="207" t="str">
        <f t="shared" si="6"/>
        <v>NA</v>
      </c>
      <c r="I67" s="202" t="s">
        <v>3162</v>
      </c>
      <c r="J67" s="202" t="s">
        <v>2275</v>
      </c>
      <c r="K67" s="202" t="s">
        <v>2279</v>
      </c>
      <c r="L67" s="202" t="s">
        <v>1212</v>
      </c>
      <c r="M67" s="202">
        <v>10</v>
      </c>
      <c r="N67" s="202">
        <v>0</v>
      </c>
      <c r="O67" s="202">
        <v>96</v>
      </c>
      <c r="P67" s="202">
        <v>5</v>
      </c>
      <c r="Q67" s="202">
        <v>9</v>
      </c>
      <c r="R67" s="202">
        <v>7</v>
      </c>
      <c r="S67" s="202">
        <v>7</v>
      </c>
      <c r="T67" s="202">
        <v>17</v>
      </c>
      <c r="U67" s="202">
        <v>7</v>
      </c>
      <c r="V67" s="202">
        <v>11</v>
      </c>
      <c r="W67" s="202">
        <v>17</v>
      </c>
      <c r="X67" s="202">
        <v>6</v>
      </c>
      <c r="Y67" s="202">
        <v>10</v>
      </c>
      <c r="Z67" s="202">
        <v>0</v>
      </c>
      <c r="AA67" s="202">
        <v>0</v>
      </c>
      <c r="AB67" s="202">
        <v>0</v>
      </c>
      <c r="AC67" s="202">
        <v>0</v>
      </c>
      <c r="AD67" s="202">
        <v>0</v>
      </c>
      <c r="AE67" s="202">
        <v>0</v>
      </c>
      <c r="AF67" s="202">
        <v>0</v>
      </c>
      <c r="AG67" s="202">
        <v>0</v>
      </c>
      <c r="AH67" s="202">
        <v>0</v>
      </c>
      <c r="AI67" s="202">
        <v>0</v>
      </c>
      <c r="AJ67" s="202">
        <v>0</v>
      </c>
      <c r="AK67" s="202">
        <v>0</v>
      </c>
      <c r="AL67" s="202">
        <v>0</v>
      </c>
      <c r="AM67" s="202">
        <v>0</v>
      </c>
      <c r="AN67" s="202">
        <v>0</v>
      </c>
      <c r="AO67" s="202">
        <v>0</v>
      </c>
      <c r="AP67" s="202">
        <v>0</v>
      </c>
      <c r="AQ67" s="202" t="s">
        <v>1976</v>
      </c>
      <c r="AR67" s="202" t="s">
        <v>1976</v>
      </c>
      <c r="AS67" s="202">
        <v>0</v>
      </c>
      <c r="AT67" s="202">
        <v>10</v>
      </c>
      <c r="AU67" s="202">
        <v>0</v>
      </c>
      <c r="AV67" s="202">
        <v>2</v>
      </c>
      <c r="AX67" s="202" t="s">
        <v>2080</v>
      </c>
      <c r="AY67" s="202">
        <v>65</v>
      </c>
    </row>
    <row r="68" spans="1:51">
      <c r="A68" s="202" t="str">
        <f t="shared" si="7"/>
        <v>王炳兴&amp;李廷华</v>
      </c>
      <c r="B68" s="202">
        <f>IF(C68&lt;&gt;"NA",C68,VLOOKUP(K68,Update_from_YIFIP!$X$2:$AD$174,7,FALSE))</f>
        <v>26</v>
      </c>
      <c r="C68" s="207">
        <f t="shared" si="4"/>
        <v>26</v>
      </c>
      <c r="D68" s="207">
        <f t="shared" si="5"/>
        <v>26</v>
      </c>
      <c r="E68" s="202" t="s">
        <v>2119</v>
      </c>
      <c r="F68" s="202" t="s">
        <v>2277</v>
      </c>
      <c r="G68" s="202" t="s">
        <v>2278</v>
      </c>
      <c r="H68" s="207" t="str">
        <f t="shared" si="6"/>
        <v>NA</v>
      </c>
      <c r="I68" s="202" t="s">
        <v>3162</v>
      </c>
      <c r="J68" s="202" t="s">
        <v>2275</v>
      </c>
      <c r="K68" s="202" t="s">
        <v>2280</v>
      </c>
      <c r="L68" s="202" t="s">
        <v>1213</v>
      </c>
      <c r="M68" s="202">
        <v>9</v>
      </c>
      <c r="N68" s="202">
        <v>0</v>
      </c>
      <c r="O68" s="202">
        <v>52</v>
      </c>
      <c r="P68" s="202">
        <v>3</v>
      </c>
      <c r="Q68" s="202">
        <v>8</v>
      </c>
      <c r="R68" s="202">
        <v>5</v>
      </c>
      <c r="S68" s="202">
        <v>3</v>
      </c>
      <c r="T68" s="202">
        <v>6</v>
      </c>
      <c r="U68" s="202">
        <v>8</v>
      </c>
      <c r="V68" s="202">
        <v>8</v>
      </c>
      <c r="W68" s="202">
        <v>5</v>
      </c>
      <c r="X68" s="202">
        <v>6</v>
      </c>
      <c r="Y68" s="202">
        <v>0</v>
      </c>
      <c r="Z68" s="202">
        <v>0</v>
      </c>
      <c r="AA68" s="202">
        <v>0</v>
      </c>
      <c r="AB68" s="202">
        <v>0</v>
      </c>
      <c r="AC68" s="202">
        <v>0</v>
      </c>
      <c r="AD68" s="202">
        <v>0</v>
      </c>
      <c r="AE68" s="202">
        <v>0</v>
      </c>
      <c r="AF68" s="202">
        <v>0</v>
      </c>
      <c r="AG68" s="202">
        <v>0</v>
      </c>
      <c r="AH68" s="202">
        <v>0</v>
      </c>
      <c r="AI68" s="202">
        <v>0</v>
      </c>
      <c r="AJ68" s="202">
        <v>0</v>
      </c>
      <c r="AK68" s="202">
        <v>0</v>
      </c>
      <c r="AL68" s="202">
        <v>0</v>
      </c>
      <c r="AM68" s="202">
        <v>0</v>
      </c>
      <c r="AN68" s="202">
        <v>0</v>
      </c>
      <c r="AO68" s="202">
        <v>0</v>
      </c>
      <c r="AP68" s="202">
        <v>0</v>
      </c>
      <c r="AQ68" s="202" t="s">
        <v>1935</v>
      </c>
      <c r="AR68" s="202" t="s">
        <v>1935</v>
      </c>
      <c r="AS68" s="202">
        <v>0</v>
      </c>
      <c r="AT68" s="202">
        <v>7.5</v>
      </c>
      <c r="AU68" s="202">
        <v>0</v>
      </c>
      <c r="AV68" s="202">
        <v>1.5</v>
      </c>
      <c r="AX68" s="202" t="s">
        <v>2116</v>
      </c>
      <c r="AY68" s="202">
        <v>66</v>
      </c>
    </row>
    <row r="69" spans="1:51">
      <c r="A69" s="202" t="str">
        <f t="shared" si="7"/>
        <v>王炳兴&amp;李廷华</v>
      </c>
      <c r="B69" s="202">
        <f>IF(C69&lt;&gt;"NA",C69,VLOOKUP(K69,Update_from_YIFIP!$X$2:$AD$174,7,FALSE))</f>
        <v>26</v>
      </c>
      <c r="C69" s="207">
        <f t="shared" si="4"/>
        <v>26</v>
      </c>
      <c r="D69" s="207">
        <f t="shared" si="5"/>
        <v>26</v>
      </c>
      <c r="E69" s="202" t="s">
        <v>2119</v>
      </c>
      <c r="F69" s="202" t="s">
        <v>2277</v>
      </c>
      <c r="G69" s="202" t="s">
        <v>2278</v>
      </c>
      <c r="H69" s="207" t="str">
        <f t="shared" si="6"/>
        <v>NA</v>
      </c>
      <c r="I69" s="202" t="s">
        <v>3162</v>
      </c>
      <c r="J69" s="202" t="s">
        <v>2275</v>
      </c>
      <c r="K69" s="202" t="s">
        <v>2281</v>
      </c>
      <c r="L69" s="202" t="s">
        <v>1214</v>
      </c>
      <c r="M69" s="202">
        <v>10</v>
      </c>
      <c r="N69" s="202">
        <v>0</v>
      </c>
      <c r="O69" s="202">
        <v>52</v>
      </c>
      <c r="P69" s="202">
        <v>5</v>
      </c>
      <c r="Q69" s="202">
        <v>4</v>
      </c>
      <c r="R69" s="202">
        <v>5</v>
      </c>
      <c r="S69" s="202">
        <v>5</v>
      </c>
      <c r="T69" s="202">
        <v>5</v>
      </c>
      <c r="U69" s="202">
        <v>6</v>
      </c>
      <c r="V69" s="202">
        <v>7</v>
      </c>
      <c r="W69" s="202">
        <v>6</v>
      </c>
      <c r="X69" s="202">
        <v>5</v>
      </c>
      <c r="Y69" s="202">
        <v>4</v>
      </c>
      <c r="Z69" s="202">
        <v>0</v>
      </c>
      <c r="AA69" s="202">
        <v>0</v>
      </c>
      <c r="AB69" s="202">
        <v>0</v>
      </c>
      <c r="AC69" s="202">
        <v>0</v>
      </c>
      <c r="AD69" s="202">
        <v>0</v>
      </c>
      <c r="AE69" s="202">
        <v>0</v>
      </c>
      <c r="AF69" s="202">
        <v>0</v>
      </c>
      <c r="AG69" s="202">
        <v>0</v>
      </c>
      <c r="AH69" s="202">
        <v>0</v>
      </c>
      <c r="AI69" s="202">
        <v>0</v>
      </c>
      <c r="AJ69" s="202">
        <v>0</v>
      </c>
      <c r="AK69" s="202">
        <v>0</v>
      </c>
      <c r="AL69" s="202">
        <v>0</v>
      </c>
      <c r="AM69" s="202">
        <v>0</v>
      </c>
      <c r="AN69" s="202">
        <v>0</v>
      </c>
      <c r="AO69" s="202">
        <v>0</v>
      </c>
      <c r="AP69" s="202">
        <v>0</v>
      </c>
      <c r="AQ69" s="202" t="s">
        <v>1936</v>
      </c>
      <c r="AR69" s="202" t="s">
        <v>1936</v>
      </c>
      <c r="AS69" s="202">
        <v>0</v>
      </c>
      <c r="AT69" s="202">
        <v>6</v>
      </c>
      <c r="AU69" s="202">
        <v>0</v>
      </c>
      <c r="AV69" s="202">
        <v>1.2</v>
      </c>
      <c r="AX69" s="202" t="s">
        <v>3296</v>
      </c>
      <c r="AY69" s="202">
        <v>67</v>
      </c>
    </row>
    <row r="70" spans="1:51">
      <c r="A70" s="202" t="str">
        <f t="shared" si="7"/>
        <v>鲁兴连&amp;祝正贵</v>
      </c>
      <c r="B70" s="202">
        <f>IF(C70&lt;&gt;"NA",C70,VLOOKUP(K70,Update_from_YIFIP!$X$2:$AD$174,7,FALSE))</f>
        <v>29</v>
      </c>
      <c r="C70" s="207">
        <f t="shared" si="4"/>
        <v>29</v>
      </c>
      <c r="D70" s="207" t="str">
        <f t="shared" si="5"/>
        <v>NA</v>
      </c>
      <c r="E70" s="202" t="s">
        <v>3152</v>
      </c>
      <c r="F70" s="202" t="s">
        <v>2178</v>
      </c>
      <c r="G70" s="202" t="s">
        <v>2179</v>
      </c>
      <c r="H70" s="207">
        <f t="shared" si="6"/>
        <v>29</v>
      </c>
      <c r="I70" s="202" t="s">
        <v>2167</v>
      </c>
      <c r="J70" s="202" t="s">
        <v>7</v>
      </c>
      <c r="K70" s="202" t="s">
        <v>1929</v>
      </c>
      <c r="L70" s="202" t="s">
        <v>2177</v>
      </c>
      <c r="M70" s="202">
        <v>10</v>
      </c>
      <c r="N70" s="202">
        <v>0</v>
      </c>
      <c r="O70" s="202">
        <v>87</v>
      </c>
      <c r="P70" s="202">
        <v>10</v>
      </c>
      <c r="Q70" s="202">
        <v>5</v>
      </c>
      <c r="R70" s="202">
        <v>9</v>
      </c>
      <c r="S70" s="202">
        <v>10</v>
      </c>
      <c r="T70" s="202">
        <v>10</v>
      </c>
      <c r="U70" s="202">
        <v>6</v>
      </c>
      <c r="V70" s="202">
        <v>11</v>
      </c>
      <c r="W70" s="202">
        <v>8</v>
      </c>
      <c r="X70" s="202">
        <v>8</v>
      </c>
      <c r="Y70" s="202">
        <v>10</v>
      </c>
      <c r="Z70" s="202">
        <v>0</v>
      </c>
      <c r="AA70" s="202">
        <v>0</v>
      </c>
      <c r="AB70" s="202">
        <v>0</v>
      </c>
      <c r="AC70" s="202">
        <v>0</v>
      </c>
      <c r="AD70" s="202">
        <v>0</v>
      </c>
      <c r="AE70" s="202">
        <v>0</v>
      </c>
      <c r="AF70" s="202">
        <v>0</v>
      </c>
      <c r="AG70" s="202">
        <v>0</v>
      </c>
      <c r="AH70" s="202">
        <v>0</v>
      </c>
      <c r="AI70" s="202">
        <v>0</v>
      </c>
      <c r="AJ70" s="202">
        <v>0</v>
      </c>
      <c r="AK70" s="202">
        <v>0</v>
      </c>
      <c r="AL70" s="202">
        <v>0</v>
      </c>
      <c r="AM70" s="202">
        <v>0</v>
      </c>
      <c r="AN70" s="202">
        <v>0</v>
      </c>
      <c r="AO70" s="202">
        <v>0</v>
      </c>
      <c r="AP70" s="202">
        <v>0</v>
      </c>
      <c r="AQ70" s="202">
        <v>42571</v>
      </c>
      <c r="AR70" s="202">
        <v>42575</v>
      </c>
      <c r="AS70" s="202">
        <v>2534</v>
      </c>
      <c r="AT70" s="202">
        <v>15</v>
      </c>
      <c r="AU70" s="202">
        <v>0</v>
      </c>
      <c r="AV70" s="202">
        <v>3</v>
      </c>
      <c r="AX70" s="202" t="s">
        <v>2113</v>
      </c>
      <c r="AY70" s="202">
        <v>68</v>
      </c>
    </row>
    <row r="71" spans="1:51">
      <c r="A71" s="202" t="str">
        <f t="shared" si="7"/>
        <v>鲁兴连&amp;祝正贵</v>
      </c>
      <c r="B71" s="202">
        <f>IF(C71&lt;&gt;"NA",C71,VLOOKUP(K71,Update_from_YIFIP!$X$2:$AD$174,7,FALSE))</f>
        <v>29</v>
      </c>
      <c r="C71" s="207">
        <f t="shared" si="4"/>
        <v>29</v>
      </c>
      <c r="D71" s="207" t="str">
        <f t="shared" si="5"/>
        <v>NA</v>
      </c>
      <c r="E71" s="202" t="s">
        <v>3152</v>
      </c>
      <c r="F71" s="202" t="s">
        <v>2178</v>
      </c>
      <c r="G71" s="202" t="s">
        <v>2179</v>
      </c>
      <c r="H71" s="207">
        <f t="shared" si="6"/>
        <v>29</v>
      </c>
      <c r="I71" s="202" t="s">
        <v>2167</v>
      </c>
      <c r="J71" s="202" t="s">
        <v>7</v>
      </c>
      <c r="K71" s="202" t="s">
        <v>1929</v>
      </c>
      <c r="L71" s="202" t="s">
        <v>1151</v>
      </c>
      <c r="M71" s="202">
        <v>10</v>
      </c>
      <c r="N71" s="202">
        <v>0</v>
      </c>
      <c r="O71" s="202">
        <v>57</v>
      </c>
      <c r="P71" s="202">
        <v>5</v>
      </c>
      <c r="Q71" s="202">
        <v>7</v>
      </c>
      <c r="R71" s="202">
        <v>9</v>
      </c>
      <c r="S71" s="202">
        <v>5</v>
      </c>
      <c r="T71" s="202">
        <v>5</v>
      </c>
      <c r="U71" s="202">
        <v>5</v>
      </c>
      <c r="V71" s="202">
        <v>7</v>
      </c>
      <c r="W71" s="202">
        <v>4</v>
      </c>
      <c r="X71" s="202">
        <v>7</v>
      </c>
      <c r="Y71" s="202">
        <v>3</v>
      </c>
      <c r="Z71" s="202">
        <v>0</v>
      </c>
      <c r="AA71" s="202">
        <v>0</v>
      </c>
      <c r="AB71" s="202">
        <v>0</v>
      </c>
      <c r="AC71" s="202">
        <v>0</v>
      </c>
      <c r="AD71" s="202">
        <v>0</v>
      </c>
      <c r="AE71" s="202">
        <v>0</v>
      </c>
      <c r="AF71" s="202">
        <v>0</v>
      </c>
      <c r="AG71" s="202">
        <v>0</v>
      </c>
      <c r="AH71" s="202">
        <v>0</v>
      </c>
      <c r="AI71" s="202">
        <v>0</v>
      </c>
      <c r="AJ71" s="202">
        <v>0</v>
      </c>
      <c r="AK71" s="202">
        <v>0</v>
      </c>
      <c r="AL71" s="202">
        <v>0</v>
      </c>
      <c r="AM71" s="202">
        <v>0</v>
      </c>
      <c r="AN71" s="202">
        <v>0</v>
      </c>
      <c r="AO71" s="202">
        <v>0</v>
      </c>
      <c r="AP71" s="202">
        <v>0</v>
      </c>
      <c r="AQ71" s="202">
        <v>42586</v>
      </c>
      <c r="AR71" s="202">
        <v>42586</v>
      </c>
      <c r="AS71" s="202">
        <v>2599</v>
      </c>
      <c r="AT71" s="202">
        <v>6</v>
      </c>
      <c r="AU71" s="202">
        <v>0</v>
      </c>
      <c r="AV71" s="202">
        <v>1.2</v>
      </c>
      <c r="AX71" s="202" t="s">
        <v>2120</v>
      </c>
      <c r="AY71" s="202">
        <v>69</v>
      </c>
    </row>
    <row r="72" spans="1:51">
      <c r="A72" s="202" t="str">
        <f t="shared" si="7"/>
        <v>鲁兴连&amp;祝正贵</v>
      </c>
      <c r="B72" s="202">
        <f>IF(C72&lt;&gt;"NA",C72,VLOOKUP(K72,Update_from_YIFIP!$X$2:$AD$174,7,FALSE))</f>
        <v>29</v>
      </c>
      <c r="C72" s="207">
        <f t="shared" si="4"/>
        <v>29</v>
      </c>
      <c r="D72" s="207" t="str">
        <f t="shared" si="5"/>
        <v>NA</v>
      </c>
      <c r="E72" s="202" t="s">
        <v>3152</v>
      </c>
      <c r="F72" s="202" t="s">
        <v>2178</v>
      </c>
      <c r="G72" s="202" t="s">
        <v>2179</v>
      </c>
      <c r="H72" s="207">
        <f t="shared" si="6"/>
        <v>29</v>
      </c>
      <c r="I72" s="202" t="s">
        <v>2167</v>
      </c>
      <c r="J72" s="202" t="s">
        <v>7</v>
      </c>
      <c r="K72" s="202" t="s">
        <v>1929</v>
      </c>
      <c r="L72" s="202" t="s">
        <v>1152</v>
      </c>
      <c r="M72" s="202">
        <v>10</v>
      </c>
      <c r="N72" s="202">
        <v>0</v>
      </c>
      <c r="O72" s="202">
        <v>92</v>
      </c>
      <c r="P72" s="202">
        <v>7</v>
      </c>
      <c r="Q72" s="202">
        <v>10</v>
      </c>
      <c r="R72" s="202">
        <v>10</v>
      </c>
      <c r="S72" s="202">
        <v>11</v>
      </c>
      <c r="T72" s="202">
        <v>8</v>
      </c>
      <c r="U72" s="202">
        <v>10</v>
      </c>
      <c r="V72" s="202">
        <v>11</v>
      </c>
      <c r="W72" s="202">
        <v>9</v>
      </c>
      <c r="X72" s="202">
        <v>10</v>
      </c>
      <c r="Y72" s="202">
        <v>6</v>
      </c>
      <c r="Z72" s="202">
        <v>0</v>
      </c>
      <c r="AA72" s="202">
        <v>0</v>
      </c>
      <c r="AB72" s="202">
        <v>0</v>
      </c>
      <c r="AC72" s="202">
        <v>0</v>
      </c>
      <c r="AD72" s="202">
        <v>0</v>
      </c>
      <c r="AE72" s="202">
        <v>0</v>
      </c>
      <c r="AF72" s="202">
        <v>0</v>
      </c>
      <c r="AG72" s="202">
        <v>0</v>
      </c>
      <c r="AH72" s="202">
        <v>0</v>
      </c>
      <c r="AI72" s="202">
        <v>0</v>
      </c>
      <c r="AJ72" s="202">
        <v>0</v>
      </c>
      <c r="AK72" s="202">
        <v>0</v>
      </c>
      <c r="AL72" s="202">
        <v>0</v>
      </c>
      <c r="AM72" s="202">
        <v>0</v>
      </c>
      <c r="AN72" s="202" t="s">
        <v>2180</v>
      </c>
      <c r="AO72" s="202">
        <v>0</v>
      </c>
      <c r="AP72" s="202">
        <v>0</v>
      </c>
      <c r="AQ72" s="202">
        <v>42592</v>
      </c>
      <c r="AR72" s="202">
        <v>42592</v>
      </c>
      <c r="AS72" s="202">
        <v>2660</v>
      </c>
      <c r="AT72" s="202">
        <v>12.5</v>
      </c>
      <c r="AU72" s="202">
        <v>0</v>
      </c>
      <c r="AV72" s="202">
        <v>2.5</v>
      </c>
      <c r="AX72" s="202" t="s">
        <v>2072</v>
      </c>
      <c r="AY72" s="202">
        <v>70</v>
      </c>
    </row>
    <row r="73" spans="1:51">
      <c r="A73" s="202" t="str">
        <f t="shared" si="7"/>
        <v>鲁兴连&amp;祝正贵</v>
      </c>
      <c r="B73" s="202">
        <f>IF(C73&lt;&gt;"NA",C73,VLOOKUP(K73,Update_from_YIFIP!$X$2:$AD$174,7,FALSE))</f>
        <v>29</v>
      </c>
      <c r="C73" s="207">
        <f t="shared" si="4"/>
        <v>29</v>
      </c>
      <c r="D73" s="207" t="str">
        <f t="shared" si="5"/>
        <v>NA</v>
      </c>
      <c r="E73" s="202" t="s">
        <v>3152</v>
      </c>
      <c r="F73" s="202" t="s">
        <v>2178</v>
      </c>
      <c r="G73" s="202" t="s">
        <v>2179</v>
      </c>
      <c r="H73" s="207">
        <f t="shared" si="6"/>
        <v>29</v>
      </c>
      <c r="I73" s="202" t="s">
        <v>2167</v>
      </c>
      <c r="J73" s="202" t="s">
        <v>7</v>
      </c>
      <c r="K73" s="202" t="s">
        <v>1929</v>
      </c>
      <c r="L73" s="202" t="s">
        <v>1153</v>
      </c>
      <c r="M73" s="202">
        <v>10</v>
      </c>
      <c r="N73" s="202">
        <v>0</v>
      </c>
      <c r="O73" s="202">
        <v>70</v>
      </c>
      <c r="P73" s="202">
        <v>5</v>
      </c>
      <c r="Q73" s="202">
        <v>5</v>
      </c>
      <c r="R73" s="202">
        <v>8</v>
      </c>
      <c r="S73" s="202">
        <v>5</v>
      </c>
      <c r="T73" s="202">
        <v>5</v>
      </c>
      <c r="U73" s="202">
        <v>5</v>
      </c>
      <c r="V73" s="202">
        <v>13</v>
      </c>
      <c r="W73" s="202">
        <v>5</v>
      </c>
      <c r="X73" s="202">
        <v>6</v>
      </c>
      <c r="Y73" s="202">
        <v>13</v>
      </c>
      <c r="Z73" s="202">
        <v>0</v>
      </c>
      <c r="AA73" s="202">
        <v>0</v>
      </c>
      <c r="AB73" s="202">
        <v>0</v>
      </c>
      <c r="AC73" s="202">
        <v>0</v>
      </c>
      <c r="AD73" s="202">
        <v>0</v>
      </c>
      <c r="AE73" s="202">
        <v>0</v>
      </c>
      <c r="AF73" s="202">
        <v>0</v>
      </c>
      <c r="AG73" s="202">
        <v>0</v>
      </c>
      <c r="AH73" s="202">
        <v>0</v>
      </c>
      <c r="AI73" s="202">
        <v>0</v>
      </c>
      <c r="AJ73" s="202">
        <v>0</v>
      </c>
      <c r="AK73" s="202">
        <v>0</v>
      </c>
      <c r="AL73" s="202">
        <v>0</v>
      </c>
      <c r="AM73" s="202">
        <v>0</v>
      </c>
      <c r="AN73" s="202">
        <v>0</v>
      </c>
      <c r="AO73" s="202">
        <v>0</v>
      </c>
      <c r="AP73" s="202">
        <v>0</v>
      </c>
      <c r="AQ73" s="202">
        <v>42610</v>
      </c>
      <c r="AR73" s="202">
        <v>42610</v>
      </c>
      <c r="AS73" s="202">
        <v>2680</v>
      </c>
      <c r="AT73" s="202">
        <v>7.5</v>
      </c>
      <c r="AU73" s="202">
        <v>0</v>
      </c>
      <c r="AV73" s="202">
        <v>1.5</v>
      </c>
      <c r="AX73" s="202" t="s">
        <v>2104</v>
      </c>
      <c r="AY73" s="202">
        <v>71</v>
      </c>
    </row>
    <row r="74" spans="1:51">
      <c r="A74" s="202" t="str">
        <f t="shared" si="7"/>
        <v>黄中学</v>
      </c>
      <c r="B74" s="202">
        <f>IF(C74&lt;&gt;"NA",C74,VLOOKUP(K74,Update_from_YIFIP!$X$2:$AD$174,7,FALSE))</f>
        <v>30</v>
      </c>
      <c r="C74" s="207">
        <f t="shared" si="4"/>
        <v>30</v>
      </c>
      <c r="D74" s="207">
        <f t="shared" si="5"/>
        <v>30</v>
      </c>
      <c r="E74" s="202" t="s">
        <v>2051</v>
      </c>
      <c r="F74" s="202" t="s">
        <v>2189</v>
      </c>
      <c r="G74" s="202" t="s">
        <v>2190</v>
      </c>
      <c r="H74" s="207" t="str">
        <f t="shared" si="6"/>
        <v>NA</v>
      </c>
      <c r="I74" s="202" t="s">
        <v>1929</v>
      </c>
      <c r="J74" s="202" t="s">
        <v>2187</v>
      </c>
      <c r="K74" s="202" t="s">
        <v>2188</v>
      </c>
      <c r="L74" s="202" t="s">
        <v>1158</v>
      </c>
      <c r="M74" s="202">
        <v>10</v>
      </c>
      <c r="N74" s="202">
        <v>0</v>
      </c>
      <c r="O74" s="202">
        <v>20</v>
      </c>
      <c r="P74" s="202">
        <v>2</v>
      </c>
      <c r="Q74" s="202">
        <v>3</v>
      </c>
      <c r="R74" s="202">
        <v>2</v>
      </c>
      <c r="S74" s="202">
        <v>2</v>
      </c>
      <c r="T74" s="202">
        <v>2</v>
      </c>
      <c r="U74" s="202">
        <v>2</v>
      </c>
      <c r="V74" s="202">
        <v>2</v>
      </c>
      <c r="W74" s="202">
        <v>1</v>
      </c>
      <c r="X74" s="202">
        <v>2</v>
      </c>
      <c r="Y74" s="202">
        <v>2</v>
      </c>
      <c r="Z74" s="202">
        <v>0</v>
      </c>
      <c r="AA74" s="202">
        <v>0</v>
      </c>
      <c r="AB74" s="202">
        <v>0</v>
      </c>
      <c r="AC74" s="202">
        <v>0</v>
      </c>
      <c r="AD74" s="202">
        <v>0</v>
      </c>
      <c r="AE74" s="202">
        <v>0</v>
      </c>
      <c r="AF74" s="202">
        <v>0</v>
      </c>
      <c r="AG74" s="202">
        <v>0</v>
      </c>
      <c r="AH74" s="202">
        <v>0</v>
      </c>
      <c r="AI74" s="202">
        <v>0</v>
      </c>
      <c r="AJ74" s="202">
        <v>0</v>
      </c>
      <c r="AK74" s="202">
        <v>0</v>
      </c>
      <c r="AL74" s="202">
        <v>0</v>
      </c>
      <c r="AM74" s="202">
        <v>0</v>
      </c>
      <c r="AN74" s="202">
        <v>0</v>
      </c>
      <c r="AO74" s="202">
        <v>0</v>
      </c>
      <c r="AP74" s="202">
        <v>0</v>
      </c>
      <c r="AQ74" s="202" t="s">
        <v>1934</v>
      </c>
      <c r="AR74" s="202" t="s">
        <v>1934</v>
      </c>
      <c r="AS74" s="202">
        <v>0</v>
      </c>
      <c r="AT74" s="202">
        <v>5</v>
      </c>
      <c r="AU74" s="202">
        <v>0</v>
      </c>
      <c r="AV74" s="202">
        <v>1</v>
      </c>
      <c r="AX74" s="202" t="s">
        <v>2117</v>
      </c>
      <c r="AY74" s="202">
        <v>72</v>
      </c>
    </row>
    <row r="75" spans="1:51">
      <c r="A75" s="202" t="str">
        <f t="shared" si="7"/>
        <v>黄中学</v>
      </c>
      <c r="B75" s="202">
        <f>IF(C75&lt;&gt;"NA",C75,VLOOKUP(K75,Update_from_YIFIP!$X$2:$AD$174,7,FALSE))</f>
        <v>30</v>
      </c>
      <c r="C75" s="207">
        <f t="shared" si="4"/>
        <v>30</v>
      </c>
      <c r="D75" s="207">
        <f t="shared" si="5"/>
        <v>30</v>
      </c>
      <c r="E75" s="202" t="s">
        <v>2051</v>
      </c>
      <c r="F75" s="202" t="s">
        <v>2189</v>
      </c>
      <c r="G75" s="202" t="s">
        <v>2190</v>
      </c>
      <c r="H75" s="207" t="str">
        <f t="shared" si="6"/>
        <v>NA</v>
      </c>
      <c r="I75" s="202" t="s">
        <v>1929</v>
      </c>
      <c r="J75" s="202" t="s">
        <v>2187</v>
      </c>
      <c r="K75" s="202" t="s">
        <v>2191</v>
      </c>
      <c r="L75" s="202" t="s">
        <v>1159</v>
      </c>
      <c r="M75" s="202">
        <v>10</v>
      </c>
      <c r="N75" s="202">
        <v>0</v>
      </c>
      <c r="O75" s="202">
        <v>21</v>
      </c>
      <c r="P75" s="202">
        <v>6</v>
      </c>
      <c r="Q75" s="202">
        <v>1</v>
      </c>
      <c r="R75" s="202">
        <v>1</v>
      </c>
      <c r="S75" s="202">
        <v>2</v>
      </c>
      <c r="T75" s="202">
        <v>2</v>
      </c>
      <c r="U75" s="202">
        <v>1</v>
      </c>
      <c r="V75" s="202">
        <v>3</v>
      </c>
      <c r="W75" s="202">
        <v>1</v>
      </c>
      <c r="X75" s="202">
        <v>2</v>
      </c>
      <c r="Y75" s="202">
        <v>2</v>
      </c>
      <c r="Z75" s="202">
        <v>0</v>
      </c>
      <c r="AA75" s="202">
        <v>0</v>
      </c>
      <c r="AB75" s="202">
        <v>0</v>
      </c>
      <c r="AC75" s="202">
        <v>0</v>
      </c>
      <c r="AD75" s="202">
        <v>0</v>
      </c>
      <c r="AE75" s="202">
        <v>0</v>
      </c>
      <c r="AF75" s="202">
        <v>0</v>
      </c>
      <c r="AG75" s="202">
        <v>0</v>
      </c>
      <c r="AH75" s="202">
        <v>0</v>
      </c>
      <c r="AI75" s="202">
        <v>0</v>
      </c>
      <c r="AJ75" s="202">
        <v>0</v>
      </c>
      <c r="AK75" s="202">
        <v>0</v>
      </c>
      <c r="AL75" s="202">
        <v>0</v>
      </c>
      <c r="AM75" s="202">
        <v>0</v>
      </c>
      <c r="AN75" s="202">
        <v>0</v>
      </c>
      <c r="AO75" s="202">
        <v>0</v>
      </c>
      <c r="AP75" s="202">
        <v>0</v>
      </c>
      <c r="AQ75" s="202" t="s">
        <v>2015</v>
      </c>
      <c r="AR75" s="202" t="s">
        <v>2015</v>
      </c>
      <c r="AS75" s="202">
        <v>0</v>
      </c>
      <c r="AT75" s="202">
        <v>4</v>
      </c>
      <c r="AU75" s="202">
        <v>0</v>
      </c>
      <c r="AV75" s="202">
        <v>0.8</v>
      </c>
      <c r="AX75" s="202" t="s">
        <v>2136</v>
      </c>
      <c r="AY75" s="202">
        <v>73</v>
      </c>
    </row>
    <row r="76" spans="1:51">
      <c r="A76" s="202" t="str">
        <f t="shared" si="7"/>
        <v>黄中学</v>
      </c>
      <c r="B76" s="202">
        <f>IF(C76&lt;&gt;"NA",C76,VLOOKUP(K76,Update_from_YIFIP!$X$2:$AD$174,7,FALSE))</f>
        <v>30</v>
      </c>
      <c r="C76" s="207">
        <f t="shared" si="4"/>
        <v>30</v>
      </c>
      <c r="D76" s="207">
        <f t="shared" si="5"/>
        <v>30</v>
      </c>
      <c r="E76" s="202" t="s">
        <v>2051</v>
      </c>
      <c r="F76" s="202" t="s">
        <v>2189</v>
      </c>
      <c r="G76" s="202" t="s">
        <v>2190</v>
      </c>
      <c r="H76" s="207" t="str">
        <f t="shared" si="6"/>
        <v>NA</v>
      </c>
      <c r="I76" s="202" t="s">
        <v>1929</v>
      </c>
      <c r="J76" s="202" t="s">
        <v>2187</v>
      </c>
      <c r="K76" s="202" t="s">
        <v>2192</v>
      </c>
      <c r="L76" s="202" t="s">
        <v>1160</v>
      </c>
      <c r="M76" s="202">
        <v>10</v>
      </c>
      <c r="N76" s="202">
        <v>0</v>
      </c>
      <c r="O76" s="202">
        <v>37</v>
      </c>
      <c r="P76" s="202">
        <v>4</v>
      </c>
      <c r="Q76" s="202">
        <v>2</v>
      </c>
      <c r="R76" s="202">
        <v>4</v>
      </c>
      <c r="S76" s="202">
        <v>4</v>
      </c>
      <c r="T76" s="202">
        <v>3</v>
      </c>
      <c r="U76" s="202">
        <v>2</v>
      </c>
      <c r="V76" s="202">
        <v>5</v>
      </c>
      <c r="W76" s="202">
        <v>4</v>
      </c>
      <c r="X76" s="202">
        <v>6</v>
      </c>
      <c r="Y76" s="202">
        <v>3</v>
      </c>
      <c r="Z76" s="202">
        <v>0</v>
      </c>
      <c r="AA76" s="202">
        <v>0</v>
      </c>
      <c r="AB76" s="202">
        <v>0</v>
      </c>
      <c r="AC76" s="202">
        <v>0</v>
      </c>
      <c r="AD76" s="202">
        <v>0</v>
      </c>
      <c r="AE76" s="202">
        <v>0</v>
      </c>
      <c r="AF76" s="202">
        <v>0</v>
      </c>
      <c r="AG76" s="202">
        <v>0</v>
      </c>
      <c r="AH76" s="202">
        <v>0</v>
      </c>
      <c r="AI76" s="202">
        <v>0</v>
      </c>
      <c r="AJ76" s="202">
        <v>0</v>
      </c>
      <c r="AK76" s="202">
        <v>0</v>
      </c>
      <c r="AL76" s="202">
        <v>0</v>
      </c>
      <c r="AM76" s="202">
        <v>0</v>
      </c>
      <c r="AN76" s="202">
        <v>0</v>
      </c>
      <c r="AO76" s="202">
        <v>0</v>
      </c>
      <c r="AP76" s="202">
        <v>0</v>
      </c>
      <c r="AQ76" s="202" t="s">
        <v>2016</v>
      </c>
      <c r="AR76" s="202" t="s">
        <v>2016</v>
      </c>
      <c r="AS76" s="202">
        <v>0</v>
      </c>
      <c r="AT76" s="202">
        <v>10</v>
      </c>
      <c r="AU76" s="202">
        <v>0</v>
      </c>
      <c r="AV76" s="202">
        <v>2</v>
      </c>
      <c r="AX76" s="202" t="s">
        <v>2107</v>
      </c>
      <c r="AY76" s="202">
        <v>74</v>
      </c>
    </row>
    <row r="77" spans="1:51">
      <c r="A77" s="202" t="str">
        <f t="shared" si="7"/>
        <v>黄中学</v>
      </c>
      <c r="B77" s="202">
        <f>IF(C77&lt;&gt;"NA",C77,VLOOKUP(K77,Update_from_YIFIP!$X$2:$AD$174,7,FALSE))</f>
        <v>30</v>
      </c>
      <c r="C77" s="207">
        <f t="shared" si="4"/>
        <v>30</v>
      </c>
      <c r="D77" s="207">
        <f t="shared" si="5"/>
        <v>30</v>
      </c>
      <c r="E77" s="202" t="s">
        <v>2051</v>
      </c>
      <c r="F77" s="202" t="s">
        <v>2189</v>
      </c>
      <c r="G77" s="202" t="s">
        <v>2190</v>
      </c>
      <c r="H77" s="207" t="str">
        <f t="shared" si="6"/>
        <v>NA</v>
      </c>
      <c r="I77" s="202" t="s">
        <v>1929</v>
      </c>
      <c r="J77" s="202" t="s">
        <v>2187</v>
      </c>
      <c r="K77" s="202" t="s">
        <v>2193</v>
      </c>
      <c r="L77" s="202" t="s">
        <v>1161</v>
      </c>
      <c r="M77" s="202">
        <v>10</v>
      </c>
      <c r="N77" s="202">
        <v>0</v>
      </c>
      <c r="O77" s="202">
        <v>13</v>
      </c>
      <c r="P77" s="202">
        <v>1</v>
      </c>
      <c r="Q77" s="202">
        <v>1</v>
      </c>
      <c r="R77" s="202">
        <v>1</v>
      </c>
      <c r="S77" s="202">
        <v>1</v>
      </c>
      <c r="T77" s="202">
        <v>1</v>
      </c>
      <c r="U77" s="202">
        <v>1</v>
      </c>
      <c r="V77" s="202">
        <v>1</v>
      </c>
      <c r="W77" s="202">
        <v>2</v>
      </c>
      <c r="X77" s="202">
        <v>2</v>
      </c>
      <c r="Y77" s="202">
        <v>2</v>
      </c>
      <c r="Z77" s="202">
        <v>0</v>
      </c>
      <c r="AA77" s="202">
        <v>0</v>
      </c>
      <c r="AB77" s="202">
        <v>0</v>
      </c>
      <c r="AC77" s="202">
        <v>0</v>
      </c>
      <c r="AD77" s="202">
        <v>0</v>
      </c>
      <c r="AE77" s="202">
        <v>0</v>
      </c>
      <c r="AF77" s="202">
        <v>0</v>
      </c>
      <c r="AG77" s="202">
        <v>0</v>
      </c>
      <c r="AH77" s="202">
        <v>0</v>
      </c>
      <c r="AI77" s="202">
        <v>0</v>
      </c>
      <c r="AJ77" s="202">
        <v>0</v>
      </c>
      <c r="AK77" s="202">
        <v>0</v>
      </c>
      <c r="AL77" s="202">
        <v>0</v>
      </c>
      <c r="AM77" s="202">
        <v>0</v>
      </c>
      <c r="AN77" s="202">
        <v>0</v>
      </c>
      <c r="AO77" s="202">
        <v>0</v>
      </c>
      <c r="AP77" s="202">
        <v>0</v>
      </c>
      <c r="AQ77" s="202" t="s">
        <v>1936</v>
      </c>
      <c r="AR77" s="202" t="s">
        <v>1936</v>
      </c>
      <c r="AS77" s="202">
        <v>0</v>
      </c>
      <c r="AT77" s="202">
        <v>2</v>
      </c>
      <c r="AU77" s="202">
        <v>0</v>
      </c>
      <c r="AV77" s="202">
        <v>0.4</v>
      </c>
      <c r="AX77" s="202" t="s">
        <v>2143</v>
      </c>
      <c r="AY77" s="202">
        <v>75</v>
      </c>
    </row>
    <row r="78" spans="1:51">
      <c r="A78" s="202" t="str">
        <f t="shared" si="7"/>
        <v>黄中学</v>
      </c>
      <c r="B78" s="202">
        <f>IF(C78&lt;&gt;"NA",C78,VLOOKUP(K78,Update_from_YIFIP!$X$2:$AD$174,7,FALSE))</f>
        <v>30</v>
      </c>
      <c r="C78" s="207">
        <f t="shared" si="4"/>
        <v>30</v>
      </c>
      <c r="D78" s="207">
        <f t="shared" si="5"/>
        <v>30</v>
      </c>
      <c r="E78" s="202" t="s">
        <v>2051</v>
      </c>
      <c r="F78" s="202" t="s">
        <v>2189</v>
      </c>
      <c r="G78" s="202" t="s">
        <v>2190</v>
      </c>
      <c r="H78" s="207" t="str">
        <f t="shared" si="6"/>
        <v>NA</v>
      </c>
      <c r="I78" s="202" t="s">
        <v>1929</v>
      </c>
      <c r="J78" s="202" t="s">
        <v>2187</v>
      </c>
      <c r="K78" s="202" t="s">
        <v>2194</v>
      </c>
      <c r="L78" s="202" t="s">
        <v>1162</v>
      </c>
      <c r="M78" s="202">
        <v>0</v>
      </c>
      <c r="N78" s="202">
        <v>3</v>
      </c>
      <c r="O78" s="202">
        <v>3</v>
      </c>
      <c r="P78" s="202">
        <v>1</v>
      </c>
      <c r="Q78" s="202">
        <v>1</v>
      </c>
      <c r="R78" s="202">
        <v>1</v>
      </c>
      <c r="S78" s="202">
        <v>0</v>
      </c>
      <c r="T78" s="202">
        <v>0</v>
      </c>
      <c r="U78" s="202">
        <v>0</v>
      </c>
      <c r="V78" s="202">
        <v>0</v>
      </c>
      <c r="W78" s="202">
        <v>0</v>
      </c>
      <c r="X78" s="202">
        <v>0</v>
      </c>
      <c r="Y78" s="202">
        <v>0</v>
      </c>
      <c r="Z78" s="202">
        <v>0</v>
      </c>
      <c r="AA78" s="202">
        <v>0</v>
      </c>
      <c r="AB78" s="202">
        <v>0</v>
      </c>
      <c r="AC78" s="202">
        <v>0</v>
      </c>
      <c r="AD78" s="202">
        <v>0</v>
      </c>
      <c r="AE78" s="202">
        <v>0</v>
      </c>
      <c r="AF78" s="202">
        <v>0</v>
      </c>
      <c r="AG78" s="202">
        <v>0</v>
      </c>
      <c r="AH78" s="202">
        <v>0</v>
      </c>
      <c r="AI78" s="202">
        <v>0</v>
      </c>
      <c r="AJ78" s="202">
        <v>0</v>
      </c>
      <c r="AK78" s="202">
        <v>0</v>
      </c>
      <c r="AL78" s="202">
        <v>0</v>
      </c>
      <c r="AM78" s="202">
        <v>0</v>
      </c>
      <c r="AN78" s="202">
        <v>0</v>
      </c>
      <c r="AO78" s="202">
        <v>0</v>
      </c>
      <c r="AP78" s="202">
        <v>0</v>
      </c>
      <c r="AQ78" s="202" t="s">
        <v>1937</v>
      </c>
      <c r="AR78" s="202" t="s">
        <v>1937</v>
      </c>
      <c r="AS78" s="202">
        <v>0</v>
      </c>
      <c r="AT78" s="202">
        <v>1</v>
      </c>
      <c r="AU78" s="202">
        <v>0</v>
      </c>
      <c r="AV78" s="202">
        <v>0.2</v>
      </c>
      <c r="AX78" s="202" t="s">
        <v>2091</v>
      </c>
      <c r="AY78" s="202">
        <v>76</v>
      </c>
    </row>
    <row r="79" spans="1:51">
      <c r="A79" s="202" t="str">
        <f t="shared" si="7"/>
        <v>王贵海</v>
      </c>
      <c r="B79" s="202">
        <f>IF(C79&lt;&gt;"NA",C79,VLOOKUP(K79,Update_from_YIFIP!$X$2:$AD$174,7,FALSE))</f>
        <v>31</v>
      </c>
      <c r="C79" s="207">
        <f t="shared" si="4"/>
        <v>31</v>
      </c>
      <c r="D79" s="207">
        <f t="shared" si="5"/>
        <v>31</v>
      </c>
      <c r="E79" s="202" t="s">
        <v>2122</v>
      </c>
      <c r="F79" s="202" t="s">
        <v>2242</v>
      </c>
      <c r="G79" s="202" t="s">
        <v>2243</v>
      </c>
      <c r="H79" s="207" t="str">
        <f t="shared" si="6"/>
        <v>NA</v>
      </c>
      <c r="I79" s="202" t="s">
        <v>1929</v>
      </c>
      <c r="J79" s="202" t="s">
        <v>2240</v>
      </c>
      <c r="K79" s="202">
        <v>0</v>
      </c>
      <c r="L79" s="202" t="s">
        <v>1188</v>
      </c>
      <c r="M79" s="202">
        <v>26</v>
      </c>
      <c r="N79" s="202">
        <v>0</v>
      </c>
      <c r="O79" s="202">
        <v>109</v>
      </c>
      <c r="P79" s="202">
        <v>1</v>
      </c>
      <c r="Q79" s="202">
        <v>1</v>
      </c>
      <c r="R79" s="202">
        <v>1</v>
      </c>
      <c r="S79" s="202">
        <v>1</v>
      </c>
      <c r="T79" s="202">
        <v>1</v>
      </c>
      <c r="U79" s="202">
        <v>1</v>
      </c>
      <c r="V79" s="202">
        <v>1</v>
      </c>
      <c r="W79" s="202">
        <v>2</v>
      </c>
      <c r="X79" s="202">
        <v>2</v>
      </c>
      <c r="Y79" s="202">
        <v>2</v>
      </c>
      <c r="Z79" s="202">
        <v>2</v>
      </c>
      <c r="AA79" s="202">
        <v>2</v>
      </c>
      <c r="AB79" s="202">
        <v>2</v>
      </c>
      <c r="AC79" s="202">
        <v>3</v>
      </c>
      <c r="AD79" s="202">
        <v>4</v>
      </c>
      <c r="AE79" s="202">
        <v>4</v>
      </c>
      <c r="AF79" s="202">
        <v>4</v>
      </c>
      <c r="AG79" s="202">
        <v>4</v>
      </c>
      <c r="AH79" s="202">
        <v>4</v>
      </c>
      <c r="AI79" s="202">
        <v>5</v>
      </c>
      <c r="AJ79" s="202">
        <v>5</v>
      </c>
      <c r="AK79" s="202">
        <v>5</v>
      </c>
      <c r="AL79" s="202">
        <v>15</v>
      </c>
      <c r="AM79" s="202">
        <v>12</v>
      </c>
      <c r="AN79" s="202">
        <v>18</v>
      </c>
      <c r="AO79" s="202">
        <v>7</v>
      </c>
      <c r="AP79" s="202">
        <v>0</v>
      </c>
      <c r="AQ79" s="202" t="s">
        <v>1963</v>
      </c>
      <c r="AR79" s="202" t="s">
        <v>1963</v>
      </c>
      <c r="AS79" s="202">
        <v>0</v>
      </c>
      <c r="AT79" s="202">
        <v>19.5</v>
      </c>
      <c r="AU79" s="202" t="s">
        <v>2241</v>
      </c>
      <c r="AV79" s="202">
        <v>3.9</v>
      </c>
      <c r="AX79" s="202" t="s">
        <v>2041</v>
      </c>
      <c r="AY79" s="202">
        <v>77</v>
      </c>
    </row>
    <row r="80" spans="1:51">
      <c r="A80" s="202" t="str">
        <f t="shared" si="7"/>
        <v>王贵海</v>
      </c>
      <c r="B80" s="202">
        <f>IF(C80&lt;&gt;"NA",C80,VLOOKUP(K80,Update_from_YIFIP!$X$2:$AD$174,7,FALSE))</f>
        <v>31</v>
      </c>
      <c r="C80" s="207">
        <f t="shared" si="4"/>
        <v>31</v>
      </c>
      <c r="D80" s="207">
        <f t="shared" si="5"/>
        <v>31</v>
      </c>
      <c r="E80" s="202" t="s">
        <v>2122</v>
      </c>
      <c r="F80" s="202" t="s">
        <v>2242</v>
      </c>
      <c r="G80" s="202" t="s">
        <v>2243</v>
      </c>
      <c r="H80" s="207" t="str">
        <f t="shared" si="6"/>
        <v>NA</v>
      </c>
      <c r="I80" s="202" t="s">
        <v>1929</v>
      </c>
      <c r="J80" s="202" t="s">
        <v>2240</v>
      </c>
      <c r="K80" s="202">
        <v>0</v>
      </c>
      <c r="L80" s="202" t="s">
        <v>1189</v>
      </c>
      <c r="M80" s="202">
        <v>0</v>
      </c>
      <c r="N80" s="202">
        <v>16</v>
      </c>
      <c r="O80" s="202">
        <v>59</v>
      </c>
      <c r="P80" s="202">
        <v>1</v>
      </c>
      <c r="Q80" s="202">
        <v>1</v>
      </c>
      <c r="R80" s="202">
        <v>1</v>
      </c>
      <c r="S80" s="202">
        <v>1</v>
      </c>
      <c r="T80" s="202">
        <v>2</v>
      </c>
      <c r="U80" s="202">
        <v>2</v>
      </c>
      <c r="V80" s="202">
        <v>2</v>
      </c>
      <c r="W80" s="202">
        <v>3</v>
      </c>
      <c r="X80" s="202">
        <v>3</v>
      </c>
      <c r="Y80" s="202">
        <v>3</v>
      </c>
      <c r="Z80" s="202">
        <v>8</v>
      </c>
      <c r="AA80" s="202">
        <v>7</v>
      </c>
      <c r="AB80" s="202">
        <v>6</v>
      </c>
      <c r="AC80" s="202">
        <v>8</v>
      </c>
      <c r="AD80" s="202">
        <v>10</v>
      </c>
      <c r="AE80" s="202">
        <v>1</v>
      </c>
      <c r="AF80" s="202">
        <v>0</v>
      </c>
      <c r="AG80" s="202">
        <v>0</v>
      </c>
      <c r="AH80" s="202">
        <v>0</v>
      </c>
      <c r="AI80" s="202">
        <v>0</v>
      </c>
      <c r="AJ80" s="202">
        <v>0</v>
      </c>
      <c r="AK80" s="202">
        <v>0</v>
      </c>
      <c r="AL80" s="202">
        <v>0</v>
      </c>
      <c r="AM80" s="202">
        <v>0</v>
      </c>
      <c r="AN80" s="202">
        <v>0</v>
      </c>
      <c r="AO80" s="202">
        <v>0</v>
      </c>
      <c r="AP80" s="202">
        <v>0</v>
      </c>
      <c r="AQ80" s="202" t="s">
        <v>1963</v>
      </c>
      <c r="AR80" s="202" t="s">
        <v>1963</v>
      </c>
      <c r="AS80" s="202">
        <v>0</v>
      </c>
      <c r="AT80" s="202">
        <v>10</v>
      </c>
      <c r="AU80" s="202">
        <v>0</v>
      </c>
      <c r="AV80" s="202">
        <v>2</v>
      </c>
      <c r="AX80" s="202" t="s">
        <v>2140</v>
      </c>
      <c r="AY80" s="202">
        <v>78</v>
      </c>
    </row>
    <row r="81" spans="1:51">
      <c r="A81" s="202" t="str">
        <f t="shared" si="7"/>
        <v>王贵永</v>
      </c>
      <c r="B81" s="202">
        <f>IF(C81&lt;&gt;"NA",C81,VLOOKUP(K81,Update_from_YIFIP!$X$2:$AD$174,7,FALSE))</f>
        <v>32</v>
      </c>
      <c r="C81" s="207">
        <f t="shared" si="4"/>
        <v>32</v>
      </c>
      <c r="D81" s="207">
        <f t="shared" si="5"/>
        <v>32</v>
      </c>
      <c r="E81" s="202" t="s">
        <v>2124</v>
      </c>
      <c r="F81" s="202" t="s">
        <v>2399</v>
      </c>
      <c r="G81" s="202" t="s">
        <v>2400</v>
      </c>
      <c r="H81" s="207" t="str">
        <f t="shared" si="6"/>
        <v>NA</v>
      </c>
      <c r="I81" s="202" t="s">
        <v>1929</v>
      </c>
      <c r="J81" s="202" t="s">
        <v>2398</v>
      </c>
      <c r="K81" s="202">
        <v>0</v>
      </c>
      <c r="L81" s="202" t="s">
        <v>1280</v>
      </c>
      <c r="M81" s="202">
        <v>27</v>
      </c>
      <c r="N81" s="202">
        <v>0</v>
      </c>
      <c r="O81" s="202">
        <v>82</v>
      </c>
      <c r="P81" s="202">
        <v>3</v>
      </c>
      <c r="Q81" s="202">
        <v>4</v>
      </c>
      <c r="R81" s="202">
        <v>3</v>
      </c>
      <c r="S81" s="202">
        <v>2</v>
      </c>
      <c r="T81" s="202">
        <v>2</v>
      </c>
      <c r="U81" s="202">
        <v>5</v>
      </c>
      <c r="V81" s="202">
        <v>6</v>
      </c>
      <c r="W81" s="202">
        <v>3</v>
      </c>
      <c r="X81" s="202">
        <v>2</v>
      </c>
      <c r="Y81" s="202">
        <v>3</v>
      </c>
      <c r="Z81" s="202">
        <v>3</v>
      </c>
      <c r="AA81" s="202">
        <v>5</v>
      </c>
      <c r="AB81" s="202">
        <v>2</v>
      </c>
      <c r="AC81" s="202">
        <v>2</v>
      </c>
      <c r="AD81" s="202">
        <v>2</v>
      </c>
      <c r="AE81" s="202">
        <v>4</v>
      </c>
      <c r="AF81" s="202">
        <v>3</v>
      </c>
      <c r="AG81" s="202">
        <v>2</v>
      </c>
      <c r="AH81" s="202">
        <v>4</v>
      </c>
      <c r="AI81" s="202">
        <v>2</v>
      </c>
      <c r="AJ81" s="202">
        <v>1</v>
      </c>
      <c r="AK81" s="202">
        <v>2</v>
      </c>
      <c r="AL81" s="202">
        <v>5</v>
      </c>
      <c r="AM81" s="202">
        <v>1</v>
      </c>
      <c r="AN81" s="202">
        <v>4</v>
      </c>
      <c r="AO81" s="202">
        <v>2</v>
      </c>
      <c r="AP81" s="202">
        <v>5</v>
      </c>
      <c r="AQ81" s="202" t="s">
        <v>2012</v>
      </c>
      <c r="AR81" s="202" t="s">
        <v>2012</v>
      </c>
      <c r="AS81" s="202">
        <v>0</v>
      </c>
      <c r="AT81" s="202">
        <v>15</v>
      </c>
      <c r="AU81" s="202">
        <v>0</v>
      </c>
      <c r="AV81" s="202">
        <v>3</v>
      </c>
      <c r="AX81" s="202" t="s">
        <v>2163</v>
      </c>
      <c r="AY81" s="202">
        <v>79</v>
      </c>
    </row>
    <row r="82" spans="1:51">
      <c r="A82" s="202" t="str">
        <f t="shared" si="7"/>
        <v>王贵永</v>
      </c>
      <c r="B82" s="202">
        <f>IF(C82&lt;&gt;"NA",C82,VLOOKUP(K82,Update_from_YIFIP!$X$2:$AD$174,7,FALSE))</f>
        <v>32</v>
      </c>
      <c r="C82" s="207">
        <f t="shared" si="4"/>
        <v>32</v>
      </c>
      <c r="D82" s="207">
        <f t="shared" si="5"/>
        <v>32</v>
      </c>
      <c r="E82" s="202" t="s">
        <v>2124</v>
      </c>
      <c r="F82" s="202" t="s">
        <v>2399</v>
      </c>
      <c r="G82" s="202" t="s">
        <v>2400</v>
      </c>
      <c r="H82" s="207" t="str">
        <f t="shared" si="6"/>
        <v>NA</v>
      </c>
      <c r="I82" s="202" t="s">
        <v>1929</v>
      </c>
      <c r="J82" s="202" t="s">
        <v>2398</v>
      </c>
      <c r="K82" s="202">
        <v>0</v>
      </c>
      <c r="L82" s="202" t="s">
        <v>1281</v>
      </c>
      <c r="M82" s="202">
        <v>0</v>
      </c>
      <c r="N82" s="202">
        <v>11</v>
      </c>
      <c r="O82" s="202">
        <v>26</v>
      </c>
      <c r="P82" s="202">
        <v>1</v>
      </c>
      <c r="Q82" s="202">
        <v>2</v>
      </c>
      <c r="R82" s="202">
        <v>7</v>
      </c>
      <c r="S82" s="202">
        <v>1</v>
      </c>
      <c r="T82" s="202">
        <v>2</v>
      </c>
      <c r="U82" s="202">
        <v>2</v>
      </c>
      <c r="V82" s="202">
        <v>2</v>
      </c>
      <c r="W82" s="202">
        <v>2</v>
      </c>
      <c r="X82" s="202">
        <v>2</v>
      </c>
      <c r="Y82" s="202">
        <v>2</v>
      </c>
      <c r="Z82" s="202">
        <v>3</v>
      </c>
      <c r="AA82" s="202">
        <v>0</v>
      </c>
      <c r="AB82" s="202">
        <v>0</v>
      </c>
      <c r="AC82" s="202">
        <v>0</v>
      </c>
      <c r="AD82" s="202">
        <v>0</v>
      </c>
      <c r="AE82" s="202">
        <v>0</v>
      </c>
      <c r="AF82" s="202">
        <v>0</v>
      </c>
      <c r="AG82" s="202">
        <v>0</v>
      </c>
      <c r="AH82" s="202">
        <v>0</v>
      </c>
      <c r="AI82" s="202">
        <v>0</v>
      </c>
      <c r="AJ82" s="202">
        <v>0</v>
      </c>
      <c r="AK82" s="202">
        <v>0</v>
      </c>
      <c r="AL82" s="202">
        <v>0</v>
      </c>
      <c r="AM82" s="202">
        <v>0</v>
      </c>
      <c r="AN82" s="202">
        <v>0</v>
      </c>
      <c r="AO82" s="202">
        <v>0</v>
      </c>
      <c r="AP82" s="202">
        <v>0</v>
      </c>
      <c r="AQ82" s="202" t="s">
        <v>2012</v>
      </c>
      <c r="AR82" s="202" t="s">
        <v>2012</v>
      </c>
      <c r="AS82" s="202">
        <v>0</v>
      </c>
      <c r="AT82" s="202">
        <v>4</v>
      </c>
      <c r="AU82" s="202">
        <v>0</v>
      </c>
      <c r="AV82" s="202">
        <v>0.8</v>
      </c>
      <c r="AX82" s="204"/>
      <c r="AY82" s="202">
        <v>80</v>
      </c>
    </row>
    <row r="83" spans="1:51">
      <c r="A83" s="202" t="str">
        <f t="shared" si="7"/>
        <v>王贵元</v>
      </c>
      <c r="B83" s="202">
        <f>IF(C83&lt;&gt;"NA",C83,VLOOKUP(K83,Update_from_YIFIP!$X$2:$AD$174,7,FALSE))</f>
        <v>33</v>
      </c>
      <c r="C83" s="207">
        <f t="shared" si="4"/>
        <v>33</v>
      </c>
      <c r="D83" s="207">
        <f t="shared" si="5"/>
        <v>33</v>
      </c>
      <c r="E83" s="202" t="s">
        <v>2126</v>
      </c>
      <c r="F83" s="202" t="s">
        <v>2378</v>
      </c>
      <c r="G83" s="202" t="s">
        <v>2379</v>
      </c>
      <c r="H83" s="207" t="str">
        <f t="shared" si="6"/>
        <v>NA</v>
      </c>
      <c r="I83" s="202" t="s">
        <v>1929</v>
      </c>
      <c r="J83" s="202" t="s">
        <v>2377</v>
      </c>
      <c r="K83" s="202">
        <v>0</v>
      </c>
      <c r="L83" s="202" t="s">
        <v>1264</v>
      </c>
      <c r="M83" s="202">
        <v>7</v>
      </c>
      <c r="N83" s="202">
        <v>0</v>
      </c>
      <c r="O83" s="202">
        <v>40</v>
      </c>
      <c r="P83" s="202">
        <v>4</v>
      </c>
      <c r="Q83" s="202">
        <v>5</v>
      </c>
      <c r="R83" s="202">
        <v>5</v>
      </c>
      <c r="S83" s="202">
        <v>6</v>
      </c>
      <c r="T83" s="202">
        <v>6</v>
      </c>
      <c r="U83" s="202">
        <v>7</v>
      </c>
      <c r="V83" s="202">
        <v>7</v>
      </c>
      <c r="W83" s="202">
        <v>0</v>
      </c>
      <c r="X83" s="202">
        <v>0</v>
      </c>
      <c r="Y83" s="202">
        <v>0</v>
      </c>
      <c r="Z83" s="202">
        <v>0</v>
      </c>
      <c r="AA83" s="202">
        <v>0</v>
      </c>
      <c r="AB83" s="202">
        <v>0</v>
      </c>
      <c r="AC83" s="202">
        <v>0</v>
      </c>
      <c r="AD83" s="202">
        <v>0</v>
      </c>
      <c r="AE83" s="202">
        <v>0</v>
      </c>
      <c r="AF83" s="202">
        <v>0</v>
      </c>
      <c r="AG83" s="202">
        <v>0</v>
      </c>
      <c r="AH83" s="202">
        <v>0</v>
      </c>
      <c r="AI83" s="202">
        <v>0</v>
      </c>
      <c r="AJ83" s="202">
        <v>0</v>
      </c>
      <c r="AK83" s="202">
        <v>0</v>
      </c>
      <c r="AL83" s="202">
        <v>0</v>
      </c>
      <c r="AM83" s="202">
        <v>0</v>
      </c>
      <c r="AN83" s="202">
        <v>0</v>
      </c>
      <c r="AO83" s="202">
        <v>0</v>
      </c>
      <c r="AP83" s="202">
        <v>0</v>
      </c>
      <c r="AQ83" s="202" t="s">
        <v>2004</v>
      </c>
      <c r="AR83" s="202" t="s">
        <v>2004</v>
      </c>
      <c r="AS83" s="202">
        <v>0</v>
      </c>
      <c r="AT83" s="202">
        <v>5</v>
      </c>
      <c r="AU83" s="202">
        <v>0</v>
      </c>
      <c r="AV83" s="202">
        <v>1</v>
      </c>
      <c r="AX83" s="202" t="s">
        <v>2043</v>
      </c>
      <c r="AY83" s="202">
        <v>81</v>
      </c>
    </row>
    <row r="84" spans="1:51">
      <c r="A84" s="202" t="str">
        <f t="shared" si="7"/>
        <v>王贵元</v>
      </c>
      <c r="B84" s="202">
        <f>IF(C84&lt;&gt;"NA",C84,VLOOKUP(K84,Update_from_YIFIP!$X$2:$AD$174,7,FALSE))</f>
        <v>33</v>
      </c>
      <c r="C84" s="207">
        <f t="shared" si="4"/>
        <v>33</v>
      </c>
      <c r="D84" s="207">
        <f t="shared" si="5"/>
        <v>33</v>
      </c>
      <c r="E84" s="202" t="s">
        <v>2126</v>
      </c>
      <c r="F84" s="202" t="s">
        <v>2378</v>
      </c>
      <c r="G84" s="202" t="s">
        <v>2379</v>
      </c>
      <c r="H84" s="207" t="str">
        <f t="shared" si="6"/>
        <v>NA</v>
      </c>
      <c r="I84" s="202" t="s">
        <v>1929</v>
      </c>
      <c r="J84" s="202" t="s">
        <v>2377</v>
      </c>
      <c r="K84" s="202">
        <v>0</v>
      </c>
      <c r="L84" s="202" t="s">
        <v>1265</v>
      </c>
      <c r="M84" s="202">
        <v>0</v>
      </c>
      <c r="N84" s="202">
        <v>11</v>
      </c>
      <c r="O84" s="202">
        <v>26</v>
      </c>
      <c r="P84" s="202">
        <v>1</v>
      </c>
      <c r="Q84" s="202">
        <v>1</v>
      </c>
      <c r="R84" s="202">
        <v>1</v>
      </c>
      <c r="S84" s="202">
        <v>2</v>
      </c>
      <c r="T84" s="202">
        <v>2</v>
      </c>
      <c r="U84" s="202">
        <v>2</v>
      </c>
      <c r="V84" s="202">
        <v>3</v>
      </c>
      <c r="W84" s="202">
        <v>3</v>
      </c>
      <c r="X84" s="202">
        <v>3</v>
      </c>
      <c r="Y84" s="202">
        <v>4</v>
      </c>
      <c r="Z84" s="202">
        <v>4</v>
      </c>
      <c r="AA84" s="202">
        <v>0</v>
      </c>
      <c r="AB84" s="202">
        <v>0</v>
      </c>
      <c r="AC84" s="202">
        <v>0</v>
      </c>
      <c r="AD84" s="202">
        <v>0</v>
      </c>
      <c r="AE84" s="202">
        <v>0</v>
      </c>
      <c r="AF84" s="202">
        <v>0</v>
      </c>
      <c r="AG84" s="202">
        <v>0</v>
      </c>
      <c r="AH84" s="202">
        <v>0</v>
      </c>
      <c r="AI84" s="202">
        <v>0</v>
      </c>
      <c r="AJ84" s="202">
        <v>0</v>
      </c>
      <c r="AK84" s="202">
        <v>0</v>
      </c>
      <c r="AL84" s="202">
        <v>0</v>
      </c>
      <c r="AM84" s="202">
        <v>0</v>
      </c>
      <c r="AN84" s="202">
        <v>0</v>
      </c>
      <c r="AO84" s="202">
        <v>0</v>
      </c>
      <c r="AP84" s="202">
        <v>0</v>
      </c>
      <c r="AQ84" s="202" t="s">
        <v>2004</v>
      </c>
      <c r="AR84" s="202" t="s">
        <v>2004</v>
      </c>
      <c r="AS84" s="202">
        <v>0</v>
      </c>
      <c r="AT84" s="202">
        <v>5</v>
      </c>
      <c r="AU84" s="202">
        <v>0</v>
      </c>
      <c r="AV84" s="202">
        <v>1</v>
      </c>
      <c r="AX84" s="202" t="s">
        <v>2063</v>
      </c>
      <c r="AY84" s="202">
        <v>82</v>
      </c>
    </row>
    <row r="85" spans="1:51">
      <c r="A85" s="202" t="str">
        <f t="shared" si="7"/>
        <v>王贵元</v>
      </c>
      <c r="B85" s="202">
        <f>IF(C85&lt;&gt;"NA",C85,VLOOKUP(K85,Update_from_YIFIP!$X$2:$AD$174,7,FALSE))</f>
        <v>33</v>
      </c>
      <c r="C85" s="207">
        <f t="shared" si="4"/>
        <v>33</v>
      </c>
      <c r="D85" s="207">
        <f t="shared" si="5"/>
        <v>33</v>
      </c>
      <c r="E85" s="202" t="s">
        <v>2126</v>
      </c>
      <c r="F85" s="202" t="s">
        <v>2378</v>
      </c>
      <c r="G85" s="202" t="s">
        <v>2379</v>
      </c>
      <c r="H85" s="207" t="str">
        <f t="shared" si="6"/>
        <v>NA</v>
      </c>
      <c r="I85" s="202" t="s">
        <v>1929</v>
      </c>
      <c r="J85" s="202" t="s">
        <v>2377</v>
      </c>
      <c r="K85" s="202">
        <v>0</v>
      </c>
      <c r="L85" s="202" t="s">
        <v>1266</v>
      </c>
      <c r="M85" s="202">
        <v>20</v>
      </c>
      <c r="N85" s="202">
        <v>0</v>
      </c>
      <c r="O85" s="202">
        <v>69</v>
      </c>
      <c r="P85" s="202">
        <v>1</v>
      </c>
      <c r="Q85" s="202">
        <v>1</v>
      </c>
      <c r="R85" s="202">
        <v>1</v>
      </c>
      <c r="S85" s="202">
        <v>1</v>
      </c>
      <c r="T85" s="202">
        <v>2</v>
      </c>
      <c r="U85" s="202">
        <v>2</v>
      </c>
      <c r="V85" s="202">
        <v>3</v>
      </c>
      <c r="W85" s="202">
        <v>3</v>
      </c>
      <c r="X85" s="202">
        <v>3</v>
      </c>
      <c r="Y85" s="202">
        <v>4</v>
      </c>
      <c r="Z85" s="202">
        <v>4</v>
      </c>
      <c r="AA85" s="202">
        <v>4</v>
      </c>
      <c r="AB85" s="202">
        <v>4</v>
      </c>
      <c r="AC85" s="202">
        <v>4</v>
      </c>
      <c r="AD85" s="202">
        <v>5</v>
      </c>
      <c r="AE85" s="202">
        <v>5</v>
      </c>
      <c r="AF85" s="202">
        <v>5</v>
      </c>
      <c r="AG85" s="202">
        <v>5</v>
      </c>
      <c r="AH85" s="202">
        <v>6</v>
      </c>
      <c r="AI85" s="202">
        <v>6</v>
      </c>
      <c r="AJ85" s="202">
        <v>0</v>
      </c>
      <c r="AK85" s="202">
        <v>0</v>
      </c>
      <c r="AL85" s="202">
        <v>0</v>
      </c>
      <c r="AM85" s="202">
        <v>0</v>
      </c>
      <c r="AN85" s="202">
        <v>0</v>
      </c>
      <c r="AO85" s="202">
        <v>0</v>
      </c>
      <c r="AP85" s="202">
        <v>0</v>
      </c>
      <c r="AQ85" s="202" t="s">
        <v>2005</v>
      </c>
      <c r="AR85" s="202" t="s">
        <v>2005</v>
      </c>
      <c r="AS85" s="202">
        <v>0</v>
      </c>
      <c r="AT85" s="202">
        <v>12.5</v>
      </c>
      <c r="AU85" s="202">
        <v>0</v>
      </c>
      <c r="AV85" s="202">
        <v>2.5</v>
      </c>
      <c r="AX85" s="202" t="s">
        <v>2102</v>
      </c>
      <c r="AY85" s="202">
        <v>83</v>
      </c>
    </row>
    <row r="86" spans="1:51">
      <c r="A86" s="202" t="str">
        <f t="shared" si="7"/>
        <v>李贵华&amp;李富全</v>
      </c>
      <c r="B86" s="202">
        <f>IF(C86&lt;&gt;"NA",C86,VLOOKUP(K86,Update_from_YIFIP!$X$2:$AD$174,7,FALSE))</f>
        <v>35</v>
      </c>
      <c r="C86" s="207">
        <f t="shared" si="4"/>
        <v>35</v>
      </c>
      <c r="D86" s="207">
        <f t="shared" si="5"/>
        <v>35</v>
      </c>
      <c r="E86" s="202" t="s">
        <v>2058</v>
      </c>
      <c r="F86" s="202" t="s">
        <v>2420</v>
      </c>
      <c r="G86" s="202" t="s">
        <v>2421</v>
      </c>
      <c r="H86" s="207" t="str">
        <f t="shared" si="6"/>
        <v>NA</v>
      </c>
      <c r="I86" s="202" t="s">
        <v>3174</v>
      </c>
      <c r="J86" s="202" t="s">
        <v>2233</v>
      </c>
      <c r="K86" s="202" t="s">
        <v>2419</v>
      </c>
      <c r="L86" s="202" t="s">
        <v>1290</v>
      </c>
      <c r="M86" s="202">
        <v>10</v>
      </c>
      <c r="N86" s="202">
        <v>0</v>
      </c>
      <c r="O86" s="202">
        <v>43</v>
      </c>
      <c r="P86" s="202">
        <v>3</v>
      </c>
      <c r="Q86" s="202">
        <v>3</v>
      </c>
      <c r="R86" s="202">
        <v>3</v>
      </c>
      <c r="S86" s="202">
        <v>3</v>
      </c>
      <c r="T86" s="202">
        <v>4</v>
      </c>
      <c r="U86" s="202">
        <v>4</v>
      </c>
      <c r="V86" s="202">
        <v>4</v>
      </c>
      <c r="W86" s="202">
        <v>6</v>
      </c>
      <c r="X86" s="202">
        <v>6</v>
      </c>
      <c r="Y86" s="202">
        <v>7</v>
      </c>
      <c r="Z86" s="202">
        <v>0</v>
      </c>
      <c r="AA86" s="202">
        <v>0</v>
      </c>
      <c r="AB86" s="202">
        <v>0</v>
      </c>
      <c r="AC86" s="202">
        <v>0</v>
      </c>
      <c r="AD86" s="202">
        <v>0</v>
      </c>
      <c r="AE86" s="202">
        <v>0</v>
      </c>
      <c r="AF86" s="202">
        <v>0</v>
      </c>
      <c r="AG86" s="202">
        <v>0</v>
      </c>
      <c r="AH86" s="202">
        <v>0</v>
      </c>
      <c r="AI86" s="202">
        <v>0</v>
      </c>
      <c r="AJ86" s="202">
        <v>0</v>
      </c>
      <c r="AK86" s="202">
        <v>0</v>
      </c>
      <c r="AL86" s="202">
        <v>0</v>
      </c>
      <c r="AM86" s="202">
        <v>0</v>
      </c>
      <c r="AN86" s="202">
        <v>0</v>
      </c>
      <c r="AO86" s="202">
        <v>0</v>
      </c>
      <c r="AP86" s="202">
        <v>0</v>
      </c>
      <c r="AQ86" s="202" t="s">
        <v>1958</v>
      </c>
      <c r="AR86" s="202" t="s">
        <v>1958</v>
      </c>
      <c r="AS86" s="202">
        <v>0</v>
      </c>
      <c r="AT86" s="202">
        <v>10</v>
      </c>
      <c r="AU86" s="202">
        <v>0</v>
      </c>
      <c r="AV86" s="202">
        <v>2</v>
      </c>
      <c r="AX86" s="202" t="s">
        <v>2135</v>
      </c>
      <c r="AY86" s="202">
        <v>84</v>
      </c>
    </row>
    <row r="87" spans="1:51">
      <c r="A87" s="202" t="str">
        <f t="shared" si="7"/>
        <v>李贵华&amp;李富全</v>
      </c>
      <c r="B87" s="202">
        <f>IF(C87&lt;&gt;"NA",C87,VLOOKUP(K87,Update_from_YIFIP!$X$2:$AD$174,7,FALSE))</f>
        <v>35</v>
      </c>
      <c r="C87" s="207">
        <f t="shared" si="4"/>
        <v>35</v>
      </c>
      <c r="D87" s="207">
        <f t="shared" si="5"/>
        <v>35</v>
      </c>
      <c r="E87" s="202" t="s">
        <v>2058</v>
      </c>
      <c r="F87" s="202" t="s">
        <v>2420</v>
      </c>
      <c r="G87" s="202" t="s">
        <v>2421</v>
      </c>
      <c r="H87" s="207" t="str">
        <f t="shared" si="6"/>
        <v>NA</v>
      </c>
      <c r="I87" s="202" t="s">
        <v>3174</v>
      </c>
      <c r="J87" s="202" t="s">
        <v>2233</v>
      </c>
      <c r="K87" s="202" t="s">
        <v>2422</v>
      </c>
      <c r="L87" s="202" t="s">
        <v>1291</v>
      </c>
      <c r="M87" s="202">
        <v>10</v>
      </c>
      <c r="N87" s="202">
        <v>0</v>
      </c>
      <c r="O87" s="202">
        <v>38</v>
      </c>
      <c r="P87" s="202">
        <v>3</v>
      </c>
      <c r="Q87" s="202">
        <v>3</v>
      </c>
      <c r="R87" s="202">
        <v>3</v>
      </c>
      <c r="S87" s="202">
        <v>4</v>
      </c>
      <c r="T87" s="202">
        <v>4</v>
      </c>
      <c r="U87" s="202">
        <v>4</v>
      </c>
      <c r="V87" s="202">
        <v>4</v>
      </c>
      <c r="W87" s="202">
        <v>4</v>
      </c>
      <c r="X87" s="202">
        <v>4</v>
      </c>
      <c r="Y87" s="202">
        <v>5</v>
      </c>
      <c r="Z87" s="202">
        <v>0</v>
      </c>
      <c r="AA87" s="202">
        <v>0</v>
      </c>
      <c r="AB87" s="202">
        <v>0</v>
      </c>
      <c r="AC87" s="202">
        <v>0</v>
      </c>
      <c r="AD87" s="202">
        <v>0</v>
      </c>
      <c r="AE87" s="202">
        <v>0</v>
      </c>
      <c r="AF87" s="202">
        <v>0</v>
      </c>
      <c r="AG87" s="202">
        <v>0</v>
      </c>
      <c r="AH87" s="202">
        <v>0</v>
      </c>
      <c r="AI87" s="202">
        <v>0</v>
      </c>
      <c r="AJ87" s="202">
        <v>0</v>
      </c>
      <c r="AK87" s="202">
        <v>0</v>
      </c>
      <c r="AL87" s="202">
        <v>0</v>
      </c>
      <c r="AM87" s="202">
        <v>0</v>
      </c>
      <c r="AN87" s="202">
        <v>0</v>
      </c>
      <c r="AO87" s="202">
        <v>0</v>
      </c>
      <c r="AP87" s="202">
        <v>0</v>
      </c>
      <c r="AQ87" s="202" t="s">
        <v>1959</v>
      </c>
      <c r="AR87" s="202" t="s">
        <v>1959</v>
      </c>
      <c r="AS87" s="202">
        <v>0</v>
      </c>
      <c r="AT87" s="202">
        <v>7.5</v>
      </c>
      <c r="AU87" s="202">
        <v>0</v>
      </c>
      <c r="AV87" s="202">
        <v>1.5</v>
      </c>
      <c r="AX87" s="202" t="s">
        <v>2090</v>
      </c>
      <c r="AY87" s="202">
        <v>85</v>
      </c>
    </row>
    <row r="88" spans="1:51">
      <c r="A88" s="202" t="str">
        <f t="shared" si="7"/>
        <v>李贵华&amp;李富全</v>
      </c>
      <c r="B88" s="202">
        <f>IF(C88&lt;&gt;"NA",C88,VLOOKUP(K88,Update_from_YIFIP!$X$2:$AD$174,7,FALSE))</f>
        <v>35</v>
      </c>
      <c r="C88" s="207">
        <f t="shared" si="4"/>
        <v>35</v>
      </c>
      <c r="D88" s="207">
        <f t="shared" si="5"/>
        <v>35</v>
      </c>
      <c r="E88" s="202" t="s">
        <v>2058</v>
      </c>
      <c r="F88" s="202" t="s">
        <v>2420</v>
      </c>
      <c r="G88" s="202" t="s">
        <v>2421</v>
      </c>
      <c r="H88" s="207" t="str">
        <f t="shared" si="6"/>
        <v>NA</v>
      </c>
      <c r="I88" s="202" t="s">
        <v>3174</v>
      </c>
      <c r="J88" s="202" t="s">
        <v>2233</v>
      </c>
      <c r="K88" s="202" t="s">
        <v>2423</v>
      </c>
      <c r="L88" s="202" t="s">
        <v>1292</v>
      </c>
      <c r="M88" s="202">
        <v>10</v>
      </c>
      <c r="N88" s="202">
        <v>0</v>
      </c>
      <c r="O88" s="202">
        <v>47</v>
      </c>
      <c r="P88" s="202">
        <v>3</v>
      </c>
      <c r="Q88" s="202">
        <v>4</v>
      </c>
      <c r="R88" s="202">
        <v>4</v>
      </c>
      <c r="S88" s="202">
        <v>4</v>
      </c>
      <c r="T88" s="202">
        <v>4</v>
      </c>
      <c r="U88" s="202">
        <v>4</v>
      </c>
      <c r="V88" s="202">
        <v>5</v>
      </c>
      <c r="W88" s="202">
        <v>6</v>
      </c>
      <c r="X88" s="202">
        <v>6</v>
      </c>
      <c r="Y88" s="202">
        <v>7</v>
      </c>
      <c r="Z88" s="202">
        <v>0</v>
      </c>
      <c r="AA88" s="202">
        <v>0</v>
      </c>
      <c r="AB88" s="202">
        <v>0</v>
      </c>
      <c r="AC88" s="202">
        <v>0</v>
      </c>
      <c r="AD88" s="202">
        <v>0</v>
      </c>
      <c r="AE88" s="202">
        <v>0</v>
      </c>
      <c r="AF88" s="202">
        <v>0</v>
      </c>
      <c r="AG88" s="202">
        <v>0</v>
      </c>
      <c r="AH88" s="202">
        <v>0</v>
      </c>
      <c r="AI88" s="202">
        <v>0</v>
      </c>
      <c r="AJ88" s="202">
        <v>0</v>
      </c>
      <c r="AK88" s="202">
        <v>0</v>
      </c>
      <c r="AL88" s="202">
        <v>0</v>
      </c>
      <c r="AM88" s="202">
        <v>0</v>
      </c>
      <c r="AN88" s="202">
        <v>0</v>
      </c>
      <c r="AO88" s="202">
        <v>0</v>
      </c>
      <c r="AP88" s="202">
        <v>0</v>
      </c>
      <c r="AQ88" s="202" t="s">
        <v>1960</v>
      </c>
      <c r="AR88" s="202" t="s">
        <v>1960</v>
      </c>
      <c r="AS88" s="202">
        <v>0</v>
      </c>
      <c r="AT88" s="202">
        <v>7.5</v>
      </c>
      <c r="AU88" s="202">
        <v>0</v>
      </c>
      <c r="AV88" s="202">
        <v>1.5</v>
      </c>
      <c r="AX88" s="202" t="s">
        <v>2114</v>
      </c>
      <c r="AY88" s="202">
        <v>86</v>
      </c>
    </row>
    <row r="89" spans="1:51">
      <c r="A89" s="202" t="str">
        <f t="shared" si="7"/>
        <v>李贵华&amp;李富全</v>
      </c>
      <c r="B89" s="202">
        <f>IF(C89&lt;&gt;"NA",C89,VLOOKUP(K89,Update_from_YIFIP!$X$2:$AD$174,7,FALSE))</f>
        <v>35</v>
      </c>
      <c r="C89" s="207">
        <f t="shared" si="4"/>
        <v>35</v>
      </c>
      <c r="D89" s="207">
        <f t="shared" si="5"/>
        <v>35</v>
      </c>
      <c r="E89" s="202" t="s">
        <v>2058</v>
      </c>
      <c r="F89" s="202" t="s">
        <v>2420</v>
      </c>
      <c r="G89" s="202" t="s">
        <v>2421</v>
      </c>
      <c r="H89" s="207" t="str">
        <f t="shared" si="6"/>
        <v>NA</v>
      </c>
      <c r="I89" s="202" t="s">
        <v>3174</v>
      </c>
      <c r="J89" s="202" t="s">
        <v>2233</v>
      </c>
      <c r="K89" s="202" t="s">
        <v>2424</v>
      </c>
      <c r="L89" s="202" t="s">
        <v>1293</v>
      </c>
      <c r="M89" s="202">
        <v>7</v>
      </c>
      <c r="N89" s="202">
        <v>0</v>
      </c>
      <c r="O89" s="202">
        <v>27</v>
      </c>
      <c r="P89" s="202">
        <v>3</v>
      </c>
      <c r="Q89" s="202">
        <v>3</v>
      </c>
      <c r="R89" s="202">
        <v>3</v>
      </c>
      <c r="S89" s="202">
        <v>4</v>
      </c>
      <c r="T89" s="202">
        <v>4</v>
      </c>
      <c r="U89" s="202">
        <v>4</v>
      </c>
      <c r="V89" s="202">
        <v>6</v>
      </c>
      <c r="W89" s="202">
        <v>0</v>
      </c>
      <c r="X89" s="202">
        <v>0</v>
      </c>
      <c r="Y89" s="202">
        <v>0</v>
      </c>
      <c r="Z89" s="202">
        <v>0</v>
      </c>
      <c r="AA89" s="202">
        <v>0</v>
      </c>
      <c r="AB89" s="202">
        <v>0</v>
      </c>
      <c r="AC89" s="202">
        <v>0</v>
      </c>
      <c r="AD89" s="202">
        <v>0</v>
      </c>
      <c r="AE89" s="202">
        <v>0</v>
      </c>
      <c r="AF89" s="202">
        <v>0</v>
      </c>
      <c r="AG89" s="202">
        <v>0</v>
      </c>
      <c r="AH89" s="202">
        <v>0</v>
      </c>
      <c r="AI89" s="202">
        <v>0</v>
      </c>
      <c r="AJ89" s="202">
        <v>0</v>
      </c>
      <c r="AK89" s="202">
        <v>0</v>
      </c>
      <c r="AL89" s="202">
        <v>0</v>
      </c>
      <c r="AM89" s="202">
        <v>0</v>
      </c>
      <c r="AN89" s="202">
        <v>0</v>
      </c>
      <c r="AO89" s="202">
        <v>0</v>
      </c>
      <c r="AP89" s="202">
        <v>0</v>
      </c>
      <c r="AQ89" s="202" t="s">
        <v>1961</v>
      </c>
      <c r="AR89" s="202" t="s">
        <v>1961</v>
      </c>
      <c r="AS89" s="202">
        <v>0</v>
      </c>
      <c r="AT89" s="202">
        <v>6</v>
      </c>
      <c r="AU89" s="202">
        <v>0</v>
      </c>
      <c r="AV89" s="202">
        <v>1.2</v>
      </c>
      <c r="AX89" s="202" t="s">
        <v>2128</v>
      </c>
      <c r="AY89" s="202">
        <v>87</v>
      </c>
    </row>
    <row r="90" spans="1:51">
      <c r="A90" s="202" t="str">
        <f t="shared" si="7"/>
        <v>李贵华&amp;李富全</v>
      </c>
      <c r="B90" s="202">
        <f>IF(C90&lt;&gt;"NA",C90,VLOOKUP(K90,Update_from_YIFIP!$X$2:$AD$174,7,FALSE))</f>
        <v>35</v>
      </c>
      <c r="C90" s="207">
        <f t="shared" si="4"/>
        <v>35</v>
      </c>
      <c r="D90" s="207">
        <f t="shared" si="5"/>
        <v>35</v>
      </c>
      <c r="E90" s="202" t="s">
        <v>2058</v>
      </c>
      <c r="F90" s="202" t="s">
        <v>2420</v>
      </c>
      <c r="G90" s="202" t="s">
        <v>2421</v>
      </c>
      <c r="H90" s="207" t="str">
        <f t="shared" si="6"/>
        <v>NA</v>
      </c>
      <c r="I90" s="202" t="s">
        <v>3174</v>
      </c>
      <c r="J90" s="202" t="s">
        <v>2233</v>
      </c>
      <c r="K90" s="202" t="s">
        <v>2425</v>
      </c>
      <c r="L90" s="202" t="s">
        <v>1294</v>
      </c>
      <c r="M90" s="202">
        <v>0</v>
      </c>
      <c r="N90" s="202">
        <v>16</v>
      </c>
      <c r="O90" s="202">
        <v>43</v>
      </c>
      <c r="P90" s="202">
        <v>1</v>
      </c>
      <c r="Q90" s="202">
        <v>1</v>
      </c>
      <c r="R90" s="202">
        <v>1</v>
      </c>
      <c r="S90" s="202">
        <v>1</v>
      </c>
      <c r="T90" s="202">
        <v>2</v>
      </c>
      <c r="U90" s="202">
        <v>2</v>
      </c>
      <c r="V90" s="202">
        <v>2</v>
      </c>
      <c r="W90" s="202">
        <v>2</v>
      </c>
      <c r="X90" s="202">
        <v>3</v>
      </c>
      <c r="Y90" s="202">
        <v>3</v>
      </c>
      <c r="Z90" s="202">
        <v>4</v>
      </c>
      <c r="AA90" s="202">
        <v>4</v>
      </c>
      <c r="AB90" s="202">
        <v>4</v>
      </c>
      <c r="AC90" s="202">
        <v>4</v>
      </c>
      <c r="AD90" s="202">
        <v>4</v>
      </c>
      <c r="AE90" s="202">
        <v>5</v>
      </c>
      <c r="AF90" s="202">
        <v>0</v>
      </c>
      <c r="AG90" s="202">
        <v>0</v>
      </c>
      <c r="AH90" s="202">
        <v>0</v>
      </c>
      <c r="AI90" s="202">
        <v>0</v>
      </c>
      <c r="AJ90" s="202">
        <v>0</v>
      </c>
      <c r="AK90" s="202">
        <v>0</v>
      </c>
      <c r="AL90" s="202">
        <v>0</v>
      </c>
      <c r="AM90" s="202">
        <v>0</v>
      </c>
      <c r="AN90" s="202">
        <v>0</v>
      </c>
      <c r="AO90" s="202">
        <v>0</v>
      </c>
      <c r="AP90" s="202">
        <v>0</v>
      </c>
      <c r="AQ90" s="202" t="s">
        <v>1962</v>
      </c>
      <c r="AR90" s="202" t="s">
        <v>1962</v>
      </c>
      <c r="AS90" s="202">
        <v>0</v>
      </c>
      <c r="AT90" s="202">
        <v>10</v>
      </c>
      <c r="AU90" s="202">
        <v>0</v>
      </c>
      <c r="AV90" s="202">
        <v>2</v>
      </c>
      <c r="AX90" s="202" t="s">
        <v>2111</v>
      </c>
      <c r="AY90" s="202">
        <v>88</v>
      </c>
    </row>
    <row r="91" spans="1:51">
      <c r="A91" s="202" t="str">
        <f t="shared" si="7"/>
        <v>茶建成</v>
      </c>
      <c r="B91" s="202">
        <f>IF(C91&lt;&gt;"NA",C91,VLOOKUP(K91,Update_from_YIFIP!$X$2:$AD$174,7,FALSE))</f>
        <v>37</v>
      </c>
      <c r="C91" s="207">
        <f t="shared" si="4"/>
        <v>37</v>
      </c>
      <c r="D91" s="207">
        <f t="shared" si="5"/>
        <v>37</v>
      </c>
      <c r="E91" s="202" t="s">
        <v>2029</v>
      </c>
      <c r="F91" s="202" t="s">
        <v>2991</v>
      </c>
      <c r="G91" s="202" t="s">
        <v>2992</v>
      </c>
      <c r="H91" s="207" t="str">
        <f t="shared" si="6"/>
        <v>NA</v>
      </c>
      <c r="I91" s="202" t="s">
        <v>1929</v>
      </c>
      <c r="J91" s="202" t="s">
        <v>924</v>
      </c>
      <c r="K91" s="202" t="s">
        <v>2990</v>
      </c>
      <c r="L91" s="202" t="s">
        <v>1753</v>
      </c>
      <c r="M91" s="202">
        <v>0</v>
      </c>
      <c r="N91" s="202">
        <v>8</v>
      </c>
      <c r="O91" s="202">
        <v>22</v>
      </c>
      <c r="P91" s="202">
        <v>2</v>
      </c>
      <c r="Q91" s="202">
        <v>2</v>
      </c>
      <c r="R91" s="202">
        <v>3</v>
      </c>
      <c r="S91" s="202">
        <v>3</v>
      </c>
      <c r="T91" s="202">
        <v>3</v>
      </c>
      <c r="U91" s="202">
        <v>3</v>
      </c>
      <c r="V91" s="202">
        <v>3</v>
      </c>
      <c r="W91" s="202">
        <v>3</v>
      </c>
      <c r="X91" s="202">
        <v>0</v>
      </c>
      <c r="Y91" s="202">
        <v>0</v>
      </c>
      <c r="Z91" s="202">
        <v>0</v>
      </c>
      <c r="AA91" s="202">
        <v>0</v>
      </c>
      <c r="AB91" s="202">
        <v>0</v>
      </c>
      <c r="AC91" s="202">
        <v>0</v>
      </c>
      <c r="AD91" s="202">
        <v>0</v>
      </c>
      <c r="AE91" s="202">
        <v>0</v>
      </c>
      <c r="AF91" s="202">
        <v>0</v>
      </c>
      <c r="AG91" s="202">
        <v>0</v>
      </c>
      <c r="AH91" s="202">
        <v>0</v>
      </c>
      <c r="AI91" s="202">
        <v>0</v>
      </c>
      <c r="AJ91" s="202">
        <v>0</v>
      </c>
      <c r="AK91" s="202">
        <v>0</v>
      </c>
      <c r="AL91" s="202">
        <v>0</v>
      </c>
      <c r="AM91" s="202">
        <v>0</v>
      </c>
      <c r="AN91" s="202">
        <v>0</v>
      </c>
      <c r="AO91" s="202">
        <v>0</v>
      </c>
      <c r="AP91" s="202">
        <v>0</v>
      </c>
      <c r="AQ91" s="202" t="s">
        <v>2491</v>
      </c>
      <c r="AR91" s="202">
        <v>0</v>
      </c>
      <c r="AS91" s="202">
        <v>0</v>
      </c>
      <c r="AT91" s="202" t="s">
        <v>2985</v>
      </c>
      <c r="AU91" s="202" t="s">
        <v>2319</v>
      </c>
      <c r="AV91" s="202" t="s">
        <v>1929</v>
      </c>
      <c r="AX91" s="202" t="s">
        <v>2110</v>
      </c>
      <c r="AY91" s="202">
        <v>89</v>
      </c>
    </row>
    <row r="92" spans="1:51">
      <c r="A92" s="202" t="str">
        <f t="shared" si="7"/>
        <v>茶建成</v>
      </c>
      <c r="B92" s="202">
        <f>IF(C92&lt;&gt;"NA",C92,VLOOKUP(K92,Update_from_YIFIP!$X$2:$AD$174,7,FALSE))</f>
        <v>37</v>
      </c>
      <c r="C92" s="207">
        <f t="shared" si="4"/>
        <v>37</v>
      </c>
      <c r="D92" s="207">
        <f t="shared" si="5"/>
        <v>37</v>
      </c>
      <c r="E92" s="202" t="s">
        <v>2029</v>
      </c>
      <c r="F92" s="202" t="s">
        <v>2991</v>
      </c>
      <c r="G92" s="202" t="s">
        <v>2992</v>
      </c>
      <c r="H92" s="207" t="str">
        <f t="shared" si="6"/>
        <v>NA</v>
      </c>
      <c r="I92" s="202" t="s">
        <v>1929</v>
      </c>
      <c r="J92" s="202" t="s">
        <v>924</v>
      </c>
      <c r="K92" s="202" t="s">
        <v>2993</v>
      </c>
      <c r="L92" s="202" t="s">
        <v>1754</v>
      </c>
      <c r="M92" s="202">
        <v>5</v>
      </c>
      <c r="N92" s="202">
        <v>0</v>
      </c>
      <c r="O92" s="202">
        <v>10</v>
      </c>
      <c r="P92" s="202">
        <v>1</v>
      </c>
      <c r="Q92" s="202">
        <v>1</v>
      </c>
      <c r="R92" s="202">
        <v>2</v>
      </c>
      <c r="S92" s="202">
        <v>2</v>
      </c>
      <c r="T92" s="202">
        <v>4</v>
      </c>
      <c r="U92" s="202">
        <v>0</v>
      </c>
      <c r="V92" s="202">
        <v>0</v>
      </c>
      <c r="W92" s="202">
        <v>0</v>
      </c>
      <c r="X92" s="202">
        <v>0</v>
      </c>
      <c r="Y92" s="202">
        <v>0</v>
      </c>
      <c r="Z92" s="202">
        <v>0</v>
      </c>
      <c r="AA92" s="202">
        <v>0</v>
      </c>
      <c r="AB92" s="202">
        <v>0</v>
      </c>
      <c r="AC92" s="202">
        <v>0</v>
      </c>
      <c r="AD92" s="202">
        <v>0</v>
      </c>
      <c r="AE92" s="202">
        <v>0</v>
      </c>
      <c r="AF92" s="202">
        <v>0</v>
      </c>
      <c r="AG92" s="202">
        <v>0</v>
      </c>
      <c r="AH92" s="202">
        <v>0</v>
      </c>
      <c r="AI92" s="202">
        <v>0</v>
      </c>
      <c r="AJ92" s="202">
        <v>0</v>
      </c>
      <c r="AK92" s="202">
        <v>0</v>
      </c>
      <c r="AL92" s="202">
        <v>0</v>
      </c>
      <c r="AM92" s="202">
        <v>0</v>
      </c>
      <c r="AN92" s="202">
        <v>0</v>
      </c>
      <c r="AO92" s="202">
        <v>0</v>
      </c>
      <c r="AP92" s="202">
        <v>0</v>
      </c>
      <c r="AQ92" s="202" t="s">
        <v>2491</v>
      </c>
      <c r="AR92" s="202">
        <v>0</v>
      </c>
      <c r="AS92" s="202">
        <v>0</v>
      </c>
      <c r="AT92" s="202" t="s">
        <v>2985</v>
      </c>
      <c r="AU92" s="202" t="s">
        <v>2319</v>
      </c>
      <c r="AV92" s="202" t="s">
        <v>1929</v>
      </c>
      <c r="AX92" s="202" t="s">
        <v>2155</v>
      </c>
      <c r="AY92" s="202">
        <v>90</v>
      </c>
    </row>
    <row r="93" spans="1:51">
      <c r="A93" s="202" t="str">
        <f t="shared" si="7"/>
        <v>茶建成</v>
      </c>
      <c r="B93" s="202">
        <f>IF(C93&lt;&gt;"NA",C93,VLOOKUP(K93,Update_from_YIFIP!$X$2:$AD$174,7,FALSE))</f>
        <v>37</v>
      </c>
      <c r="C93" s="207">
        <f t="shared" si="4"/>
        <v>37</v>
      </c>
      <c r="D93" s="207">
        <f t="shared" si="5"/>
        <v>37</v>
      </c>
      <c r="E93" s="202" t="s">
        <v>2029</v>
      </c>
      <c r="F93" s="202" t="s">
        <v>2991</v>
      </c>
      <c r="G93" s="202" t="s">
        <v>2992</v>
      </c>
      <c r="H93" s="207" t="str">
        <f t="shared" si="6"/>
        <v>NA</v>
      </c>
      <c r="I93" s="202" t="s">
        <v>1929</v>
      </c>
      <c r="J93" s="202" t="s">
        <v>924</v>
      </c>
      <c r="K93" s="202" t="s">
        <v>2994</v>
      </c>
      <c r="L93" s="202" t="s">
        <v>1755</v>
      </c>
      <c r="M93" s="202">
        <v>5</v>
      </c>
      <c r="N93" s="202">
        <v>0</v>
      </c>
      <c r="O93" s="202">
        <v>12</v>
      </c>
      <c r="P93" s="202">
        <v>1</v>
      </c>
      <c r="Q93" s="202">
        <v>2</v>
      </c>
      <c r="R93" s="202">
        <v>2</v>
      </c>
      <c r="S93" s="202">
        <v>3</v>
      </c>
      <c r="T93" s="202">
        <v>4</v>
      </c>
      <c r="U93" s="202">
        <v>0</v>
      </c>
      <c r="V93" s="202">
        <v>0</v>
      </c>
      <c r="W93" s="202">
        <v>0</v>
      </c>
      <c r="X93" s="202">
        <v>0</v>
      </c>
      <c r="Y93" s="202">
        <v>0</v>
      </c>
      <c r="Z93" s="202">
        <v>0</v>
      </c>
      <c r="AA93" s="202">
        <v>0</v>
      </c>
      <c r="AB93" s="202">
        <v>0</v>
      </c>
      <c r="AC93" s="202">
        <v>0</v>
      </c>
      <c r="AD93" s="202">
        <v>0</v>
      </c>
      <c r="AE93" s="202">
        <v>0</v>
      </c>
      <c r="AF93" s="202">
        <v>0</v>
      </c>
      <c r="AG93" s="202">
        <v>0</v>
      </c>
      <c r="AH93" s="202">
        <v>0</v>
      </c>
      <c r="AI93" s="202">
        <v>0</v>
      </c>
      <c r="AJ93" s="202">
        <v>0</v>
      </c>
      <c r="AK93" s="202">
        <v>0</v>
      </c>
      <c r="AL93" s="202">
        <v>0</v>
      </c>
      <c r="AM93" s="202">
        <v>0</v>
      </c>
      <c r="AN93" s="202">
        <v>0</v>
      </c>
      <c r="AO93" s="202">
        <v>0</v>
      </c>
      <c r="AP93" s="202">
        <v>0</v>
      </c>
      <c r="AQ93" s="202" t="s">
        <v>2698</v>
      </c>
      <c r="AR93" s="202">
        <v>0</v>
      </c>
      <c r="AS93" s="202">
        <v>0</v>
      </c>
      <c r="AT93" s="202" t="s">
        <v>2952</v>
      </c>
      <c r="AU93" s="202">
        <v>0</v>
      </c>
      <c r="AV93" s="202" t="s">
        <v>1929</v>
      </c>
      <c r="AX93" s="202" t="s">
        <v>2053</v>
      </c>
      <c r="AY93" s="202">
        <v>91</v>
      </c>
    </row>
    <row r="94" spans="1:51">
      <c r="A94" s="202" t="str">
        <f t="shared" si="7"/>
        <v>茶建成</v>
      </c>
      <c r="B94" s="202">
        <f>IF(C94&lt;&gt;"NA",C94,VLOOKUP(K94,Update_from_YIFIP!$X$2:$AD$174,7,FALSE))</f>
        <v>37</v>
      </c>
      <c r="C94" s="207">
        <f t="shared" si="4"/>
        <v>37</v>
      </c>
      <c r="D94" s="207">
        <f t="shared" si="5"/>
        <v>37</v>
      </c>
      <c r="E94" s="202" t="s">
        <v>2029</v>
      </c>
      <c r="F94" s="202" t="s">
        <v>2991</v>
      </c>
      <c r="G94" s="202" t="s">
        <v>2992</v>
      </c>
      <c r="H94" s="207" t="str">
        <f t="shared" si="6"/>
        <v>NA</v>
      </c>
      <c r="I94" s="202" t="s">
        <v>1929</v>
      </c>
      <c r="J94" s="202" t="s">
        <v>924</v>
      </c>
      <c r="K94" s="202" t="s">
        <v>2996</v>
      </c>
      <c r="L94" s="202" t="s">
        <v>1756</v>
      </c>
      <c r="M94" s="202">
        <v>5</v>
      </c>
      <c r="N94" s="202">
        <v>0</v>
      </c>
      <c r="O94" s="202">
        <v>9</v>
      </c>
      <c r="P94" s="202">
        <v>1</v>
      </c>
      <c r="Q94" s="202">
        <v>1</v>
      </c>
      <c r="R94" s="202">
        <v>2</v>
      </c>
      <c r="S94" s="202">
        <v>2</v>
      </c>
      <c r="T94" s="202">
        <v>3</v>
      </c>
      <c r="U94" s="202">
        <v>0</v>
      </c>
      <c r="V94" s="202">
        <v>0</v>
      </c>
      <c r="W94" s="202">
        <v>0</v>
      </c>
      <c r="X94" s="202">
        <v>0</v>
      </c>
      <c r="Y94" s="202">
        <v>0</v>
      </c>
      <c r="Z94" s="202">
        <v>0</v>
      </c>
      <c r="AA94" s="202">
        <v>0</v>
      </c>
      <c r="AB94" s="202">
        <v>0</v>
      </c>
      <c r="AC94" s="202">
        <v>0</v>
      </c>
      <c r="AD94" s="202">
        <v>0</v>
      </c>
      <c r="AE94" s="202">
        <v>0</v>
      </c>
      <c r="AF94" s="202">
        <v>0</v>
      </c>
      <c r="AG94" s="202">
        <v>0</v>
      </c>
      <c r="AH94" s="202">
        <v>0</v>
      </c>
      <c r="AI94" s="202">
        <v>0</v>
      </c>
      <c r="AJ94" s="202">
        <v>0</v>
      </c>
      <c r="AK94" s="202">
        <v>0</v>
      </c>
      <c r="AL94" s="202">
        <v>0</v>
      </c>
      <c r="AM94" s="202">
        <v>0</v>
      </c>
      <c r="AN94" s="202">
        <v>0</v>
      </c>
      <c r="AO94" s="202">
        <v>0</v>
      </c>
      <c r="AP94" s="202">
        <v>0</v>
      </c>
      <c r="AQ94" s="202" t="s">
        <v>2995</v>
      </c>
      <c r="AR94" s="202">
        <v>0</v>
      </c>
      <c r="AS94" s="202">
        <v>0</v>
      </c>
      <c r="AT94" s="202" t="s">
        <v>2985</v>
      </c>
      <c r="AU94" s="202" t="s">
        <v>2319</v>
      </c>
      <c r="AV94" s="202" t="s">
        <v>1929</v>
      </c>
      <c r="AX94" s="202" t="s">
        <v>2053</v>
      </c>
      <c r="AY94" s="202">
        <v>92</v>
      </c>
    </row>
    <row r="95" spans="1:51">
      <c r="A95" s="202" t="str">
        <f t="shared" si="7"/>
        <v>茶建成</v>
      </c>
      <c r="B95" s="202">
        <f>IF(C95&lt;&gt;"NA",C95,VLOOKUP(K95,Update_from_YIFIP!$X$2:$AD$174,7,FALSE))</f>
        <v>37</v>
      </c>
      <c r="C95" s="207">
        <f t="shared" si="4"/>
        <v>37</v>
      </c>
      <c r="D95" s="207">
        <f t="shared" si="5"/>
        <v>37</v>
      </c>
      <c r="E95" s="202" t="s">
        <v>2029</v>
      </c>
      <c r="F95" s="202" t="s">
        <v>2991</v>
      </c>
      <c r="G95" s="202" t="s">
        <v>2992</v>
      </c>
      <c r="H95" s="207" t="str">
        <f t="shared" si="6"/>
        <v>NA</v>
      </c>
      <c r="I95" s="202" t="s">
        <v>1929</v>
      </c>
      <c r="J95" s="202" t="s">
        <v>924</v>
      </c>
      <c r="K95" s="202" t="s">
        <v>2997</v>
      </c>
      <c r="L95" s="202" t="s">
        <v>1757</v>
      </c>
      <c r="M95" s="202">
        <v>5</v>
      </c>
      <c r="N95" s="202">
        <v>0</v>
      </c>
      <c r="O95" s="202">
        <v>8</v>
      </c>
      <c r="P95" s="202">
        <v>1</v>
      </c>
      <c r="Q95" s="202">
        <v>1</v>
      </c>
      <c r="R95" s="202">
        <v>1</v>
      </c>
      <c r="S95" s="202">
        <v>2</v>
      </c>
      <c r="T95" s="202">
        <v>3</v>
      </c>
      <c r="U95" s="202">
        <v>0</v>
      </c>
      <c r="V95" s="202">
        <v>0</v>
      </c>
      <c r="W95" s="202">
        <v>0</v>
      </c>
      <c r="X95" s="202">
        <v>0</v>
      </c>
      <c r="Y95" s="202">
        <v>0</v>
      </c>
      <c r="Z95" s="202">
        <v>0</v>
      </c>
      <c r="AA95" s="202">
        <v>0</v>
      </c>
      <c r="AB95" s="202">
        <v>0</v>
      </c>
      <c r="AC95" s="202">
        <v>0</v>
      </c>
      <c r="AD95" s="202">
        <v>0</v>
      </c>
      <c r="AE95" s="202">
        <v>0</v>
      </c>
      <c r="AF95" s="202">
        <v>0</v>
      </c>
      <c r="AG95" s="202">
        <v>0</v>
      </c>
      <c r="AH95" s="202">
        <v>0</v>
      </c>
      <c r="AI95" s="202">
        <v>0</v>
      </c>
      <c r="AJ95" s="202">
        <v>0</v>
      </c>
      <c r="AK95" s="202">
        <v>0</v>
      </c>
      <c r="AL95" s="202">
        <v>0</v>
      </c>
      <c r="AM95" s="202">
        <v>0</v>
      </c>
      <c r="AN95" s="202">
        <v>0</v>
      </c>
      <c r="AO95" s="202">
        <v>0</v>
      </c>
      <c r="AP95" s="202">
        <v>0</v>
      </c>
      <c r="AQ95" s="202" t="s">
        <v>2761</v>
      </c>
      <c r="AR95" s="202">
        <v>0</v>
      </c>
      <c r="AS95" s="202">
        <v>0</v>
      </c>
      <c r="AT95" s="202" t="s">
        <v>2985</v>
      </c>
      <c r="AU95" s="202" t="s">
        <v>2319</v>
      </c>
      <c r="AV95" s="202" t="s">
        <v>1929</v>
      </c>
      <c r="AX95" s="202" t="s">
        <v>2046</v>
      </c>
      <c r="AY95" s="202">
        <v>93</v>
      </c>
    </row>
    <row r="96" spans="1:51">
      <c r="A96" s="202" t="str">
        <f t="shared" si="7"/>
        <v>张存付</v>
      </c>
      <c r="B96" s="202">
        <f>IF(C96&lt;&gt;"NA",C96,VLOOKUP(K96,Update_from_YIFIP!$X$2:$AD$174,7,FALSE))</f>
        <v>38</v>
      </c>
      <c r="C96" s="207">
        <f t="shared" si="4"/>
        <v>38</v>
      </c>
      <c r="D96" s="207">
        <f t="shared" si="5"/>
        <v>38</v>
      </c>
      <c r="E96" s="202" t="s">
        <v>2148</v>
      </c>
      <c r="F96" s="202" t="s">
        <v>2967</v>
      </c>
      <c r="G96" s="202" t="s">
        <v>2968</v>
      </c>
      <c r="H96" s="207" t="str">
        <f t="shared" si="6"/>
        <v>NA</v>
      </c>
      <c r="I96" s="202" t="s">
        <v>1929</v>
      </c>
      <c r="J96" s="202" t="s">
        <v>2964</v>
      </c>
      <c r="K96" s="202" t="s">
        <v>2966</v>
      </c>
      <c r="L96" s="202" t="s">
        <v>1739</v>
      </c>
      <c r="M96" s="202">
        <v>0</v>
      </c>
      <c r="N96" s="202">
        <v>17</v>
      </c>
      <c r="O96" s="202">
        <v>21</v>
      </c>
      <c r="P96" s="202">
        <v>1</v>
      </c>
      <c r="Q96" s="202">
        <v>1</v>
      </c>
      <c r="R96" s="202">
        <v>1</v>
      </c>
      <c r="S96" s="202">
        <v>1</v>
      </c>
      <c r="T96" s="202">
        <v>1</v>
      </c>
      <c r="U96" s="202">
        <v>1</v>
      </c>
      <c r="V96" s="202">
        <v>1</v>
      </c>
      <c r="W96" s="202">
        <v>1</v>
      </c>
      <c r="X96" s="202">
        <v>1</v>
      </c>
      <c r="Y96" s="202">
        <v>1</v>
      </c>
      <c r="Z96" s="202">
        <v>1</v>
      </c>
      <c r="AA96" s="202">
        <v>1</v>
      </c>
      <c r="AB96" s="202">
        <v>1</v>
      </c>
      <c r="AC96" s="202">
        <v>2</v>
      </c>
      <c r="AD96" s="202">
        <v>2</v>
      </c>
      <c r="AE96" s="202">
        <v>2</v>
      </c>
      <c r="AF96" s="202">
        <v>2</v>
      </c>
      <c r="AG96" s="202">
        <v>0</v>
      </c>
      <c r="AH96" s="202">
        <v>0</v>
      </c>
      <c r="AI96" s="202">
        <v>0</v>
      </c>
      <c r="AJ96" s="202">
        <v>0</v>
      </c>
      <c r="AK96" s="202">
        <v>0</v>
      </c>
      <c r="AL96" s="202">
        <v>0</v>
      </c>
      <c r="AM96" s="202">
        <v>0</v>
      </c>
      <c r="AN96" s="202">
        <v>0</v>
      </c>
      <c r="AO96" s="202">
        <v>0</v>
      </c>
      <c r="AP96" s="202">
        <v>0</v>
      </c>
      <c r="AQ96" s="202" t="s">
        <v>2965</v>
      </c>
      <c r="AR96" s="202">
        <v>0</v>
      </c>
      <c r="AS96" s="202">
        <v>0</v>
      </c>
      <c r="AT96" s="202" t="s">
        <v>2924</v>
      </c>
      <c r="AU96" s="202">
        <v>0</v>
      </c>
      <c r="AV96" s="202" t="s">
        <v>1929</v>
      </c>
      <c r="AX96" s="202" t="s">
        <v>2061</v>
      </c>
      <c r="AY96" s="202">
        <v>94</v>
      </c>
    </row>
    <row r="97" spans="1:51">
      <c r="A97" s="202" t="str">
        <f t="shared" si="7"/>
        <v>张存付</v>
      </c>
      <c r="B97" s="202">
        <f>IF(C97&lt;&gt;"NA",C97,VLOOKUP(K97,Update_from_YIFIP!$X$2:$AD$174,7,FALSE))</f>
        <v>38</v>
      </c>
      <c r="C97" s="207">
        <f t="shared" si="4"/>
        <v>38</v>
      </c>
      <c r="D97" s="207">
        <f t="shared" si="5"/>
        <v>38</v>
      </c>
      <c r="E97" s="202" t="s">
        <v>2148</v>
      </c>
      <c r="F97" s="202" t="s">
        <v>2967</v>
      </c>
      <c r="G97" s="202" t="s">
        <v>2968</v>
      </c>
      <c r="H97" s="207" t="str">
        <f t="shared" si="6"/>
        <v>NA</v>
      </c>
      <c r="I97" s="202" t="s">
        <v>1929</v>
      </c>
      <c r="J97" s="202" t="s">
        <v>2964</v>
      </c>
      <c r="K97" s="202" t="s">
        <v>2969</v>
      </c>
      <c r="L97" s="202" t="s">
        <v>1740</v>
      </c>
      <c r="M97" s="202">
        <v>7</v>
      </c>
      <c r="N97" s="202">
        <v>0</v>
      </c>
      <c r="O97" s="202">
        <v>14</v>
      </c>
      <c r="P97" s="202">
        <v>1</v>
      </c>
      <c r="Q97" s="202">
        <v>1</v>
      </c>
      <c r="R97" s="202">
        <v>1</v>
      </c>
      <c r="S97" s="202">
        <v>2</v>
      </c>
      <c r="T97" s="202">
        <v>2</v>
      </c>
      <c r="U97" s="202">
        <v>3</v>
      </c>
      <c r="V97" s="202">
        <v>4</v>
      </c>
      <c r="W97" s="202">
        <v>0</v>
      </c>
      <c r="X97" s="202">
        <v>0</v>
      </c>
      <c r="Y97" s="202">
        <v>0</v>
      </c>
      <c r="Z97" s="202">
        <v>0</v>
      </c>
      <c r="AA97" s="202">
        <v>0</v>
      </c>
      <c r="AB97" s="202">
        <v>0</v>
      </c>
      <c r="AC97" s="202">
        <v>0</v>
      </c>
      <c r="AD97" s="202">
        <v>0</v>
      </c>
      <c r="AE97" s="202">
        <v>0</v>
      </c>
      <c r="AF97" s="202">
        <v>0</v>
      </c>
      <c r="AG97" s="202">
        <v>0</v>
      </c>
      <c r="AH97" s="202">
        <v>0</v>
      </c>
      <c r="AI97" s="202">
        <v>0</v>
      </c>
      <c r="AJ97" s="202">
        <v>0</v>
      </c>
      <c r="AK97" s="202">
        <v>0</v>
      </c>
      <c r="AL97" s="202">
        <v>0</v>
      </c>
      <c r="AM97" s="202">
        <v>0</v>
      </c>
      <c r="AN97" s="202">
        <v>0</v>
      </c>
      <c r="AO97" s="202">
        <v>0</v>
      </c>
      <c r="AP97" s="202">
        <v>0</v>
      </c>
      <c r="AQ97" s="202" t="s">
        <v>2965</v>
      </c>
      <c r="AR97" s="202">
        <v>0</v>
      </c>
      <c r="AS97" s="202">
        <v>0</v>
      </c>
      <c r="AT97" s="202" t="s">
        <v>2924</v>
      </c>
      <c r="AU97" s="202">
        <v>0</v>
      </c>
      <c r="AV97" s="202" t="s">
        <v>1929</v>
      </c>
      <c r="AX97" s="202" t="s">
        <v>2047</v>
      </c>
      <c r="AY97" s="202">
        <v>95</v>
      </c>
    </row>
    <row r="98" spans="1:51">
      <c r="A98" s="202" t="str">
        <f t="shared" si="7"/>
        <v>张存付</v>
      </c>
      <c r="B98" s="202">
        <f>IF(C98&lt;&gt;"NA",C98,VLOOKUP(K98,Update_from_YIFIP!$X$2:$AD$174,7,FALSE))</f>
        <v>38</v>
      </c>
      <c r="C98" s="207">
        <f t="shared" si="4"/>
        <v>38</v>
      </c>
      <c r="D98" s="207">
        <f t="shared" si="5"/>
        <v>38</v>
      </c>
      <c r="E98" s="202" t="s">
        <v>2148</v>
      </c>
      <c r="F98" s="202" t="s">
        <v>2967</v>
      </c>
      <c r="G98" s="202" t="s">
        <v>2968</v>
      </c>
      <c r="H98" s="207" t="str">
        <f t="shared" si="6"/>
        <v>NA</v>
      </c>
      <c r="I98" s="202" t="s">
        <v>1929</v>
      </c>
      <c r="J98" s="202" t="s">
        <v>2964</v>
      </c>
      <c r="K98" s="202" t="s">
        <v>2970</v>
      </c>
      <c r="L98" s="202" t="s">
        <v>1741</v>
      </c>
      <c r="M98" s="202">
        <v>6</v>
      </c>
      <c r="N98" s="202">
        <v>0</v>
      </c>
      <c r="O98" s="202">
        <v>6</v>
      </c>
      <c r="P98" s="202">
        <v>1</v>
      </c>
      <c r="Q98" s="202">
        <v>1</v>
      </c>
      <c r="R98" s="202">
        <v>1</v>
      </c>
      <c r="S98" s="202">
        <v>1</v>
      </c>
      <c r="T98" s="202">
        <v>1</v>
      </c>
      <c r="U98" s="202">
        <v>1</v>
      </c>
      <c r="V98" s="202">
        <v>0</v>
      </c>
      <c r="W98" s="202">
        <v>0</v>
      </c>
      <c r="X98" s="202">
        <v>0</v>
      </c>
      <c r="Y98" s="202">
        <v>0</v>
      </c>
      <c r="Z98" s="202">
        <v>0</v>
      </c>
      <c r="AA98" s="202">
        <v>0</v>
      </c>
      <c r="AB98" s="202">
        <v>0</v>
      </c>
      <c r="AC98" s="202">
        <v>0</v>
      </c>
      <c r="AD98" s="202">
        <v>0</v>
      </c>
      <c r="AE98" s="202">
        <v>0</v>
      </c>
      <c r="AF98" s="202">
        <v>0</v>
      </c>
      <c r="AG98" s="202">
        <v>0</v>
      </c>
      <c r="AH98" s="202">
        <v>0</v>
      </c>
      <c r="AI98" s="202">
        <v>0</v>
      </c>
      <c r="AJ98" s="202">
        <v>0</v>
      </c>
      <c r="AK98" s="202">
        <v>0</v>
      </c>
      <c r="AL98" s="202">
        <v>0</v>
      </c>
      <c r="AM98" s="202">
        <v>0</v>
      </c>
      <c r="AN98" s="202">
        <v>0</v>
      </c>
      <c r="AO98" s="202">
        <v>0</v>
      </c>
      <c r="AP98" s="202">
        <v>0</v>
      </c>
      <c r="AQ98" s="202" t="s">
        <v>2965</v>
      </c>
      <c r="AR98" s="202">
        <v>0</v>
      </c>
      <c r="AS98" s="202">
        <v>0</v>
      </c>
      <c r="AT98" s="202" t="s">
        <v>2922</v>
      </c>
      <c r="AU98" s="202">
        <v>0</v>
      </c>
      <c r="AV98" s="202" t="s">
        <v>1929</v>
      </c>
      <c r="AX98" s="202" t="s">
        <v>2094</v>
      </c>
      <c r="AY98" s="202">
        <v>96</v>
      </c>
    </row>
    <row r="99" spans="1:51">
      <c r="A99" s="202" t="str">
        <f t="shared" si="7"/>
        <v>张存付</v>
      </c>
      <c r="B99" s="202">
        <f>IF(C99&lt;&gt;"NA",C99,VLOOKUP(K99,Update_from_YIFIP!$X$2:$AD$174,7,FALSE))</f>
        <v>38</v>
      </c>
      <c r="C99" s="207">
        <f t="shared" si="4"/>
        <v>38</v>
      </c>
      <c r="D99" s="207">
        <f t="shared" si="5"/>
        <v>38</v>
      </c>
      <c r="E99" s="202" t="s">
        <v>2148</v>
      </c>
      <c r="F99" s="202" t="s">
        <v>2967</v>
      </c>
      <c r="G99" s="202" t="s">
        <v>2968</v>
      </c>
      <c r="H99" s="207" t="str">
        <f t="shared" si="6"/>
        <v>NA</v>
      </c>
      <c r="I99" s="202" t="s">
        <v>1929</v>
      </c>
      <c r="J99" s="202" t="s">
        <v>2964</v>
      </c>
      <c r="K99" s="202" t="s">
        <v>2971</v>
      </c>
      <c r="L99" s="202" t="s">
        <v>1742</v>
      </c>
      <c r="M99" s="202">
        <v>17</v>
      </c>
      <c r="N99" s="202">
        <v>0</v>
      </c>
      <c r="O99" s="202">
        <v>21</v>
      </c>
      <c r="P99" s="202">
        <v>1</v>
      </c>
      <c r="Q99" s="202">
        <v>1</v>
      </c>
      <c r="R99" s="202">
        <v>1</v>
      </c>
      <c r="S99" s="202">
        <v>1</v>
      </c>
      <c r="T99" s="202">
        <v>1</v>
      </c>
      <c r="U99" s="202">
        <v>1</v>
      </c>
      <c r="V99" s="202">
        <v>1</v>
      </c>
      <c r="W99" s="202">
        <v>1</v>
      </c>
      <c r="X99" s="202">
        <v>1</v>
      </c>
      <c r="Y99" s="202">
        <v>1</v>
      </c>
      <c r="Z99" s="202">
        <v>1</v>
      </c>
      <c r="AA99" s="202">
        <v>1</v>
      </c>
      <c r="AB99" s="202">
        <v>1</v>
      </c>
      <c r="AC99" s="202">
        <v>2</v>
      </c>
      <c r="AD99" s="202">
        <v>2</v>
      </c>
      <c r="AE99" s="202">
        <v>2</v>
      </c>
      <c r="AF99" s="202">
        <v>2</v>
      </c>
      <c r="AG99" s="202">
        <v>0</v>
      </c>
      <c r="AH99" s="202">
        <v>0</v>
      </c>
      <c r="AI99" s="202">
        <v>0</v>
      </c>
      <c r="AJ99" s="202">
        <v>0</v>
      </c>
      <c r="AK99" s="202">
        <v>0</v>
      </c>
      <c r="AL99" s="202">
        <v>0</v>
      </c>
      <c r="AM99" s="202">
        <v>0</v>
      </c>
      <c r="AN99" s="202">
        <v>0</v>
      </c>
      <c r="AO99" s="202">
        <v>0</v>
      </c>
      <c r="AP99" s="202">
        <v>0</v>
      </c>
      <c r="AQ99" s="202" t="s">
        <v>2965</v>
      </c>
      <c r="AR99" s="202">
        <v>0</v>
      </c>
      <c r="AS99" s="202">
        <v>0</v>
      </c>
      <c r="AT99" s="202" t="s">
        <v>2924</v>
      </c>
      <c r="AU99" s="202">
        <v>0</v>
      </c>
      <c r="AV99" s="202" t="s">
        <v>1929</v>
      </c>
      <c r="AX99" s="202" t="s">
        <v>2077</v>
      </c>
      <c r="AY99" s="202">
        <v>97</v>
      </c>
    </row>
    <row r="100" spans="1:51">
      <c r="A100" s="202" t="str">
        <f t="shared" si="7"/>
        <v>罗荣</v>
      </c>
      <c r="B100" s="202">
        <f>IF(C100&lt;&gt;"NA",C100,VLOOKUP(K100,Update_from_YIFIP!$X$2:$AD$174,7,FALSE))</f>
        <v>39</v>
      </c>
      <c r="C100" s="207">
        <f t="shared" si="4"/>
        <v>39</v>
      </c>
      <c r="D100" s="207">
        <f t="shared" si="5"/>
        <v>39</v>
      </c>
      <c r="E100" s="202" t="s">
        <v>2103</v>
      </c>
      <c r="F100" s="202" t="s">
        <v>2957</v>
      </c>
      <c r="G100" s="202" t="s">
        <v>2958</v>
      </c>
      <c r="H100" s="207" t="str">
        <f t="shared" si="6"/>
        <v>NA</v>
      </c>
      <c r="I100" s="202" t="s">
        <v>1929</v>
      </c>
      <c r="J100" s="202" t="s">
        <v>2954</v>
      </c>
      <c r="K100" s="202" t="s">
        <v>2956</v>
      </c>
      <c r="L100" s="202" t="s">
        <v>1734</v>
      </c>
      <c r="M100" s="202">
        <v>0</v>
      </c>
      <c r="N100" s="202">
        <v>7</v>
      </c>
      <c r="O100" s="202">
        <v>14</v>
      </c>
      <c r="P100" s="202">
        <v>1</v>
      </c>
      <c r="Q100" s="202">
        <v>1</v>
      </c>
      <c r="R100" s="202">
        <v>1</v>
      </c>
      <c r="S100" s="202">
        <v>1</v>
      </c>
      <c r="T100" s="202">
        <v>3</v>
      </c>
      <c r="U100" s="202">
        <v>3</v>
      </c>
      <c r="V100" s="202">
        <v>4</v>
      </c>
      <c r="W100" s="202">
        <v>0</v>
      </c>
      <c r="X100" s="202">
        <v>0</v>
      </c>
      <c r="Y100" s="202">
        <v>0</v>
      </c>
      <c r="Z100" s="202">
        <v>0</v>
      </c>
      <c r="AA100" s="202">
        <v>0</v>
      </c>
      <c r="AB100" s="202">
        <v>0</v>
      </c>
      <c r="AC100" s="202">
        <v>0</v>
      </c>
      <c r="AD100" s="202">
        <v>0</v>
      </c>
      <c r="AE100" s="202">
        <v>0</v>
      </c>
      <c r="AF100" s="202">
        <v>0</v>
      </c>
      <c r="AG100" s="202">
        <v>0</v>
      </c>
      <c r="AH100" s="202">
        <v>0</v>
      </c>
      <c r="AI100" s="202">
        <v>0</v>
      </c>
      <c r="AJ100" s="202">
        <v>0</v>
      </c>
      <c r="AK100" s="202">
        <v>0</v>
      </c>
      <c r="AL100" s="202">
        <v>0</v>
      </c>
      <c r="AM100" s="202">
        <v>0</v>
      </c>
      <c r="AN100" s="202">
        <v>0</v>
      </c>
      <c r="AO100" s="202">
        <v>0</v>
      </c>
      <c r="AP100" s="202">
        <v>0</v>
      </c>
      <c r="AQ100" s="202" t="s">
        <v>2955</v>
      </c>
      <c r="AR100" s="202">
        <v>0</v>
      </c>
      <c r="AS100" s="202">
        <v>0</v>
      </c>
      <c r="AT100" s="202" t="s">
        <v>2924</v>
      </c>
      <c r="AU100" s="202">
        <v>0</v>
      </c>
      <c r="AV100" s="202" t="s">
        <v>1929</v>
      </c>
      <c r="AX100" s="202" t="s">
        <v>2152</v>
      </c>
      <c r="AY100" s="202">
        <v>98</v>
      </c>
    </row>
    <row r="101" spans="1:51">
      <c r="A101" s="202" t="str">
        <f t="shared" si="7"/>
        <v>罗荣</v>
      </c>
      <c r="B101" s="202">
        <f>IF(C101&lt;&gt;"NA",C101,VLOOKUP(K101,Update_from_YIFIP!$X$2:$AD$174,7,FALSE))</f>
        <v>39</v>
      </c>
      <c r="C101" s="207">
        <f t="shared" si="4"/>
        <v>39</v>
      </c>
      <c r="D101" s="207">
        <f t="shared" si="5"/>
        <v>39</v>
      </c>
      <c r="E101" s="202" t="s">
        <v>2103</v>
      </c>
      <c r="F101" s="202" t="s">
        <v>2957</v>
      </c>
      <c r="G101" s="202" t="s">
        <v>2958</v>
      </c>
      <c r="H101" s="207" t="str">
        <f t="shared" si="6"/>
        <v>NA</v>
      </c>
      <c r="I101" s="202" t="s">
        <v>1929</v>
      </c>
      <c r="J101" s="202" t="s">
        <v>2954</v>
      </c>
      <c r="K101" s="202" t="s">
        <v>2959</v>
      </c>
      <c r="L101" s="202" t="s">
        <v>1735</v>
      </c>
      <c r="M101" s="202">
        <v>7</v>
      </c>
      <c r="N101" s="202">
        <v>0</v>
      </c>
      <c r="O101" s="202">
        <v>32</v>
      </c>
      <c r="P101" s="202">
        <v>2</v>
      </c>
      <c r="Q101" s="202">
        <v>3</v>
      </c>
      <c r="R101" s="202">
        <v>2</v>
      </c>
      <c r="S101" s="202">
        <v>3</v>
      </c>
      <c r="T101" s="202">
        <v>8</v>
      </c>
      <c r="U101" s="202">
        <v>4</v>
      </c>
      <c r="V101" s="202">
        <v>10</v>
      </c>
      <c r="W101" s="202">
        <v>0</v>
      </c>
      <c r="X101" s="202">
        <v>0</v>
      </c>
      <c r="Y101" s="202">
        <v>0</v>
      </c>
      <c r="Z101" s="202">
        <v>0</v>
      </c>
      <c r="AA101" s="202">
        <v>0</v>
      </c>
      <c r="AB101" s="202">
        <v>0</v>
      </c>
      <c r="AC101" s="202">
        <v>0</v>
      </c>
      <c r="AD101" s="202">
        <v>0</v>
      </c>
      <c r="AE101" s="202">
        <v>0</v>
      </c>
      <c r="AF101" s="202">
        <v>0</v>
      </c>
      <c r="AG101" s="202">
        <v>0</v>
      </c>
      <c r="AH101" s="202">
        <v>0</v>
      </c>
      <c r="AI101" s="202">
        <v>0</v>
      </c>
      <c r="AJ101" s="202">
        <v>0</v>
      </c>
      <c r="AK101" s="202">
        <v>0</v>
      </c>
      <c r="AL101" s="202">
        <v>0</v>
      </c>
      <c r="AM101" s="202">
        <v>0</v>
      </c>
      <c r="AN101" s="202">
        <v>0</v>
      </c>
      <c r="AO101" s="202">
        <v>0</v>
      </c>
      <c r="AP101" s="202">
        <v>0</v>
      </c>
      <c r="AQ101" s="202" t="s">
        <v>2955</v>
      </c>
      <c r="AR101" s="202">
        <v>0</v>
      </c>
      <c r="AS101" s="202">
        <v>0</v>
      </c>
      <c r="AT101" s="202" t="s">
        <v>2945</v>
      </c>
      <c r="AU101" s="202">
        <v>0</v>
      </c>
      <c r="AV101" s="202" t="s">
        <v>1929</v>
      </c>
      <c r="AX101" s="202" t="s">
        <v>2037</v>
      </c>
      <c r="AY101" s="202">
        <v>99</v>
      </c>
    </row>
    <row r="102" spans="1:51">
      <c r="A102" s="202" t="str">
        <f t="shared" si="7"/>
        <v>罗荣</v>
      </c>
      <c r="B102" s="202">
        <f>IF(C102&lt;&gt;"NA",C102,VLOOKUP(K102,Update_from_YIFIP!$X$2:$AD$174,7,FALSE))</f>
        <v>39</v>
      </c>
      <c r="C102" s="207">
        <f t="shared" si="4"/>
        <v>39</v>
      </c>
      <c r="D102" s="207">
        <f t="shared" si="5"/>
        <v>39</v>
      </c>
      <c r="E102" s="202" t="s">
        <v>2103</v>
      </c>
      <c r="F102" s="202" t="s">
        <v>2957</v>
      </c>
      <c r="G102" s="202" t="s">
        <v>2958</v>
      </c>
      <c r="H102" s="207" t="str">
        <f t="shared" si="6"/>
        <v>NA</v>
      </c>
      <c r="I102" s="202" t="s">
        <v>1929</v>
      </c>
      <c r="J102" s="202" t="s">
        <v>2954</v>
      </c>
      <c r="K102" s="202" t="s">
        <v>2960</v>
      </c>
      <c r="L102" s="202" t="s">
        <v>1736</v>
      </c>
      <c r="M102" s="202">
        <v>8</v>
      </c>
      <c r="N102" s="202">
        <v>0</v>
      </c>
      <c r="O102" s="202">
        <v>19</v>
      </c>
      <c r="P102" s="202">
        <v>1</v>
      </c>
      <c r="Q102" s="202">
        <v>1</v>
      </c>
      <c r="R102" s="202">
        <v>1</v>
      </c>
      <c r="S102" s="202">
        <v>2</v>
      </c>
      <c r="T102" s="202">
        <v>2</v>
      </c>
      <c r="U102" s="202">
        <v>3</v>
      </c>
      <c r="V102" s="202">
        <v>4</v>
      </c>
      <c r="W102" s="202">
        <v>5</v>
      </c>
      <c r="X102" s="202">
        <v>0</v>
      </c>
      <c r="Y102" s="202">
        <v>0</v>
      </c>
      <c r="Z102" s="202">
        <v>0</v>
      </c>
      <c r="AA102" s="202">
        <v>0</v>
      </c>
      <c r="AB102" s="202">
        <v>0</v>
      </c>
      <c r="AC102" s="202">
        <v>0</v>
      </c>
      <c r="AD102" s="202">
        <v>0</v>
      </c>
      <c r="AE102" s="202">
        <v>0</v>
      </c>
      <c r="AF102" s="202">
        <v>0</v>
      </c>
      <c r="AG102" s="202">
        <v>0</v>
      </c>
      <c r="AH102" s="202">
        <v>0</v>
      </c>
      <c r="AI102" s="202">
        <v>0</v>
      </c>
      <c r="AJ102" s="202">
        <v>0</v>
      </c>
      <c r="AK102" s="202">
        <v>0</v>
      </c>
      <c r="AL102" s="202">
        <v>0</v>
      </c>
      <c r="AM102" s="202">
        <v>0</v>
      </c>
      <c r="AN102" s="202">
        <v>0</v>
      </c>
      <c r="AO102" s="202">
        <v>0</v>
      </c>
      <c r="AP102" s="202">
        <v>0</v>
      </c>
      <c r="AQ102" s="202" t="s">
        <v>2955</v>
      </c>
      <c r="AR102" s="202">
        <v>0</v>
      </c>
      <c r="AS102" s="202">
        <v>0</v>
      </c>
      <c r="AT102" s="202" t="s">
        <v>2950</v>
      </c>
      <c r="AU102" s="202">
        <v>0</v>
      </c>
      <c r="AV102" s="202" t="s">
        <v>1929</v>
      </c>
      <c r="AX102" s="202" t="s">
        <v>2157</v>
      </c>
      <c r="AY102" s="202">
        <v>100</v>
      </c>
    </row>
    <row r="103" spans="1:51">
      <c r="A103" s="202" t="str">
        <f t="shared" si="7"/>
        <v>罗荣</v>
      </c>
      <c r="B103" s="202">
        <f>IF(C103&lt;&gt;"NA",C103,VLOOKUP(K103,Update_from_YIFIP!$X$2:$AD$174,7,FALSE))</f>
        <v>39</v>
      </c>
      <c r="C103" s="207">
        <f t="shared" si="4"/>
        <v>39</v>
      </c>
      <c r="D103" s="207">
        <f t="shared" si="5"/>
        <v>39</v>
      </c>
      <c r="E103" s="202" t="s">
        <v>2103</v>
      </c>
      <c r="F103" s="202" t="s">
        <v>2957</v>
      </c>
      <c r="G103" s="202" t="s">
        <v>2958</v>
      </c>
      <c r="H103" s="207" t="str">
        <f t="shared" si="6"/>
        <v>NA</v>
      </c>
      <c r="I103" s="202" t="s">
        <v>1929</v>
      </c>
      <c r="J103" s="202" t="s">
        <v>2954</v>
      </c>
      <c r="K103" s="202" t="s">
        <v>2961</v>
      </c>
      <c r="L103" s="202" t="s">
        <v>1737</v>
      </c>
      <c r="M103" s="202">
        <v>6</v>
      </c>
      <c r="N103" s="202">
        <v>0</v>
      </c>
      <c r="O103" s="202">
        <v>31</v>
      </c>
      <c r="P103" s="202">
        <v>6</v>
      </c>
      <c r="Q103" s="202">
        <v>4</v>
      </c>
      <c r="R103" s="202">
        <v>2</v>
      </c>
      <c r="S103" s="202">
        <v>3</v>
      </c>
      <c r="T103" s="202">
        <v>7</v>
      </c>
      <c r="U103" s="202">
        <v>9</v>
      </c>
      <c r="V103" s="202">
        <v>0</v>
      </c>
      <c r="W103" s="202">
        <v>0</v>
      </c>
      <c r="X103" s="202">
        <v>0</v>
      </c>
      <c r="Y103" s="202">
        <v>0</v>
      </c>
      <c r="Z103" s="202">
        <v>0</v>
      </c>
      <c r="AA103" s="202">
        <v>0</v>
      </c>
      <c r="AB103" s="202">
        <v>0</v>
      </c>
      <c r="AC103" s="202">
        <v>0</v>
      </c>
      <c r="AD103" s="202">
        <v>0</v>
      </c>
      <c r="AE103" s="202">
        <v>0</v>
      </c>
      <c r="AF103" s="202">
        <v>0</v>
      </c>
      <c r="AG103" s="202">
        <v>0</v>
      </c>
      <c r="AH103" s="202">
        <v>0</v>
      </c>
      <c r="AI103" s="202">
        <v>0</v>
      </c>
      <c r="AJ103" s="202">
        <v>0</v>
      </c>
      <c r="AK103" s="202">
        <v>0</v>
      </c>
      <c r="AL103" s="202">
        <v>0</v>
      </c>
      <c r="AM103" s="202">
        <v>0</v>
      </c>
      <c r="AN103" s="202">
        <v>0</v>
      </c>
      <c r="AO103" s="202">
        <v>0</v>
      </c>
      <c r="AP103" s="202">
        <v>0</v>
      </c>
      <c r="AQ103" s="202" t="s">
        <v>2955</v>
      </c>
      <c r="AR103" s="202">
        <v>0</v>
      </c>
      <c r="AS103" s="202">
        <v>0</v>
      </c>
      <c r="AT103" s="202" t="s">
        <v>2962</v>
      </c>
      <c r="AU103" s="202">
        <v>0</v>
      </c>
      <c r="AV103" s="202" t="s">
        <v>1929</v>
      </c>
      <c r="AX103" s="202" t="s">
        <v>2160</v>
      </c>
      <c r="AY103" s="202">
        <v>101</v>
      </c>
    </row>
    <row r="104" spans="1:51">
      <c r="A104" s="202" t="str">
        <f t="shared" si="7"/>
        <v>罗荣</v>
      </c>
      <c r="B104" s="202">
        <f>IF(C104&lt;&gt;"NA",C104,VLOOKUP(K104,Update_from_YIFIP!$X$2:$AD$174,7,FALSE))</f>
        <v>39</v>
      </c>
      <c r="C104" s="207">
        <f t="shared" si="4"/>
        <v>39</v>
      </c>
      <c r="D104" s="207">
        <f t="shared" si="5"/>
        <v>39</v>
      </c>
      <c r="E104" s="202" t="s">
        <v>2103</v>
      </c>
      <c r="F104" s="202" t="s">
        <v>2957</v>
      </c>
      <c r="G104" s="202" t="s">
        <v>2958</v>
      </c>
      <c r="H104" s="207" t="str">
        <f t="shared" si="6"/>
        <v>NA</v>
      </c>
      <c r="I104" s="202" t="s">
        <v>1929</v>
      </c>
      <c r="J104" s="202" t="s">
        <v>2954</v>
      </c>
      <c r="K104" s="202" t="s">
        <v>2963</v>
      </c>
      <c r="L104" s="202" t="s">
        <v>1738</v>
      </c>
      <c r="M104" s="202">
        <v>5</v>
      </c>
      <c r="N104" s="202">
        <v>0</v>
      </c>
      <c r="O104" s="202">
        <v>13</v>
      </c>
      <c r="P104" s="202">
        <v>2</v>
      </c>
      <c r="Q104" s="202">
        <v>2</v>
      </c>
      <c r="R104" s="202">
        <v>3</v>
      </c>
      <c r="S104" s="202">
        <v>3</v>
      </c>
      <c r="T104" s="202">
        <v>3</v>
      </c>
      <c r="U104" s="202">
        <v>0</v>
      </c>
      <c r="V104" s="202">
        <v>0</v>
      </c>
      <c r="W104" s="202">
        <v>0</v>
      </c>
      <c r="X104" s="202">
        <v>0</v>
      </c>
      <c r="Y104" s="202">
        <v>0</v>
      </c>
      <c r="Z104" s="202">
        <v>0</v>
      </c>
      <c r="AA104" s="202">
        <v>0</v>
      </c>
      <c r="AB104" s="202">
        <v>0</v>
      </c>
      <c r="AC104" s="202">
        <v>0</v>
      </c>
      <c r="AD104" s="202">
        <v>0</v>
      </c>
      <c r="AE104" s="202">
        <v>0</v>
      </c>
      <c r="AF104" s="202">
        <v>0</v>
      </c>
      <c r="AG104" s="202">
        <v>0</v>
      </c>
      <c r="AH104" s="202">
        <v>0</v>
      </c>
      <c r="AI104" s="202">
        <v>0</v>
      </c>
      <c r="AJ104" s="202">
        <v>0</v>
      </c>
      <c r="AK104" s="202">
        <v>0</v>
      </c>
      <c r="AL104" s="202">
        <v>0</v>
      </c>
      <c r="AM104" s="202">
        <v>0</v>
      </c>
      <c r="AN104" s="202">
        <v>0</v>
      </c>
      <c r="AO104" s="202">
        <v>0</v>
      </c>
      <c r="AP104" s="202">
        <v>0</v>
      </c>
      <c r="AQ104" s="202" t="s">
        <v>2955</v>
      </c>
      <c r="AR104" s="202">
        <v>0</v>
      </c>
      <c r="AS104" s="202">
        <v>0</v>
      </c>
      <c r="AT104" s="202" t="s">
        <v>2950</v>
      </c>
      <c r="AU104" s="202">
        <v>0</v>
      </c>
      <c r="AV104" s="202" t="s">
        <v>1929</v>
      </c>
      <c r="AX104" s="202" t="s">
        <v>2150</v>
      </c>
      <c r="AY104" s="202">
        <v>102</v>
      </c>
    </row>
    <row r="105" spans="1:51">
      <c r="A105" s="202" t="str">
        <f t="shared" si="7"/>
        <v>王平昌</v>
      </c>
      <c r="B105" s="202">
        <f>IF(C105&lt;&gt;"NA",C105,VLOOKUP(K105,Update_from_YIFIP!$X$2:$AD$174,7,FALSE))</f>
        <v>40</v>
      </c>
      <c r="C105" s="207">
        <f t="shared" si="4"/>
        <v>40</v>
      </c>
      <c r="D105" s="207">
        <f t="shared" si="5"/>
        <v>40</v>
      </c>
      <c r="E105" s="202" t="s">
        <v>2132</v>
      </c>
      <c r="F105" s="202" t="s">
        <v>2931</v>
      </c>
      <c r="G105" s="202" t="s">
        <v>2932</v>
      </c>
      <c r="H105" s="207" t="str">
        <f t="shared" si="6"/>
        <v>NA</v>
      </c>
      <c r="I105" s="202" t="s">
        <v>1929</v>
      </c>
      <c r="J105" s="202" t="s">
        <v>2927</v>
      </c>
      <c r="K105" s="202" t="s">
        <v>2929</v>
      </c>
      <c r="L105" s="202" t="s">
        <v>1724</v>
      </c>
      <c r="M105" s="202">
        <v>0</v>
      </c>
      <c r="N105" s="202">
        <v>15</v>
      </c>
      <c r="O105" s="202">
        <v>20</v>
      </c>
      <c r="P105" s="202">
        <v>1</v>
      </c>
      <c r="Q105" s="202">
        <v>1</v>
      </c>
      <c r="R105" s="202">
        <v>1</v>
      </c>
      <c r="S105" s="202">
        <v>1</v>
      </c>
      <c r="T105" s="202">
        <v>1</v>
      </c>
      <c r="U105" s="202">
        <v>1</v>
      </c>
      <c r="V105" s="202">
        <v>1</v>
      </c>
      <c r="W105" s="202">
        <v>1</v>
      </c>
      <c r="X105" s="202">
        <v>1</v>
      </c>
      <c r="Y105" s="202">
        <v>1</v>
      </c>
      <c r="Z105" s="202">
        <v>2</v>
      </c>
      <c r="AA105" s="202">
        <v>2</v>
      </c>
      <c r="AB105" s="202">
        <v>2</v>
      </c>
      <c r="AC105" s="202">
        <v>2</v>
      </c>
      <c r="AD105" s="202">
        <v>2</v>
      </c>
      <c r="AE105" s="202">
        <v>0</v>
      </c>
      <c r="AF105" s="202">
        <v>0</v>
      </c>
      <c r="AG105" s="202">
        <v>0</v>
      </c>
      <c r="AH105" s="202">
        <v>0</v>
      </c>
      <c r="AI105" s="202">
        <v>0</v>
      </c>
      <c r="AJ105" s="202">
        <v>0</v>
      </c>
      <c r="AK105" s="202">
        <v>0</v>
      </c>
      <c r="AL105" s="202">
        <v>0</v>
      </c>
      <c r="AM105" s="202">
        <v>0</v>
      </c>
      <c r="AN105" s="202">
        <v>0</v>
      </c>
      <c r="AO105" s="202">
        <v>0</v>
      </c>
      <c r="AP105" s="202">
        <v>0</v>
      </c>
      <c r="AQ105" s="202" t="s">
        <v>2928</v>
      </c>
      <c r="AR105" s="202">
        <v>0</v>
      </c>
      <c r="AS105" s="202">
        <v>0</v>
      </c>
      <c r="AT105" s="202" t="s">
        <v>2930</v>
      </c>
      <c r="AU105" s="202">
        <v>0</v>
      </c>
      <c r="AV105" s="202" t="s">
        <v>1929</v>
      </c>
      <c r="AX105" s="202" t="s">
        <v>2074</v>
      </c>
      <c r="AY105" s="202">
        <v>103</v>
      </c>
    </row>
    <row r="106" spans="1:51">
      <c r="A106" s="202" t="str">
        <f t="shared" si="7"/>
        <v>王平昌</v>
      </c>
      <c r="B106" s="202">
        <f>IF(C106&lt;&gt;"NA",C106,VLOOKUP(K106,Update_from_YIFIP!$X$2:$AD$174,7,FALSE))</f>
        <v>40</v>
      </c>
      <c r="C106" s="207">
        <f t="shared" si="4"/>
        <v>40</v>
      </c>
      <c r="D106" s="207">
        <f t="shared" si="5"/>
        <v>40</v>
      </c>
      <c r="E106" s="202" t="s">
        <v>2132</v>
      </c>
      <c r="F106" s="202" t="s">
        <v>2931</v>
      </c>
      <c r="G106" s="202" t="s">
        <v>2932</v>
      </c>
      <c r="H106" s="207" t="str">
        <f t="shared" si="6"/>
        <v>NA</v>
      </c>
      <c r="I106" s="202" t="s">
        <v>1929</v>
      </c>
      <c r="J106" s="202" t="s">
        <v>2927</v>
      </c>
      <c r="K106" s="202" t="s">
        <v>2934</v>
      </c>
      <c r="L106" s="202" t="s">
        <v>1725</v>
      </c>
      <c r="M106" s="202">
        <v>10</v>
      </c>
      <c r="N106" s="202">
        <v>0</v>
      </c>
      <c r="O106" s="202">
        <v>41</v>
      </c>
      <c r="P106" s="202">
        <v>5</v>
      </c>
      <c r="Q106" s="202">
        <v>3</v>
      </c>
      <c r="R106" s="202">
        <v>3</v>
      </c>
      <c r="S106" s="202">
        <v>5</v>
      </c>
      <c r="T106" s="202">
        <v>5</v>
      </c>
      <c r="U106" s="202">
        <v>3</v>
      </c>
      <c r="V106" s="202">
        <v>5</v>
      </c>
      <c r="W106" s="202">
        <v>5</v>
      </c>
      <c r="X106" s="202">
        <v>2</v>
      </c>
      <c r="Y106" s="202">
        <v>5</v>
      </c>
      <c r="Z106" s="202">
        <v>0</v>
      </c>
      <c r="AA106" s="202">
        <v>0</v>
      </c>
      <c r="AB106" s="202">
        <v>0</v>
      </c>
      <c r="AC106" s="202">
        <v>0</v>
      </c>
      <c r="AD106" s="202">
        <v>0</v>
      </c>
      <c r="AE106" s="202">
        <v>0</v>
      </c>
      <c r="AF106" s="202">
        <v>0</v>
      </c>
      <c r="AG106" s="202">
        <v>0</v>
      </c>
      <c r="AH106" s="202">
        <v>0</v>
      </c>
      <c r="AI106" s="202">
        <v>0</v>
      </c>
      <c r="AJ106" s="202">
        <v>0</v>
      </c>
      <c r="AK106" s="202">
        <v>0</v>
      </c>
      <c r="AL106" s="202">
        <v>0</v>
      </c>
      <c r="AM106" s="202">
        <v>0</v>
      </c>
      <c r="AN106" s="202">
        <v>0</v>
      </c>
      <c r="AO106" s="202">
        <v>0</v>
      </c>
      <c r="AP106" s="202">
        <v>0</v>
      </c>
      <c r="AQ106" s="202" t="s">
        <v>2933</v>
      </c>
      <c r="AR106" s="202">
        <v>0</v>
      </c>
      <c r="AS106" s="202">
        <v>0</v>
      </c>
      <c r="AT106" s="202" t="s">
        <v>2935</v>
      </c>
      <c r="AU106" s="202">
        <v>0</v>
      </c>
      <c r="AV106" s="202" t="s">
        <v>1929</v>
      </c>
      <c r="AX106" s="202" t="s">
        <v>2166</v>
      </c>
      <c r="AY106" s="202">
        <v>104</v>
      </c>
    </row>
    <row r="107" spans="1:51">
      <c r="A107" s="202" t="str">
        <f t="shared" si="7"/>
        <v>王平昌</v>
      </c>
      <c r="B107" s="202">
        <f>IF(C107&lt;&gt;"NA",C107,VLOOKUP(K107,Update_from_YIFIP!$X$2:$AD$174,7,FALSE))</f>
        <v>40</v>
      </c>
      <c r="C107" s="207">
        <f t="shared" si="4"/>
        <v>40</v>
      </c>
      <c r="D107" s="207">
        <f t="shared" si="5"/>
        <v>40</v>
      </c>
      <c r="E107" s="202" t="s">
        <v>2132</v>
      </c>
      <c r="F107" s="202" t="s">
        <v>2931</v>
      </c>
      <c r="G107" s="202" t="s">
        <v>2932</v>
      </c>
      <c r="H107" s="207" t="str">
        <f t="shared" si="6"/>
        <v>NA</v>
      </c>
      <c r="I107" s="202" t="s">
        <v>1929</v>
      </c>
      <c r="J107" s="202" t="s">
        <v>2927</v>
      </c>
      <c r="K107" s="202" t="s">
        <v>2937</v>
      </c>
      <c r="L107" s="202" t="s">
        <v>1726</v>
      </c>
      <c r="M107" s="202">
        <v>9</v>
      </c>
      <c r="N107" s="202">
        <v>0</v>
      </c>
      <c r="O107" s="202">
        <v>25</v>
      </c>
      <c r="P107" s="202">
        <v>3</v>
      </c>
      <c r="Q107" s="202">
        <v>3</v>
      </c>
      <c r="R107" s="202">
        <v>3</v>
      </c>
      <c r="S107" s="202">
        <v>3</v>
      </c>
      <c r="T107" s="202">
        <v>2</v>
      </c>
      <c r="U107" s="202">
        <v>2</v>
      </c>
      <c r="V107" s="202">
        <v>3</v>
      </c>
      <c r="W107" s="202">
        <v>3</v>
      </c>
      <c r="X107" s="202">
        <v>3</v>
      </c>
      <c r="Y107" s="202">
        <v>0</v>
      </c>
      <c r="Z107" s="202">
        <v>0</v>
      </c>
      <c r="AA107" s="202">
        <v>0</v>
      </c>
      <c r="AB107" s="202">
        <v>0</v>
      </c>
      <c r="AC107" s="202">
        <v>0</v>
      </c>
      <c r="AD107" s="202">
        <v>0</v>
      </c>
      <c r="AE107" s="202">
        <v>0</v>
      </c>
      <c r="AF107" s="202">
        <v>0</v>
      </c>
      <c r="AG107" s="202">
        <v>0</v>
      </c>
      <c r="AH107" s="202">
        <v>0</v>
      </c>
      <c r="AI107" s="202">
        <v>0</v>
      </c>
      <c r="AJ107" s="202">
        <v>0</v>
      </c>
      <c r="AK107" s="202">
        <v>0</v>
      </c>
      <c r="AL107" s="202">
        <v>0</v>
      </c>
      <c r="AM107" s="202">
        <v>0</v>
      </c>
      <c r="AN107" s="202">
        <v>0</v>
      </c>
      <c r="AO107" s="202">
        <v>0</v>
      </c>
      <c r="AP107" s="202">
        <v>0</v>
      </c>
      <c r="AQ107" s="202" t="s">
        <v>2936</v>
      </c>
      <c r="AR107" s="202">
        <v>0</v>
      </c>
      <c r="AS107" s="202">
        <v>0</v>
      </c>
      <c r="AT107" s="202" t="s">
        <v>2930</v>
      </c>
      <c r="AU107" s="202">
        <v>0</v>
      </c>
      <c r="AV107" s="202" t="s">
        <v>1929</v>
      </c>
      <c r="AX107" s="202" t="s">
        <v>2083</v>
      </c>
      <c r="AY107" s="202">
        <v>105</v>
      </c>
    </row>
    <row r="108" spans="1:51">
      <c r="A108" s="202" t="str">
        <f t="shared" si="7"/>
        <v>王平昌</v>
      </c>
      <c r="B108" s="202">
        <f>IF(C108&lt;&gt;"NA",C108,VLOOKUP(K108,Update_from_YIFIP!$X$2:$AD$174,7,FALSE))</f>
        <v>40</v>
      </c>
      <c r="C108" s="207">
        <f t="shared" si="4"/>
        <v>40</v>
      </c>
      <c r="D108" s="207">
        <f t="shared" si="5"/>
        <v>40</v>
      </c>
      <c r="E108" s="202" t="s">
        <v>2132</v>
      </c>
      <c r="F108" s="202" t="s">
        <v>2931</v>
      </c>
      <c r="G108" s="202" t="s">
        <v>2932</v>
      </c>
      <c r="H108" s="207" t="str">
        <f t="shared" si="6"/>
        <v>NA</v>
      </c>
      <c r="I108" s="202" t="s">
        <v>1929</v>
      </c>
      <c r="J108" s="202" t="s">
        <v>2927</v>
      </c>
      <c r="K108" s="202" t="s">
        <v>2939</v>
      </c>
      <c r="L108" s="202" t="s">
        <v>1727</v>
      </c>
      <c r="M108" s="202">
        <v>8</v>
      </c>
      <c r="N108" s="202">
        <v>0</v>
      </c>
      <c r="O108" s="202">
        <v>21</v>
      </c>
      <c r="P108" s="202">
        <v>3</v>
      </c>
      <c r="Q108" s="202">
        <v>2</v>
      </c>
      <c r="R108" s="202">
        <v>5</v>
      </c>
      <c r="S108" s="202">
        <v>2</v>
      </c>
      <c r="T108" s="202">
        <v>2</v>
      </c>
      <c r="U108" s="202">
        <v>3</v>
      </c>
      <c r="V108" s="202">
        <v>3</v>
      </c>
      <c r="W108" s="202">
        <v>1</v>
      </c>
      <c r="X108" s="202">
        <v>0</v>
      </c>
      <c r="Y108" s="202">
        <v>0</v>
      </c>
      <c r="Z108" s="202">
        <v>0</v>
      </c>
      <c r="AA108" s="202">
        <v>0</v>
      </c>
      <c r="AB108" s="202">
        <v>0</v>
      </c>
      <c r="AC108" s="202">
        <v>0</v>
      </c>
      <c r="AD108" s="202">
        <v>0</v>
      </c>
      <c r="AE108" s="202">
        <v>0</v>
      </c>
      <c r="AF108" s="202">
        <v>0</v>
      </c>
      <c r="AG108" s="202">
        <v>0</v>
      </c>
      <c r="AH108" s="202">
        <v>0</v>
      </c>
      <c r="AI108" s="202">
        <v>0</v>
      </c>
      <c r="AJ108" s="202">
        <v>0</v>
      </c>
      <c r="AK108" s="202">
        <v>0</v>
      </c>
      <c r="AL108" s="202">
        <v>0</v>
      </c>
      <c r="AM108" s="202">
        <v>0</v>
      </c>
      <c r="AN108" s="202">
        <v>0</v>
      </c>
      <c r="AO108" s="202">
        <v>0</v>
      </c>
      <c r="AP108" s="202">
        <v>0</v>
      </c>
      <c r="AQ108" s="202" t="s">
        <v>2938</v>
      </c>
      <c r="AR108" s="202">
        <v>0</v>
      </c>
      <c r="AS108" s="202">
        <v>0</v>
      </c>
      <c r="AT108" s="202" t="s">
        <v>2940</v>
      </c>
      <c r="AU108" s="202">
        <v>0</v>
      </c>
      <c r="AV108" s="202" t="s">
        <v>1929</v>
      </c>
      <c r="AX108" s="202" t="s">
        <v>2070</v>
      </c>
      <c r="AY108" s="202">
        <v>106</v>
      </c>
    </row>
    <row r="109" spans="1:51">
      <c r="A109" s="202" t="str">
        <f t="shared" si="7"/>
        <v>王平昌</v>
      </c>
      <c r="B109" s="202">
        <f>IF(C109&lt;&gt;"NA",C109,VLOOKUP(K109,Update_from_YIFIP!$X$2:$AD$174,7,FALSE))</f>
        <v>40</v>
      </c>
      <c r="C109" s="207">
        <f t="shared" si="4"/>
        <v>40</v>
      </c>
      <c r="D109" s="207">
        <f t="shared" si="5"/>
        <v>40</v>
      </c>
      <c r="E109" s="202" t="s">
        <v>2132</v>
      </c>
      <c r="F109" s="202" t="s">
        <v>2931</v>
      </c>
      <c r="G109" s="202" t="s">
        <v>2932</v>
      </c>
      <c r="H109" s="207" t="str">
        <f t="shared" si="6"/>
        <v>NA</v>
      </c>
      <c r="I109" s="202" t="s">
        <v>1929</v>
      </c>
      <c r="J109" s="202" t="s">
        <v>2927</v>
      </c>
      <c r="K109" s="202" t="s">
        <v>2942</v>
      </c>
      <c r="L109" s="202" t="s">
        <v>1728</v>
      </c>
      <c r="M109" s="202">
        <v>7</v>
      </c>
      <c r="N109" s="202">
        <v>0</v>
      </c>
      <c r="O109" s="202">
        <v>18</v>
      </c>
      <c r="P109" s="202">
        <v>4</v>
      </c>
      <c r="Q109" s="202">
        <v>2</v>
      </c>
      <c r="R109" s="202">
        <v>3</v>
      </c>
      <c r="S109" s="202">
        <v>2</v>
      </c>
      <c r="T109" s="202">
        <v>3</v>
      </c>
      <c r="U109" s="202">
        <v>2</v>
      </c>
      <c r="V109" s="202">
        <v>2</v>
      </c>
      <c r="W109" s="202">
        <v>0</v>
      </c>
      <c r="X109" s="202">
        <v>0</v>
      </c>
      <c r="Y109" s="202">
        <v>0</v>
      </c>
      <c r="Z109" s="202">
        <v>0</v>
      </c>
      <c r="AA109" s="202">
        <v>0</v>
      </c>
      <c r="AB109" s="202">
        <v>0</v>
      </c>
      <c r="AC109" s="202">
        <v>0</v>
      </c>
      <c r="AD109" s="202">
        <v>0</v>
      </c>
      <c r="AE109" s="202">
        <v>0</v>
      </c>
      <c r="AF109" s="202">
        <v>0</v>
      </c>
      <c r="AG109" s="202">
        <v>0</v>
      </c>
      <c r="AH109" s="202">
        <v>0</v>
      </c>
      <c r="AI109" s="202">
        <v>0</v>
      </c>
      <c r="AJ109" s="202">
        <v>0</v>
      </c>
      <c r="AK109" s="202">
        <v>0</v>
      </c>
      <c r="AL109" s="202">
        <v>0</v>
      </c>
      <c r="AM109" s="202">
        <v>0</v>
      </c>
      <c r="AN109" s="202">
        <v>0</v>
      </c>
      <c r="AO109" s="202">
        <v>0</v>
      </c>
      <c r="AP109" s="202">
        <v>0</v>
      </c>
      <c r="AQ109" s="202" t="s">
        <v>2941</v>
      </c>
      <c r="AR109" s="202">
        <v>0</v>
      </c>
      <c r="AS109" s="202">
        <v>0</v>
      </c>
      <c r="AT109" s="202" t="s">
        <v>2930</v>
      </c>
      <c r="AU109" s="202">
        <v>0</v>
      </c>
      <c r="AV109" s="202" t="s">
        <v>1929</v>
      </c>
      <c r="AX109" s="202" t="s">
        <v>3196</v>
      </c>
      <c r="AY109" s="202">
        <v>107</v>
      </c>
    </row>
    <row r="110" spans="1:51">
      <c r="A110" s="202" t="str">
        <f t="shared" si="7"/>
        <v>蒋文奎</v>
      </c>
      <c r="B110" s="202">
        <f>IF(C110&lt;&gt;"NA",C110,VLOOKUP(K110,Update_from_YIFIP!$X$2:$AD$174,7,FALSE))</f>
        <v>43</v>
      </c>
      <c r="C110" s="207">
        <f t="shared" si="4"/>
        <v>43</v>
      </c>
      <c r="D110" s="207">
        <f t="shared" si="5"/>
        <v>43</v>
      </c>
      <c r="E110" s="202" t="s">
        <v>2052</v>
      </c>
      <c r="F110" s="202" t="s">
        <v>1929</v>
      </c>
      <c r="G110" s="202" t="s">
        <v>1929</v>
      </c>
      <c r="H110" s="207" t="str">
        <f t="shared" si="6"/>
        <v>NA</v>
      </c>
      <c r="I110" s="202" t="s">
        <v>1929</v>
      </c>
      <c r="J110" s="202" t="s">
        <v>3101</v>
      </c>
      <c r="K110" s="202">
        <v>0</v>
      </c>
      <c r="L110" s="202" t="s">
        <v>1766</v>
      </c>
      <c r="M110" s="202">
        <v>0</v>
      </c>
      <c r="N110" s="202">
        <v>1</v>
      </c>
      <c r="O110" s="202">
        <v>1</v>
      </c>
      <c r="P110" s="202">
        <v>1</v>
      </c>
      <c r="Q110" s="202">
        <v>0</v>
      </c>
      <c r="R110" s="202">
        <v>0</v>
      </c>
      <c r="S110" s="202">
        <v>0</v>
      </c>
      <c r="T110" s="202">
        <v>0</v>
      </c>
      <c r="U110" s="202">
        <v>0</v>
      </c>
      <c r="V110" s="202">
        <v>0</v>
      </c>
      <c r="W110" s="202">
        <v>0</v>
      </c>
      <c r="X110" s="202">
        <v>0</v>
      </c>
      <c r="Y110" s="202">
        <v>0</v>
      </c>
      <c r="Z110" s="202">
        <v>0</v>
      </c>
      <c r="AA110" s="202">
        <v>0</v>
      </c>
      <c r="AB110" s="202">
        <v>0</v>
      </c>
      <c r="AC110" s="202">
        <v>0</v>
      </c>
      <c r="AD110" s="202">
        <v>0</v>
      </c>
      <c r="AE110" s="202">
        <v>0</v>
      </c>
      <c r="AF110" s="202">
        <v>0</v>
      </c>
      <c r="AG110" s="202">
        <v>0</v>
      </c>
      <c r="AH110" s="202">
        <v>0</v>
      </c>
      <c r="AI110" s="202">
        <v>0</v>
      </c>
      <c r="AJ110" s="202">
        <v>0</v>
      </c>
      <c r="AK110" s="202">
        <v>0</v>
      </c>
      <c r="AL110" s="202">
        <v>0</v>
      </c>
      <c r="AM110" s="202">
        <v>0</v>
      </c>
      <c r="AN110" s="202">
        <v>0</v>
      </c>
      <c r="AO110" s="202">
        <v>0</v>
      </c>
      <c r="AP110" s="202">
        <v>0</v>
      </c>
      <c r="AQ110" s="202">
        <v>20160729</v>
      </c>
      <c r="AR110" s="202">
        <v>0</v>
      </c>
      <c r="AS110" s="202">
        <v>0</v>
      </c>
      <c r="AT110" s="202">
        <v>0.5</v>
      </c>
      <c r="AU110" s="202" t="s">
        <v>2319</v>
      </c>
      <c r="AV110" s="202">
        <v>1</v>
      </c>
      <c r="AX110" s="202" t="s">
        <v>2097</v>
      </c>
      <c r="AY110" s="202">
        <v>108</v>
      </c>
    </row>
    <row r="111" spans="1:51">
      <c r="A111" s="202" t="str">
        <f t="shared" si="7"/>
        <v>李恒进</v>
      </c>
      <c r="B111" s="202">
        <f>IF(C111&lt;&gt;"NA",C111,VLOOKUP(K111,Update_from_YIFIP!$X$2:$AD$174,7,FALSE))</f>
        <v>44</v>
      </c>
      <c r="C111" s="207">
        <f t="shared" si="4"/>
        <v>44</v>
      </c>
      <c r="D111" s="207">
        <f t="shared" si="5"/>
        <v>44</v>
      </c>
      <c r="E111" s="202" t="s">
        <v>2060</v>
      </c>
      <c r="F111" s="202" t="s">
        <v>1929</v>
      </c>
      <c r="G111" s="202" t="s">
        <v>1929</v>
      </c>
      <c r="H111" s="207" t="str">
        <f t="shared" si="6"/>
        <v>NA</v>
      </c>
      <c r="I111" s="202" t="s">
        <v>1929</v>
      </c>
      <c r="J111" s="202">
        <v>0</v>
      </c>
      <c r="K111" s="202">
        <v>0</v>
      </c>
      <c r="L111" s="202" t="s">
        <v>3087</v>
      </c>
      <c r="M111" s="202">
        <v>6</v>
      </c>
      <c r="N111" s="202">
        <v>0</v>
      </c>
      <c r="O111" s="202">
        <v>20</v>
      </c>
      <c r="P111" s="202">
        <v>1</v>
      </c>
      <c r="Q111" s="202">
        <v>1</v>
      </c>
      <c r="R111" s="202">
        <v>5</v>
      </c>
      <c r="S111" s="202">
        <v>5</v>
      </c>
      <c r="T111" s="202">
        <v>5</v>
      </c>
      <c r="U111" s="202">
        <v>3</v>
      </c>
      <c r="V111" s="202">
        <v>0</v>
      </c>
      <c r="W111" s="202">
        <v>0</v>
      </c>
      <c r="X111" s="202">
        <v>0</v>
      </c>
      <c r="Y111" s="202">
        <v>0</v>
      </c>
      <c r="Z111" s="202">
        <v>0</v>
      </c>
      <c r="AA111" s="202">
        <v>0</v>
      </c>
      <c r="AB111" s="202">
        <v>0</v>
      </c>
      <c r="AC111" s="202">
        <v>0</v>
      </c>
      <c r="AD111" s="202">
        <v>0</v>
      </c>
      <c r="AE111" s="202">
        <v>0</v>
      </c>
      <c r="AF111" s="202">
        <v>0</v>
      </c>
      <c r="AG111" s="202">
        <v>0</v>
      </c>
      <c r="AH111" s="202">
        <v>0</v>
      </c>
      <c r="AI111" s="202">
        <v>0</v>
      </c>
      <c r="AJ111" s="202">
        <v>0</v>
      </c>
      <c r="AK111" s="202">
        <v>0</v>
      </c>
      <c r="AL111" s="202">
        <v>0</v>
      </c>
      <c r="AM111" s="202">
        <v>0</v>
      </c>
      <c r="AN111" s="202">
        <v>0</v>
      </c>
      <c r="AO111" s="202">
        <v>0</v>
      </c>
      <c r="AP111" s="202">
        <v>0</v>
      </c>
      <c r="AQ111" s="202" t="s">
        <v>3088</v>
      </c>
      <c r="AR111" s="202">
        <v>0</v>
      </c>
      <c r="AS111" s="202">
        <v>0</v>
      </c>
      <c r="AT111" s="202">
        <v>4</v>
      </c>
      <c r="AU111" s="202">
        <v>0</v>
      </c>
      <c r="AV111" s="202">
        <v>5</v>
      </c>
      <c r="AX111" s="202" t="s">
        <v>2084</v>
      </c>
      <c r="AY111" s="202">
        <v>109</v>
      </c>
    </row>
    <row r="112" spans="1:51">
      <c r="A112" s="202" t="str">
        <f t="shared" si="7"/>
        <v>李存明</v>
      </c>
      <c r="B112" s="202">
        <f>IF(C112&lt;&gt;"NA",C112,VLOOKUP(K112,Update_from_YIFIP!$X$2:$AD$174,7,FALSE))</f>
        <v>46</v>
      </c>
      <c r="C112" s="207">
        <f t="shared" si="4"/>
        <v>46</v>
      </c>
      <c r="D112" s="207">
        <f t="shared" si="5"/>
        <v>46</v>
      </c>
      <c r="E112" s="202" t="s">
        <v>2055</v>
      </c>
      <c r="F112" s="202" t="s">
        <v>1929</v>
      </c>
      <c r="G112" s="202" t="s">
        <v>3130</v>
      </c>
      <c r="H112" s="207" t="str">
        <f t="shared" si="6"/>
        <v>NA</v>
      </c>
      <c r="I112" s="202" t="s">
        <v>1929</v>
      </c>
      <c r="J112" s="202" t="s">
        <v>3102</v>
      </c>
      <c r="K112" s="202">
        <v>0</v>
      </c>
      <c r="L112" s="202" t="s">
        <v>1778</v>
      </c>
      <c r="M112" s="202">
        <v>2</v>
      </c>
      <c r="N112" s="202">
        <v>0</v>
      </c>
      <c r="O112" s="202">
        <v>2</v>
      </c>
      <c r="P112" s="202">
        <v>1</v>
      </c>
      <c r="Q112" s="202">
        <v>1</v>
      </c>
      <c r="R112" s="202">
        <v>0</v>
      </c>
      <c r="S112" s="202">
        <v>0</v>
      </c>
      <c r="T112" s="202">
        <v>0</v>
      </c>
      <c r="U112" s="202">
        <v>0</v>
      </c>
      <c r="V112" s="202">
        <v>0</v>
      </c>
      <c r="W112" s="202">
        <v>0</v>
      </c>
      <c r="X112" s="202">
        <v>0</v>
      </c>
      <c r="Y112" s="202">
        <v>0</v>
      </c>
      <c r="Z112" s="202">
        <v>0</v>
      </c>
      <c r="AA112" s="202">
        <v>0</v>
      </c>
      <c r="AB112" s="202">
        <v>0</v>
      </c>
      <c r="AC112" s="202">
        <v>0</v>
      </c>
      <c r="AD112" s="202">
        <v>0</v>
      </c>
      <c r="AE112" s="202">
        <v>0</v>
      </c>
      <c r="AF112" s="202">
        <v>0</v>
      </c>
      <c r="AG112" s="202">
        <v>0</v>
      </c>
      <c r="AH112" s="202">
        <v>0</v>
      </c>
      <c r="AI112" s="202">
        <v>0</v>
      </c>
      <c r="AJ112" s="202">
        <v>0</v>
      </c>
      <c r="AK112" s="202">
        <v>0</v>
      </c>
      <c r="AL112" s="202">
        <v>0</v>
      </c>
      <c r="AM112" s="202">
        <v>0</v>
      </c>
      <c r="AN112" s="202">
        <v>0</v>
      </c>
      <c r="AO112" s="202">
        <v>0</v>
      </c>
      <c r="AP112" s="202">
        <v>0</v>
      </c>
      <c r="AQ112" s="202" t="s">
        <v>2795</v>
      </c>
      <c r="AR112" s="202">
        <v>0</v>
      </c>
      <c r="AS112" s="202">
        <v>0</v>
      </c>
      <c r="AT112" s="202">
        <v>1.5</v>
      </c>
      <c r="AU112" s="202">
        <v>0</v>
      </c>
      <c r="AV112" s="202">
        <v>1</v>
      </c>
      <c r="AX112" s="202" t="s">
        <v>2169</v>
      </c>
      <c r="AY112" s="202">
        <v>110</v>
      </c>
    </row>
    <row r="113" spans="1:51">
      <c r="A113" s="202" t="str">
        <f t="shared" si="7"/>
        <v>李存明</v>
      </c>
      <c r="B113" s="202">
        <f>IF(C113&lt;&gt;"NA",C113,VLOOKUP(K113,Update_from_YIFIP!$X$2:$AD$174,7,FALSE))</f>
        <v>46</v>
      </c>
      <c r="C113" s="207">
        <f t="shared" si="4"/>
        <v>46</v>
      </c>
      <c r="D113" s="207">
        <f t="shared" si="5"/>
        <v>46</v>
      </c>
      <c r="E113" s="202" t="s">
        <v>2055</v>
      </c>
      <c r="F113" s="202" t="s">
        <v>1929</v>
      </c>
      <c r="G113" s="202" t="s">
        <v>3130</v>
      </c>
      <c r="H113" s="207" t="str">
        <f t="shared" si="6"/>
        <v>NA</v>
      </c>
      <c r="I113" s="202" t="s">
        <v>1929</v>
      </c>
      <c r="J113" s="202" t="s">
        <v>3102</v>
      </c>
      <c r="K113" s="202">
        <v>0</v>
      </c>
      <c r="L113" s="202" t="s">
        <v>1779</v>
      </c>
      <c r="M113" s="202">
        <v>0</v>
      </c>
      <c r="N113" s="202">
        <v>7</v>
      </c>
      <c r="O113" s="202">
        <v>9</v>
      </c>
      <c r="P113" s="202">
        <v>1</v>
      </c>
      <c r="Q113" s="202">
        <v>1</v>
      </c>
      <c r="R113" s="202">
        <v>1</v>
      </c>
      <c r="S113" s="202">
        <v>1</v>
      </c>
      <c r="T113" s="202">
        <v>1</v>
      </c>
      <c r="U113" s="202">
        <v>2</v>
      </c>
      <c r="V113" s="202">
        <v>2</v>
      </c>
      <c r="W113" s="202">
        <v>0</v>
      </c>
      <c r="X113" s="202">
        <v>0</v>
      </c>
      <c r="Y113" s="202">
        <v>0</v>
      </c>
      <c r="Z113" s="202">
        <v>0</v>
      </c>
      <c r="AA113" s="202">
        <v>0</v>
      </c>
      <c r="AB113" s="202">
        <v>0</v>
      </c>
      <c r="AC113" s="202">
        <v>0</v>
      </c>
      <c r="AD113" s="202">
        <v>0</v>
      </c>
      <c r="AE113" s="202">
        <v>0</v>
      </c>
      <c r="AF113" s="202">
        <v>0</v>
      </c>
      <c r="AG113" s="202">
        <v>0</v>
      </c>
      <c r="AH113" s="202">
        <v>0</v>
      </c>
      <c r="AI113" s="202">
        <v>0</v>
      </c>
      <c r="AJ113" s="202">
        <v>0</v>
      </c>
      <c r="AK113" s="202">
        <v>0</v>
      </c>
      <c r="AL113" s="202">
        <v>0</v>
      </c>
      <c r="AM113" s="202">
        <v>0</v>
      </c>
      <c r="AN113" s="202">
        <v>0</v>
      </c>
      <c r="AO113" s="202">
        <v>0</v>
      </c>
      <c r="AP113" s="202">
        <v>0</v>
      </c>
      <c r="AQ113" s="202" t="s">
        <v>2795</v>
      </c>
      <c r="AR113" s="202">
        <v>0</v>
      </c>
      <c r="AS113" s="202">
        <v>0</v>
      </c>
      <c r="AT113" s="202">
        <v>2.5</v>
      </c>
      <c r="AU113" s="202">
        <v>0</v>
      </c>
      <c r="AV113" s="202">
        <v>1</v>
      </c>
      <c r="AX113" s="202" t="s">
        <v>2056</v>
      </c>
      <c r="AY113" s="202">
        <v>111</v>
      </c>
    </row>
    <row r="114" spans="1:51">
      <c r="A114" s="202" t="str">
        <f t="shared" si="7"/>
        <v>罗发强</v>
      </c>
      <c r="B114" s="202">
        <f>IF(C114&lt;&gt;"NA",C114,VLOOKUP(K114,Update_from_YIFIP!$X$2:$AD$174,7,FALSE))</f>
        <v>47</v>
      </c>
      <c r="C114" s="207">
        <f t="shared" si="4"/>
        <v>47</v>
      </c>
      <c r="D114" s="207">
        <f t="shared" si="5"/>
        <v>47</v>
      </c>
      <c r="E114" s="202" t="s">
        <v>2101</v>
      </c>
      <c r="F114" s="202" t="s">
        <v>1929</v>
      </c>
      <c r="G114" s="202" t="s">
        <v>3095</v>
      </c>
      <c r="H114" s="207" t="str">
        <f t="shared" si="6"/>
        <v>NA</v>
      </c>
      <c r="I114" s="202" t="s">
        <v>1929</v>
      </c>
      <c r="J114" s="202" t="s">
        <v>3094</v>
      </c>
      <c r="K114" s="202">
        <v>0</v>
      </c>
      <c r="L114" s="202" t="s">
        <v>1763</v>
      </c>
      <c r="M114" s="202">
        <v>0</v>
      </c>
      <c r="N114" s="202">
        <v>14</v>
      </c>
      <c r="O114" s="202">
        <v>15</v>
      </c>
      <c r="P114" s="202">
        <v>1</v>
      </c>
      <c r="Q114" s="202">
        <v>1</v>
      </c>
      <c r="R114" s="202">
        <v>1</v>
      </c>
      <c r="S114" s="202">
        <v>1</v>
      </c>
      <c r="T114" s="202">
        <v>1</v>
      </c>
      <c r="U114" s="202">
        <v>1</v>
      </c>
      <c r="V114" s="202">
        <v>1</v>
      </c>
      <c r="W114" s="202">
        <v>1</v>
      </c>
      <c r="X114" s="202">
        <v>1</v>
      </c>
      <c r="Y114" s="202">
        <v>1</v>
      </c>
      <c r="Z114" s="202">
        <v>1</v>
      </c>
      <c r="AA114" s="202">
        <v>1</v>
      </c>
      <c r="AB114" s="202">
        <v>1</v>
      </c>
      <c r="AC114" s="202">
        <v>2</v>
      </c>
      <c r="AD114" s="202">
        <v>0</v>
      </c>
      <c r="AE114" s="202">
        <v>0</v>
      </c>
      <c r="AF114" s="202">
        <v>0</v>
      </c>
      <c r="AG114" s="202">
        <v>0</v>
      </c>
      <c r="AH114" s="202">
        <v>0</v>
      </c>
      <c r="AI114" s="202">
        <v>0</v>
      </c>
      <c r="AJ114" s="202">
        <v>0</v>
      </c>
      <c r="AK114" s="202">
        <v>0</v>
      </c>
      <c r="AL114" s="202">
        <v>0</v>
      </c>
      <c r="AM114" s="202">
        <v>0</v>
      </c>
      <c r="AN114" s="202">
        <v>0</v>
      </c>
      <c r="AO114" s="202">
        <v>0</v>
      </c>
      <c r="AP114" s="202">
        <v>0</v>
      </c>
      <c r="AQ114" s="202">
        <v>20160810</v>
      </c>
      <c r="AR114" s="202">
        <v>0</v>
      </c>
      <c r="AS114" s="202">
        <v>0</v>
      </c>
      <c r="AT114" s="202">
        <v>15</v>
      </c>
      <c r="AU114" s="202">
        <v>0</v>
      </c>
      <c r="AV114" s="202">
        <v>3</v>
      </c>
      <c r="AX114" s="202" t="s">
        <v>2086</v>
      </c>
      <c r="AY114" s="202">
        <v>112</v>
      </c>
    </row>
    <row r="115" spans="1:51">
      <c r="A115" s="202" t="str">
        <f t="shared" si="7"/>
        <v>杨兆清</v>
      </c>
      <c r="B115" s="202">
        <f>IF(C115&lt;&gt;"NA",C115,VLOOKUP(K115,Update_from_YIFIP!$X$2:$AD$174,7,FALSE))</f>
        <v>48</v>
      </c>
      <c r="C115" s="207">
        <f t="shared" si="4"/>
        <v>48</v>
      </c>
      <c r="D115" s="207">
        <f t="shared" si="5"/>
        <v>48</v>
      </c>
      <c r="E115" s="202" t="s">
        <v>2144</v>
      </c>
      <c r="F115" s="202" t="s">
        <v>3113</v>
      </c>
      <c r="G115" s="202" t="s">
        <v>3114</v>
      </c>
      <c r="H115" s="207" t="str">
        <f t="shared" si="6"/>
        <v>NA</v>
      </c>
      <c r="I115" s="202" t="s">
        <v>1929</v>
      </c>
      <c r="J115" s="202" t="s">
        <v>3112</v>
      </c>
      <c r="K115" s="202">
        <v>0</v>
      </c>
      <c r="L115" s="202" t="s">
        <v>1771</v>
      </c>
      <c r="M115" s="202">
        <v>0</v>
      </c>
      <c r="N115" s="202">
        <v>2</v>
      </c>
      <c r="O115" s="202">
        <v>8</v>
      </c>
      <c r="P115" s="202">
        <v>3</v>
      </c>
      <c r="Q115" s="202">
        <v>5</v>
      </c>
      <c r="R115" s="202">
        <v>0</v>
      </c>
      <c r="S115" s="202">
        <v>0</v>
      </c>
      <c r="T115" s="202">
        <v>0</v>
      </c>
      <c r="U115" s="202">
        <v>0</v>
      </c>
      <c r="V115" s="202">
        <v>0</v>
      </c>
      <c r="W115" s="202">
        <v>0</v>
      </c>
      <c r="X115" s="202">
        <v>0</v>
      </c>
      <c r="Y115" s="202">
        <v>0</v>
      </c>
      <c r="Z115" s="202">
        <v>0</v>
      </c>
      <c r="AA115" s="202">
        <v>0</v>
      </c>
      <c r="AB115" s="202">
        <v>0</v>
      </c>
      <c r="AC115" s="202">
        <v>0</v>
      </c>
      <c r="AD115" s="202">
        <v>0</v>
      </c>
      <c r="AE115" s="202">
        <v>0</v>
      </c>
      <c r="AF115" s="202">
        <v>0</v>
      </c>
      <c r="AG115" s="202">
        <v>0</v>
      </c>
      <c r="AH115" s="202">
        <v>0</v>
      </c>
      <c r="AI115" s="202">
        <v>0</v>
      </c>
      <c r="AJ115" s="202">
        <v>0</v>
      </c>
      <c r="AK115" s="202">
        <v>0</v>
      </c>
      <c r="AL115" s="202">
        <v>0</v>
      </c>
      <c r="AM115" s="202">
        <v>0</v>
      </c>
      <c r="AN115" s="202">
        <v>0</v>
      </c>
      <c r="AO115" s="202">
        <v>0</v>
      </c>
      <c r="AP115" s="202">
        <v>0</v>
      </c>
      <c r="AQ115" s="202">
        <v>20160720</v>
      </c>
      <c r="AR115" s="202">
        <v>0</v>
      </c>
      <c r="AS115" s="202">
        <v>0</v>
      </c>
      <c r="AT115" s="202">
        <v>2</v>
      </c>
      <c r="AU115" s="202">
        <v>0</v>
      </c>
      <c r="AV115" s="202">
        <v>5</v>
      </c>
      <c r="AX115" s="202" t="s">
        <v>2086</v>
      </c>
      <c r="AY115" s="202">
        <v>113</v>
      </c>
    </row>
    <row r="116" spans="1:51">
      <c r="A116" s="202" t="str">
        <f t="shared" si="7"/>
        <v>李乾明</v>
      </c>
      <c r="B116" s="202">
        <f>IF(C116&lt;&gt;"NA",C116,VLOOKUP(K116,Update_from_YIFIP!$X$2:$AD$174,7,FALSE))</f>
        <v>50</v>
      </c>
      <c r="C116" s="207">
        <f t="shared" si="4"/>
        <v>50</v>
      </c>
      <c r="D116" s="207">
        <f t="shared" si="5"/>
        <v>50</v>
      </c>
      <c r="E116" s="202" t="s">
        <v>2073</v>
      </c>
      <c r="F116" s="202" t="s">
        <v>3149</v>
      </c>
      <c r="G116" s="202" t="s">
        <v>3150</v>
      </c>
      <c r="H116" s="207" t="str">
        <f t="shared" si="6"/>
        <v>NA</v>
      </c>
      <c r="I116" s="202" t="s">
        <v>1929</v>
      </c>
      <c r="J116" s="202" t="s">
        <v>3147</v>
      </c>
      <c r="K116" s="202">
        <v>0</v>
      </c>
      <c r="L116" s="202" t="s">
        <v>1787</v>
      </c>
      <c r="M116" s="202">
        <v>5</v>
      </c>
      <c r="N116" s="202">
        <v>0</v>
      </c>
      <c r="O116" s="202">
        <v>14</v>
      </c>
      <c r="P116" s="202">
        <v>2</v>
      </c>
      <c r="Q116" s="202">
        <v>2</v>
      </c>
      <c r="R116" s="202">
        <v>2</v>
      </c>
      <c r="S116" s="202">
        <v>3</v>
      </c>
      <c r="T116" s="202">
        <v>5</v>
      </c>
      <c r="U116" s="202">
        <v>0</v>
      </c>
      <c r="V116" s="202">
        <v>0</v>
      </c>
      <c r="W116" s="202">
        <v>0</v>
      </c>
      <c r="X116" s="202">
        <v>0</v>
      </c>
      <c r="Y116" s="202">
        <v>0</v>
      </c>
      <c r="Z116" s="202">
        <v>0</v>
      </c>
      <c r="AA116" s="202">
        <v>0</v>
      </c>
      <c r="AB116" s="202">
        <v>0</v>
      </c>
      <c r="AC116" s="202">
        <v>0</v>
      </c>
      <c r="AD116" s="202">
        <v>0</v>
      </c>
      <c r="AE116" s="202">
        <v>0</v>
      </c>
      <c r="AF116" s="202">
        <v>0</v>
      </c>
      <c r="AG116" s="202">
        <v>0</v>
      </c>
      <c r="AH116" s="202">
        <v>0</v>
      </c>
      <c r="AI116" s="202">
        <v>0</v>
      </c>
      <c r="AJ116" s="202">
        <v>0</v>
      </c>
      <c r="AK116" s="202">
        <v>0</v>
      </c>
      <c r="AL116" s="202">
        <v>0</v>
      </c>
      <c r="AM116" s="202">
        <v>0</v>
      </c>
      <c r="AN116" s="202">
        <v>0</v>
      </c>
      <c r="AO116" s="202">
        <v>0</v>
      </c>
      <c r="AP116" s="202">
        <v>0</v>
      </c>
      <c r="AQ116" s="202" t="s">
        <v>3148</v>
      </c>
      <c r="AR116" s="202">
        <v>0</v>
      </c>
      <c r="AS116" s="202">
        <v>0</v>
      </c>
      <c r="AT116" s="202">
        <v>1</v>
      </c>
      <c r="AU116" s="202">
        <v>0</v>
      </c>
      <c r="AV116" s="202">
        <v>5</v>
      </c>
      <c r="AX116" s="202" t="s">
        <v>2098</v>
      </c>
      <c r="AY116" s="202">
        <v>114</v>
      </c>
    </row>
    <row r="117" spans="1:51">
      <c r="A117" s="202" t="str">
        <f t="shared" si="7"/>
        <v>李乾明</v>
      </c>
      <c r="B117" s="202">
        <f>IF(C117&lt;&gt;"NA",C117,VLOOKUP(K117,Update_from_YIFIP!$X$2:$AD$174,7,FALSE))</f>
        <v>50</v>
      </c>
      <c r="C117" s="207">
        <f t="shared" si="4"/>
        <v>50</v>
      </c>
      <c r="D117" s="207">
        <f t="shared" si="5"/>
        <v>50</v>
      </c>
      <c r="E117" s="202" t="s">
        <v>2073</v>
      </c>
      <c r="F117" s="202" t="s">
        <v>3149</v>
      </c>
      <c r="G117" s="202" t="s">
        <v>3150</v>
      </c>
      <c r="H117" s="207" t="str">
        <f t="shared" si="6"/>
        <v>NA</v>
      </c>
      <c r="I117" s="202" t="s">
        <v>1929</v>
      </c>
      <c r="J117" s="202" t="s">
        <v>3147</v>
      </c>
      <c r="K117" s="202">
        <v>0</v>
      </c>
      <c r="L117" s="202" t="s">
        <v>1788</v>
      </c>
      <c r="M117" s="202">
        <v>0</v>
      </c>
      <c r="N117" s="202">
        <v>5</v>
      </c>
      <c r="O117" s="202">
        <v>6</v>
      </c>
      <c r="P117" s="202">
        <v>1</v>
      </c>
      <c r="Q117" s="202">
        <v>1</v>
      </c>
      <c r="R117" s="202">
        <v>1</v>
      </c>
      <c r="S117" s="202">
        <v>1</v>
      </c>
      <c r="T117" s="202">
        <v>2</v>
      </c>
      <c r="U117" s="202">
        <v>0</v>
      </c>
      <c r="V117" s="202">
        <v>0</v>
      </c>
      <c r="W117" s="202">
        <v>0</v>
      </c>
      <c r="X117" s="202">
        <v>0</v>
      </c>
      <c r="Y117" s="202">
        <v>0</v>
      </c>
      <c r="Z117" s="202">
        <v>0</v>
      </c>
      <c r="AA117" s="202">
        <v>0</v>
      </c>
      <c r="AB117" s="202">
        <v>0</v>
      </c>
      <c r="AC117" s="202">
        <v>0</v>
      </c>
      <c r="AD117" s="202">
        <v>0</v>
      </c>
      <c r="AE117" s="202">
        <v>0</v>
      </c>
      <c r="AF117" s="202">
        <v>0</v>
      </c>
      <c r="AG117" s="202">
        <v>0</v>
      </c>
      <c r="AH117" s="202">
        <v>0</v>
      </c>
      <c r="AI117" s="202">
        <v>0</v>
      </c>
      <c r="AJ117" s="202">
        <v>0</v>
      </c>
      <c r="AK117" s="202">
        <v>0</v>
      </c>
      <c r="AL117" s="202">
        <v>0</v>
      </c>
      <c r="AM117" s="202">
        <v>0</v>
      </c>
      <c r="AN117" s="202">
        <v>0</v>
      </c>
      <c r="AO117" s="202">
        <v>0</v>
      </c>
      <c r="AP117" s="202">
        <v>0</v>
      </c>
      <c r="AQ117" s="202" t="s">
        <v>3151</v>
      </c>
      <c r="AR117" s="202">
        <v>0</v>
      </c>
      <c r="AS117" s="202">
        <v>0</v>
      </c>
      <c r="AT117" s="202">
        <v>1.5</v>
      </c>
      <c r="AU117" s="202">
        <v>0</v>
      </c>
      <c r="AV117" s="202">
        <v>3</v>
      </c>
      <c r="AX117" s="202" t="s">
        <v>2147</v>
      </c>
      <c r="AY117" s="202">
        <v>115</v>
      </c>
    </row>
    <row r="118" spans="1:51">
      <c r="A118" s="202" t="str">
        <f t="shared" si="7"/>
        <v>杨子光</v>
      </c>
      <c r="B118" s="202">
        <f>IF(C118&lt;&gt;"NA",C118,VLOOKUP(K118,Update_from_YIFIP!$X$2:$AD$174,7,FALSE))</f>
        <v>51</v>
      </c>
      <c r="C118" s="207">
        <f t="shared" si="4"/>
        <v>51</v>
      </c>
      <c r="D118" s="207">
        <f t="shared" si="5"/>
        <v>51</v>
      </c>
      <c r="E118" s="202" t="s">
        <v>2145</v>
      </c>
      <c r="F118" s="202" t="s">
        <v>3133</v>
      </c>
      <c r="G118" s="202" t="s">
        <v>3134</v>
      </c>
      <c r="H118" s="207" t="str">
        <f t="shared" si="6"/>
        <v>NA</v>
      </c>
      <c r="I118" s="202" t="s">
        <v>1929</v>
      </c>
      <c r="J118" s="202" t="s">
        <v>3131</v>
      </c>
      <c r="K118" s="202">
        <v>0</v>
      </c>
      <c r="L118" s="202" t="s">
        <v>1780</v>
      </c>
      <c r="M118" s="202">
        <v>1</v>
      </c>
      <c r="N118" s="202">
        <v>0</v>
      </c>
      <c r="O118" s="202">
        <v>2</v>
      </c>
      <c r="P118" s="202">
        <v>2</v>
      </c>
      <c r="Q118" s="202">
        <v>0</v>
      </c>
      <c r="R118" s="202">
        <v>0</v>
      </c>
      <c r="S118" s="202">
        <v>0</v>
      </c>
      <c r="T118" s="202">
        <v>0</v>
      </c>
      <c r="U118" s="202">
        <v>0</v>
      </c>
      <c r="V118" s="202">
        <v>0</v>
      </c>
      <c r="W118" s="202">
        <v>0</v>
      </c>
      <c r="X118" s="202">
        <v>0</v>
      </c>
      <c r="Y118" s="202">
        <v>0</v>
      </c>
      <c r="Z118" s="202">
        <v>0</v>
      </c>
      <c r="AA118" s="202">
        <v>0</v>
      </c>
      <c r="AB118" s="202">
        <v>0</v>
      </c>
      <c r="AC118" s="202">
        <v>0</v>
      </c>
      <c r="AD118" s="202">
        <v>0</v>
      </c>
      <c r="AE118" s="202">
        <v>0</v>
      </c>
      <c r="AF118" s="202">
        <v>0</v>
      </c>
      <c r="AG118" s="202">
        <v>0</v>
      </c>
      <c r="AH118" s="202">
        <v>0</v>
      </c>
      <c r="AI118" s="202">
        <v>0</v>
      </c>
      <c r="AJ118" s="202">
        <v>0</v>
      </c>
      <c r="AK118" s="202">
        <v>0</v>
      </c>
      <c r="AL118" s="202">
        <v>0</v>
      </c>
      <c r="AM118" s="202">
        <v>0</v>
      </c>
      <c r="AN118" s="202">
        <v>0</v>
      </c>
      <c r="AO118" s="202">
        <v>0</v>
      </c>
      <c r="AP118" s="202">
        <v>0</v>
      </c>
      <c r="AQ118" s="202" t="s">
        <v>3132</v>
      </c>
      <c r="AR118" s="202">
        <v>0</v>
      </c>
      <c r="AS118" s="202">
        <v>0</v>
      </c>
      <c r="AT118" s="202">
        <v>2.5</v>
      </c>
      <c r="AU118" s="202">
        <v>0</v>
      </c>
      <c r="AV118" s="202" t="s">
        <v>341</v>
      </c>
      <c r="AX118" s="202" t="s">
        <v>2147</v>
      </c>
      <c r="AY118" s="202">
        <v>116</v>
      </c>
    </row>
    <row r="119" spans="1:51">
      <c r="A119" s="202" t="str">
        <f t="shared" si="7"/>
        <v>涂思学</v>
      </c>
      <c r="B119" s="202">
        <f>IF(C119&lt;&gt;"NA",C119,VLOOKUP(K119,Update_from_YIFIP!$X$2:$AD$174,7,FALSE))</f>
        <v>52</v>
      </c>
      <c r="C119" s="207">
        <f t="shared" si="4"/>
        <v>52</v>
      </c>
      <c r="D119" s="207">
        <f>IF(ISNA(VLOOKUP(E119,$AX$2:$AY$173,2,FALSE)) = TRUE, "NA", VLOOKUP(E119,$AX$2:$AY$173,2,FALSE))</f>
        <v>52</v>
      </c>
      <c r="E119" s="202" t="s">
        <v>2115</v>
      </c>
      <c r="F119" s="202" t="s">
        <v>3110</v>
      </c>
      <c r="G119" s="202" t="s">
        <v>3111</v>
      </c>
      <c r="H119" s="207" t="str">
        <f t="shared" si="6"/>
        <v>NA</v>
      </c>
      <c r="I119" s="202" t="s">
        <v>1929</v>
      </c>
      <c r="J119" s="202" t="s">
        <v>3109</v>
      </c>
      <c r="K119" s="202">
        <v>0</v>
      </c>
      <c r="L119" s="202" t="s">
        <v>1770</v>
      </c>
      <c r="M119" s="202">
        <v>0</v>
      </c>
      <c r="N119" s="202">
        <v>5</v>
      </c>
      <c r="O119" s="202">
        <v>15</v>
      </c>
      <c r="P119" s="202">
        <v>4</v>
      </c>
      <c r="Q119" s="202">
        <v>2</v>
      </c>
      <c r="R119" s="202">
        <v>2</v>
      </c>
      <c r="S119" s="202">
        <v>1</v>
      </c>
      <c r="T119" s="202">
        <v>6</v>
      </c>
      <c r="U119" s="202">
        <v>0</v>
      </c>
      <c r="V119" s="202">
        <v>0</v>
      </c>
      <c r="W119" s="202">
        <v>0</v>
      </c>
      <c r="X119" s="202">
        <v>0</v>
      </c>
      <c r="Y119" s="202">
        <v>0</v>
      </c>
      <c r="Z119" s="202">
        <v>0</v>
      </c>
      <c r="AA119" s="202">
        <v>0</v>
      </c>
      <c r="AB119" s="202">
        <v>0</v>
      </c>
      <c r="AC119" s="202">
        <v>0</v>
      </c>
      <c r="AD119" s="202">
        <v>0</v>
      </c>
      <c r="AE119" s="202">
        <v>0</v>
      </c>
      <c r="AF119" s="202">
        <v>0</v>
      </c>
      <c r="AG119" s="202">
        <v>0</v>
      </c>
      <c r="AH119" s="202">
        <v>0</v>
      </c>
      <c r="AI119" s="202">
        <v>0</v>
      </c>
      <c r="AJ119" s="202">
        <v>0</v>
      </c>
      <c r="AK119" s="202">
        <v>0</v>
      </c>
      <c r="AL119" s="202">
        <v>0</v>
      </c>
      <c r="AM119" s="202">
        <v>0</v>
      </c>
      <c r="AN119" s="202">
        <v>0</v>
      </c>
      <c r="AO119" s="202">
        <v>0</v>
      </c>
      <c r="AP119" s="202">
        <v>0</v>
      </c>
      <c r="AQ119" s="202">
        <v>20160717</v>
      </c>
      <c r="AR119" s="202">
        <v>0</v>
      </c>
      <c r="AS119" s="202">
        <v>0</v>
      </c>
      <c r="AT119" s="202">
        <v>3</v>
      </c>
      <c r="AU119" s="202">
        <v>0</v>
      </c>
      <c r="AV119" s="202">
        <v>5</v>
      </c>
      <c r="AX119" s="202" t="s">
        <v>2034</v>
      </c>
      <c r="AY119" s="202">
        <v>117</v>
      </c>
    </row>
    <row r="120" spans="1:51">
      <c r="A120" s="202" t="str">
        <f t="shared" si="7"/>
        <v>李先明</v>
      </c>
      <c r="B120" s="202">
        <f>IF(C120&lt;&gt;"NA",C120,VLOOKUP(K120,Update_from_YIFIP!$X$2:$AD$174,7,FALSE))</f>
        <v>53</v>
      </c>
      <c r="C120" s="207">
        <f t="shared" si="4"/>
        <v>53</v>
      </c>
      <c r="D120" s="207">
        <f t="shared" si="5"/>
        <v>53</v>
      </c>
      <c r="E120" s="202" t="s">
        <v>2082</v>
      </c>
      <c r="F120" s="202" t="s">
        <v>3103</v>
      </c>
      <c r="G120" s="202" t="s">
        <v>3104</v>
      </c>
      <c r="H120" s="207" t="str">
        <f t="shared" si="6"/>
        <v>NA</v>
      </c>
      <c r="I120" s="202" t="s">
        <v>1929</v>
      </c>
      <c r="J120" s="202" t="s">
        <v>3102</v>
      </c>
      <c r="K120" s="202">
        <v>0</v>
      </c>
      <c r="L120" s="202" t="s">
        <v>1767</v>
      </c>
      <c r="M120" s="202">
        <v>0</v>
      </c>
      <c r="N120" s="202">
        <v>1</v>
      </c>
      <c r="O120" s="202">
        <v>1</v>
      </c>
      <c r="P120" s="202">
        <v>1</v>
      </c>
      <c r="Q120" s="202">
        <v>0</v>
      </c>
      <c r="R120" s="202">
        <v>0</v>
      </c>
      <c r="S120" s="202">
        <v>0</v>
      </c>
      <c r="T120" s="202">
        <v>0</v>
      </c>
      <c r="U120" s="202">
        <v>0</v>
      </c>
      <c r="V120" s="202">
        <v>0</v>
      </c>
      <c r="W120" s="202">
        <v>0</v>
      </c>
      <c r="X120" s="202">
        <v>0</v>
      </c>
      <c r="Y120" s="202">
        <v>0</v>
      </c>
      <c r="Z120" s="202">
        <v>0</v>
      </c>
      <c r="AA120" s="202">
        <v>0</v>
      </c>
      <c r="AB120" s="202">
        <v>0</v>
      </c>
      <c r="AC120" s="202">
        <v>0</v>
      </c>
      <c r="AD120" s="202">
        <v>0</v>
      </c>
      <c r="AE120" s="202">
        <v>0</v>
      </c>
      <c r="AF120" s="202">
        <v>0</v>
      </c>
      <c r="AG120" s="202">
        <v>0</v>
      </c>
      <c r="AH120" s="202">
        <v>0</v>
      </c>
      <c r="AI120" s="202">
        <v>0</v>
      </c>
      <c r="AJ120" s="202">
        <v>0</v>
      </c>
      <c r="AK120" s="202">
        <v>0</v>
      </c>
      <c r="AL120" s="202">
        <v>0</v>
      </c>
      <c r="AM120" s="202">
        <v>0</v>
      </c>
      <c r="AN120" s="202">
        <v>0</v>
      </c>
      <c r="AO120" s="202">
        <v>0</v>
      </c>
      <c r="AP120" s="202">
        <v>0</v>
      </c>
      <c r="AQ120" s="202" t="s">
        <v>2795</v>
      </c>
      <c r="AR120" s="202">
        <v>0</v>
      </c>
      <c r="AS120" s="202">
        <v>0</v>
      </c>
      <c r="AT120" s="202">
        <v>0.5</v>
      </c>
      <c r="AU120" s="202" t="s">
        <v>2319</v>
      </c>
      <c r="AV120" s="202">
        <v>1</v>
      </c>
      <c r="AX120" s="202" t="s">
        <v>2034</v>
      </c>
      <c r="AY120" s="202">
        <v>118</v>
      </c>
    </row>
    <row r="121" spans="1:51">
      <c r="A121" s="202" t="str">
        <f t="shared" si="7"/>
        <v>周正航</v>
      </c>
      <c r="B121" s="202">
        <f>IF(C121&lt;&gt;"NA",C121,VLOOKUP(K121,Update_from_YIFIP!$X$2:$AD$174,7,FALSE))</f>
        <v>55</v>
      </c>
      <c r="C121" s="207">
        <f t="shared" si="4"/>
        <v>55</v>
      </c>
      <c r="D121" s="207">
        <f t="shared" si="5"/>
        <v>55</v>
      </c>
      <c r="E121" s="202" t="s">
        <v>2164</v>
      </c>
      <c r="F121" s="202" t="s">
        <v>1929</v>
      </c>
      <c r="G121" s="202" t="s">
        <v>1929</v>
      </c>
      <c r="H121" s="207" t="str">
        <f t="shared" si="6"/>
        <v>NA</v>
      </c>
      <c r="I121" s="202" t="s">
        <v>1929</v>
      </c>
      <c r="J121" s="202" t="s">
        <v>3120</v>
      </c>
      <c r="K121" s="202">
        <v>0</v>
      </c>
      <c r="L121" s="202" t="s">
        <v>1774</v>
      </c>
      <c r="M121" s="202">
        <v>1</v>
      </c>
      <c r="N121" s="202">
        <v>0</v>
      </c>
      <c r="O121" s="202">
        <v>6</v>
      </c>
      <c r="P121" s="202">
        <v>6</v>
      </c>
      <c r="Q121" s="202">
        <v>0</v>
      </c>
      <c r="R121" s="202">
        <v>0</v>
      </c>
      <c r="S121" s="202">
        <v>0</v>
      </c>
      <c r="T121" s="202">
        <v>0</v>
      </c>
      <c r="U121" s="202">
        <v>0</v>
      </c>
      <c r="V121" s="202">
        <v>0</v>
      </c>
      <c r="W121" s="202">
        <v>0</v>
      </c>
      <c r="X121" s="202">
        <v>0</v>
      </c>
      <c r="Y121" s="202">
        <v>0</v>
      </c>
      <c r="Z121" s="202">
        <v>0</v>
      </c>
      <c r="AA121" s="202">
        <v>0</v>
      </c>
      <c r="AB121" s="202">
        <v>0</v>
      </c>
      <c r="AC121" s="202">
        <v>0</v>
      </c>
      <c r="AD121" s="202">
        <v>0</v>
      </c>
      <c r="AE121" s="202">
        <v>0</v>
      </c>
      <c r="AF121" s="202">
        <v>0</v>
      </c>
      <c r="AG121" s="202">
        <v>0</v>
      </c>
      <c r="AH121" s="202">
        <v>0</v>
      </c>
      <c r="AI121" s="202">
        <v>0</v>
      </c>
      <c r="AJ121" s="202">
        <v>0</v>
      </c>
      <c r="AK121" s="202">
        <v>0</v>
      </c>
      <c r="AL121" s="202">
        <v>0</v>
      </c>
      <c r="AM121" s="202">
        <v>0</v>
      </c>
      <c r="AN121" s="202">
        <v>0</v>
      </c>
      <c r="AO121" s="202">
        <v>0</v>
      </c>
      <c r="AP121" s="202">
        <v>0</v>
      </c>
      <c r="AQ121" s="202" t="s">
        <v>3121</v>
      </c>
      <c r="AR121" s="202">
        <v>0</v>
      </c>
      <c r="AS121" s="202">
        <v>0</v>
      </c>
      <c r="AT121" s="202">
        <v>1.5</v>
      </c>
      <c r="AU121" s="202">
        <v>0</v>
      </c>
      <c r="AV121" s="202">
        <v>10</v>
      </c>
      <c r="AX121" s="202" t="s">
        <v>2095</v>
      </c>
      <c r="AY121" s="202">
        <v>119</v>
      </c>
    </row>
    <row r="122" spans="1:51">
      <c r="A122" s="202" t="str">
        <f t="shared" si="7"/>
        <v>周正航</v>
      </c>
      <c r="B122" s="202">
        <f>IF(C122&lt;&gt;"NA",C122,VLOOKUP(K122,Update_from_YIFIP!$X$2:$AD$174,7,FALSE))</f>
        <v>55</v>
      </c>
      <c r="C122" s="207">
        <f t="shared" si="4"/>
        <v>55</v>
      </c>
      <c r="D122" s="207">
        <f t="shared" si="5"/>
        <v>55</v>
      </c>
      <c r="E122" s="202" t="s">
        <v>2164</v>
      </c>
      <c r="F122" s="202" t="s">
        <v>1929</v>
      </c>
      <c r="G122" s="202" t="s">
        <v>1929</v>
      </c>
      <c r="H122" s="207" t="str">
        <f t="shared" si="6"/>
        <v>NA</v>
      </c>
      <c r="I122" s="202" t="s">
        <v>1929</v>
      </c>
      <c r="J122" s="202" t="s">
        <v>3122</v>
      </c>
      <c r="K122" s="202">
        <v>0</v>
      </c>
      <c r="L122" s="202" t="s">
        <v>1775</v>
      </c>
      <c r="M122" s="202">
        <v>1</v>
      </c>
      <c r="N122" s="202">
        <v>0</v>
      </c>
      <c r="O122" s="202">
        <v>10</v>
      </c>
      <c r="P122" s="202">
        <v>10</v>
      </c>
      <c r="Q122" s="202">
        <v>0</v>
      </c>
      <c r="R122" s="202">
        <v>0</v>
      </c>
      <c r="S122" s="202">
        <v>0</v>
      </c>
      <c r="T122" s="202">
        <v>0</v>
      </c>
      <c r="U122" s="202">
        <v>0</v>
      </c>
      <c r="V122" s="202">
        <v>0</v>
      </c>
      <c r="W122" s="202">
        <v>0</v>
      </c>
      <c r="X122" s="202">
        <v>0</v>
      </c>
      <c r="Y122" s="202">
        <v>0</v>
      </c>
      <c r="Z122" s="202">
        <v>0</v>
      </c>
      <c r="AA122" s="202">
        <v>0</v>
      </c>
      <c r="AB122" s="202">
        <v>0</v>
      </c>
      <c r="AC122" s="202">
        <v>0</v>
      </c>
      <c r="AD122" s="202">
        <v>0</v>
      </c>
      <c r="AE122" s="202">
        <v>0</v>
      </c>
      <c r="AF122" s="202">
        <v>0</v>
      </c>
      <c r="AG122" s="202">
        <v>0</v>
      </c>
      <c r="AH122" s="202">
        <v>0</v>
      </c>
      <c r="AI122" s="202">
        <v>0</v>
      </c>
      <c r="AJ122" s="202">
        <v>0</v>
      </c>
      <c r="AK122" s="202">
        <v>0</v>
      </c>
      <c r="AL122" s="202">
        <v>0</v>
      </c>
      <c r="AM122" s="202">
        <v>0</v>
      </c>
      <c r="AN122" s="202">
        <v>0</v>
      </c>
      <c r="AO122" s="202">
        <v>0</v>
      </c>
      <c r="AP122" s="202">
        <v>0</v>
      </c>
      <c r="AQ122" s="202" t="s">
        <v>3123</v>
      </c>
      <c r="AR122" s="202">
        <v>0</v>
      </c>
      <c r="AS122" s="202">
        <v>0</v>
      </c>
      <c r="AT122" s="202">
        <v>2</v>
      </c>
      <c r="AU122" s="202">
        <v>0</v>
      </c>
      <c r="AV122" s="202">
        <v>10</v>
      </c>
      <c r="AX122" s="202" t="s">
        <v>3302</v>
      </c>
      <c r="AY122" s="202">
        <v>120</v>
      </c>
    </row>
    <row r="123" spans="1:51">
      <c r="A123" s="202" t="str">
        <f t="shared" si="7"/>
        <v>阿发科</v>
      </c>
      <c r="B123" s="202">
        <f>IF(C123&lt;&gt;"NA",C123,VLOOKUP(K123,Update_from_YIFIP!$X$2:$AD$174,7,FALSE))</f>
        <v>61</v>
      </c>
      <c r="C123" s="207">
        <f t="shared" si="4"/>
        <v>61</v>
      </c>
      <c r="D123" s="207">
        <f t="shared" si="5"/>
        <v>61</v>
      </c>
      <c r="E123" s="202" t="s">
        <v>2025</v>
      </c>
      <c r="F123" s="202" t="s">
        <v>1929</v>
      </c>
      <c r="G123" s="202" t="s">
        <v>3108</v>
      </c>
      <c r="H123" s="207" t="str">
        <f t="shared" si="6"/>
        <v>NA</v>
      </c>
      <c r="I123" s="202" t="s">
        <v>1929</v>
      </c>
      <c r="J123" s="202" t="s">
        <v>3107</v>
      </c>
      <c r="K123" s="202">
        <v>0</v>
      </c>
      <c r="L123" s="202" t="s">
        <v>1769</v>
      </c>
      <c r="M123" s="202">
        <v>0</v>
      </c>
      <c r="N123" s="202">
        <v>11</v>
      </c>
      <c r="O123" s="202">
        <v>13</v>
      </c>
      <c r="P123" s="202">
        <v>1</v>
      </c>
      <c r="Q123" s="202">
        <v>1</v>
      </c>
      <c r="R123" s="202">
        <v>1</v>
      </c>
      <c r="S123" s="202">
        <v>1</v>
      </c>
      <c r="T123" s="202">
        <v>1</v>
      </c>
      <c r="U123" s="202">
        <v>1</v>
      </c>
      <c r="V123" s="202">
        <v>1</v>
      </c>
      <c r="W123" s="202">
        <v>1</v>
      </c>
      <c r="X123" s="202">
        <v>1</v>
      </c>
      <c r="Y123" s="202">
        <v>1</v>
      </c>
      <c r="Z123" s="202">
        <v>3</v>
      </c>
      <c r="AA123" s="202">
        <v>0</v>
      </c>
      <c r="AB123" s="202">
        <v>0</v>
      </c>
      <c r="AC123" s="202">
        <v>0</v>
      </c>
      <c r="AD123" s="202">
        <v>0</v>
      </c>
      <c r="AE123" s="202">
        <v>0</v>
      </c>
      <c r="AF123" s="202">
        <v>0</v>
      </c>
      <c r="AG123" s="202">
        <v>0</v>
      </c>
      <c r="AH123" s="202">
        <v>0</v>
      </c>
      <c r="AI123" s="202">
        <v>0</v>
      </c>
      <c r="AJ123" s="202">
        <v>0</v>
      </c>
      <c r="AK123" s="202">
        <v>0</v>
      </c>
      <c r="AL123" s="202">
        <v>0</v>
      </c>
      <c r="AM123" s="202">
        <v>0</v>
      </c>
      <c r="AN123" s="202">
        <v>0</v>
      </c>
      <c r="AO123" s="202">
        <v>0</v>
      </c>
      <c r="AP123" s="202">
        <v>0</v>
      </c>
      <c r="AQ123" s="202">
        <v>20160815</v>
      </c>
      <c r="AR123" s="202">
        <v>0</v>
      </c>
      <c r="AS123" s="202">
        <v>0</v>
      </c>
      <c r="AT123" s="202">
        <v>10</v>
      </c>
      <c r="AU123" s="202">
        <v>0</v>
      </c>
      <c r="AV123" s="202">
        <v>2</v>
      </c>
      <c r="AX123" s="202" t="s">
        <v>2068</v>
      </c>
      <c r="AY123" s="202">
        <v>121</v>
      </c>
    </row>
    <row r="124" spans="1:51">
      <c r="A124" s="202" t="str">
        <f t="shared" si="7"/>
        <v>阿发旺</v>
      </c>
      <c r="B124" s="202">
        <f>IF(C124&lt;&gt;"NA",C124,VLOOKUP(K124,Update_from_YIFIP!$X$2:$AD$174,7,FALSE))</f>
        <v>63</v>
      </c>
      <c r="C124" s="207">
        <f t="shared" si="4"/>
        <v>63</v>
      </c>
      <c r="D124" s="207">
        <f t="shared" si="5"/>
        <v>63</v>
      </c>
      <c r="E124" s="202" t="s">
        <v>2026</v>
      </c>
      <c r="F124" s="202" t="s">
        <v>1929</v>
      </c>
      <c r="G124" s="202" t="s">
        <v>3136</v>
      </c>
      <c r="H124" s="207" t="str">
        <f t="shared" si="6"/>
        <v>NA</v>
      </c>
      <c r="I124" s="202" t="s">
        <v>1929</v>
      </c>
      <c r="J124" s="202" t="s">
        <v>3135</v>
      </c>
      <c r="K124" s="202">
        <v>0</v>
      </c>
      <c r="L124" s="202" t="s">
        <v>1781</v>
      </c>
      <c r="M124" s="202">
        <v>1</v>
      </c>
      <c r="N124" s="202">
        <v>0</v>
      </c>
      <c r="O124" s="202">
        <v>3</v>
      </c>
      <c r="P124" s="202">
        <v>3</v>
      </c>
      <c r="Q124" s="202">
        <v>0</v>
      </c>
      <c r="R124" s="202">
        <v>0</v>
      </c>
      <c r="S124" s="202">
        <v>0</v>
      </c>
      <c r="T124" s="202">
        <v>0</v>
      </c>
      <c r="U124" s="202">
        <v>0</v>
      </c>
      <c r="V124" s="202">
        <v>0</v>
      </c>
      <c r="W124" s="202">
        <v>0</v>
      </c>
      <c r="X124" s="202">
        <v>0</v>
      </c>
      <c r="Y124" s="202">
        <v>0</v>
      </c>
      <c r="Z124" s="202">
        <v>0</v>
      </c>
      <c r="AA124" s="202">
        <v>0</v>
      </c>
      <c r="AB124" s="202">
        <v>0</v>
      </c>
      <c r="AC124" s="202">
        <v>0</v>
      </c>
      <c r="AD124" s="202">
        <v>0</v>
      </c>
      <c r="AE124" s="202">
        <v>0</v>
      </c>
      <c r="AF124" s="202">
        <v>0</v>
      </c>
      <c r="AG124" s="202">
        <v>0</v>
      </c>
      <c r="AH124" s="202">
        <v>0</v>
      </c>
      <c r="AI124" s="202">
        <v>0</v>
      </c>
      <c r="AJ124" s="202">
        <v>0</v>
      </c>
      <c r="AK124" s="202">
        <v>0</v>
      </c>
      <c r="AL124" s="202">
        <v>0</v>
      </c>
      <c r="AM124" s="202">
        <v>0</v>
      </c>
      <c r="AN124" s="202">
        <v>0</v>
      </c>
      <c r="AO124" s="202">
        <v>0</v>
      </c>
      <c r="AP124" s="202">
        <v>0</v>
      </c>
      <c r="AQ124" s="202" t="s">
        <v>2795</v>
      </c>
      <c r="AR124" s="202">
        <v>0</v>
      </c>
      <c r="AS124" s="202">
        <v>0</v>
      </c>
      <c r="AT124" s="202">
        <v>0.5</v>
      </c>
      <c r="AU124" s="202" t="s">
        <v>2319</v>
      </c>
      <c r="AV124" s="202">
        <v>3</v>
      </c>
      <c r="AX124" s="202" t="s">
        <v>2087</v>
      </c>
      <c r="AY124" s="202">
        <v>122</v>
      </c>
    </row>
    <row r="125" spans="1:51">
      <c r="A125" s="202" t="str">
        <f t="shared" si="7"/>
        <v>阿发旺</v>
      </c>
      <c r="B125" s="202">
        <f>IF(C125&lt;&gt;"NA",C125,VLOOKUP(K125,Update_from_YIFIP!$X$2:$AD$174,7,FALSE))</f>
        <v>63</v>
      </c>
      <c r="C125" s="207">
        <f t="shared" si="4"/>
        <v>63</v>
      </c>
      <c r="D125" s="207">
        <f t="shared" si="5"/>
        <v>63</v>
      </c>
      <c r="E125" s="202" t="s">
        <v>2026</v>
      </c>
      <c r="F125" s="202" t="s">
        <v>1929</v>
      </c>
      <c r="G125" s="202" t="s">
        <v>3136</v>
      </c>
      <c r="H125" s="207" t="str">
        <f t="shared" si="6"/>
        <v>NA</v>
      </c>
      <c r="I125" s="202" t="s">
        <v>1929</v>
      </c>
      <c r="J125" s="202" t="s">
        <v>3135</v>
      </c>
      <c r="K125" s="202">
        <v>0</v>
      </c>
      <c r="L125" s="202" t="s">
        <v>1782</v>
      </c>
      <c r="M125" s="202">
        <v>5</v>
      </c>
      <c r="N125" s="202">
        <v>0</v>
      </c>
      <c r="O125" s="202">
        <v>15</v>
      </c>
      <c r="P125" s="202">
        <v>1</v>
      </c>
      <c r="Q125" s="202">
        <v>3</v>
      </c>
      <c r="R125" s="202">
        <v>3</v>
      </c>
      <c r="S125" s="202">
        <v>3</v>
      </c>
      <c r="T125" s="202">
        <v>5</v>
      </c>
      <c r="U125" s="202">
        <v>0</v>
      </c>
      <c r="V125" s="202">
        <v>0</v>
      </c>
      <c r="W125" s="202">
        <v>0</v>
      </c>
      <c r="X125" s="202">
        <v>0</v>
      </c>
      <c r="Y125" s="202">
        <v>0</v>
      </c>
      <c r="Z125" s="202">
        <v>0</v>
      </c>
      <c r="AA125" s="202">
        <v>0</v>
      </c>
      <c r="AB125" s="202">
        <v>0</v>
      </c>
      <c r="AC125" s="202">
        <v>0</v>
      </c>
      <c r="AD125" s="202">
        <v>0</v>
      </c>
      <c r="AE125" s="202">
        <v>0</v>
      </c>
      <c r="AF125" s="202">
        <v>0</v>
      </c>
      <c r="AG125" s="202">
        <v>0</v>
      </c>
      <c r="AH125" s="202">
        <v>0</v>
      </c>
      <c r="AI125" s="202">
        <v>0</v>
      </c>
      <c r="AJ125" s="202">
        <v>0</v>
      </c>
      <c r="AK125" s="202">
        <v>0</v>
      </c>
      <c r="AL125" s="202">
        <v>0</v>
      </c>
      <c r="AM125" s="202">
        <v>0</v>
      </c>
      <c r="AN125" s="202">
        <v>0</v>
      </c>
      <c r="AO125" s="202">
        <v>0</v>
      </c>
      <c r="AP125" s="202">
        <v>0</v>
      </c>
      <c r="AQ125" s="202" t="s">
        <v>2795</v>
      </c>
      <c r="AR125" s="202">
        <v>0</v>
      </c>
      <c r="AS125" s="202">
        <v>0</v>
      </c>
      <c r="AT125" s="202">
        <v>1</v>
      </c>
      <c r="AU125" s="202">
        <v>0</v>
      </c>
      <c r="AV125" s="202">
        <v>5</v>
      </c>
      <c r="AX125" s="202" t="s">
        <v>2030</v>
      </c>
      <c r="AY125" s="202">
        <v>123</v>
      </c>
    </row>
    <row r="126" spans="1:51">
      <c r="A126" s="202" t="str">
        <f t="shared" si="7"/>
        <v>鲁发清</v>
      </c>
      <c r="B126" s="202">
        <f>IF(C126&lt;&gt;"NA",C126,VLOOKUP(K126,Update_from_YIFIP!$X$2:$AD$174,7,FALSE))</f>
        <v>64</v>
      </c>
      <c r="C126" s="207">
        <f t="shared" si="4"/>
        <v>64</v>
      </c>
      <c r="D126" s="207">
        <f t="shared" si="5"/>
        <v>64</v>
      </c>
      <c r="E126" s="202" t="s">
        <v>2093</v>
      </c>
      <c r="F126" s="202" t="s">
        <v>3138</v>
      </c>
      <c r="G126" s="202" t="s">
        <v>3139</v>
      </c>
      <c r="H126" s="207" t="str">
        <f t="shared" si="6"/>
        <v>NA</v>
      </c>
      <c r="I126" s="202" t="s">
        <v>1929</v>
      </c>
      <c r="J126" s="202" t="s">
        <v>3137</v>
      </c>
      <c r="K126" s="202">
        <v>0</v>
      </c>
      <c r="L126" s="202" t="s">
        <v>1783</v>
      </c>
      <c r="M126" s="202">
        <v>1</v>
      </c>
      <c r="N126" s="202">
        <v>0</v>
      </c>
      <c r="O126" s="202">
        <v>2</v>
      </c>
      <c r="P126" s="202">
        <v>2</v>
      </c>
      <c r="Q126" s="202">
        <v>0</v>
      </c>
      <c r="R126" s="202">
        <v>0</v>
      </c>
      <c r="S126" s="202">
        <v>0</v>
      </c>
      <c r="T126" s="202">
        <v>0</v>
      </c>
      <c r="U126" s="202">
        <v>0</v>
      </c>
      <c r="V126" s="202">
        <v>0</v>
      </c>
      <c r="W126" s="202">
        <v>0</v>
      </c>
      <c r="X126" s="202">
        <v>0</v>
      </c>
      <c r="Y126" s="202">
        <v>0</v>
      </c>
      <c r="Z126" s="202">
        <v>0</v>
      </c>
      <c r="AA126" s="202">
        <v>0</v>
      </c>
      <c r="AB126" s="202">
        <v>0</v>
      </c>
      <c r="AC126" s="202">
        <v>0</v>
      </c>
      <c r="AD126" s="202">
        <v>0</v>
      </c>
      <c r="AE126" s="202">
        <v>0</v>
      </c>
      <c r="AF126" s="202">
        <v>0</v>
      </c>
      <c r="AG126" s="202">
        <v>0</v>
      </c>
      <c r="AH126" s="202">
        <v>0</v>
      </c>
      <c r="AI126" s="202">
        <v>0</v>
      </c>
      <c r="AJ126" s="202">
        <v>0</v>
      </c>
      <c r="AK126" s="202">
        <v>0</v>
      </c>
      <c r="AL126" s="202">
        <v>0</v>
      </c>
      <c r="AM126" s="202">
        <v>0</v>
      </c>
      <c r="AN126" s="202">
        <v>0</v>
      </c>
      <c r="AO126" s="202">
        <v>0</v>
      </c>
      <c r="AP126" s="202">
        <v>0</v>
      </c>
      <c r="AQ126" s="202">
        <v>20160730</v>
      </c>
      <c r="AR126" s="202">
        <v>0</v>
      </c>
      <c r="AS126" s="202">
        <v>0</v>
      </c>
      <c r="AT126" s="202">
        <v>10</v>
      </c>
      <c r="AU126" s="202">
        <v>0</v>
      </c>
      <c r="AV126" s="202">
        <v>1</v>
      </c>
      <c r="AX126" s="202" t="s">
        <v>2100</v>
      </c>
      <c r="AY126" s="202">
        <v>124</v>
      </c>
    </row>
    <row r="127" spans="1:51">
      <c r="A127" s="202" t="str">
        <f t="shared" si="7"/>
        <v>汪华才</v>
      </c>
      <c r="B127" s="202">
        <f>IF(C127&lt;&gt;"NA",C127,VLOOKUP(K127,Update_from_YIFIP!$X$2:$AD$174,7,FALSE))</f>
        <v>66</v>
      </c>
      <c r="C127" s="207">
        <f t="shared" si="4"/>
        <v>66</v>
      </c>
      <c r="D127" s="207">
        <f t="shared" si="5"/>
        <v>66</v>
      </c>
      <c r="E127" s="202" t="s">
        <v>2116</v>
      </c>
      <c r="F127" s="202" t="s">
        <v>3090</v>
      </c>
      <c r="G127" s="202" t="s">
        <v>3091</v>
      </c>
      <c r="H127" s="207" t="str">
        <f t="shared" si="6"/>
        <v>NA</v>
      </c>
      <c r="I127" s="202" t="s">
        <v>1929</v>
      </c>
      <c r="J127" s="202" t="s">
        <v>3089</v>
      </c>
      <c r="K127" s="202">
        <v>0</v>
      </c>
      <c r="L127" s="202" t="s">
        <v>1761</v>
      </c>
      <c r="M127" s="202">
        <v>0</v>
      </c>
      <c r="N127" s="202">
        <v>2</v>
      </c>
      <c r="O127" s="202">
        <v>9</v>
      </c>
      <c r="P127" s="202">
        <v>4</v>
      </c>
      <c r="Q127" s="202">
        <v>5</v>
      </c>
      <c r="R127" s="202">
        <v>0</v>
      </c>
      <c r="S127" s="202">
        <v>0</v>
      </c>
      <c r="T127" s="202">
        <v>0</v>
      </c>
      <c r="U127" s="202">
        <v>0</v>
      </c>
      <c r="V127" s="202">
        <v>0</v>
      </c>
      <c r="W127" s="202">
        <v>0</v>
      </c>
      <c r="X127" s="202">
        <v>0</v>
      </c>
      <c r="Y127" s="202">
        <v>0</v>
      </c>
      <c r="Z127" s="202">
        <v>0</v>
      </c>
      <c r="AA127" s="202">
        <v>0</v>
      </c>
      <c r="AB127" s="202">
        <v>0</v>
      </c>
      <c r="AC127" s="202">
        <v>0</v>
      </c>
      <c r="AD127" s="202">
        <v>0</v>
      </c>
      <c r="AE127" s="202">
        <v>0</v>
      </c>
      <c r="AF127" s="202">
        <v>0</v>
      </c>
      <c r="AG127" s="202">
        <v>0</v>
      </c>
      <c r="AH127" s="202">
        <v>0</v>
      </c>
      <c r="AI127" s="202">
        <v>0</v>
      </c>
      <c r="AJ127" s="202">
        <v>0</v>
      </c>
      <c r="AK127" s="202">
        <v>0</v>
      </c>
      <c r="AL127" s="202">
        <v>0</v>
      </c>
      <c r="AM127" s="202">
        <v>0</v>
      </c>
      <c r="AN127" s="202">
        <v>0</v>
      </c>
      <c r="AO127" s="202">
        <v>0</v>
      </c>
      <c r="AP127" s="202">
        <v>0</v>
      </c>
      <c r="AQ127" s="202">
        <v>20160726</v>
      </c>
      <c r="AR127" s="202">
        <v>0</v>
      </c>
      <c r="AS127" s="202">
        <v>0</v>
      </c>
      <c r="AT127" s="202">
        <v>2</v>
      </c>
      <c r="AU127" s="202">
        <v>0</v>
      </c>
      <c r="AV127" s="202">
        <v>5</v>
      </c>
      <c r="AX127" s="202" t="s">
        <v>2078</v>
      </c>
      <c r="AY127" s="202">
        <v>125</v>
      </c>
    </row>
    <row r="128" spans="1:51">
      <c r="A128" s="202" t="str">
        <f t="shared" si="7"/>
        <v>罗先华</v>
      </c>
      <c r="B128" s="202">
        <f>IF(C128&lt;&gt;"NA",C128,VLOOKUP(K128,Update_from_YIFIP!$X$2:$AD$174,7,FALSE))</f>
        <v>71</v>
      </c>
      <c r="C128" s="207">
        <f t="shared" si="4"/>
        <v>71</v>
      </c>
      <c r="D128" s="207">
        <f t="shared" si="5"/>
        <v>71</v>
      </c>
      <c r="E128" s="202" t="s">
        <v>2104</v>
      </c>
      <c r="F128" s="202" t="s">
        <v>3115</v>
      </c>
      <c r="G128" s="202" t="s">
        <v>3116</v>
      </c>
      <c r="H128" s="207" t="str">
        <f t="shared" si="6"/>
        <v>NA</v>
      </c>
      <c r="I128" s="202" t="s">
        <v>1929</v>
      </c>
      <c r="J128" s="202" t="s">
        <v>3102</v>
      </c>
      <c r="K128" s="202">
        <v>0</v>
      </c>
      <c r="L128" s="202" t="s">
        <v>1772</v>
      </c>
      <c r="M128" s="202">
        <v>0</v>
      </c>
      <c r="N128" s="202">
        <v>5</v>
      </c>
      <c r="O128" s="202">
        <v>9</v>
      </c>
      <c r="P128" s="202">
        <v>1</v>
      </c>
      <c r="Q128" s="202">
        <v>1</v>
      </c>
      <c r="R128" s="202">
        <v>2</v>
      </c>
      <c r="S128" s="202">
        <v>2</v>
      </c>
      <c r="T128" s="202">
        <v>3</v>
      </c>
      <c r="U128" s="202">
        <v>0</v>
      </c>
      <c r="V128" s="202">
        <v>0</v>
      </c>
      <c r="W128" s="202">
        <v>0</v>
      </c>
      <c r="X128" s="202">
        <v>0</v>
      </c>
      <c r="Y128" s="202">
        <v>0</v>
      </c>
      <c r="Z128" s="202">
        <v>0</v>
      </c>
      <c r="AA128" s="202">
        <v>0</v>
      </c>
      <c r="AB128" s="202">
        <v>0</v>
      </c>
      <c r="AC128" s="202">
        <v>0</v>
      </c>
      <c r="AD128" s="202">
        <v>0</v>
      </c>
      <c r="AE128" s="202">
        <v>0</v>
      </c>
      <c r="AF128" s="202">
        <v>0</v>
      </c>
      <c r="AG128" s="202">
        <v>0</v>
      </c>
      <c r="AH128" s="202">
        <v>0</v>
      </c>
      <c r="AI128" s="202">
        <v>0</v>
      </c>
      <c r="AJ128" s="202">
        <v>0</v>
      </c>
      <c r="AK128" s="202">
        <v>0</v>
      </c>
      <c r="AL128" s="202">
        <v>0</v>
      </c>
      <c r="AM128" s="202">
        <v>0</v>
      </c>
      <c r="AN128" s="202">
        <v>0</v>
      </c>
      <c r="AO128" s="202">
        <v>0</v>
      </c>
      <c r="AP128" s="202">
        <v>0</v>
      </c>
      <c r="AQ128" s="202" t="s">
        <v>2795</v>
      </c>
      <c r="AR128" s="202">
        <v>0</v>
      </c>
      <c r="AS128" s="202">
        <v>0</v>
      </c>
      <c r="AT128" s="202">
        <v>2.5</v>
      </c>
      <c r="AU128" s="202">
        <v>0</v>
      </c>
      <c r="AV128" s="202">
        <v>3</v>
      </c>
      <c r="AX128" s="202" t="s">
        <v>2131</v>
      </c>
      <c r="AY128" s="202">
        <v>126</v>
      </c>
    </row>
    <row r="129" spans="1:51">
      <c r="A129" s="202" t="str">
        <f t="shared" si="7"/>
        <v>王彪</v>
      </c>
      <c r="B129" s="202">
        <f>IF(C129&lt;&gt;"NA",C129,VLOOKUP(K129,Update_from_YIFIP!$X$2:$AD$174,7,FALSE))</f>
        <v>72</v>
      </c>
      <c r="C129" s="207">
        <f t="shared" si="4"/>
        <v>72</v>
      </c>
      <c r="D129" s="207">
        <f t="shared" si="5"/>
        <v>72</v>
      </c>
      <c r="E129" s="202" t="s">
        <v>2117</v>
      </c>
      <c r="F129" s="202" t="s">
        <v>3004</v>
      </c>
      <c r="G129" s="202" t="s">
        <v>3005</v>
      </c>
      <c r="H129" s="207" t="str">
        <f t="shared" si="6"/>
        <v>NA</v>
      </c>
      <c r="I129" s="202" t="s">
        <v>1929</v>
      </c>
      <c r="J129" s="202" t="s">
        <v>3003</v>
      </c>
      <c r="K129" s="202">
        <v>0</v>
      </c>
      <c r="L129" s="202" t="s">
        <v>1530</v>
      </c>
      <c r="M129" s="202">
        <v>2</v>
      </c>
      <c r="N129" s="202">
        <v>0</v>
      </c>
      <c r="O129" s="202">
        <v>31</v>
      </c>
      <c r="P129" s="202">
        <v>17</v>
      </c>
      <c r="Q129" s="202">
        <v>14</v>
      </c>
      <c r="R129" s="202">
        <v>0</v>
      </c>
      <c r="S129" s="202">
        <v>0</v>
      </c>
      <c r="T129" s="202">
        <v>0</v>
      </c>
      <c r="U129" s="202">
        <v>0</v>
      </c>
      <c r="V129" s="202">
        <v>0</v>
      </c>
      <c r="W129" s="202">
        <v>0</v>
      </c>
      <c r="X129" s="202">
        <v>0</v>
      </c>
      <c r="Y129" s="202">
        <v>0</v>
      </c>
      <c r="Z129" s="202">
        <v>0</v>
      </c>
      <c r="AA129" s="202">
        <v>0</v>
      </c>
      <c r="AB129" s="202">
        <v>0</v>
      </c>
      <c r="AC129" s="202">
        <v>0</v>
      </c>
      <c r="AD129" s="202">
        <v>0</v>
      </c>
      <c r="AE129" s="202">
        <v>0</v>
      </c>
      <c r="AF129" s="202">
        <v>0</v>
      </c>
      <c r="AG129" s="202">
        <v>0</v>
      </c>
      <c r="AH129" s="202">
        <v>0</v>
      </c>
      <c r="AI129" s="202">
        <v>0</v>
      </c>
      <c r="AJ129" s="202">
        <v>0</v>
      </c>
      <c r="AK129" s="202">
        <v>0</v>
      </c>
      <c r="AL129" s="202">
        <v>0</v>
      </c>
      <c r="AM129" s="202">
        <v>0</v>
      </c>
      <c r="AN129" s="202">
        <v>0</v>
      </c>
      <c r="AO129" s="202">
        <v>0</v>
      </c>
      <c r="AP129" s="202">
        <v>0</v>
      </c>
      <c r="AQ129" s="202" t="s">
        <v>2834</v>
      </c>
      <c r="AR129" s="202">
        <v>0</v>
      </c>
      <c r="AS129" s="202">
        <v>0</v>
      </c>
      <c r="AT129" s="202">
        <v>10</v>
      </c>
      <c r="AU129" s="202">
        <v>0</v>
      </c>
      <c r="AV129" s="202">
        <v>2</v>
      </c>
      <c r="AX129" s="202" t="s">
        <v>2044</v>
      </c>
      <c r="AY129" s="202">
        <v>127</v>
      </c>
    </row>
    <row r="130" spans="1:51">
      <c r="A130" s="202" t="str">
        <f t="shared" si="7"/>
        <v>王云武</v>
      </c>
      <c r="B130" s="202">
        <f>IF(C130&lt;&gt;"NA",C130,VLOOKUP(K130,Update_from_YIFIP!$X$2:$AD$174,7,FALSE))</f>
        <v>73</v>
      </c>
      <c r="C130" s="207">
        <f t="shared" ref="C130:C193" si="8">IF(H130=D130,H130,IF(ISNUMBER(H130-D130),CONCATENATE(H130," or ",D130),IF(ISNUMBER(H130),H130,D130)))</f>
        <v>73</v>
      </c>
      <c r="D130" s="207">
        <f t="shared" ref="D130:D193" si="9">IF(ISNA(VLOOKUP(E130,$AX$2:$AY$173,2,FALSE)) = TRUE, "NA", VLOOKUP(E130,$AX$2:$AY$173,2,FALSE))</f>
        <v>73</v>
      </c>
      <c r="E130" s="202" t="s">
        <v>2136</v>
      </c>
      <c r="F130" s="202" t="s">
        <v>1094</v>
      </c>
      <c r="G130" s="202" t="s">
        <v>1096</v>
      </c>
      <c r="H130" s="207" t="str">
        <f t="shared" ref="H130:H193" si="10">IF(ISNA(VLOOKUP(I130,$AX$2:$AY$173,2,FALSE)) = TRUE, "NA", VLOOKUP(I130,$AX$2:$AY$173,2,FALSE))</f>
        <v>NA</v>
      </c>
      <c r="I130" s="202" t="s">
        <v>1929</v>
      </c>
      <c r="J130" s="202" t="s">
        <v>3024</v>
      </c>
      <c r="K130" s="202" t="s">
        <v>3026</v>
      </c>
      <c r="L130" s="202" t="s">
        <v>1538</v>
      </c>
      <c r="M130" s="202">
        <v>10</v>
      </c>
      <c r="N130" s="202">
        <v>0</v>
      </c>
      <c r="O130" s="202">
        <v>93</v>
      </c>
      <c r="P130" s="202">
        <v>10</v>
      </c>
      <c r="Q130" s="202">
        <v>12</v>
      </c>
      <c r="R130" s="202">
        <v>8</v>
      </c>
      <c r="S130" s="202">
        <v>8</v>
      </c>
      <c r="T130" s="202">
        <v>12</v>
      </c>
      <c r="U130" s="202">
        <v>8</v>
      </c>
      <c r="V130" s="202">
        <v>7</v>
      </c>
      <c r="W130" s="202">
        <v>6</v>
      </c>
      <c r="X130" s="202">
        <v>10</v>
      </c>
      <c r="Y130" s="202">
        <v>12</v>
      </c>
      <c r="Z130" s="202">
        <v>0</v>
      </c>
      <c r="AA130" s="202">
        <v>0</v>
      </c>
      <c r="AB130" s="202">
        <v>0</v>
      </c>
      <c r="AC130" s="202">
        <v>0</v>
      </c>
      <c r="AD130" s="202">
        <v>0</v>
      </c>
      <c r="AE130" s="202">
        <v>0</v>
      </c>
      <c r="AF130" s="202">
        <v>0</v>
      </c>
      <c r="AG130" s="202">
        <v>0</v>
      </c>
      <c r="AH130" s="202">
        <v>0</v>
      </c>
      <c r="AI130" s="202">
        <v>0</v>
      </c>
      <c r="AJ130" s="202">
        <v>0</v>
      </c>
      <c r="AK130" s="202">
        <v>0</v>
      </c>
      <c r="AL130" s="202">
        <v>0</v>
      </c>
      <c r="AM130" s="202">
        <v>0</v>
      </c>
      <c r="AN130" s="202">
        <v>0</v>
      </c>
      <c r="AO130" s="202">
        <v>0</v>
      </c>
      <c r="AP130" s="202">
        <v>0</v>
      </c>
      <c r="AQ130" s="202" t="s">
        <v>3025</v>
      </c>
      <c r="AR130" s="202">
        <v>0</v>
      </c>
      <c r="AS130" s="202">
        <v>0</v>
      </c>
      <c r="AT130" s="202">
        <v>22.5</v>
      </c>
      <c r="AU130" s="202">
        <v>0</v>
      </c>
      <c r="AV130" s="202">
        <v>4.5</v>
      </c>
      <c r="AX130" s="202" t="s">
        <v>2039</v>
      </c>
      <c r="AY130" s="202">
        <v>128</v>
      </c>
    </row>
    <row r="131" spans="1:51">
      <c r="A131" s="202" t="str">
        <f t="shared" ref="A131:A194" si="11">IF(I131="NA",E131,CONCATENATE(E131,"&amp;",I131))</f>
        <v>王云武</v>
      </c>
      <c r="B131" s="202">
        <f>IF(C131&lt;&gt;"NA",C131,VLOOKUP(K131,Update_from_YIFIP!$X$2:$AD$174,7,FALSE))</f>
        <v>73</v>
      </c>
      <c r="C131" s="207">
        <f t="shared" si="8"/>
        <v>73</v>
      </c>
      <c r="D131" s="207">
        <f t="shared" si="9"/>
        <v>73</v>
      </c>
      <c r="E131" s="202" t="s">
        <v>2136</v>
      </c>
      <c r="F131" s="202" t="s">
        <v>1094</v>
      </c>
      <c r="G131" s="202" t="s">
        <v>1096</v>
      </c>
      <c r="H131" s="207" t="str">
        <f t="shared" si="10"/>
        <v>NA</v>
      </c>
      <c r="I131" s="202" t="s">
        <v>1929</v>
      </c>
      <c r="J131" s="202" t="s">
        <v>1098</v>
      </c>
      <c r="K131" s="202" t="s">
        <v>3027</v>
      </c>
      <c r="L131" s="202" t="s">
        <v>1539</v>
      </c>
      <c r="M131" s="202">
        <v>9</v>
      </c>
      <c r="N131" s="202">
        <v>0</v>
      </c>
      <c r="O131" s="202">
        <v>116</v>
      </c>
      <c r="P131" s="202">
        <v>28</v>
      </c>
      <c r="Q131" s="202">
        <v>20</v>
      </c>
      <c r="R131" s="202">
        <v>8</v>
      </c>
      <c r="S131" s="202">
        <v>7</v>
      </c>
      <c r="T131" s="202">
        <v>11</v>
      </c>
      <c r="U131" s="202">
        <v>10</v>
      </c>
      <c r="V131" s="202">
        <v>13</v>
      </c>
      <c r="W131" s="202">
        <v>10</v>
      </c>
      <c r="X131" s="202">
        <v>9</v>
      </c>
      <c r="Y131" s="202">
        <v>0</v>
      </c>
      <c r="Z131" s="202">
        <v>0</v>
      </c>
      <c r="AA131" s="202">
        <v>0</v>
      </c>
      <c r="AB131" s="202">
        <v>0</v>
      </c>
      <c r="AC131" s="202">
        <v>0</v>
      </c>
      <c r="AD131" s="202">
        <v>0</v>
      </c>
      <c r="AE131" s="202">
        <v>0</v>
      </c>
      <c r="AF131" s="202">
        <v>0</v>
      </c>
      <c r="AG131" s="202">
        <v>0</v>
      </c>
      <c r="AH131" s="202">
        <v>0</v>
      </c>
      <c r="AI131" s="202">
        <v>0</v>
      </c>
      <c r="AJ131" s="202">
        <v>0</v>
      </c>
      <c r="AK131" s="202">
        <v>0</v>
      </c>
      <c r="AL131" s="202">
        <v>0</v>
      </c>
      <c r="AM131" s="202">
        <v>0</v>
      </c>
      <c r="AN131" s="202">
        <v>0</v>
      </c>
      <c r="AO131" s="202">
        <v>0</v>
      </c>
      <c r="AP131" s="202">
        <v>0</v>
      </c>
      <c r="AQ131" s="202">
        <v>20160712</v>
      </c>
      <c r="AR131" s="202">
        <v>0</v>
      </c>
      <c r="AS131" s="202">
        <v>0</v>
      </c>
      <c r="AT131" s="202">
        <v>18.5</v>
      </c>
      <c r="AU131" s="202" t="s">
        <v>3028</v>
      </c>
      <c r="AV131" s="202">
        <v>3.7</v>
      </c>
      <c r="AX131" s="202" t="s">
        <v>2035</v>
      </c>
      <c r="AY131" s="202">
        <v>129</v>
      </c>
    </row>
    <row r="132" spans="1:51">
      <c r="A132" s="202" t="str">
        <f t="shared" si="11"/>
        <v>王云武</v>
      </c>
      <c r="B132" s="202">
        <f>IF(C132&lt;&gt;"NA",C132,VLOOKUP(K132,Update_from_YIFIP!$X$2:$AD$174,7,FALSE))</f>
        <v>73</v>
      </c>
      <c r="C132" s="207">
        <f t="shared" si="8"/>
        <v>73</v>
      </c>
      <c r="D132" s="207">
        <f t="shared" si="9"/>
        <v>73</v>
      </c>
      <c r="E132" s="202" t="s">
        <v>2136</v>
      </c>
      <c r="F132" s="202" t="s">
        <v>1094</v>
      </c>
      <c r="G132" s="202" t="s">
        <v>1096</v>
      </c>
      <c r="H132" s="207" t="str">
        <f t="shared" si="10"/>
        <v>NA</v>
      </c>
      <c r="I132" s="202" t="s">
        <v>1929</v>
      </c>
      <c r="J132" s="202" t="s">
        <v>1098</v>
      </c>
      <c r="K132" s="202" t="s">
        <v>3029</v>
      </c>
      <c r="L132" s="202" t="s">
        <v>1540</v>
      </c>
      <c r="M132" s="202">
        <v>10</v>
      </c>
      <c r="N132" s="202">
        <v>0</v>
      </c>
      <c r="O132" s="202">
        <v>223</v>
      </c>
      <c r="P132" s="202">
        <v>15</v>
      </c>
      <c r="Q132" s="202">
        <v>24</v>
      </c>
      <c r="R132" s="202">
        <v>23</v>
      </c>
      <c r="S132" s="202">
        <v>23</v>
      </c>
      <c r="T132" s="202">
        <v>21</v>
      </c>
      <c r="U132" s="202">
        <v>31</v>
      </c>
      <c r="V132" s="202">
        <v>18</v>
      </c>
      <c r="W132" s="202">
        <v>30</v>
      </c>
      <c r="X132" s="202">
        <v>19</v>
      </c>
      <c r="Y132" s="202">
        <v>19</v>
      </c>
      <c r="Z132" s="202">
        <v>0</v>
      </c>
      <c r="AA132" s="202">
        <v>0</v>
      </c>
      <c r="AB132" s="202">
        <v>0</v>
      </c>
      <c r="AC132" s="202">
        <v>0</v>
      </c>
      <c r="AD132" s="202">
        <v>0</v>
      </c>
      <c r="AE132" s="202">
        <v>0</v>
      </c>
      <c r="AF132" s="202">
        <v>0</v>
      </c>
      <c r="AG132" s="202">
        <v>0</v>
      </c>
      <c r="AH132" s="202">
        <v>0</v>
      </c>
      <c r="AI132" s="202">
        <v>0</v>
      </c>
      <c r="AJ132" s="202">
        <v>0</v>
      </c>
      <c r="AK132" s="202">
        <v>0</v>
      </c>
      <c r="AL132" s="202">
        <v>0</v>
      </c>
      <c r="AM132" s="202">
        <v>0</v>
      </c>
      <c r="AN132" s="202">
        <v>0</v>
      </c>
      <c r="AO132" s="202">
        <v>0</v>
      </c>
      <c r="AP132" s="202">
        <v>0</v>
      </c>
      <c r="AQ132" s="202">
        <v>20160722</v>
      </c>
      <c r="AR132" s="202">
        <v>0</v>
      </c>
      <c r="AS132" s="202">
        <v>0</v>
      </c>
      <c r="AT132" s="202">
        <v>50</v>
      </c>
      <c r="AU132" s="202" t="s">
        <v>2302</v>
      </c>
      <c r="AV132" s="202">
        <v>10</v>
      </c>
      <c r="AX132" s="202" t="s">
        <v>2108</v>
      </c>
      <c r="AY132" s="202">
        <v>130</v>
      </c>
    </row>
    <row r="133" spans="1:51">
      <c r="A133" s="202" t="str">
        <f t="shared" si="11"/>
        <v>王云武</v>
      </c>
      <c r="B133" s="202">
        <f>IF(C133&lt;&gt;"NA",C133,VLOOKUP(K133,Update_from_YIFIP!$X$2:$AD$174,7,FALSE))</f>
        <v>73</v>
      </c>
      <c r="C133" s="207">
        <f t="shared" si="8"/>
        <v>73</v>
      </c>
      <c r="D133" s="207">
        <f t="shared" si="9"/>
        <v>73</v>
      </c>
      <c r="E133" s="202" t="s">
        <v>2136</v>
      </c>
      <c r="F133" s="202" t="s">
        <v>1094</v>
      </c>
      <c r="G133" s="202" t="s">
        <v>1096</v>
      </c>
      <c r="H133" s="207" t="str">
        <f t="shared" si="10"/>
        <v>NA</v>
      </c>
      <c r="I133" s="202" t="s">
        <v>1929</v>
      </c>
      <c r="J133" s="202" t="s">
        <v>1098</v>
      </c>
      <c r="K133" s="202" t="s">
        <v>3030</v>
      </c>
      <c r="L133" s="202" t="s">
        <v>1541</v>
      </c>
      <c r="M133" s="202">
        <v>10</v>
      </c>
      <c r="N133" s="202">
        <v>0</v>
      </c>
      <c r="O133" s="202">
        <v>137</v>
      </c>
      <c r="P133" s="202">
        <v>14</v>
      </c>
      <c r="Q133" s="202">
        <v>13</v>
      </c>
      <c r="R133" s="202">
        <v>12</v>
      </c>
      <c r="S133" s="202">
        <v>9</v>
      </c>
      <c r="T133" s="202">
        <v>12</v>
      </c>
      <c r="U133" s="202">
        <v>18</v>
      </c>
      <c r="V133" s="202">
        <v>13</v>
      </c>
      <c r="W133" s="202">
        <v>17</v>
      </c>
      <c r="X133" s="202">
        <v>11</v>
      </c>
      <c r="Y133" s="202">
        <v>18</v>
      </c>
      <c r="Z133" s="202">
        <v>0</v>
      </c>
      <c r="AA133" s="202">
        <v>0</v>
      </c>
      <c r="AB133" s="202">
        <v>0</v>
      </c>
      <c r="AC133" s="202">
        <v>0</v>
      </c>
      <c r="AD133" s="202">
        <v>0</v>
      </c>
      <c r="AE133" s="202">
        <v>0</v>
      </c>
      <c r="AF133" s="202">
        <v>0</v>
      </c>
      <c r="AG133" s="202">
        <v>0</v>
      </c>
      <c r="AH133" s="202">
        <v>0</v>
      </c>
      <c r="AI133" s="202">
        <v>0</v>
      </c>
      <c r="AJ133" s="202">
        <v>0</v>
      </c>
      <c r="AK133" s="202">
        <v>0</v>
      </c>
      <c r="AL133" s="202">
        <v>0</v>
      </c>
      <c r="AM133" s="202">
        <v>0</v>
      </c>
      <c r="AN133" s="202">
        <v>0</v>
      </c>
      <c r="AO133" s="202">
        <v>0</v>
      </c>
      <c r="AP133" s="202">
        <v>0</v>
      </c>
      <c r="AQ133" s="202">
        <v>20160815</v>
      </c>
      <c r="AR133" s="202">
        <v>0</v>
      </c>
      <c r="AS133" s="202">
        <v>0</v>
      </c>
      <c r="AT133" s="202">
        <v>24.5</v>
      </c>
      <c r="AU133" s="202" t="s">
        <v>3031</v>
      </c>
      <c r="AV133" s="202">
        <v>4.9000000000000004</v>
      </c>
      <c r="AX133" s="202" t="s">
        <v>2038</v>
      </c>
      <c r="AY133" s="202">
        <v>131</v>
      </c>
    </row>
    <row r="134" spans="1:51">
      <c r="A134" s="202" t="str">
        <f t="shared" si="11"/>
        <v>王云武</v>
      </c>
      <c r="B134" s="202">
        <f>IF(C134&lt;&gt;"NA",C134,VLOOKUP(K134,Update_from_YIFIP!$X$2:$AD$174,7,FALSE))</f>
        <v>73</v>
      </c>
      <c r="C134" s="207">
        <f t="shared" si="8"/>
        <v>73</v>
      </c>
      <c r="D134" s="207">
        <f t="shared" si="9"/>
        <v>73</v>
      </c>
      <c r="E134" s="202" t="s">
        <v>2136</v>
      </c>
      <c r="F134" s="202" t="s">
        <v>1094</v>
      </c>
      <c r="G134" s="202" t="s">
        <v>1096</v>
      </c>
      <c r="H134" s="207" t="str">
        <f t="shared" si="10"/>
        <v>NA</v>
      </c>
      <c r="I134" s="202" t="s">
        <v>1929</v>
      </c>
      <c r="J134" s="202" t="s">
        <v>1098</v>
      </c>
      <c r="K134" s="202" t="s">
        <v>3029</v>
      </c>
      <c r="L134" s="202" t="s">
        <v>1542</v>
      </c>
      <c r="M134" s="202">
        <v>10</v>
      </c>
      <c r="N134" s="202">
        <v>0</v>
      </c>
      <c r="O134" s="202">
        <v>220</v>
      </c>
      <c r="P134" s="202">
        <v>26</v>
      </c>
      <c r="Q134" s="202">
        <v>27</v>
      </c>
      <c r="R134" s="202">
        <v>18</v>
      </c>
      <c r="S134" s="202">
        <v>18</v>
      </c>
      <c r="T134" s="202">
        <v>24</v>
      </c>
      <c r="U134" s="202">
        <v>21</v>
      </c>
      <c r="V134" s="202">
        <v>21</v>
      </c>
      <c r="W134" s="202">
        <v>25</v>
      </c>
      <c r="X134" s="202">
        <v>16</v>
      </c>
      <c r="Y134" s="202">
        <v>24</v>
      </c>
      <c r="Z134" s="202">
        <v>0</v>
      </c>
      <c r="AA134" s="202">
        <v>0</v>
      </c>
      <c r="AB134" s="202">
        <v>0</v>
      </c>
      <c r="AC134" s="202">
        <v>0</v>
      </c>
      <c r="AD134" s="202">
        <v>0</v>
      </c>
      <c r="AE134" s="202">
        <v>0</v>
      </c>
      <c r="AF134" s="202">
        <v>0</v>
      </c>
      <c r="AG134" s="202">
        <v>0</v>
      </c>
      <c r="AH134" s="202">
        <v>0</v>
      </c>
      <c r="AI134" s="202">
        <v>0</v>
      </c>
      <c r="AJ134" s="202">
        <v>0</v>
      </c>
      <c r="AK134" s="202">
        <v>0</v>
      </c>
      <c r="AL134" s="202">
        <v>0</v>
      </c>
      <c r="AM134" s="202">
        <v>0</v>
      </c>
      <c r="AN134" s="202">
        <v>0</v>
      </c>
      <c r="AO134" s="202">
        <v>0</v>
      </c>
      <c r="AP134" s="202">
        <v>0</v>
      </c>
      <c r="AQ134" s="202" t="s">
        <v>3032</v>
      </c>
      <c r="AR134" s="202">
        <v>0</v>
      </c>
      <c r="AS134" s="202">
        <v>0</v>
      </c>
      <c r="AT134" s="202">
        <v>52.5</v>
      </c>
      <c r="AU134" s="202" t="s">
        <v>3033</v>
      </c>
      <c r="AV134" s="202">
        <v>10.5</v>
      </c>
      <c r="AX134" s="202" t="s">
        <v>2059</v>
      </c>
      <c r="AY134" s="202">
        <v>132</v>
      </c>
    </row>
    <row r="135" spans="1:51">
      <c r="A135" s="202" t="str">
        <f t="shared" si="11"/>
        <v>王云武</v>
      </c>
      <c r="B135" s="202">
        <f>IF(C135&lt;&gt;"NA",C135,VLOOKUP(K135,Update_from_YIFIP!$X$2:$AD$174,7,FALSE))</f>
        <v>73</v>
      </c>
      <c r="C135" s="207">
        <f t="shared" si="8"/>
        <v>73</v>
      </c>
      <c r="D135" s="207">
        <f t="shared" si="9"/>
        <v>73</v>
      </c>
      <c r="E135" s="202" t="s">
        <v>2136</v>
      </c>
      <c r="F135" s="202" t="s">
        <v>1094</v>
      </c>
      <c r="G135" s="202" t="s">
        <v>1096</v>
      </c>
      <c r="H135" s="207" t="str">
        <f t="shared" si="10"/>
        <v>NA</v>
      </c>
      <c r="I135" s="202" t="s">
        <v>1929</v>
      </c>
      <c r="J135" s="202" t="s">
        <v>1098</v>
      </c>
      <c r="K135" s="202" t="s">
        <v>3034</v>
      </c>
      <c r="L135" s="202" t="s">
        <v>1543</v>
      </c>
      <c r="M135" s="202">
        <v>10</v>
      </c>
      <c r="N135" s="202">
        <v>0</v>
      </c>
      <c r="O135" s="202">
        <v>210</v>
      </c>
      <c r="P135" s="202">
        <v>24</v>
      </c>
      <c r="Q135" s="202">
        <v>30</v>
      </c>
      <c r="R135" s="202">
        <v>23</v>
      </c>
      <c r="S135" s="202">
        <v>15</v>
      </c>
      <c r="T135" s="202">
        <v>13</v>
      </c>
      <c r="U135" s="202">
        <v>21</v>
      </c>
      <c r="V135" s="202">
        <v>26</v>
      </c>
      <c r="W135" s="202">
        <v>27</v>
      </c>
      <c r="X135" s="202">
        <v>16</v>
      </c>
      <c r="Y135" s="202">
        <v>15</v>
      </c>
      <c r="Z135" s="202">
        <v>0</v>
      </c>
      <c r="AA135" s="202">
        <v>0</v>
      </c>
      <c r="AB135" s="202">
        <v>0</v>
      </c>
      <c r="AC135" s="202">
        <v>0</v>
      </c>
      <c r="AD135" s="202">
        <v>0</v>
      </c>
      <c r="AE135" s="202">
        <v>0</v>
      </c>
      <c r="AF135" s="202">
        <v>0</v>
      </c>
      <c r="AG135" s="202">
        <v>0</v>
      </c>
      <c r="AH135" s="202">
        <v>0</v>
      </c>
      <c r="AI135" s="202">
        <v>0</v>
      </c>
      <c r="AJ135" s="202">
        <v>0</v>
      </c>
      <c r="AK135" s="202">
        <v>0</v>
      </c>
      <c r="AL135" s="202">
        <v>0</v>
      </c>
      <c r="AM135" s="202">
        <v>0</v>
      </c>
      <c r="AN135" s="202">
        <v>0</v>
      </c>
      <c r="AO135" s="202">
        <v>0</v>
      </c>
      <c r="AP135" s="202">
        <v>0</v>
      </c>
      <c r="AQ135" s="202" t="s">
        <v>2630</v>
      </c>
      <c r="AR135" s="202">
        <v>0</v>
      </c>
      <c r="AS135" s="202">
        <v>0</v>
      </c>
      <c r="AT135" s="202">
        <v>45</v>
      </c>
      <c r="AU135" s="202" t="s">
        <v>3035</v>
      </c>
      <c r="AV135" s="202">
        <v>9</v>
      </c>
      <c r="AX135" s="202" t="s">
        <v>2059</v>
      </c>
      <c r="AY135" s="202">
        <v>133</v>
      </c>
    </row>
    <row r="136" spans="1:51">
      <c r="A136" s="202" t="str">
        <f t="shared" si="11"/>
        <v>王云武</v>
      </c>
      <c r="B136" s="202">
        <f>IF(C136&lt;&gt;"NA",C136,VLOOKUP(K136,Update_from_YIFIP!$X$2:$AD$174,7,FALSE))</f>
        <v>73</v>
      </c>
      <c r="C136" s="207">
        <f t="shared" si="8"/>
        <v>73</v>
      </c>
      <c r="D136" s="207">
        <f t="shared" si="9"/>
        <v>73</v>
      </c>
      <c r="E136" s="202" t="s">
        <v>2136</v>
      </c>
      <c r="F136" s="202" t="s">
        <v>1094</v>
      </c>
      <c r="G136" s="202" t="s">
        <v>1096</v>
      </c>
      <c r="H136" s="207" t="str">
        <f t="shared" si="10"/>
        <v>NA</v>
      </c>
      <c r="I136" s="202" t="s">
        <v>1929</v>
      </c>
      <c r="J136" s="202" t="s">
        <v>1098</v>
      </c>
      <c r="K136" s="202" t="s">
        <v>3036</v>
      </c>
      <c r="L136" s="202" t="s">
        <v>1544</v>
      </c>
      <c r="M136" s="202">
        <v>10</v>
      </c>
      <c r="N136" s="202">
        <v>0</v>
      </c>
      <c r="O136" s="202">
        <v>126</v>
      </c>
      <c r="P136" s="202">
        <v>19</v>
      </c>
      <c r="Q136" s="202">
        <v>13</v>
      </c>
      <c r="R136" s="202">
        <v>19</v>
      </c>
      <c r="S136" s="202">
        <v>16</v>
      </c>
      <c r="T136" s="202">
        <v>13</v>
      </c>
      <c r="U136" s="202">
        <v>11</v>
      </c>
      <c r="V136" s="202">
        <v>15</v>
      </c>
      <c r="W136" s="202">
        <v>9</v>
      </c>
      <c r="X136" s="202">
        <v>8</v>
      </c>
      <c r="Y136" s="202">
        <v>3</v>
      </c>
      <c r="Z136" s="202">
        <v>0</v>
      </c>
      <c r="AA136" s="202">
        <v>0</v>
      </c>
      <c r="AB136" s="202">
        <v>0</v>
      </c>
      <c r="AC136" s="202">
        <v>0</v>
      </c>
      <c r="AD136" s="202">
        <v>0</v>
      </c>
      <c r="AE136" s="202">
        <v>0</v>
      </c>
      <c r="AF136" s="202">
        <v>0</v>
      </c>
      <c r="AG136" s="202">
        <v>0</v>
      </c>
      <c r="AH136" s="202">
        <v>0</v>
      </c>
      <c r="AI136" s="202">
        <v>0</v>
      </c>
      <c r="AJ136" s="202">
        <v>0</v>
      </c>
      <c r="AK136" s="202">
        <v>0</v>
      </c>
      <c r="AL136" s="202">
        <v>0</v>
      </c>
      <c r="AM136" s="202">
        <v>0</v>
      </c>
      <c r="AN136" s="202">
        <v>0</v>
      </c>
      <c r="AO136" s="202">
        <v>0</v>
      </c>
      <c r="AP136" s="202">
        <v>0</v>
      </c>
      <c r="AQ136" s="202" t="s">
        <v>2630</v>
      </c>
      <c r="AR136" s="202">
        <v>0</v>
      </c>
      <c r="AS136" s="202">
        <v>0</v>
      </c>
      <c r="AT136" s="202">
        <v>32.500000000000007</v>
      </c>
      <c r="AU136" s="202" t="s">
        <v>3037</v>
      </c>
      <c r="AV136" s="202">
        <v>6.5000000000000009</v>
      </c>
      <c r="AX136" s="202" t="s">
        <v>2139</v>
      </c>
      <c r="AY136" s="202">
        <v>134</v>
      </c>
    </row>
    <row r="137" spans="1:51">
      <c r="A137" s="202" t="str">
        <f t="shared" si="11"/>
        <v>王云武</v>
      </c>
      <c r="B137" s="202">
        <f>IF(C137&lt;&gt;"NA",C137,VLOOKUP(K137,Update_from_YIFIP!$X$2:$AD$174,7,FALSE))</f>
        <v>73</v>
      </c>
      <c r="C137" s="207">
        <f t="shared" si="8"/>
        <v>73</v>
      </c>
      <c r="D137" s="207">
        <f t="shared" si="9"/>
        <v>73</v>
      </c>
      <c r="E137" s="202" t="s">
        <v>2136</v>
      </c>
      <c r="F137" s="202" t="s">
        <v>1094</v>
      </c>
      <c r="G137" s="202" t="s">
        <v>1096</v>
      </c>
      <c r="H137" s="207" t="str">
        <f t="shared" si="10"/>
        <v>NA</v>
      </c>
      <c r="I137" s="202" t="s">
        <v>1929</v>
      </c>
      <c r="J137" s="202" t="s">
        <v>1098</v>
      </c>
      <c r="K137" s="202" t="s">
        <v>3030</v>
      </c>
      <c r="L137" s="202" t="s">
        <v>1545</v>
      </c>
      <c r="M137" s="202">
        <v>9</v>
      </c>
      <c r="N137" s="202">
        <v>0</v>
      </c>
      <c r="O137" s="202">
        <v>193</v>
      </c>
      <c r="P137" s="202">
        <v>26</v>
      </c>
      <c r="Q137" s="202">
        <v>17</v>
      </c>
      <c r="R137" s="202">
        <v>26</v>
      </c>
      <c r="S137" s="202">
        <v>16</v>
      </c>
      <c r="T137" s="202">
        <v>13</v>
      </c>
      <c r="U137" s="202">
        <v>24</v>
      </c>
      <c r="V137" s="202">
        <v>28</v>
      </c>
      <c r="W137" s="202">
        <v>33</v>
      </c>
      <c r="X137" s="202">
        <v>10</v>
      </c>
      <c r="Y137" s="202">
        <v>0</v>
      </c>
      <c r="Z137" s="202">
        <v>0</v>
      </c>
      <c r="AA137" s="202">
        <v>0</v>
      </c>
      <c r="AB137" s="202">
        <v>0</v>
      </c>
      <c r="AC137" s="202">
        <v>0</v>
      </c>
      <c r="AD137" s="202">
        <v>0</v>
      </c>
      <c r="AE137" s="202">
        <v>0</v>
      </c>
      <c r="AF137" s="202">
        <v>0</v>
      </c>
      <c r="AG137" s="202">
        <v>0</v>
      </c>
      <c r="AH137" s="202">
        <v>0</v>
      </c>
      <c r="AI137" s="202">
        <v>0</v>
      </c>
      <c r="AJ137" s="202">
        <v>0</v>
      </c>
      <c r="AK137" s="202">
        <v>0</v>
      </c>
      <c r="AL137" s="202">
        <v>0</v>
      </c>
      <c r="AM137" s="202">
        <v>0</v>
      </c>
      <c r="AN137" s="202">
        <v>0</v>
      </c>
      <c r="AO137" s="202">
        <v>0</v>
      </c>
      <c r="AP137" s="202">
        <v>0</v>
      </c>
      <c r="AQ137" s="202" t="s">
        <v>2451</v>
      </c>
      <c r="AR137" s="202">
        <v>0</v>
      </c>
      <c r="AS137" s="202">
        <v>0</v>
      </c>
      <c r="AT137" s="202">
        <v>62.5</v>
      </c>
      <c r="AU137" s="202" t="s">
        <v>3038</v>
      </c>
      <c r="AV137" s="202">
        <v>12.5</v>
      </c>
      <c r="AX137" s="202" t="s">
        <v>2108</v>
      </c>
      <c r="AY137" s="202">
        <v>135</v>
      </c>
    </row>
    <row r="138" spans="1:51">
      <c r="A138" s="202" t="str">
        <f t="shared" si="11"/>
        <v>杨春昌</v>
      </c>
      <c r="B138" s="202">
        <f>IF(C138&lt;&gt;"NA",C138,VLOOKUP(K138,Update_from_YIFIP!$X$2:$AD$174,7,FALSE))</f>
        <v>75</v>
      </c>
      <c r="C138" s="207">
        <f t="shared" si="8"/>
        <v>75</v>
      </c>
      <c r="D138" s="207">
        <f t="shared" si="9"/>
        <v>75</v>
      </c>
      <c r="E138" s="202" t="s">
        <v>2143</v>
      </c>
      <c r="F138" s="202" t="s">
        <v>1084</v>
      </c>
      <c r="G138" s="202" t="s">
        <v>1929</v>
      </c>
      <c r="H138" s="207" t="str">
        <f t="shared" si="10"/>
        <v>NA</v>
      </c>
      <c r="I138" s="202" t="s">
        <v>1929</v>
      </c>
      <c r="J138" s="202" t="s">
        <v>1929</v>
      </c>
      <c r="K138" s="202">
        <v>0</v>
      </c>
      <c r="L138" s="202" t="s">
        <v>1546</v>
      </c>
      <c r="M138" s="202">
        <v>10</v>
      </c>
      <c r="N138" s="202">
        <v>0</v>
      </c>
      <c r="O138" s="202">
        <v>187</v>
      </c>
      <c r="P138" s="202">
        <v>24</v>
      </c>
      <c r="Q138" s="202">
        <v>31</v>
      </c>
      <c r="R138" s="202">
        <v>17</v>
      </c>
      <c r="S138" s="202">
        <v>10</v>
      </c>
      <c r="T138" s="202">
        <v>31</v>
      </c>
      <c r="U138" s="202">
        <v>16</v>
      </c>
      <c r="V138" s="202">
        <v>12</v>
      </c>
      <c r="W138" s="202">
        <v>15</v>
      </c>
      <c r="X138" s="202">
        <v>14</v>
      </c>
      <c r="Y138" s="202">
        <v>17</v>
      </c>
      <c r="Z138" s="202">
        <v>0</v>
      </c>
      <c r="AA138" s="202">
        <v>0</v>
      </c>
      <c r="AB138" s="202">
        <v>0</v>
      </c>
      <c r="AC138" s="202">
        <v>0</v>
      </c>
      <c r="AD138" s="202">
        <v>0</v>
      </c>
      <c r="AE138" s="202">
        <v>0</v>
      </c>
      <c r="AF138" s="202">
        <v>0</v>
      </c>
      <c r="AG138" s="202">
        <v>0</v>
      </c>
      <c r="AH138" s="202">
        <v>0</v>
      </c>
      <c r="AI138" s="202">
        <v>0</v>
      </c>
      <c r="AJ138" s="202">
        <v>0</v>
      </c>
      <c r="AK138" s="202">
        <v>0</v>
      </c>
      <c r="AL138" s="202">
        <v>0</v>
      </c>
      <c r="AM138" s="202">
        <v>0</v>
      </c>
      <c r="AN138" s="202">
        <v>0</v>
      </c>
      <c r="AO138" s="202">
        <v>0</v>
      </c>
      <c r="AP138" s="202">
        <v>0</v>
      </c>
      <c r="AQ138" s="202" t="s">
        <v>2995</v>
      </c>
      <c r="AR138" s="202">
        <v>0</v>
      </c>
      <c r="AS138" s="202">
        <v>0</v>
      </c>
      <c r="AT138" s="202">
        <v>45</v>
      </c>
      <c r="AU138" s="202" t="s">
        <v>3039</v>
      </c>
      <c r="AV138" s="202">
        <v>9</v>
      </c>
      <c r="AX138" s="202" t="s">
        <v>2112</v>
      </c>
      <c r="AY138" s="202">
        <v>136</v>
      </c>
    </row>
    <row r="139" spans="1:51">
      <c r="A139" s="202" t="str">
        <f t="shared" si="11"/>
        <v>杨春昌</v>
      </c>
      <c r="B139" s="202">
        <f>IF(C139&lt;&gt;"NA",C139,VLOOKUP(K139,Update_from_YIFIP!$X$2:$AD$174,7,FALSE))</f>
        <v>75</v>
      </c>
      <c r="C139" s="207">
        <f t="shared" si="8"/>
        <v>75</v>
      </c>
      <c r="D139" s="207">
        <f t="shared" si="9"/>
        <v>75</v>
      </c>
      <c r="E139" s="202" t="s">
        <v>2143</v>
      </c>
      <c r="F139" s="202" t="s">
        <v>1084</v>
      </c>
      <c r="G139" s="202" t="s">
        <v>1929</v>
      </c>
      <c r="H139" s="207" t="str">
        <f t="shared" si="10"/>
        <v>NA</v>
      </c>
      <c r="I139" s="202" t="s">
        <v>1929</v>
      </c>
      <c r="J139" s="202" t="s">
        <v>1929</v>
      </c>
      <c r="K139" s="202">
        <v>0</v>
      </c>
      <c r="L139" s="202" t="s">
        <v>1547</v>
      </c>
      <c r="M139" s="202">
        <v>10</v>
      </c>
      <c r="N139" s="202">
        <v>0</v>
      </c>
      <c r="O139" s="202">
        <v>269</v>
      </c>
      <c r="P139" s="202">
        <v>23</v>
      </c>
      <c r="Q139" s="202">
        <v>28</v>
      </c>
      <c r="R139" s="202">
        <v>23</v>
      </c>
      <c r="S139" s="202">
        <v>21</v>
      </c>
      <c r="T139" s="202">
        <v>25</v>
      </c>
      <c r="U139" s="202">
        <v>25</v>
      </c>
      <c r="V139" s="202">
        <v>44</v>
      </c>
      <c r="W139" s="202">
        <v>30</v>
      </c>
      <c r="X139" s="202">
        <v>24</v>
      </c>
      <c r="Y139" s="202">
        <v>26</v>
      </c>
      <c r="Z139" s="202">
        <v>0</v>
      </c>
      <c r="AA139" s="202">
        <v>0</v>
      </c>
      <c r="AB139" s="202">
        <v>0</v>
      </c>
      <c r="AC139" s="202">
        <v>0</v>
      </c>
      <c r="AD139" s="202">
        <v>0</v>
      </c>
      <c r="AE139" s="202">
        <v>0</v>
      </c>
      <c r="AF139" s="202">
        <v>0</v>
      </c>
      <c r="AG139" s="202">
        <v>0</v>
      </c>
      <c r="AH139" s="202">
        <v>0</v>
      </c>
      <c r="AI139" s="202">
        <v>0</v>
      </c>
      <c r="AJ139" s="202">
        <v>0</v>
      </c>
      <c r="AK139" s="202">
        <v>0</v>
      </c>
      <c r="AL139" s="202">
        <v>0</v>
      </c>
      <c r="AM139" s="202">
        <v>0</v>
      </c>
      <c r="AN139" s="202">
        <v>0</v>
      </c>
      <c r="AO139" s="202">
        <v>0</v>
      </c>
      <c r="AP139" s="202">
        <v>0</v>
      </c>
      <c r="AQ139" s="202" t="s">
        <v>2483</v>
      </c>
      <c r="AR139" s="202">
        <v>0</v>
      </c>
      <c r="AS139" s="202">
        <v>0</v>
      </c>
      <c r="AT139" s="202">
        <v>55</v>
      </c>
      <c r="AU139" s="202" t="s">
        <v>3040</v>
      </c>
      <c r="AV139" s="202">
        <v>11</v>
      </c>
      <c r="AX139" s="202" t="s">
        <v>2035</v>
      </c>
      <c r="AY139" s="202">
        <v>137</v>
      </c>
    </row>
    <row r="140" spans="1:51">
      <c r="A140" s="202" t="str">
        <f t="shared" si="11"/>
        <v>杨春昌</v>
      </c>
      <c r="B140" s="202">
        <f>IF(C140&lt;&gt;"NA",C140,VLOOKUP(K140,Update_from_YIFIP!$X$2:$AD$174,7,FALSE))</f>
        <v>75</v>
      </c>
      <c r="C140" s="207">
        <f t="shared" si="8"/>
        <v>75</v>
      </c>
      <c r="D140" s="207">
        <f t="shared" si="9"/>
        <v>75</v>
      </c>
      <c r="E140" s="202" t="s">
        <v>2143</v>
      </c>
      <c r="F140" s="202" t="s">
        <v>1084</v>
      </c>
      <c r="G140" s="202" t="s">
        <v>1929</v>
      </c>
      <c r="H140" s="207" t="str">
        <f t="shared" si="10"/>
        <v>NA</v>
      </c>
      <c r="I140" s="202" t="s">
        <v>1929</v>
      </c>
      <c r="J140" s="202" t="s">
        <v>1929</v>
      </c>
      <c r="K140" s="202">
        <v>0</v>
      </c>
      <c r="L140" s="202" t="s">
        <v>1548</v>
      </c>
      <c r="M140" s="202">
        <v>0</v>
      </c>
      <c r="N140" s="202">
        <v>20</v>
      </c>
      <c r="O140" s="202">
        <v>184</v>
      </c>
      <c r="P140" s="202">
        <v>11</v>
      </c>
      <c r="Q140" s="202">
        <v>8</v>
      </c>
      <c r="R140" s="202">
        <v>5</v>
      </c>
      <c r="S140" s="202">
        <v>9</v>
      </c>
      <c r="T140" s="202">
        <v>6</v>
      </c>
      <c r="U140" s="202">
        <v>10</v>
      </c>
      <c r="V140" s="202">
        <v>9</v>
      </c>
      <c r="W140" s="202">
        <v>10</v>
      </c>
      <c r="X140" s="202">
        <v>5</v>
      </c>
      <c r="Y140" s="202">
        <v>7</v>
      </c>
      <c r="Z140" s="202">
        <v>13</v>
      </c>
      <c r="AA140" s="202">
        <v>12</v>
      </c>
      <c r="AB140" s="202">
        <v>5</v>
      </c>
      <c r="AC140" s="202">
        <v>17</v>
      </c>
      <c r="AD140" s="202">
        <v>14</v>
      </c>
      <c r="AE140" s="202">
        <v>8</v>
      </c>
      <c r="AF140" s="202">
        <v>9</v>
      </c>
      <c r="AG140" s="202">
        <v>8</v>
      </c>
      <c r="AH140" s="202">
        <v>7</v>
      </c>
      <c r="AI140" s="202">
        <v>11</v>
      </c>
      <c r="AJ140" s="202">
        <v>0</v>
      </c>
      <c r="AK140" s="202">
        <v>0</v>
      </c>
      <c r="AL140" s="202">
        <v>0</v>
      </c>
      <c r="AM140" s="202">
        <v>0</v>
      </c>
      <c r="AN140" s="202">
        <v>0</v>
      </c>
      <c r="AO140" s="202">
        <v>0</v>
      </c>
      <c r="AP140" s="202">
        <v>0</v>
      </c>
      <c r="AQ140" s="202" t="s">
        <v>2465</v>
      </c>
      <c r="AR140" s="202">
        <v>0</v>
      </c>
      <c r="AS140" s="202">
        <v>0</v>
      </c>
      <c r="AT140" s="202">
        <v>50</v>
      </c>
      <c r="AU140" s="202" t="s">
        <v>3041</v>
      </c>
      <c r="AV140" s="202">
        <v>10</v>
      </c>
      <c r="AX140" s="202" t="s">
        <v>2032</v>
      </c>
      <c r="AY140" s="202">
        <v>138</v>
      </c>
    </row>
    <row r="141" spans="1:51">
      <c r="A141" s="202" t="str">
        <f t="shared" si="11"/>
        <v>杨春昌</v>
      </c>
      <c r="B141" s="202">
        <f>IF(C141&lt;&gt;"NA",C141,VLOOKUP(K141,Update_from_YIFIP!$X$2:$AD$174,7,FALSE))</f>
        <v>75</v>
      </c>
      <c r="C141" s="207">
        <f t="shared" si="8"/>
        <v>75</v>
      </c>
      <c r="D141" s="207">
        <f t="shared" si="9"/>
        <v>75</v>
      </c>
      <c r="E141" s="202" t="s">
        <v>2143</v>
      </c>
      <c r="F141" s="202" t="s">
        <v>1084</v>
      </c>
      <c r="G141" s="202" t="s">
        <v>1929</v>
      </c>
      <c r="H141" s="207" t="str">
        <f t="shared" si="10"/>
        <v>NA</v>
      </c>
      <c r="I141" s="202" t="s">
        <v>1929</v>
      </c>
      <c r="J141" s="202" t="s">
        <v>3042</v>
      </c>
      <c r="K141" s="202">
        <v>0</v>
      </c>
      <c r="L141" s="202" t="s">
        <v>1549</v>
      </c>
      <c r="M141" s="202">
        <v>10</v>
      </c>
      <c r="N141" s="202">
        <v>0</v>
      </c>
      <c r="O141" s="202">
        <v>224</v>
      </c>
      <c r="P141" s="202">
        <v>23</v>
      </c>
      <c r="Q141" s="202">
        <v>21</v>
      </c>
      <c r="R141" s="202">
        <v>22</v>
      </c>
      <c r="S141" s="202">
        <v>25</v>
      </c>
      <c r="T141" s="202">
        <v>35</v>
      </c>
      <c r="U141" s="202">
        <v>33</v>
      </c>
      <c r="V141" s="202">
        <v>23</v>
      </c>
      <c r="W141" s="202">
        <v>10</v>
      </c>
      <c r="X141" s="202">
        <v>21</v>
      </c>
      <c r="Y141" s="202">
        <v>11</v>
      </c>
      <c r="Z141" s="202">
        <v>0</v>
      </c>
      <c r="AA141" s="202">
        <v>0</v>
      </c>
      <c r="AB141" s="202">
        <v>0</v>
      </c>
      <c r="AC141" s="202">
        <v>0</v>
      </c>
      <c r="AD141" s="202">
        <v>0</v>
      </c>
      <c r="AE141" s="202">
        <v>0</v>
      </c>
      <c r="AF141" s="202">
        <v>0</v>
      </c>
      <c r="AG141" s="202">
        <v>0</v>
      </c>
      <c r="AH141" s="202">
        <v>0</v>
      </c>
      <c r="AI141" s="202">
        <v>0</v>
      </c>
      <c r="AJ141" s="202">
        <v>0</v>
      </c>
      <c r="AK141" s="202">
        <v>0</v>
      </c>
      <c r="AL141" s="202">
        <v>0</v>
      </c>
      <c r="AM141" s="202">
        <v>0</v>
      </c>
      <c r="AN141" s="202">
        <v>0</v>
      </c>
      <c r="AO141" s="202">
        <v>0</v>
      </c>
      <c r="AP141" s="202">
        <v>0</v>
      </c>
      <c r="AQ141" s="202" t="s">
        <v>2483</v>
      </c>
      <c r="AR141" s="202">
        <v>0</v>
      </c>
      <c r="AS141" s="202">
        <v>0</v>
      </c>
      <c r="AT141" s="202">
        <v>42.5</v>
      </c>
      <c r="AU141" s="202" t="s">
        <v>3043</v>
      </c>
      <c r="AV141" s="202">
        <v>8.5</v>
      </c>
      <c r="AX141" s="202" t="s">
        <v>2076</v>
      </c>
      <c r="AY141" s="202">
        <v>139</v>
      </c>
    </row>
    <row r="142" spans="1:51">
      <c r="A142" s="202" t="str">
        <f t="shared" si="11"/>
        <v>杨春昌</v>
      </c>
      <c r="B142" s="202">
        <f>IF(C142&lt;&gt;"NA",C142,VLOOKUP(K142,Update_from_YIFIP!$X$2:$AD$174,7,FALSE))</f>
        <v>75</v>
      </c>
      <c r="C142" s="207">
        <f t="shared" si="8"/>
        <v>75</v>
      </c>
      <c r="D142" s="207">
        <f t="shared" si="9"/>
        <v>75</v>
      </c>
      <c r="E142" s="202" t="s">
        <v>2143</v>
      </c>
      <c r="F142" s="202" t="s">
        <v>1084</v>
      </c>
      <c r="G142" s="202" t="s">
        <v>1929</v>
      </c>
      <c r="H142" s="207" t="str">
        <f t="shared" si="10"/>
        <v>NA</v>
      </c>
      <c r="I142" s="202" t="s">
        <v>1929</v>
      </c>
      <c r="J142" s="202" t="s">
        <v>3042</v>
      </c>
      <c r="K142" s="202">
        <v>0</v>
      </c>
      <c r="L142" s="202" t="s">
        <v>1550</v>
      </c>
      <c r="M142" s="202">
        <v>5</v>
      </c>
      <c r="N142" s="202">
        <v>0</v>
      </c>
      <c r="O142" s="202">
        <v>98</v>
      </c>
      <c r="P142" s="202">
        <v>26</v>
      </c>
      <c r="Q142" s="202">
        <v>14</v>
      </c>
      <c r="R142" s="202">
        <v>18</v>
      </c>
      <c r="S142" s="202">
        <v>25</v>
      </c>
      <c r="T142" s="202">
        <v>15</v>
      </c>
      <c r="U142" s="202">
        <v>0</v>
      </c>
      <c r="V142" s="202">
        <v>0</v>
      </c>
      <c r="W142" s="202">
        <v>0</v>
      </c>
      <c r="X142" s="202">
        <v>0</v>
      </c>
      <c r="Y142" s="202">
        <v>0</v>
      </c>
      <c r="Z142" s="202">
        <v>0</v>
      </c>
      <c r="AA142" s="202">
        <v>0</v>
      </c>
      <c r="AB142" s="202">
        <v>0</v>
      </c>
      <c r="AC142" s="202">
        <v>0</v>
      </c>
      <c r="AD142" s="202">
        <v>0</v>
      </c>
      <c r="AE142" s="202">
        <v>0</v>
      </c>
      <c r="AF142" s="202">
        <v>0</v>
      </c>
      <c r="AG142" s="202">
        <v>0</v>
      </c>
      <c r="AH142" s="202">
        <v>0</v>
      </c>
      <c r="AI142" s="202">
        <v>0</v>
      </c>
      <c r="AJ142" s="202">
        <v>0</v>
      </c>
      <c r="AK142" s="202">
        <v>0</v>
      </c>
      <c r="AL142" s="202">
        <v>0</v>
      </c>
      <c r="AM142" s="202">
        <v>0</v>
      </c>
      <c r="AN142" s="202">
        <v>0</v>
      </c>
      <c r="AO142" s="202">
        <v>0</v>
      </c>
      <c r="AP142" s="202">
        <v>0</v>
      </c>
      <c r="AQ142" s="202" t="s">
        <v>2815</v>
      </c>
      <c r="AR142" s="202">
        <v>0</v>
      </c>
      <c r="AS142" s="202">
        <v>0</v>
      </c>
      <c r="AT142" s="202">
        <v>22.5</v>
      </c>
      <c r="AU142" s="202">
        <v>0</v>
      </c>
      <c r="AV142" s="202">
        <v>4.5</v>
      </c>
      <c r="AX142" s="202" t="s">
        <v>2141</v>
      </c>
      <c r="AY142" s="202">
        <v>140</v>
      </c>
    </row>
    <row r="143" spans="1:51">
      <c r="A143" s="202" t="str">
        <f t="shared" si="11"/>
        <v>杨春昌</v>
      </c>
      <c r="B143" s="202">
        <f>IF(C143&lt;&gt;"NA",C143,VLOOKUP(K143,Update_from_YIFIP!$X$2:$AD$174,7,FALSE))</f>
        <v>75</v>
      </c>
      <c r="C143" s="207">
        <f t="shared" si="8"/>
        <v>75</v>
      </c>
      <c r="D143" s="207">
        <f t="shared" si="9"/>
        <v>75</v>
      </c>
      <c r="E143" s="202" t="s">
        <v>2143</v>
      </c>
      <c r="F143" s="202" t="s">
        <v>1084</v>
      </c>
      <c r="G143" s="202" t="s">
        <v>1929</v>
      </c>
      <c r="H143" s="207" t="str">
        <f t="shared" si="10"/>
        <v>NA</v>
      </c>
      <c r="I143" s="202" t="s">
        <v>1929</v>
      </c>
      <c r="J143" s="202" t="s">
        <v>3042</v>
      </c>
      <c r="K143" s="202">
        <v>0</v>
      </c>
      <c r="L143" s="202" t="s">
        <v>1551</v>
      </c>
      <c r="M143" s="202">
        <v>0</v>
      </c>
      <c r="N143" s="202">
        <v>14</v>
      </c>
      <c r="O143" s="202">
        <v>186</v>
      </c>
      <c r="P143" s="202">
        <v>9</v>
      </c>
      <c r="Q143" s="202">
        <v>18</v>
      </c>
      <c r="R143" s="202">
        <v>25</v>
      </c>
      <c r="S143" s="202">
        <v>23</v>
      </c>
      <c r="T143" s="202">
        <v>11</v>
      </c>
      <c r="U143" s="202">
        <v>19</v>
      </c>
      <c r="V143" s="202">
        <v>6</v>
      </c>
      <c r="W143" s="202">
        <v>6</v>
      </c>
      <c r="X143" s="202">
        <v>8</v>
      </c>
      <c r="Y143" s="202">
        <v>9</v>
      </c>
      <c r="Z143" s="202">
        <v>9</v>
      </c>
      <c r="AA143" s="202">
        <v>5</v>
      </c>
      <c r="AB143" s="202">
        <v>17</v>
      </c>
      <c r="AC143" s="202">
        <v>21</v>
      </c>
      <c r="AD143" s="202">
        <v>0</v>
      </c>
      <c r="AE143" s="202">
        <v>0</v>
      </c>
      <c r="AF143" s="202">
        <v>0</v>
      </c>
      <c r="AG143" s="202">
        <v>0</v>
      </c>
      <c r="AH143" s="202">
        <v>0</v>
      </c>
      <c r="AI143" s="202">
        <v>0</v>
      </c>
      <c r="AJ143" s="202">
        <v>0</v>
      </c>
      <c r="AK143" s="202">
        <v>0</v>
      </c>
      <c r="AL143" s="202">
        <v>0</v>
      </c>
      <c r="AM143" s="202">
        <v>0</v>
      </c>
      <c r="AN143" s="202">
        <v>0</v>
      </c>
      <c r="AO143" s="202">
        <v>0</v>
      </c>
      <c r="AP143" s="202">
        <v>0</v>
      </c>
      <c r="AQ143" s="202" t="s">
        <v>2795</v>
      </c>
      <c r="AR143" s="202">
        <v>0</v>
      </c>
      <c r="AS143" s="202">
        <v>0</v>
      </c>
      <c r="AT143" s="202">
        <v>34.5</v>
      </c>
      <c r="AU143" s="202" t="s">
        <v>3044</v>
      </c>
      <c r="AV143" s="202">
        <v>6.9</v>
      </c>
      <c r="AX143" s="202" t="s">
        <v>2027</v>
      </c>
      <c r="AY143" s="202">
        <v>141</v>
      </c>
    </row>
    <row r="144" spans="1:51">
      <c r="A144" s="202" t="str">
        <f t="shared" si="11"/>
        <v>龙存发</v>
      </c>
      <c r="B144" s="202">
        <f>IF(C144&lt;&gt;"NA",C144,VLOOKUP(K144,Update_from_YIFIP!$X$2:$AD$174,7,FALSE))</f>
        <v>76</v>
      </c>
      <c r="C144" s="207">
        <f t="shared" si="8"/>
        <v>76</v>
      </c>
      <c r="D144" s="207">
        <f t="shared" si="9"/>
        <v>76</v>
      </c>
      <c r="E144" s="202" t="s">
        <v>2091</v>
      </c>
      <c r="F144" s="202" t="s">
        <v>2946</v>
      </c>
      <c r="G144" s="202" t="s">
        <v>2947</v>
      </c>
      <c r="H144" s="207" t="str">
        <f t="shared" si="10"/>
        <v>NA</v>
      </c>
      <c r="I144" s="202" t="s">
        <v>1929</v>
      </c>
      <c r="J144" s="202" t="s">
        <v>2943</v>
      </c>
      <c r="K144" s="202" t="s">
        <v>2944</v>
      </c>
      <c r="L144" s="202" t="s">
        <v>1729</v>
      </c>
      <c r="M144" s="202">
        <v>0</v>
      </c>
      <c r="N144" s="202">
        <v>6</v>
      </c>
      <c r="O144" s="202">
        <v>13</v>
      </c>
      <c r="P144" s="202">
        <v>1</v>
      </c>
      <c r="Q144" s="202">
        <v>2</v>
      </c>
      <c r="R144" s="202">
        <v>2</v>
      </c>
      <c r="S144" s="202">
        <v>2</v>
      </c>
      <c r="T144" s="202">
        <v>3</v>
      </c>
      <c r="U144" s="202">
        <v>3</v>
      </c>
      <c r="V144" s="202">
        <v>0</v>
      </c>
      <c r="W144" s="202">
        <v>0</v>
      </c>
      <c r="X144" s="202">
        <v>0</v>
      </c>
      <c r="Y144" s="202">
        <v>0</v>
      </c>
      <c r="Z144" s="202">
        <v>0</v>
      </c>
      <c r="AA144" s="202">
        <v>0</v>
      </c>
      <c r="AB144" s="202">
        <v>0</v>
      </c>
      <c r="AC144" s="202">
        <v>0</v>
      </c>
      <c r="AD144" s="202">
        <v>0</v>
      </c>
      <c r="AE144" s="202">
        <v>0</v>
      </c>
      <c r="AF144" s="202">
        <v>0</v>
      </c>
      <c r="AG144" s="202">
        <v>0</v>
      </c>
      <c r="AH144" s="202">
        <v>0</v>
      </c>
      <c r="AI144" s="202">
        <v>0</v>
      </c>
      <c r="AJ144" s="202">
        <v>0</v>
      </c>
      <c r="AK144" s="202">
        <v>0</v>
      </c>
      <c r="AL144" s="202">
        <v>0</v>
      </c>
      <c r="AM144" s="202">
        <v>0</v>
      </c>
      <c r="AN144" s="202">
        <v>0</v>
      </c>
      <c r="AO144" s="202">
        <v>0</v>
      </c>
      <c r="AP144" s="202">
        <v>0</v>
      </c>
      <c r="AQ144" s="202" t="s">
        <v>2486</v>
      </c>
      <c r="AR144" s="202">
        <v>0</v>
      </c>
      <c r="AS144" s="202">
        <v>0</v>
      </c>
      <c r="AT144" s="202" t="s">
        <v>2945</v>
      </c>
      <c r="AU144" s="202">
        <v>0</v>
      </c>
      <c r="AV144" s="202" t="s">
        <v>1929</v>
      </c>
      <c r="AX144" s="202" t="s">
        <v>2032</v>
      </c>
      <c r="AY144" s="202">
        <v>142</v>
      </c>
    </row>
    <row r="145" spans="1:51">
      <c r="A145" s="202" t="str">
        <f t="shared" si="11"/>
        <v>龙存发</v>
      </c>
      <c r="B145" s="202">
        <f>IF(C145&lt;&gt;"NA",C145,VLOOKUP(K145,Update_from_YIFIP!$X$2:$AD$174,7,FALSE))</f>
        <v>76</v>
      </c>
      <c r="C145" s="207">
        <f t="shared" si="8"/>
        <v>76</v>
      </c>
      <c r="D145" s="207">
        <f t="shared" si="9"/>
        <v>76</v>
      </c>
      <c r="E145" s="202" t="s">
        <v>2091</v>
      </c>
      <c r="F145" s="202" t="s">
        <v>2946</v>
      </c>
      <c r="G145" s="202" t="s">
        <v>2947</v>
      </c>
      <c r="H145" s="207" t="str">
        <f t="shared" si="10"/>
        <v>NA</v>
      </c>
      <c r="I145" s="202" t="s">
        <v>1929</v>
      </c>
      <c r="J145" s="202" t="s">
        <v>2943</v>
      </c>
      <c r="K145" s="202" t="s">
        <v>2948</v>
      </c>
      <c r="L145" s="202" t="s">
        <v>1730</v>
      </c>
      <c r="M145" s="202">
        <v>7</v>
      </c>
      <c r="N145" s="202">
        <v>0</v>
      </c>
      <c r="O145" s="202">
        <v>22</v>
      </c>
      <c r="P145" s="202">
        <v>1</v>
      </c>
      <c r="Q145" s="202">
        <v>2</v>
      </c>
      <c r="R145" s="202">
        <v>2</v>
      </c>
      <c r="S145" s="202">
        <v>2</v>
      </c>
      <c r="T145" s="202">
        <v>4</v>
      </c>
      <c r="U145" s="202">
        <v>5</v>
      </c>
      <c r="V145" s="202">
        <v>6</v>
      </c>
      <c r="W145" s="202">
        <v>0</v>
      </c>
      <c r="X145" s="202">
        <v>0</v>
      </c>
      <c r="Y145" s="202">
        <v>0</v>
      </c>
      <c r="Z145" s="202">
        <v>0</v>
      </c>
      <c r="AA145" s="202">
        <v>0</v>
      </c>
      <c r="AB145" s="202">
        <v>0</v>
      </c>
      <c r="AC145" s="202">
        <v>0</v>
      </c>
      <c r="AD145" s="202">
        <v>0</v>
      </c>
      <c r="AE145" s="202">
        <v>0</v>
      </c>
      <c r="AF145" s="202">
        <v>0</v>
      </c>
      <c r="AG145" s="202">
        <v>0</v>
      </c>
      <c r="AH145" s="202">
        <v>0</v>
      </c>
      <c r="AI145" s="202">
        <v>0</v>
      </c>
      <c r="AJ145" s="202">
        <v>0</v>
      </c>
      <c r="AK145" s="202">
        <v>0</v>
      </c>
      <c r="AL145" s="202">
        <v>0</v>
      </c>
      <c r="AM145" s="202">
        <v>0</v>
      </c>
      <c r="AN145" s="202">
        <v>0</v>
      </c>
      <c r="AO145" s="202">
        <v>0</v>
      </c>
      <c r="AP145" s="202">
        <v>0</v>
      </c>
      <c r="AQ145" s="202" t="s">
        <v>2549</v>
      </c>
      <c r="AR145" s="202">
        <v>0</v>
      </c>
      <c r="AS145" s="202">
        <v>0</v>
      </c>
      <c r="AT145" s="202" t="s">
        <v>2945</v>
      </c>
      <c r="AU145" s="202">
        <v>0</v>
      </c>
      <c r="AV145" s="202" t="s">
        <v>1929</v>
      </c>
      <c r="AX145" s="202" t="s">
        <v>3372</v>
      </c>
      <c r="AY145" s="202">
        <v>143</v>
      </c>
    </row>
    <row r="146" spans="1:51">
      <c r="A146" s="202" t="str">
        <f t="shared" si="11"/>
        <v>龙存发</v>
      </c>
      <c r="B146" s="202">
        <f>IF(C146&lt;&gt;"NA",C146,VLOOKUP(K146,Update_from_YIFIP!$X$2:$AD$174,7,FALSE))</f>
        <v>76</v>
      </c>
      <c r="C146" s="207">
        <f t="shared" si="8"/>
        <v>76</v>
      </c>
      <c r="D146" s="207">
        <f t="shared" si="9"/>
        <v>76</v>
      </c>
      <c r="E146" s="202" t="s">
        <v>2091</v>
      </c>
      <c r="F146" s="202" t="s">
        <v>2946</v>
      </c>
      <c r="G146" s="202" t="s">
        <v>2947</v>
      </c>
      <c r="H146" s="207" t="str">
        <f t="shared" si="10"/>
        <v>NA</v>
      </c>
      <c r="I146" s="202" t="s">
        <v>1929</v>
      </c>
      <c r="J146" s="202" t="s">
        <v>2943</v>
      </c>
      <c r="K146" s="202" t="s">
        <v>2949</v>
      </c>
      <c r="L146" s="202" t="s">
        <v>1731</v>
      </c>
      <c r="M146" s="202">
        <v>5</v>
      </c>
      <c r="N146" s="202">
        <v>0</v>
      </c>
      <c r="O146" s="202">
        <v>16</v>
      </c>
      <c r="P146" s="202">
        <v>2</v>
      </c>
      <c r="Q146" s="202">
        <v>2</v>
      </c>
      <c r="R146" s="202">
        <v>4</v>
      </c>
      <c r="S146" s="202">
        <v>4</v>
      </c>
      <c r="T146" s="202">
        <v>4</v>
      </c>
      <c r="U146" s="202">
        <v>0</v>
      </c>
      <c r="V146" s="202">
        <v>0</v>
      </c>
      <c r="W146" s="202">
        <v>0</v>
      </c>
      <c r="X146" s="202">
        <v>0</v>
      </c>
      <c r="Y146" s="202">
        <v>0</v>
      </c>
      <c r="Z146" s="202">
        <v>0</v>
      </c>
      <c r="AA146" s="202">
        <v>0</v>
      </c>
      <c r="AB146" s="202">
        <v>0</v>
      </c>
      <c r="AC146" s="202">
        <v>0</v>
      </c>
      <c r="AD146" s="202">
        <v>0</v>
      </c>
      <c r="AE146" s="202">
        <v>0</v>
      </c>
      <c r="AF146" s="202">
        <v>0</v>
      </c>
      <c r="AG146" s="202">
        <v>0</v>
      </c>
      <c r="AH146" s="202">
        <v>0</v>
      </c>
      <c r="AI146" s="202">
        <v>0</v>
      </c>
      <c r="AJ146" s="202">
        <v>0</v>
      </c>
      <c r="AK146" s="202">
        <v>0</v>
      </c>
      <c r="AL146" s="202">
        <v>0</v>
      </c>
      <c r="AM146" s="202">
        <v>0</v>
      </c>
      <c r="AN146" s="202">
        <v>0</v>
      </c>
      <c r="AO146" s="202">
        <v>0</v>
      </c>
      <c r="AP146" s="202">
        <v>0</v>
      </c>
      <c r="AQ146" s="202" t="s">
        <v>2549</v>
      </c>
      <c r="AR146" s="202">
        <v>0</v>
      </c>
      <c r="AS146" s="202">
        <v>0</v>
      </c>
      <c r="AT146" s="202" t="s">
        <v>2950</v>
      </c>
      <c r="AU146" s="202">
        <v>0</v>
      </c>
      <c r="AV146" s="202" t="s">
        <v>1929</v>
      </c>
      <c r="AX146" s="202" t="s">
        <v>2027</v>
      </c>
      <c r="AY146" s="202">
        <v>144</v>
      </c>
    </row>
    <row r="147" spans="1:51">
      <c r="A147" s="202" t="str">
        <f t="shared" si="11"/>
        <v>龙存发</v>
      </c>
      <c r="B147" s="202">
        <f>IF(C147&lt;&gt;"NA",C147,VLOOKUP(K147,Update_from_YIFIP!$X$2:$AD$174,7,FALSE))</f>
        <v>76</v>
      </c>
      <c r="C147" s="207">
        <f t="shared" si="8"/>
        <v>76</v>
      </c>
      <c r="D147" s="207">
        <f t="shared" si="9"/>
        <v>76</v>
      </c>
      <c r="E147" s="202" t="s">
        <v>2091</v>
      </c>
      <c r="F147" s="202" t="s">
        <v>2946</v>
      </c>
      <c r="G147" s="202" t="s">
        <v>2947</v>
      </c>
      <c r="H147" s="207" t="str">
        <f t="shared" si="10"/>
        <v>NA</v>
      </c>
      <c r="I147" s="202" t="s">
        <v>1929</v>
      </c>
      <c r="J147" s="202" t="s">
        <v>2943</v>
      </c>
      <c r="K147" s="202" t="s">
        <v>2951</v>
      </c>
      <c r="L147" s="202" t="s">
        <v>1732</v>
      </c>
      <c r="M147" s="202">
        <v>7</v>
      </c>
      <c r="N147" s="202">
        <v>0</v>
      </c>
      <c r="O147" s="202">
        <v>51</v>
      </c>
      <c r="P147" s="202">
        <v>4</v>
      </c>
      <c r="Q147" s="202">
        <v>7</v>
      </c>
      <c r="R147" s="202">
        <v>3</v>
      </c>
      <c r="S147" s="202">
        <v>5</v>
      </c>
      <c r="T147" s="202">
        <v>4</v>
      </c>
      <c r="U147" s="202">
        <v>9</v>
      </c>
      <c r="V147" s="202">
        <v>19</v>
      </c>
      <c r="W147" s="202">
        <v>0</v>
      </c>
      <c r="X147" s="202">
        <v>0</v>
      </c>
      <c r="Y147" s="202">
        <v>0</v>
      </c>
      <c r="Z147" s="202">
        <v>0</v>
      </c>
      <c r="AA147" s="202">
        <v>0</v>
      </c>
      <c r="AB147" s="202">
        <v>0</v>
      </c>
      <c r="AC147" s="202">
        <v>0</v>
      </c>
      <c r="AD147" s="202">
        <v>0</v>
      </c>
      <c r="AE147" s="202">
        <v>0</v>
      </c>
      <c r="AF147" s="202">
        <v>0</v>
      </c>
      <c r="AG147" s="202">
        <v>0</v>
      </c>
      <c r="AH147" s="202">
        <v>0</v>
      </c>
      <c r="AI147" s="202">
        <v>0</v>
      </c>
      <c r="AJ147" s="202">
        <v>0</v>
      </c>
      <c r="AK147" s="202">
        <v>0</v>
      </c>
      <c r="AL147" s="202">
        <v>0</v>
      </c>
      <c r="AM147" s="202">
        <v>0</v>
      </c>
      <c r="AN147" s="202">
        <v>0</v>
      </c>
      <c r="AO147" s="202">
        <v>0</v>
      </c>
      <c r="AP147" s="202">
        <v>0</v>
      </c>
      <c r="AQ147" s="202" t="s">
        <v>2698</v>
      </c>
      <c r="AR147" s="202">
        <v>0</v>
      </c>
      <c r="AS147" s="202">
        <v>0</v>
      </c>
      <c r="AT147" s="202" t="s">
        <v>2952</v>
      </c>
      <c r="AU147" s="202">
        <v>0</v>
      </c>
      <c r="AV147" s="202" t="s">
        <v>1929</v>
      </c>
      <c r="AX147" s="202" t="s">
        <v>2031</v>
      </c>
      <c r="AY147" s="202">
        <v>145</v>
      </c>
    </row>
    <row r="148" spans="1:51">
      <c r="A148" s="202" t="str">
        <f t="shared" si="11"/>
        <v>龙存发</v>
      </c>
      <c r="B148" s="202">
        <f>IF(C148&lt;&gt;"NA",C148,VLOOKUP(K148,Update_from_YIFIP!$X$2:$AD$174,7,FALSE))</f>
        <v>76</v>
      </c>
      <c r="C148" s="207">
        <f t="shared" si="8"/>
        <v>76</v>
      </c>
      <c r="D148" s="207">
        <f t="shared" si="9"/>
        <v>76</v>
      </c>
      <c r="E148" s="202" t="s">
        <v>2091</v>
      </c>
      <c r="F148" s="202" t="s">
        <v>2946</v>
      </c>
      <c r="G148" s="202" t="s">
        <v>2947</v>
      </c>
      <c r="H148" s="207" t="str">
        <f t="shared" si="10"/>
        <v>NA</v>
      </c>
      <c r="I148" s="202" t="s">
        <v>1929</v>
      </c>
      <c r="J148" s="202" t="s">
        <v>2943</v>
      </c>
      <c r="K148" s="202" t="s">
        <v>2953</v>
      </c>
      <c r="L148" s="202" t="s">
        <v>1733</v>
      </c>
      <c r="M148" s="202">
        <v>7</v>
      </c>
      <c r="N148" s="202">
        <v>0</v>
      </c>
      <c r="O148" s="202">
        <v>31</v>
      </c>
      <c r="P148" s="202">
        <v>3</v>
      </c>
      <c r="Q148" s="202">
        <v>6</v>
      </c>
      <c r="R148" s="202">
        <v>5</v>
      </c>
      <c r="S148" s="202">
        <v>5</v>
      </c>
      <c r="T148" s="202">
        <v>6</v>
      </c>
      <c r="U148" s="202">
        <v>2</v>
      </c>
      <c r="V148" s="202">
        <v>4</v>
      </c>
      <c r="W148" s="202">
        <v>0</v>
      </c>
      <c r="X148" s="202">
        <v>0</v>
      </c>
      <c r="Y148" s="202">
        <v>0</v>
      </c>
      <c r="Z148" s="202">
        <v>0</v>
      </c>
      <c r="AA148" s="202">
        <v>0</v>
      </c>
      <c r="AB148" s="202">
        <v>0</v>
      </c>
      <c r="AC148" s="202">
        <v>0</v>
      </c>
      <c r="AD148" s="202">
        <v>0</v>
      </c>
      <c r="AE148" s="202">
        <v>0</v>
      </c>
      <c r="AF148" s="202">
        <v>0</v>
      </c>
      <c r="AG148" s="202">
        <v>0</v>
      </c>
      <c r="AH148" s="202">
        <v>0</v>
      </c>
      <c r="AI148" s="202">
        <v>0</v>
      </c>
      <c r="AJ148" s="202">
        <v>0</v>
      </c>
      <c r="AK148" s="202">
        <v>0</v>
      </c>
      <c r="AL148" s="202">
        <v>0</v>
      </c>
      <c r="AM148" s="202">
        <v>0</v>
      </c>
      <c r="AN148" s="202">
        <v>0</v>
      </c>
      <c r="AO148" s="202">
        <v>0</v>
      </c>
      <c r="AP148" s="202">
        <v>0</v>
      </c>
      <c r="AQ148" s="202" t="s">
        <v>2698</v>
      </c>
      <c r="AR148" s="202">
        <v>0</v>
      </c>
      <c r="AS148" s="202">
        <v>0</v>
      </c>
      <c r="AT148" s="202" t="s">
        <v>2945</v>
      </c>
      <c r="AU148" s="202">
        <v>0</v>
      </c>
      <c r="AV148" s="202" t="s">
        <v>1929</v>
      </c>
      <c r="AX148" s="202" t="s">
        <v>2106</v>
      </c>
      <c r="AY148" s="202">
        <v>146</v>
      </c>
    </row>
    <row r="149" spans="1:51">
      <c r="A149" s="202" t="str">
        <f t="shared" si="11"/>
        <v>郭洪富</v>
      </c>
      <c r="B149" s="202">
        <f>IF(C149&lt;&gt;"NA",C149,VLOOKUP(K149,Update_from_YIFIP!$X$2:$AD$174,7,FALSE))</f>
        <v>77</v>
      </c>
      <c r="C149" s="207">
        <f t="shared" si="8"/>
        <v>77</v>
      </c>
      <c r="D149" s="207">
        <f t="shared" si="9"/>
        <v>77</v>
      </c>
      <c r="E149" s="202" t="s">
        <v>2041</v>
      </c>
      <c r="F149" s="202" t="s">
        <v>2917</v>
      </c>
      <c r="G149" s="202" t="s">
        <v>2918</v>
      </c>
      <c r="H149" s="207" t="str">
        <f t="shared" si="10"/>
        <v>NA</v>
      </c>
      <c r="I149" s="202" t="s">
        <v>1929</v>
      </c>
      <c r="J149" s="202" t="s">
        <v>2913</v>
      </c>
      <c r="K149" s="202" t="s">
        <v>2915</v>
      </c>
      <c r="L149" s="202" t="s">
        <v>2912</v>
      </c>
      <c r="M149" s="202">
        <v>0</v>
      </c>
      <c r="N149" s="202">
        <v>4</v>
      </c>
      <c r="O149" s="202">
        <v>6</v>
      </c>
      <c r="P149" s="202">
        <v>1</v>
      </c>
      <c r="Q149" s="202">
        <v>1</v>
      </c>
      <c r="R149" s="202">
        <v>2</v>
      </c>
      <c r="S149" s="202">
        <v>2</v>
      </c>
      <c r="T149" s="202">
        <v>0</v>
      </c>
      <c r="U149" s="202">
        <v>0</v>
      </c>
      <c r="V149" s="202">
        <v>0</v>
      </c>
      <c r="W149" s="202">
        <v>0</v>
      </c>
      <c r="X149" s="202">
        <v>0</v>
      </c>
      <c r="Y149" s="202">
        <v>0</v>
      </c>
      <c r="Z149" s="202">
        <v>0</v>
      </c>
      <c r="AA149" s="202">
        <v>0</v>
      </c>
      <c r="AB149" s="202">
        <v>0</v>
      </c>
      <c r="AC149" s="202">
        <v>0</v>
      </c>
      <c r="AD149" s="202">
        <v>0</v>
      </c>
      <c r="AE149" s="202">
        <v>0</v>
      </c>
      <c r="AF149" s="202">
        <v>0</v>
      </c>
      <c r="AG149" s="202">
        <v>0</v>
      </c>
      <c r="AH149" s="202">
        <v>0</v>
      </c>
      <c r="AI149" s="202">
        <v>0</v>
      </c>
      <c r="AJ149" s="202">
        <v>0</v>
      </c>
      <c r="AK149" s="202">
        <v>0</v>
      </c>
      <c r="AL149" s="202">
        <v>0</v>
      </c>
      <c r="AM149" s="202">
        <v>0</v>
      </c>
      <c r="AN149" s="202">
        <v>0</v>
      </c>
      <c r="AO149" s="202">
        <v>0</v>
      </c>
      <c r="AP149" s="202">
        <v>0</v>
      </c>
      <c r="AQ149" s="202" t="s">
        <v>2914</v>
      </c>
      <c r="AR149" s="202">
        <v>0</v>
      </c>
      <c r="AS149" s="202">
        <v>0</v>
      </c>
      <c r="AT149" s="202" t="s">
        <v>2916</v>
      </c>
      <c r="AU149" s="202">
        <v>0</v>
      </c>
      <c r="AV149" s="202" t="s">
        <v>1929</v>
      </c>
      <c r="AX149" s="202" t="s">
        <v>2168</v>
      </c>
      <c r="AY149" s="202">
        <v>147</v>
      </c>
    </row>
    <row r="150" spans="1:51">
      <c r="A150" s="202" t="str">
        <f t="shared" si="11"/>
        <v>郭洪富</v>
      </c>
      <c r="B150" s="202">
        <f>IF(C150&lt;&gt;"NA",C150,VLOOKUP(K150,Update_from_YIFIP!$X$2:$AD$174,7,FALSE))</f>
        <v>77</v>
      </c>
      <c r="C150" s="207">
        <f t="shared" si="8"/>
        <v>77</v>
      </c>
      <c r="D150" s="207">
        <f t="shared" si="9"/>
        <v>77</v>
      </c>
      <c r="E150" s="202" t="s">
        <v>2041</v>
      </c>
      <c r="F150" s="202" t="s">
        <v>2917</v>
      </c>
      <c r="G150" s="202" t="s">
        <v>2918</v>
      </c>
      <c r="H150" s="207" t="str">
        <f t="shared" si="10"/>
        <v>NA</v>
      </c>
      <c r="I150" s="202" t="s">
        <v>1929</v>
      </c>
      <c r="J150" s="202" t="s">
        <v>2913</v>
      </c>
      <c r="K150" s="202" t="s">
        <v>2919</v>
      </c>
      <c r="L150" s="202" t="s">
        <v>1720</v>
      </c>
      <c r="M150" s="202">
        <v>3</v>
      </c>
      <c r="N150" s="202">
        <v>0</v>
      </c>
      <c r="O150" s="202">
        <v>7</v>
      </c>
      <c r="P150" s="202">
        <v>4</v>
      </c>
      <c r="Q150" s="202">
        <v>1</v>
      </c>
      <c r="R150" s="202">
        <v>2</v>
      </c>
      <c r="S150" s="202">
        <v>0</v>
      </c>
      <c r="T150" s="202">
        <v>0</v>
      </c>
      <c r="U150" s="202">
        <v>0</v>
      </c>
      <c r="V150" s="202">
        <v>0</v>
      </c>
      <c r="W150" s="202">
        <v>0</v>
      </c>
      <c r="X150" s="202">
        <v>0</v>
      </c>
      <c r="Y150" s="202">
        <v>0</v>
      </c>
      <c r="Z150" s="202">
        <v>0</v>
      </c>
      <c r="AA150" s="202">
        <v>0</v>
      </c>
      <c r="AB150" s="202">
        <v>0</v>
      </c>
      <c r="AC150" s="202">
        <v>0</v>
      </c>
      <c r="AD150" s="202">
        <v>0</v>
      </c>
      <c r="AE150" s="202">
        <v>0</v>
      </c>
      <c r="AF150" s="202">
        <v>0</v>
      </c>
      <c r="AG150" s="202">
        <v>0</v>
      </c>
      <c r="AH150" s="202">
        <v>0</v>
      </c>
      <c r="AI150" s="202">
        <v>0</v>
      </c>
      <c r="AJ150" s="202">
        <v>0</v>
      </c>
      <c r="AK150" s="202">
        <v>0</v>
      </c>
      <c r="AL150" s="202">
        <v>0</v>
      </c>
      <c r="AM150" s="202">
        <v>0</v>
      </c>
      <c r="AN150" s="202">
        <v>0</v>
      </c>
      <c r="AO150" s="202">
        <v>0</v>
      </c>
      <c r="AP150" s="202">
        <v>0</v>
      </c>
      <c r="AQ150" s="202" t="s">
        <v>2864</v>
      </c>
      <c r="AR150" s="202">
        <v>0</v>
      </c>
      <c r="AS150" s="202">
        <v>0</v>
      </c>
      <c r="AT150" s="202" t="s">
        <v>2916</v>
      </c>
      <c r="AU150" s="202">
        <v>0</v>
      </c>
      <c r="AV150" s="202" t="s">
        <v>1929</v>
      </c>
      <c r="AX150" s="202" t="s">
        <v>2069</v>
      </c>
      <c r="AY150" s="202">
        <v>148</v>
      </c>
    </row>
    <row r="151" spans="1:51">
      <c r="A151" s="202" t="str">
        <f t="shared" si="11"/>
        <v>郭洪富</v>
      </c>
      <c r="B151" s="202">
        <f>IF(C151&lt;&gt;"NA",C151,VLOOKUP(K151,Update_from_YIFIP!$X$2:$AD$174,7,FALSE))</f>
        <v>77</v>
      </c>
      <c r="C151" s="207">
        <f t="shared" si="8"/>
        <v>77</v>
      </c>
      <c r="D151" s="207">
        <f t="shared" si="9"/>
        <v>77</v>
      </c>
      <c r="E151" s="202" t="s">
        <v>2041</v>
      </c>
      <c r="F151" s="202" t="s">
        <v>2917</v>
      </c>
      <c r="G151" s="202" t="s">
        <v>2918</v>
      </c>
      <c r="H151" s="207" t="str">
        <f t="shared" si="10"/>
        <v>NA</v>
      </c>
      <c r="I151" s="202" t="s">
        <v>1929</v>
      </c>
      <c r="J151" s="202" t="s">
        <v>2913</v>
      </c>
      <c r="K151" s="202" t="s">
        <v>2921</v>
      </c>
      <c r="L151" s="202" t="s">
        <v>1721</v>
      </c>
      <c r="M151" s="202">
        <v>2</v>
      </c>
      <c r="N151" s="202">
        <v>0</v>
      </c>
      <c r="O151" s="202">
        <v>3</v>
      </c>
      <c r="P151" s="202">
        <v>1</v>
      </c>
      <c r="Q151" s="202">
        <v>2</v>
      </c>
      <c r="R151" s="202">
        <v>0</v>
      </c>
      <c r="S151" s="202">
        <v>0</v>
      </c>
      <c r="T151" s="202">
        <v>0</v>
      </c>
      <c r="U151" s="202">
        <v>0</v>
      </c>
      <c r="V151" s="202">
        <v>0</v>
      </c>
      <c r="W151" s="202">
        <v>0</v>
      </c>
      <c r="X151" s="202">
        <v>0</v>
      </c>
      <c r="Y151" s="202">
        <v>0</v>
      </c>
      <c r="Z151" s="202">
        <v>0</v>
      </c>
      <c r="AA151" s="202">
        <v>0</v>
      </c>
      <c r="AB151" s="202">
        <v>0</v>
      </c>
      <c r="AC151" s="202">
        <v>0</v>
      </c>
      <c r="AD151" s="202">
        <v>0</v>
      </c>
      <c r="AE151" s="202">
        <v>0</v>
      </c>
      <c r="AF151" s="202">
        <v>0</v>
      </c>
      <c r="AG151" s="202">
        <v>0</v>
      </c>
      <c r="AH151" s="202">
        <v>0</v>
      </c>
      <c r="AI151" s="202">
        <v>0</v>
      </c>
      <c r="AJ151" s="202">
        <v>0</v>
      </c>
      <c r="AK151" s="202">
        <v>0</v>
      </c>
      <c r="AL151" s="202">
        <v>0</v>
      </c>
      <c r="AM151" s="202">
        <v>0</v>
      </c>
      <c r="AN151" s="202">
        <v>0</v>
      </c>
      <c r="AO151" s="202">
        <v>0</v>
      </c>
      <c r="AP151" s="202">
        <v>0</v>
      </c>
      <c r="AQ151" s="202" t="s">
        <v>2920</v>
      </c>
      <c r="AR151" s="202">
        <v>0</v>
      </c>
      <c r="AS151" s="202">
        <v>0</v>
      </c>
      <c r="AT151" s="202" t="s">
        <v>2922</v>
      </c>
      <c r="AU151" s="202">
        <v>0</v>
      </c>
      <c r="AV151" s="202" t="s">
        <v>1929</v>
      </c>
      <c r="AX151" s="202" t="s">
        <v>2146</v>
      </c>
      <c r="AY151" s="202">
        <v>149</v>
      </c>
    </row>
    <row r="152" spans="1:51">
      <c r="A152" s="202" t="str">
        <f t="shared" si="11"/>
        <v>郭洪富</v>
      </c>
      <c r="B152" s="202">
        <f>IF(C152&lt;&gt;"NA",C152,VLOOKUP(K152,Update_from_YIFIP!$X$2:$AD$174,7,FALSE))</f>
        <v>77</v>
      </c>
      <c r="C152" s="207">
        <f t="shared" si="8"/>
        <v>77</v>
      </c>
      <c r="D152" s="207">
        <f t="shared" si="9"/>
        <v>77</v>
      </c>
      <c r="E152" s="202" t="s">
        <v>2041</v>
      </c>
      <c r="F152" s="202" t="s">
        <v>2917</v>
      </c>
      <c r="G152" s="202" t="s">
        <v>2918</v>
      </c>
      <c r="H152" s="207" t="str">
        <f t="shared" si="10"/>
        <v>NA</v>
      </c>
      <c r="I152" s="202" t="s">
        <v>1929</v>
      </c>
      <c r="J152" s="202" t="s">
        <v>2913</v>
      </c>
      <c r="K152" s="202" t="s">
        <v>2923</v>
      </c>
      <c r="L152" s="202" t="s">
        <v>1722</v>
      </c>
      <c r="M152" s="202">
        <v>6</v>
      </c>
      <c r="N152" s="202">
        <v>0</v>
      </c>
      <c r="O152" s="202">
        <v>14</v>
      </c>
      <c r="P152" s="202">
        <v>2</v>
      </c>
      <c r="Q152" s="202">
        <v>2</v>
      </c>
      <c r="R152" s="202">
        <v>2</v>
      </c>
      <c r="S152" s="202">
        <v>2</v>
      </c>
      <c r="T152" s="202">
        <v>2</v>
      </c>
      <c r="U152" s="202">
        <v>4</v>
      </c>
      <c r="V152" s="202">
        <v>0</v>
      </c>
      <c r="W152" s="202">
        <v>0</v>
      </c>
      <c r="X152" s="202">
        <v>0</v>
      </c>
      <c r="Y152" s="202">
        <v>0</v>
      </c>
      <c r="Z152" s="202">
        <v>0</v>
      </c>
      <c r="AA152" s="202">
        <v>0</v>
      </c>
      <c r="AB152" s="202">
        <v>0</v>
      </c>
      <c r="AC152" s="202">
        <v>0</v>
      </c>
      <c r="AD152" s="202">
        <v>0</v>
      </c>
      <c r="AE152" s="202">
        <v>0</v>
      </c>
      <c r="AF152" s="202">
        <v>0</v>
      </c>
      <c r="AG152" s="202">
        <v>0</v>
      </c>
      <c r="AH152" s="202">
        <v>0</v>
      </c>
      <c r="AI152" s="202">
        <v>0</v>
      </c>
      <c r="AJ152" s="202">
        <v>0</v>
      </c>
      <c r="AK152" s="202">
        <v>0</v>
      </c>
      <c r="AL152" s="202">
        <v>0</v>
      </c>
      <c r="AM152" s="202">
        <v>0</v>
      </c>
      <c r="AN152" s="202">
        <v>0</v>
      </c>
      <c r="AO152" s="202">
        <v>0</v>
      </c>
      <c r="AP152" s="202">
        <v>0</v>
      </c>
      <c r="AQ152" s="202" t="s">
        <v>2701</v>
      </c>
      <c r="AR152" s="202">
        <v>0</v>
      </c>
      <c r="AS152" s="202">
        <v>0</v>
      </c>
      <c r="AT152" s="202" t="s">
        <v>2924</v>
      </c>
      <c r="AU152" s="202">
        <v>0</v>
      </c>
      <c r="AV152" s="202" t="s">
        <v>1929</v>
      </c>
      <c r="AX152" s="202" t="s">
        <v>2112</v>
      </c>
      <c r="AY152" s="202">
        <v>150</v>
      </c>
    </row>
    <row r="153" spans="1:51">
      <c r="A153" s="202" t="str">
        <f t="shared" si="11"/>
        <v>郭洪富</v>
      </c>
      <c r="B153" s="202">
        <f>IF(C153&lt;&gt;"NA",C153,VLOOKUP(K153,Update_from_YIFIP!$X$2:$AD$174,7,FALSE))</f>
        <v>77</v>
      </c>
      <c r="C153" s="207">
        <f t="shared" si="8"/>
        <v>77</v>
      </c>
      <c r="D153" s="207">
        <f t="shared" si="9"/>
        <v>77</v>
      </c>
      <c r="E153" s="202" t="s">
        <v>2041</v>
      </c>
      <c r="F153" s="202" t="s">
        <v>2917</v>
      </c>
      <c r="G153" s="202" t="s">
        <v>2918</v>
      </c>
      <c r="H153" s="207" t="str">
        <f t="shared" si="10"/>
        <v>NA</v>
      </c>
      <c r="I153" s="202" t="s">
        <v>1929</v>
      </c>
      <c r="J153" s="202" t="s">
        <v>2913</v>
      </c>
      <c r="K153" s="202" t="s">
        <v>2926</v>
      </c>
      <c r="L153" s="202" t="s">
        <v>1723</v>
      </c>
      <c r="M153" s="202">
        <v>4</v>
      </c>
      <c r="N153" s="202">
        <v>0</v>
      </c>
      <c r="O153" s="202">
        <v>10</v>
      </c>
      <c r="P153" s="202">
        <v>2</v>
      </c>
      <c r="Q153" s="202">
        <v>2</v>
      </c>
      <c r="R153" s="202">
        <v>3</v>
      </c>
      <c r="S153" s="202">
        <v>3</v>
      </c>
      <c r="T153" s="202">
        <v>0</v>
      </c>
      <c r="U153" s="202">
        <v>0</v>
      </c>
      <c r="V153" s="202">
        <v>0</v>
      </c>
      <c r="W153" s="202">
        <v>0</v>
      </c>
      <c r="X153" s="202">
        <v>0</v>
      </c>
      <c r="Y153" s="202">
        <v>0</v>
      </c>
      <c r="Z153" s="202">
        <v>0</v>
      </c>
      <c r="AA153" s="202">
        <v>0</v>
      </c>
      <c r="AB153" s="202">
        <v>0</v>
      </c>
      <c r="AC153" s="202">
        <v>0</v>
      </c>
      <c r="AD153" s="202">
        <v>0</v>
      </c>
      <c r="AE153" s="202">
        <v>0</v>
      </c>
      <c r="AF153" s="202">
        <v>0</v>
      </c>
      <c r="AG153" s="202">
        <v>0</v>
      </c>
      <c r="AH153" s="202">
        <v>0</v>
      </c>
      <c r="AI153" s="202">
        <v>0</v>
      </c>
      <c r="AJ153" s="202">
        <v>0</v>
      </c>
      <c r="AK153" s="202">
        <v>0</v>
      </c>
      <c r="AL153" s="202">
        <v>0</v>
      </c>
      <c r="AM153" s="202">
        <v>0</v>
      </c>
      <c r="AN153" s="202">
        <v>0</v>
      </c>
      <c r="AO153" s="202">
        <v>0</v>
      </c>
      <c r="AP153" s="202">
        <v>0</v>
      </c>
      <c r="AQ153" s="202" t="s">
        <v>2925</v>
      </c>
      <c r="AR153" s="202">
        <v>0</v>
      </c>
      <c r="AS153" s="202">
        <v>0</v>
      </c>
      <c r="AT153" s="202" t="s">
        <v>2924</v>
      </c>
      <c r="AU153" s="202">
        <v>0</v>
      </c>
      <c r="AV153" s="202" t="s">
        <v>1929</v>
      </c>
      <c r="AX153" s="202" t="s">
        <v>2159</v>
      </c>
      <c r="AY153" s="202">
        <v>151</v>
      </c>
    </row>
    <row r="154" spans="1:51">
      <c r="A154" s="202" t="str">
        <f t="shared" si="11"/>
        <v>肖子云</v>
      </c>
      <c r="B154" s="202">
        <f>IF(C154&lt;&gt;"NA",C154,VLOOKUP(K154,Update_from_YIFIP!$X$2:$AD$174,7,FALSE))</f>
        <v>78</v>
      </c>
      <c r="C154" s="207">
        <f t="shared" si="8"/>
        <v>78</v>
      </c>
      <c r="D154" s="207">
        <f t="shared" si="9"/>
        <v>78</v>
      </c>
      <c r="E154" s="202" t="s">
        <v>2140</v>
      </c>
      <c r="F154" s="202" t="s">
        <v>3057</v>
      </c>
      <c r="G154" s="202" t="s">
        <v>3058</v>
      </c>
      <c r="H154" s="207" t="str">
        <f t="shared" si="10"/>
        <v>NA</v>
      </c>
      <c r="I154" s="202" t="s">
        <v>1929</v>
      </c>
      <c r="J154" s="202" t="s">
        <v>3056</v>
      </c>
      <c r="K154" s="202" t="s">
        <v>2922</v>
      </c>
      <c r="L154" s="202" t="s">
        <v>1560</v>
      </c>
      <c r="M154" s="202">
        <v>10</v>
      </c>
      <c r="N154" s="202">
        <v>0</v>
      </c>
      <c r="O154" s="202">
        <v>23</v>
      </c>
      <c r="P154" s="202">
        <v>1</v>
      </c>
      <c r="Q154" s="202">
        <v>1</v>
      </c>
      <c r="R154" s="202">
        <v>2</v>
      </c>
      <c r="S154" s="202">
        <v>2</v>
      </c>
      <c r="T154" s="202">
        <v>2</v>
      </c>
      <c r="U154" s="202">
        <v>2</v>
      </c>
      <c r="V154" s="202">
        <v>3</v>
      </c>
      <c r="W154" s="202">
        <v>3</v>
      </c>
      <c r="X154" s="202">
        <v>3</v>
      </c>
      <c r="Y154" s="202">
        <v>4</v>
      </c>
      <c r="Z154" s="202">
        <v>0</v>
      </c>
      <c r="AA154" s="202">
        <v>0</v>
      </c>
      <c r="AB154" s="202">
        <v>0</v>
      </c>
      <c r="AC154" s="202">
        <v>0</v>
      </c>
      <c r="AD154" s="202">
        <v>0</v>
      </c>
      <c r="AE154" s="202">
        <v>0</v>
      </c>
      <c r="AF154" s="202">
        <v>0</v>
      </c>
      <c r="AG154" s="202">
        <v>0</v>
      </c>
      <c r="AH154" s="202">
        <v>0</v>
      </c>
      <c r="AI154" s="202">
        <v>0</v>
      </c>
      <c r="AJ154" s="202">
        <v>0</v>
      </c>
      <c r="AK154" s="202">
        <v>0</v>
      </c>
      <c r="AL154" s="202">
        <v>0</v>
      </c>
      <c r="AM154" s="202">
        <v>0</v>
      </c>
      <c r="AN154" s="202">
        <v>0</v>
      </c>
      <c r="AO154" s="202">
        <v>0</v>
      </c>
      <c r="AP154" s="202">
        <v>0</v>
      </c>
      <c r="AQ154" s="202" t="s">
        <v>2451</v>
      </c>
      <c r="AR154" s="202">
        <v>0</v>
      </c>
      <c r="AS154" s="202">
        <v>0</v>
      </c>
      <c r="AT154" s="202">
        <v>5</v>
      </c>
      <c r="AU154" s="202">
        <v>0</v>
      </c>
      <c r="AV154" s="202">
        <v>1</v>
      </c>
      <c r="AX154" s="202" t="s">
        <v>2065</v>
      </c>
      <c r="AY154" s="202">
        <v>152</v>
      </c>
    </row>
    <row r="155" spans="1:51">
      <c r="A155" s="202" t="str">
        <f t="shared" si="11"/>
        <v>肖子云</v>
      </c>
      <c r="B155" s="202">
        <f>IF(C155&lt;&gt;"NA",C155,VLOOKUP(K155,Update_from_YIFIP!$X$2:$AD$174,7,FALSE))</f>
        <v>78</v>
      </c>
      <c r="C155" s="207">
        <f t="shared" si="8"/>
        <v>78</v>
      </c>
      <c r="D155" s="207">
        <f t="shared" si="9"/>
        <v>78</v>
      </c>
      <c r="E155" s="202" t="s">
        <v>2140</v>
      </c>
      <c r="F155" s="202" t="s">
        <v>3057</v>
      </c>
      <c r="G155" s="202" t="s">
        <v>3058</v>
      </c>
      <c r="H155" s="207" t="str">
        <f t="shared" si="10"/>
        <v>NA</v>
      </c>
      <c r="I155" s="202" t="s">
        <v>1929</v>
      </c>
      <c r="J155" s="202" t="s">
        <v>3056</v>
      </c>
      <c r="K155" s="202" t="s">
        <v>2916</v>
      </c>
      <c r="L155" s="202" t="s">
        <v>1561</v>
      </c>
      <c r="M155" s="202">
        <v>8</v>
      </c>
      <c r="N155" s="202">
        <v>0</v>
      </c>
      <c r="O155" s="202">
        <v>83</v>
      </c>
      <c r="P155" s="202">
        <v>10</v>
      </c>
      <c r="Q155" s="202">
        <v>10</v>
      </c>
      <c r="R155" s="202">
        <v>10</v>
      </c>
      <c r="S155" s="202">
        <v>10</v>
      </c>
      <c r="T155" s="202">
        <v>9</v>
      </c>
      <c r="U155" s="202">
        <v>15</v>
      </c>
      <c r="V155" s="202">
        <v>8</v>
      </c>
      <c r="W155" s="202">
        <v>11</v>
      </c>
      <c r="X155" s="202">
        <v>0</v>
      </c>
      <c r="Y155" s="202">
        <v>0</v>
      </c>
      <c r="Z155" s="202">
        <v>0</v>
      </c>
      <c r="AA155" s="202">
        <v>0</v>
      </c>
      <c r="AB155" s="202">
        <v>0</v>
      </c>
      <c r="AC155" s="202">
        <v>0</v>
      </c>
      <c r="AD155" s="202">
        <v>0</v>
      </c>
      <c r="AE155" s="202">
        <v>0</v>
      </c>
      <c r="AF155" s="202">
        <v>0</v>
      </c>
      <c r="AG155" s="202">
        <v>0</v>
      </c>
      <c r="AH155" s="202">
        <v>0</v>
      </c>
      <c r="AI155" s="202">
        <v>0</v>
      </c>
      <c r="AJ155" s="202">
        <v>0</v>
      </c>
      <c r="AK155" s="202">
        <v>0</v>
      </c>
      <c r="AL155" s="202">
        <v>0</v>
      </c>
      <c r="AM155" s="202">
        <v>0</v>
      </c>
      <c r="AN155" s="202">
        <v>0</v>
      </c>
      <c r="AO155" s="202">
        <v>0</v>
      </c>
      <c r="AP155" s="202">
        <v>0</v>
      </c>
      <c r="AQ155" s="202" t="s">
        <v>2451</v>
      </c>
      <c r="AR155" s="202">
        <v>0</v>
      </c>
      <c r="AS155" s="202">
        <v>0</v>
      </c>
      <c r="AT155" s="202">
        <v>15</v>
      </c>
      <c r="AU155" s="202">
        <v>0</v>
      </c>
      <c r="AV155" s="202">
        <v>3</v>
      </c>
      <c r="AX155" s="202" t="s">
        <v>2081</v>
      </c>
      <c r="AY155" s="202">
        <v>153</v>
      </c>
    </row>
    <row r="156" spans="1:51">
      <c r="A156" s="202" t="str">
        <f t="shared" si="11"/>
        <v>肖子云</v>
      </c>
      <c r="B156" s="202">
        <f>IF(C156&lt;&gt;"NA",C156,VLOOKUP(K156,Update_from_YIFIP!$X$2:$AD$174,7,FALSE))</f>
        <v>78</v>
      </c>
      <c r="C156" s="207">
        <f t="shared" si="8"/>
        <v>78</v>
      </c>
      <c r="D156" s="207">
        <f t="shared" si="9"/>
        <v>78</v>
      </c>
      <c r="E156" s="202" t="s">
        <v>2140</v>
      </c>
      <c r="F156" s="202" t="s">
        <v>3057</v>
      </c>
      <c r="G156" s="202" t="s">
        <v>3058</v>
      </c>
      <c r="H156" s="207" t="str">
        <f t="shared" si="10"/>
        <v>NA</v>
      </c>
      <c r="I156" s="202" t="s">
        <v>1929</v>
      </c>
      <c r="J156" s="202" t="s">
        <v>3056</v>
      </c>
      <c r="K156" s="202">
        <v>0</v>
      </c>
      <c r="L156" s="202" t="s">
        <v>1562</v>
      </c>
      <c r="M156" s="202">
        <v>12</v>
      </c>
      <c r="N156" s="202">
        <v>0</v>
      </c>
      <c r="O156" s="202">
        <v>28</v>
      </c>
      <c r="P156" s="202">
        <v>2</v>
      </c>
      <c r="Q156" s="202">
        <v>2</v>
      </c>
      <c r="R156" s="202">
        <v>2</v>
      </c>
      <c r="S156" s="202">
        <v>2</v>
      </c>
      <c r="T156" s="202">
        <v>2</v>
      </c>
      <c r="U156" s="202">
        <v>2</v>
      </c>
      <c r="V156" s="202">
        <v>2</v>
      </c>
      <c r="W156" s="202">
        <v>2</v>
      </c>
      <c r="X156" s="202">
        <v>2</v>
      </c>
      <c r="Y156" s="202">
        <v>3</v>
      </c>
      <c r="Z156" s="202">
        <v>3</v>
      </c>
      <c r="AA156" s="202">
        <v>4</v>
      </c>
      <c r="AB156" s="202">
        <v>0</v>
      </c>
      <c r="AC156" s="202">
        <v>0</v>
      </c>
      <c r="AD156" s="202">
        <v>0</v>
      </c>
      <c r="AE156" s="202">
        <v>0</v>
      </c>
      <c r="AF156" s="202">
        <v>0</v>
      </c>
      <c r="AG156" s="202">
        <v>0</v>
      </c>
      <c r="AH156" s="202">
        <v>0</v>
      </c>
      <c r="AI156" s="202">
        <v>0</v>
      </c>
      <c r="AJ156" s="202">
        <v>0</v>
      </c>
      <c r="AK156" s="202">
        <v>0</v>
      </c>
      <c r="AL156" s="202">
        <v>0</v>
      </c>
      <c r="AM156" s="202">
        <v>0</v>
      </c>
      <c r="AN156" s="202">
        <v>0</v>
      </c>
      <c r="AO156" s="202">
        <v>0</v>
      </c>
      <c r="AP156" s="202">
        <v>0</v>
      </c>
      <c r="AQ156" s="202" t="s">
        <v>2843</v>
      </c>
      <c r="AR156" s="202">
        <v>0</v>
      </c>
      <c r="AS156" s="202">
        <v>0</v>
      </c>
      <c r="AT156" s="202">
        <v>5</v>
      </c>
      <c r="AU156" s="202">
        <v>0</v>
      </c>
      <c r="AV156" s="202">
        <v>1</v>
      </c>
      <c r="AX156" s="202" t="s">
        <v>2065</v>
      </c>
      <c r="AY156" s="202">
        <v>154</v>
      </c>
    </row>
    <row r="157" spans="1:51">
      <c r="A157" s="202" t="str">
        <f t="shared" si="11"/>
        <v>肖子云</v>
      </c>
      <c r="B157" s="202">
        <f>IF(C157&lt;&gt;"NA",C157,VLOOKUP(K157,Update_from_YIFIP!$X$2:$AD$174,7,FALSE))</f>
        <v>78</v>
      </c>
      <c r="C157" s="207">
        <f t="shared" si="8"/>
        <v>78</v>
      </c>
      <c r="D157" s="207">
        <f t="shared" si="9"/>
        <v>78</v>
      </c>
      <c r="E157" s="202" t="s">
        <v>2140</v>
      </c>
      <c r="F157" s="202" t="s">
        <v>3057</v>
      </c>
      <c r="G157" s="202" t="s">
        <v>3058</v>
      </c>
      <c r="H157" s="207" t="str">
        <f t="shared" si="10"/>
        <v>NA</v>
      </c>
      <c r="I157" s="202" t="s">
        <v>1929</v>
      </c>
      <c r="J157" s="202" t="s">
        <v>3056</v>
      </c>
      <c r="K157" s="202">
        <v>0</v>
      </c>
      <c r="L157" s="202" t="s">
        <v>1563</v>
      </c>
      <c r="M157" s="202">
        <v>0</v>
      </c>
      <c r="N157" s="202">
        <v>20</v>
      </c>
      <c r="O157" s="202">
        <v>50</v>
      </c>
      <c r="P157" s="202">
        <v>1</v>
      </c>
      <c r="Q157" s="202">
        <v>1</v>
      </c>
      <c r="R157" s="202">
        <v>2</v>
      </c>
      <c r="S157" s="202">
        <v>2</v>
      </c>
      <c r="T157" s="202">
        <v>2</v>
      </c>
      <c r="U157" s="202">
        <v>2</v>
      </c>
      <c r="V157" s="202">
        <v>2</v>
      </c>
      <c r="W157" s="202">
        <v>2</v>
      </c>
      <c r="X157" s="202">
        <v>2</v>
      </c>
      <c r="Y157" s="202">
        <v>2</v>
      </c>
      <c r="Z157" s="202">
        <v>2</v>
      </c>
      <c r="AA157" s="202">
        <v>3</v>
      </c>
      <c r="AB157" s="202">
        <v>3</v>
      </c>
      <c r="AC157" s="202">
        <v>3</v>
      </c>
      <c r="AD157" s="202">
        <v>3</v>
      </c>
      <c r="AE157" s="202">
        <v>3</v>
      </c>
      <c r="AF157" s="202">
        <v>3</v>
      </c>
      <c r="AG157" s="202">
        <v>3</v>
      </c>
      <c r="AH157" s="202">
        <v>3</v>
      </c>
      <c r="AI157" s="202">
        <v>6</v>
      </c>
      <c r="AJ157" s="202">
        <v>0</v>
      </c>
      <c r="AK157" s="202">
        <v>0</v>
      </c>
      <c r="AL157" s="202">
        <v>0</v>
      </c>
      <c r="AM157" s="202">
        <v>0</v>
      </c>
      <c r="AN157" s="202">
        <v>0</v>
      </c>
      <c r="AO157" s="202">
        <v>0</v>
      </c>
      <c r="AP157" s="202">
        <v>0</v>
      </c>
      <c r="AQ157" s="202" t="s">
        <v>2843</v>
      </c>
      <c r="AR157" s="202">
        <v>0</v>
      </c>
      <c r="AS157" s="202">
        <v>0</v>
      </c>
      <c r="AT157" s="202">
        <v>15</v>
      </c>
      <c r="AU157" s="202">
        <v>0</v>
      </c>
      <c r="AV157" s="202">
        <v>3</v>
      </c>
      <c r="AX157" s="202" t="s">
        <v>2159</v>
      </c>
      <c r="AY157" s="202">
        <v>155</v>
      </c>
    </row>
    <row r="158" spans="1:51">
      <c r="A158" s="202" t="str">
        <f t="shared" si="11"/>
        <v>罗权章</v>
      </c>
      <c r="B158" s="202">
        <f>IF(C158&lt;&gt;"NA",C158,VLOOKUP(K158,Update_from_YIFIP!$X$2:$AD$174,7,FALSE))</f>
        <v>83</v>
      </c>
      <c r="C158" s="207">
        <f t="shared" si="8"/>
        <v>83</v>
      </c>
      <c r="D158" s="207">
        <f t="shared" si="9"/>
        <v>83</v>
      </c>
      <c r="E158" s="202" t="s">
        <v>2102</v>
      </c>
      <c r="F158" s="202" t="s">
        <v>3015</v>
      </c>
      <c r="G158" s="202" t="s">
        <v>3016</v>
      </c>
      <c r="H158" s="207" t="str">
        <f t="shared" si="10"/>
        <v>NA</v>
      </c>
      <c r="I158" s="202" t="s">
        <v>1929</v>
      </c>
      <c r="J158" s="202" t="s">
        <v>3014</v>
      </c>
      <c r="K158" s="202">
        <v>0</v>
      </c>
      <c r="L158" s="202" t="s">
        <v>1534</v>
      </c>
      <c r="M158" s="202">
        <v>1</v>
      </c>
      <c r="N158" s="202">
        <v>0</v>
      </c>
      <c r="O158" s="202">
        <v>5</v>
      </c>
      <c r="P158" s="202">
        <v>5</v>
      </c>
      <c r="Q158" s="202">
        <v>0</v>
      </c>
      <c r="R158" s="202">
        <v>0</v>
      </c>
      <c r="S158" s="202">
        <v>0</v>
      </c>
      <c r="T158" s="202">
        <v>0</v>
      </c>
      <c r="U158" s="202">
        <v>0</v>
      </c>
      <c r="V158" s="202">
        <v>0</v>
      </c>
      <c r="W158" s="202">
        <v>0</v>
      </c>
      <c r="X158" s="202">
        <v>0</v>
      </c>
      <c r="Y158" s="202">
        <v>0</v>
      </c>
      <c r="Z158" s="202">
        <v>0</v>
      </c>
      <c r="AA158" s="202">
        <v>0</v>
      </c>
      <c r="AB158" s="202">
        <v>0</v>
      </c>
      <c r="AC158" s="202">
        <v>0</v>
      </c>
      <c r="AD158" s="202">
        <v>0</v>
      </c>
      <c r="AE158" s="202">
        <v>0</v>
      </c>
      <c r="AF158" s="202">
        <v>0</v>
      </c>
      <c r="AG158" s="202">
        <v>0</v>
      </c>
      <c r="AH158" s="202">
        <v>0</v>
      </c>
      <c r="AI158" s="202">
        <v>0</v>
      </c>
      <c r="AJ158" s="202">
        <v>0</v>
      </c>
      <c r="AK158" s="202">
        <v>0</v>
      </c>
      <c r="AL158" s="202">
        <v>0</v>
      </c>
      <c r="AM158" s="202">
        <v>0</v>
      </c>
      <c r="AN158" s="202">
        <v>0</v>
      </c>
      <c r="AO158" s="202">
        <v>0</v>
      </c>
      <c r="AP158" s="202">
        <v>0</v>
      </c>
      <c r="AQ158" s="202" t="s">
        <v>2757</v>
      </c>
      <c r="AR158" s="202">
        <v>0</v>
      </c>
      <c r="AS158" s="202">
        <v>0</v>
      </c>
      <c r="AT158" s="202">
        <v>1</v>
      </c>
      <c r="AU158" s="202">
        <v>0</v>
      </c>
      <c r="AV158" s="202">
        <v>0.2</v>
      </c>
      <c r="AX158" s="202" t="s">
        <v>2149</v>
      </c>
      <c r="AY158" s="202">
        <v>156</v>
      </c>
    </row>
    <row r="159" spans="1:51">
      <c r="A159" s="202" t="str">
        <f t="shared" si="11"/>
        <v>王影</v>
      </c>
      <c r="B159" s="202">
        <f>IF(C159&lt;&gt;"NA",C159,VLOOKUP(K159,Update_from_YIFIP!$X$2:$AD$174,7,FALSE))</f>
        <v>84</v>
      </c>
      <c r="C159" s="207">
        <f t="shared" si="8"/>
        <v>84</v>
      </c>
      <c r="D159" s="207">
        <f t="shared" si="9"/>
        <v>84</v>
      </c>
      <c r="E159" s="202" t="s">
        <v>2135</v>
      </c>
      <c r="F159" s="202" t="s">
        <v>1929</v>
      </c>
      <c r="G159" s="202" t="s">
        <v>3007</v>
      </c>
      <c r="H159" s="207" t="str">
        <f t="shared" si="10"/>
        <v>NA</v>
      </c>
      <c r="I159" s="202" t="s">
        <v>1929</v>
      </c>
      <c r="J159" s="202" t="s">
        <v>3006</v>
      </c>
      <c r="K159" s="202">
        <v>0</v>
      </c>
      <c r="L159" s="202" t="s">
        <v>1531</v>
      </c>
      <c r="M159" s="202">
        <v>6</v>
      </c>
      <c r="N159" s="202">
        <v>0</v>
      </c>
      <c r="O159" s="202">
        <v>6</v>
      </c>
      <c r="P159" s="202">
        <v>1</v>
      </c>
      <c r="Q159" s="202">
        <v>1</v>
      </c>
      <c r="R159" s="202">
        <v>1</v>
      </c>
      <c r="S159" s="202">
        <v>1</v>
      </c>
      <c r="T159" s="202">
        <v>1</v>
      </c>
      <c r="U159" s="202">
        <v>1</v>
      </c>
      <c r="V159" s="202">
        <v>0</v>
      </c>
      <c r="W159" s="202">
        <v>0</v>
      </c>
      <c r="X159" s="202">
        <v>0</v>
      </c>
      <c r="Y159" s="202">
        <v>0</v>
      </c>
      <c r="Z159" s="202">
        <v>0</v>
      </c>
      <c r="AA159" s="202">
        <v>0</v>
      </c>
      <c r="AB159" s="202">
        <v>0</v>
      </c>
      <c r="AC159" s="202">
        <v>0</v>
      </c>
      <c r="AD159" s="202">
        <v>0</v>
      </c>
      <c r="AE159" s="202">
        <v>0</v>
      </c>
      <c r="AF159" s="202">
        <v>0</v>
      </c>
      <c r="AG159" s="202">
        <v>0</v>
      </c>
      <c r="AH159" s="202">
        <v>0</v>
      </c>
      <c r="AI159" s="202">
        <v>0</v>
      </c>
      <c r="AJ159" s="202">
        <v>0</v>
      </c>
      <c r="AK159" s="202">
        <v>0</v>
      </c>
      <c r="AL159" s="202">
        <v>0</v>
      </c>
      <c r="AM159" s="202">
        <v>0</v>
      </c>
      <c r="AN159" s="202">
        <v>0</v>
      </c>
      <c r="AO159" s="202">
        <v>0</v>
      </c>
      <c r="AP159" s="202">
        <v>0</v>
      </c>
      <c r="AQ159" s="202" t="s">
        <v>2795</v>
      </c>
      <c r="AR159" s="202">
        <v>0</v>
      </c>
      <c r="AS159" s="202">
        <v>0</v>
      </c>
      <c r="AT159" s="202">
        <v>1</v>
      </c>
      <c r="AU159" s="202">
        <v>0</v>
      </c>
      <c r="AV159" s="202">
        <v>0.2</v>
      </c>
      <c r="AX159" s="202" t="s">
        <v>3372</v>
      </c>
      <c r="AY159" s="202">
        <v>157</v>
      </c>
    </row>
    <row r="160" spans="1:51">
      <c r="A160" s="202" t="str">
        <f t="shared" si="11"/>
        <v>刘永</v>
      </c>
      <c r="B160" s="202">
        <f>IF(C160&lt;&gt;"NA",C160,VLOOKUP(K160,Update_from_YIFIP!$X$2:$AD$174,7,FALSE))</f>
        <v>85</v>
      </c>
      <c r="C160" s="207">
        <f t="shared" si="8"/>
        <v>85</v>
      </c>
      <c r="D160" s="207">
        <f t="shared" si="9"/>
        <v>85</v>
      </c>
      <c r="E160" s="202" t="s">
        <v>2090</v>
      </c>
      <c r="F160" s="202" t="s">
        <v>3001</v>
      </c>
      <c r="G160" s="202" t="s">
        <v>3002</v>
      </c>
      <c r="H160" s="207" t="str">
        <f t="shared" si="10"/>
        <v>NA</v>
      </c>
      <c r="I160" s="202" t="s">
        <v>1929</v>
      </c>
      <c r="J160" s="202" t="s">
        <v>1111</v>
      </c>
      <c r="K160" s="202">
        <v>0</v>
      </c>
      <c r="L160" s="202" t="s">
        <v>1529</v>
      </c>
      <c r="M160" s="202">
        <v>0</v>
      </c>
      <c r="N160" s="202">
        <v>1</v>
      </c>
      <c r="O160" s="202">
        <v>1</v>
      </c>
      <c r="P160" s="202">
        <v>1</v>
      </c>
      <c r="Q160" s="202">
        <v>0</v>
      </c>
      <c r="R160" s="202">
        <v>0</v>
      </c>
      <c r="S160" s="202">
        <v>0</v>
      </c>
      <c r="T160" s="202">
        <v>0</v>
      </c>
      <c r="U160" s="202">
        <v>0</v>
      </c>
      <c r="V160" s="202">
        <v>0</v>
      </c>
      <c r="W160" s="202">
        <v>0</v>
      </c>
      <c r="X160" s="202">
        <v>0</v>
      </c>
      <c r="Y160" s="202">
        <v>0</v>
      </c>
      <c r="Z160" s="202">
        <v>0</v>
      </c>
      <c r="AA160" s="202">
        <v>0</v>
      </c>
      <c r="AB160" s="202">
        <v>0</v>
      </c>
      <c r="AC160" s="202">
        <v>0</v>
      </c>
      <c r="AD160" s="202">
        <v>0</v>
      </c>
      <c r="AE160" s="202">
        <v>0</v>
      </c>
      <c r="AF160" s="202">
        <v>0</v>
      </c>
      <c r="AG160" s="202">
        <v>0</v>
      </c>
      <c r="AH160" s="202">
        <v>0</v>
      </c>
      <c r="AI160" s="202">
        <v>0</v>
      </c>
      <c r="AJ160" s="202">
        <v>0</v>
      </c>
      <c r="AK160" s="202">
        <v>0</v>
      </c>
      <c r="AL160" s="202">
        <v>0</v>
      </c>
      <c r="AM160" s="202">
        <v>0</v>
      </c>
      <c r="AN160" s="202">
        <v>0</v>
      </c>
      <c r="AO160" s="202">
        <v>0</v>
      </c>
      <c r="AP160" s="202">
        <v>0</v>
      </c>
      <c r="AQ160" s="202" t="s">
        <v>2596</v>
      </c>
      <c r="AR160" s="202">
        <v>0</v>
      </c>
      <c r="AS160" s="202">
        <v>0</v>
      </c>
      <c r="AT160" s="202">
        <v>0.5</v>
      </c>
      <c r="AU160" s="202">
        <v>0</v>
      </c>
      <c r="AV160" s="202">
        <v>0.1</v>
      </c>
      <c r="AX160" s="202" t="s">
        <v>2081</v>
      </c>
      <c r="AY160" s="202">
        <v>158</v>
      </c>
    </row>
    <row r="161" spans="1:51">
      <c r="A161" s="202" t="str">
        <f t="shared" si="11"/>
        <v>田子云</v>
      </c>
      <c r="B161" s="202">
        <f>IF(C161&lt;&gt;"NA",C161,VLOOKUP(K161,Update_from_YIFIP!$X$2:$AD$174,7,FALSE))</f>
        <v>86</v>
      </c>
      <c r="C161" s="207">
        <f t="shared" si="8"/>
        <v>86</v>
      </c>
      <c r="D161" s="207">
        <f t="shared" si="9"/>
        <v>86</v>
      </c>
      <c r="E161" s="202" t="s">
        <v>2114</v>
      </c>
      <c r="F161" s="202" t="s">
        <v>3012</v>
      </c>
      <c r="G161" s="202" t="s">
        <v>3013</v>
      </c>
      <c r="H161" s="207" t="str">
        <f t="shared" si="10"/>
        <v>NA</v>
      </c>
      <c r="I161" s="202" t="s">
        <v>1929</v>
      </c>
      <c r="J161" s="202" t="s">
        <v>3011</v>
      </c>
      <c r="K161" s="202">
        <v>0</v>
      </c>
      <c r="L161" s="202" t="s">
        <v>1533</v>
      </c>
      <c r="M161" s="202">
        <v>1</v>
      </c>
      <c r="N161" s="202">
        <v>0</v>
      </c>
      <c r="O161" s="202">
        <v>1</v>
      </c>
      <c r="P161" s="202">
        <v>1</v>
      </c>
      <c r="Q161" s="202">
        <v>0</v>
      </c>
      <c r="R161" s="202">
        <v>0</v>
      </c>
      <c r="S161" s="202">
        <v>0</v>
      </c>
      <c r="T161" s="202">
        <v>0</v>
      </c>
      <c r="U161" s="202">
        <v>0</v>
      </c>
      <c r="V161" s="202">
        <v>0</v>
      </c>
      <c r="W161" s="202">
        <v>0</v>
      </c>
      <c r="X161" s="202">
        <v>0</v>
      </c>
      <c r="Y161" s="202">
        <v>0</v>
      </c>
      <c r="Z161" s="202">
        <v>0</v>
      </c>
      <c r="AA161" s="202">
        <v>0</v>
      </c>
      <c r="AB161" s="202">
        <v>0</v>
      </c>
      <c r="AC161" s="202">
        <v>0</v>
      </c>
      <c r="AD161" s="202">
        <v>0</v>
      </c>
      <c r="AE161" s="202">
        <v>0</v>
      </c>
      <c r="AF161" s="202">
        <v>0</v>
      </c>
      <c r="AG161" s="202">
        <v>0</v>
      </c>
      <c r="AH161" s="202">
        <v>0</v>
      </c>
      <c r="AI161" s="202">
        <v>0</v>
      </c>
      <c r="AJ161" s="202">
        <v>0</v>
      </c>
      <c r="AK161" s="202">
        <v>0</v>
      </c>
      <c r="AL161" s="202">
        <v>0</v>
      </c>
      <c r="AM161" s="202">
        <v>0</v>
      </c>
      <c r="AN161" s="202">
        <v>0</v>
      </c>
      <c r="AO161" s="202">
        <v>0</v>
      </c>
      <c r="AP161" s="202">
        <v>0</v>
      </c>
      <c r="AQ161" s="202" t="s">
        <v>2847</v>
      </c>
      <c r="AR161" s="202">
        <v>0</v>
      </c>
      <c r="AS161" s="202">
        <v>0</v>
      </c>
      <c r="AT161" s="202">
        <v>0.5</v>
      </c>
      <c r="AU161" s="202">
        <v>0</v>
      </c>
      <c r="AV161" s="202">
        <v>0.1</v>
      </c>
      <c r="AX161" s="202" t="s">
        <v>2131</v>
      </c>
      <c r="AY161" s="202">
        <v>159</v>
      </c>
    </row>
    <row r="162" spans="1:51">
      <c r="A162" s="202" t="str">
        <f t="shared" si="11"/>
        <v>王开昌</v>
      </c>
      <c r="B162" s="202">
        <f>IF(C162&lt;&gt;"NA",C162,VLOOKUP(K162,Update_from_YIFIP!$X$2:$AD$174,7,FALSE))</f>
        <v>87</v>
      </c>
      <c r="C162" s="207">
        <f t="shared" si="8"/>
        <v>87</v>
      </c>
      <c r="D162" s="207">
        <f t="shared" si="9"/>
        <v>87</v>
      </c>
      <c r="E162" s="202" t="s">
        <v>2128</v>
      </c>
      <c r="F162" s="202" t="s">
        <v>3021</v>
      </c>
      <c r="G162" s="202" t="s">
        <v>3022</v>
      </c>
      <c r="H162" s="207" t="str">
        <f t="shared" si="10"/>
        <v>NA</v>
      </c>
      <c r="I162" s="202" t="s">
        <v>1929</v>
      </c>
      <c r="J162" s="202" t="s">
        <v>3020</v>
      </c>
      <c r="K162" s="202">
        <v>0</v>
      </c>
      <c r="L162" s="202" t="s">
        <v>1536</v>
      </c>
      <c r="M162" s="202">
        <v>3</v>
      </c>
      <c r="N162" s="202">
        <v>0</v>
      </c>
      <c r="O162" s="202">
        <v>11</v>
      </c>
      <c r="P162" s="202">
        <v>4</v>
      </c>
      <c r="Q162" s="202">
        <v>4</v>
      </c>
      <c r="R162" s="202">
        <v>3</v>
      </c>
      <c r="S162" s="202">
        <v>0</v>
      </c>
      <c r="T162" s="202">
        <v>0</v>
      </c>
      <c r="U162" s="202">
        <v>0</v>
      </c>
      <c r="V162" s="202">
        <v>0</v>
      </c>
      <c r="W162" s="202">
        <v>0</v>
      </c>
      <c r="X162" s="202">
        <v>0</v>
      </c>
      <c r="Y162" s="202">
        <v>0</v>
      </c>
      <c r="Z162" s="202">
        <v>0</v>
      </c>
      <c r="AA162" s="202">
        <v>0</v>
      </c>
      <c r="AB162" s="202">
        <v>0</v>
      </c>
      <c r="AC162" s="202">
        <v>0</v>
      </c>
      <c r="AD162" s="202">
        <v>0</v>
      </c>
      <c r="AE162" s="202">
        <v>0</v>
      </c>
      <c r="AF162" s="202">
        <v>0</v>
      </c>
      <c r="AG162" s="202">
        <v>0</v>
      </c>
      <c r="AH162" s="202">
        <v>0</v>
      </c>
      <c r="AI162" s="202">
        <v>0</v>
      </c>
      <c r="AJ162" s="202">
        <v>0</v>
      </c>
      <c r="AK162" s="202">
        <v>0</v>
      </c>
      <c r="AL162" s="202">
        <v>0</v>
      </c>
      <c r="AM162" s="202">
        <v>0</v>
      </c>
      <c r="AN162" s="202">
        <v>0</v>
      </c>
      <c r="AO162" s="202">
        <v>0</v>
      </c>
      <c r="AP162" s="202">
        <v>0</v>
      </c>
      <c r="AQ162" s="202" t="s">
        <v>2889</v>
      </c>
      <c r="AR162" s="202">
        <v>0</v>
      </c>
      <c r="AS162" s="202">
        <v>0</v>
      </c>
      <c r="AT162" s="202">
        <v>3</v>
      </c>
      <c r="AU162" s="202">
        <v>0</v>
      </c>
      <c r="AV162" s="202">
        <v>0.6</v>
      </c>
      <c r="AX162" s="202" t="s">
        <v>2061</v>
      </c>
      <c r="AY162" s="202">
        <v>160</v>
      </c>
    </row>
    <row r="163" spans="1:51">
      <c r="A163" s="202" t="str">
        <f t="shared" si="11"/>
        <v>王开昌</v>
      </c>
      <c r="B163" s="202">
        <f>IF(C163&lt;&gt;"NA",C163,VLOOKUP(K163,Update_from_YIFIP!$X$2:$AD$174,7,FALSE))</f>
        <v>87</v>
      </c>
      <c r="C163" s="207">
        <f t="shared" si="8"/>
        <v>87</v>
      </c>
      <c r="D163" s="207">
        <f t="shared" si="9"/>
        <v>87</v>
      </c>
      <c r="E163" s="202" t="s">
        <v>2128</v>
      </c>
      <c r="F163" s="202" t="s">
        <v>3021</v>
      </c>
      <c r="G163" s="202" t="s">
        <v>3022</v>
      </c>
      <c r="H163" s="207" t="str">
        <f t="shared" si="10"/>
        <v>NA</v>
      </c>
      <c r="I163" s="202" t="s">
        <v>1929</v>
      </c>
      <c r="J163" s="202" t="s">
        <v>3023</v>
      </c>
      <c r="K163" s="202">
        <v>0</v>
      </c>
      <c r="L163" s="202" t="s">
        <v>1537</v>
      </c>
      <c r="M163" s="202">
        <v>6</v>
      </c>
      <c r="N163" s="202">
        <v>0</v>
      </c>
      <c r="O163" s="202">
        <v>25</v>
      </c>
      <c r="P163" s="202">
        <v>9</v>
      </c>
      <c r="Q163" s="202">
        <v>4</v>
      </c>
      <c r="R163" s="202">
        <v>2</v>
      </c>
      <c r="S163" s="202">
        <v>1</v>
      </c>
      <c r="T163" s="202">
        <v>4</v>
      </c>
      <c r="U163" s="202">
        <v>5</v>
      </c>
      <c r="V163" s="202">
        <v>0</v>
      </c>
      <c r="W163" s="202">
        <v>0</v>
      </c>
      <c r="X163" s="202">
        <v>0</v>
      </c>
      <c r="Y163" s="202">
        <v>0</v>
      </c>
      <c r="Z163" s="202">
        <v>0</v>
      </c>
      <c r="AA163" s="202">
        <v>0</v>
      </c>
      <c r="AB163" s="202">
        <v>0</v>
      </c>
      <c r="AC163" s="202">
        <v>0</v>
      </c>
      <c r="AD163" s="202">
        <v>0</v>
      </c>
      <c r="AE163" s="202">
        <v>0</v>
      </c>
      <c r="AF163" s="202">
        <v>0</v>
      </c>
      <c r="AG163" s="202">
        <v>0</v>
      </c>
      <c r="AH163" s="202">
        <v>0</v>
      </c>
      <c r="AI163" s="202">
        <v>0</v>
      </c>
      <c r="AJ163" s="202">
        <v>0</v>
      </c>
      <c r="AK163" s="202">
        <v>0</v>
      </c>
      <c r="AL163" s="202">
        <v>0</v>
      </c>
      <c r="AM163" s="202">
        <v>0</v>
      </c>
      <c r="AN163" s="202">
        <v>0</v>
      </c>
      <c r="AO163" s="202">
        <v>0</v>
      </c>
      <c r="AP163" s="202">
        <v>0</v>
      </c>
      <c r="AQ163" s="202" t="s">
        <v>2889</v>
      </c>
      <c r="AR163" s="202">
        <v>0</v>
      </c>
      <c r="AS163" s="202">
        <v>0</v>
      </c>
      <c r="AT163" s="202">
        <v>7.5</v>
      </c>
      <c r="AU163" s="202">
        <v>0</v>
      </c>
      <c r="AV163" s="202">
        <v>1.5</v>
      </c>
      <c r="AX163" s="202" t="s">
        <v>2142</v>
      </c>
      <c r="AY163" s="202">
        <v>161</v>
      </c>
    </row>
    <row r="164" spans="1:51">
      <c r="A164" s="202" t="str">
        <f t="shared" si="11"/>
        <v>普明文</v>
      </c>
      <c r="B164" s="202">
        <f>IF(C164&lt;&gt;"NA",C164,VLOOKUP(K164,Update_from_YIFIP!$X$2:$AD$174,7,FALSE))</f>
        <v>88</v>
      </c>
      <c r="C164" s="207">
        <f t="shared" si="8"/>
        <v>88</v>
      </c>
      <c r="D164" s="207">
        <f t="shared" si="9"/>
        <v>88</v>
      </c>
      <c r="E164" s="202" t="s">
        <v>2111</v>
      </c>
      <c r="F164" s="202" t="s">
        <v>3054</v>
      </c>
      <c r="G164" s="202" t="s">
        <v>3055</v>
      </c>
      <c r="H164" s="207" t="str">
        <f t="shared" si="10"/>
        <v>NA</v>
      </c>
      <c r="I164" s="202" t="s">
        <v>1929</v>
      </c>
      <c r="J164" s="202" t="s">
        <v>3051</v>
      </c>
      <c r="K164" s="202" t="s">
        <v>3053</v>
      </c>
      <c r="L164" s="202" t="s">
        <v>1556</v>
      </c>
      <c r="M164" s="202">
        <v>11</v>
      </c>
      <c r="N164" s="202">
        <v>0</v>
      </c>
      <c r="O164" s="202">
        <v>56</v>
      </c>
      <c r="P164" s="202">
        <v>14</v>
      </c>
      <c r="Q164" s="202">
        <v>5</v>
      </c>
      <c r="R164" s="202">
        <v>11</v>
      </c>
      <c r="S164" s="202">
        <v>2</v>
      </c>
      <c r="T164" s="202">
        <v>6</v>
      </c>
      <c r="U164" s="202">
        <v>3</v>
      </c>
      <c r="V164" s="202">
        <v>3</v>
      </c>
      <c r="W164" s="202">
        <v>2</v>
      </c>
      <c r="X164" s="202">
        <v>6</v>
      </c>
      <c r="Y164" s="202">
        <v>2</v>
      </c>
      <c r="Z164" s="202">
        <v>2</v>
      </c>
      <c r="AA164" s="202">
        <v>0</v>
      </c>
      <c r="AB164" s="202">
        <v>0</v>
      </c>
      <c r="AC164" s="202">
        <v>0</v>
      </c>
      <c r="AD164" s="202">
        <v>0</v>
      </c>
      <c r="AE164" s="202">
        <v>0</v>
      </c>
      <c r="AF164" s="202">
        <v>0</v>
      </c>
      <c r="AG164" s="202">
        <v>0</v>
      </c>
      <c r="AH164" s="202">
        <v>0</v>
      </c>
      <c r="AI164" s="202">
        <v>0</v>
      </c>
      <c r="AJ164" s="202">
        <v>0</v>
      </c>
      <c r="AK164" s="202">
        <v>0</v>
      </c>
      <c r="AL164" s="202">
        <v>0</v>
      </c>
      <c r="AM164" s="202">
        <v>0</v>
      </c>
      <c r="AN164" s="202">
        <v>0</v>
      </c>
      <c r="AO164" s="202">
        <v>0</v>
      </c>
      <c r="AP164" s="202">
        <v>0</v>
      </c>
      <c r="AQ164" s="202" t="s">
        <v>3052</v>
      </c>
      <c r="AR164" s="202">
        <v>0</v>
      </c>
      <c r="AS164" s="202">
        <v>0</v>
      </c>
      <c r="AT164" s="202">
        <v>12.5</v>
      </c>
      <c r="AU164" s="202">
        <v>0</v>
      </c>
      <c r="AV164" s="202">
        <v>2.5</v>
      </c>
      <c r="AX164" s="202" t="s">
        <v>2128</v>
      </c>
      <c r="AY164" s="202">
        <v>162</v>
      </c>
    </row>
    <row r="165" spans="1:51">
      <c r="A165" s="202" t="str">
        <f t="shared" si="11"/>
        <v>普明文</v>
      </c>
      <c r="B165" s="202">
        <f>IF(C165&lt;&gt;"NA",C165,VLOOKUP(K165,Update_from_YIFIP!$X$2:$AD$174,7,FALSE))</f>
        <v>88</v>
      </c>
      <c r="C165" s="207">
        <f t="shared" si="8"/>
        <v>88</v>
      </c>
      <c r="D165" s="207">
        <f t="shared" si="9"/>
        <v>88</v>
      </c>
      <c r="E165" s="202" t="s">
        <v>2111</v>
      </c>
      <c r="F165" s="202" t="s">
        <v>3054</v>
      </c>
      <c r="G165" s="202" t="s">
        <v>3055</v>
      </c>
      <c r="H165" s="207" t="str">
        <f t="shared" si="10"/>
        <v>NA</v>
      </c>
      <c r="I165" s="202" t="s">
        <v>1929</v>
      </c>
      <c r="J165" s="202" t="s">
        <v>1929</v>
      </c>
      <c r="K165" s="202" t="s">
        <v>2922</v>
      </c>
      <c r="L165" s="202" t="s">
        <v>1557</v>
      </c>
      <c r="M165" s="202">
        <v>5</v>
      </c>
      <c r="N165" s="202">
        <v>0</v>
      </c>
      <c r="O165" s="202">
        <v>30</v>
      </c>
      <c r="P165" s="202">
        <v>12</v>
      </c>
      <c r="Q165" s="202">
        <v>6</v>
      </c>
      <c r="R165" s="202">
        <v>7</v>
      </c>
      <c r="S165" s="202">
        <v>3</v>
      </c>
      <c r="T165" s="202">
        <v>2</v>
      </c>
      <c r="U165" s="202">
        <v>0</v>
      </c>
      <c r="V165" s="202">
        <v>0</v>
      </c>
      <c r="W165" s="202">
        <v>0</v>
      </c>
      <c r="X165" s="202">
        <v>0</v>
      </c>
      <c r="Y165" s="202">
        <v>0</v>
      </c>
      <c r="Z165" s="202">
        <v>0</v>
      </c>
      <c r="AA165" s="202">
        <v>0</v>
      </c>
      <c r="AB165" s="202">
        <v>0</v>
      </c>
      <c r="AC165" s="202">
        <v>0</v>
      </c>
      <c r="AD165" s="202">
        <v>0</v>
      </c>
      <c r="AE165" s="202">
        <v>0</v>
      </c>
      <c r="AF165" s="202">
        <v>0</v>
      </c>
      <c r="AG165" s="202">
        <v>0</v>
      </c>
      <c r="AH165" s="202">
        <v>0</v>
      </c>
      <c r="AI165" s="202">
        <v>0</v>
      </c>
      <c r="AJ165" s="202">
        <v>0</v>
      </c>
      <c r="AK165" s="202">
        <v>0</v>
      </c>
      <c r="AL165" s="202">
        <v>0</v>
      </c>
      <c r="AM165" s="202">
        <v>0</v>
      </c>
      <c r="AN165" s="202">
        <v>0</v>
      </c>
      <c r="AO165" s="202">
        <v>0</v>
      </c>
      <c r="AP165" s="202">
        <v>0</v>
      </c>
      <c r="AQ165" s="202" t="s">
        <v>1929</v>
      </c>
      <c r="AR165" s="202">
        <v>0</v>
      </c>
      <c r="AS165" s="202">
        <v>0</v>
      </c>
      <c r="AT165" s="202">
        <v>7.5</v>
      </c>
      <c r="AU165" s="202">
        <v>0</v>
      </c>
      <c r="AV165" s="202">
        <v>1.5</v>
      </c>
      <c r="AX165" s="202" t="s">
        <v>3198</v>
      </c>
      <c r="AY165" s="202">
        <v>163</v>
      </c>
    </row>
    <row r="166" spans="1:51">
      <c r="A166" s="202" t="str">
        <f t="shared" si="11"/>
        <v>普明文</v>
      </c>
      <c r="B166" s="202">
        <f>IF(C166&lt;&gt;"NA",C166,VLOOKUP(K166,Update_from_YIFIP!$X$2:$AD$174,7,FALSE))</f>
        <v>88</v>
      </c>
      <c r="C166" s="207">
        <f t="shared" si="8"/>
        <v>88</v>
      </c>
      <c r="D166" s="207">
        <f t="shared" si="9"/>
        <v>88</v>
      </c>
      <c r="E166" s="202" t="s">
        <v>2111</v>
      </c>
      <c r="F166" s="202" t="s">
        <v>3054</v>
      </c>
      <c r="G166" s="202" t="s">
        <v>3055</v>
      </c>
      <c r="H166" s="207" t="str">
        <f t="shared" si="10"/>
        <v>NA</v>
      </c>
      <c r="I166" s="202" t="s">
        <v>1929</v>
      </c>
      <c r="J166" s="202" t="s">
        <v>1929</v>
      </c>
      <c r="K166" s="202" t="s">
        <v>2916</v>
      </c>
      <c r="L166" s="202" t="s">
        <v>1558</v>
      </c>
      <c r="M166" s="202">
        <v>9</v>
      </c>
      <c r="N166" s="202">
        <v>0</v>
      </c>
      <c r="O166" s="202">
        <v>57</v>
      </c>
      <c r="P166" s="202">
        <v>12</v>
      </c>
      <c r="Q166" s="202">
        <v>12</v>
      </c>
      <c r="R166" s="202">
        <v>7</v>
      </c>
      <c r="S166" s="202">
        <v>5</v>
      </c>
      <c r="T166" s="202">
        <v>5</v>
      </c>
      <c r="U166" s="202">
        <v>6</v>
      </c>
      <c r="V166" s="202">
        <v>2</v>
      </c>
      <c r="W166" s="202">
        <v>5</v>
      </c>
      <c r="X166" s="202">
        <v>3</v>
      </c>
      <c r="Y166" s="202">
        <v>0</v>
      </c>
      <c r="Z166" s="202">
        <v>0</v>
      </c>
      <c r="AA166" s="202">
        <v>0</v>
      </c>
      <c r="AB166" s="202">
        <v>0</v>
      </c>
      <c r="AC166" s="202">
        <v>0</v>
      </c>
      <c r="AD166" s="202">
        <v>0</v>
      </c>
      <c r="AE166" s="202">
        <v>0</v>
      </c>
      <c r="AF166" s="202">
        <v>0</v>
      </c>
      <c r="AG166" s="202">
        <v>0</v>
      </c>
      <c r="AH166" s="202">
        <v>0</v>
      </c>
      <c r="AI166" s="202">
        <v>0</v>
      </c>
      <c r="AJ166" s="202">
        <v>0</v>
      </c>
      <c r="AK166" s="202">
        <v>0</v>
      </c>
      <c r="AL166" s="202">
        <v>0</v>
      </c>
      <c r="AM166" s="202">
        <v>0</v>
      </c>
      <c r="AN166" s="202">
        <v>0</v>
      </c>
      <c r="AO166" s="202">
        <v>0</v>
      </c>
      <c r="AP166" s="202">
        <v>0</v>
      </c>
      <c r="AQ166" s="202" t="s">
        <v>1929</v>
      </c>
      <c r="AR166" s="202">
        <v>0</v>
      </c>
      <c r="AS166" s="202">
        <v>0</v>
      </c>
      <c r="AT166" s="202">
        <v>7.5</v>
      </c>
      <c r="AU166" s="202">
        <v>0</v>
      </c>
      <c r="AV166" s="202">
        <v>1.5</v>
      </c>
      <c r="AX166" s="202" t="s">
        <v>2133</v>
      </c>
      <c r="AY166" s="202">
        <v>164</v>
      </c>
    </row>
    <row r="167" spans="1:51">
      <c r="A167" s="202" t="str">
        <f t="shared" si="11"/>
        <v>普明文</v>
      </c>
      <c r="B167" s="202">
        <f>IF(C167&lt;&gt;"NA",C167,VLOOKUP(K167,Update_from_YIFIP!$X$2:$AD$174,7,FALSE))</f>
        <v>88</v>
      </c>
      <c r="C167" s="207">
        <f t="shared" si="8"/>
        <v>88</v>
      </c>
      <c r="D167" s="207">
        <f t="shared" si="9"/>
        <v>88</v>
      </c>
      <c r="E167" s="202" t="s">
        <v>2111</v>
      </c>
      <c r="F167" s="202" t="s">
        <v>3054</v>
      </c>
      <c r="G167" s="202" t="s">
        <v>3055</v>
      </c>
      <c r="H167" s="207" t="str">
        <f t="shared" si="10"/>
        <v>NA</v>
      </c>
      <c r="I167" s="202" t="s">
        <v>1929</v>
      </c>
      <c r="J167" s="202" t="s">
        <v>1929</v>
      </c>
      <c r="K167" s="202" t="s">
        <v>2924</v>
      </c>
      <c r="L167" s="202" t="s">
        <v>1559</v>
      </c>
      <c r="M167" s="202">
        <v>0</v>
      </c>
      <c r="N167" s="202">
        <v>2</v>
      </c>
      <c r="O167" s="202">
        <v>2</v>
      </c>
      <c r="P167" s="202">
        <v>1</v>
      </c>
      <c r="Q167" s="202">
        <v>1</v>
      </c>
      <c r="R167" s="202">
        <v>0</v>
      </c>
      <c r="S167" s="202">
        <v>0</v>
      </c>
      <c r="T167" s="202">
        <v>0</v>
      </c>
      <c r="U167" s="202">
        <v>0</v>
      </c>
      <c r="V167" s="202">
        <v>0</v>
      </c>
      <c r="W167" s="202">
        <v>0</v>
      </c>
      <c r="X167" s="202">
        <v>0</v>
      </c>
      <c r="Y167" s="202">
        <v>0</v>
      </c>
      <c r="Z167" s="202">
        <v>0</v>
      </c>
      <c r="AA167" s="202">
        <v>0</v>
      </c>
      <c r="AB167" s="202">
        <v>0</v>
      </c>
      <c r="AC167" s="202">
        <v>0</v>
      </c>
      <c r="AD167" s="202">
        <v>0</v>
      </c>
      <c r="AE167" s="202">
        <v>0</v>
      </c>
      <c r="AF167" s="202">
        <v>0</v>
      </c>
      <c r="AG167" s="202">
        <v>0</v>
      </c>
      <c r="AH167" s="202">
        <v>0</v>
      </c>
      <c r="AI167" s="202">
        <v>0</v>
      </c>
      <c r="AJ167" s="202">
        <v>0</v>
      </c>
      <c r="AK167" s="202">
        <v>0</v>
      </c>
      <c r="AL167" s="202">
        <v>0</v>
      </c>
      <c r="AM167" s="202">
        <v>0</v>
      </c>
      <c r="AN167" s="202">
        <v>0</v>
      </c>
      <c r="AO167" s="202">
        <v>0</v>
      </c>
      <c r="AP167" s="202">
        <v>0</v>
      </c>
      <c r="AQ167" s="202" t="s">
        <v>1929</v>
      </c>
      <c r="AR167" s="202">
        <v>0</v>
      </c>
      <c r="AS167" s="202">
        <v>0</v>
      </c>
      <c r="AT167" s="202">
        <v>1</v>
      </c>
      <c r="AU167" s="202">
        <v>0</v>
      </c>
      <c r="AV167" s="202">
        <v>0.2</v>
      </c>
      <c r="AX167" s="202" t="s">
        <v>2062</v>
      </c>
      <c r="AY167" s="202">
        <v>165</v>
      </c>
    </row>
    <row r="168" spans="1:51">
      <c r="A168" s="202" t="str">
        <f t="shared" si="11"/>
        <v>普恒章</v>
      </c>
      <c r="B168" s="202">
        <f>IF(C168&lt;&gt;"NA",C168,VLOOKUP(K168,Update_from_YIFIP!$X$2:$AD$174,7,FALSE))</f>
        <v>89</v>
      </c>
      <c r="C168" s="207">
        <f t="shared" si="8"/>
        <v>89</v>
      </c>
      <c r="D168" s="207">
        <f t="shared" si="9"/>
        <v>89</v>
      </c>
      <c r="E168" s="202" t="s">
        <v>2110</v>
      </c>
      <c r="F168" s="202" t="s">
        <v>1929</v>
      </c>
      <c r="G168" s="202" t="s">
        <v>1070</v>
      </c>
      <c r="H168" s="207" t="str">
        <f t="shared" si="10"/>
        <v>NA</v>
      </c>
      <c r="I168" s="202" t="s">
        <v>1929</v>
      </c>
      <c r="J168" s="202" t="s">
        <v>1068</v>
      </c>
      <c r="K168" s="202" t="s">
        <v>3062</v>
      </c>
      <c r="L168" s="202" t="s">
        <v>1568</v>
      </c>
      <c r="M168" s="202">
        <v>10</v>
      </c>
      <c r="N168" s="202">
        <v>0</v>
      </c>
      <c r="O168" s="202">
        <v>31</v>
      </c>
      <c r="P168" s="202">
        <v>2</v>
      </c>
      <c r="Q168" s="202">
        <v>3</v>
      </c>
      <c r="R168" s="202">
        <v>3</v>
      </c>
      <c r="S168" s="202">
        <v>3</v>
      </c>
      <c r="T168" s="202">
        <v>3</v>
      </c>
      <c r="U168" s="202">
        <v>3</v>
      </c>
      <c r="V168" s="202">
        <v>3</v>
      </c>
      <c r="W168" s="202">
        <v>3</v>
      </c>
      <c r="X168" s="202">
        <v>4</v>
      </c>
      <c r="Y168" s="202">
        <v>4</v>
      </c>
      <c r="Z168" s="202">
        <v>0</v>
      </c>
      <c r="AA168" s="202">
        <v>0</v>
      </c>
      <c r="AB168" s="202">
        <v>0</v>
      </c>
      <c r="AC168" s="202">
        <v>0</v>
      </c>
      <c r="AD168" s="202">
        <v>0</v>
      </c>
      <c r="AE168" s="202">
        <v>0</v>
      </c>
      <c r="AF168" s="202">
        <v>0</v>
      </c>
      <c r="AG168" s="202">
        <v>0</v>
      </c>
      <c r="AH168" s="202">
        <v>0</v>
      </c>
      <c r="AI168" s="202">
        <v>0</v>
      </c>
      <c r="AJ168" s="202">
        <v>0</v>
      </c>
      <c r="AK168" s="202">
        <v>0</v>
      </c>
      <c r="AL168" s="202">
        <v>0</v>
      </c>
      <c r="AM168" s="202">
        <v>0</v>
      </c>
      <c r="AN168" s="202">
        <v>0</v>
      </c>
      <c r="AO168" s="202">
        <v>0</v>
      </c>
      <c r="AP168" s="202">
        <v>0</v>
      </c>
      <c r="AQ168" s="202" t="s">
        <v>2650</v>
      </c>
      <c r="AR168" s="202">
        <v>0</v>
      </c>
      <c r="AS168" s="202">
        <v>0</v>
      </c>
      <c r="AT168" s="202">
        <v>7.5</v>
      </c>
      <c r="AU168" s="202">
        <v>0</v>
      </c>
      <c r="AV168" s="202">
        <v>1.5</v>
      </c>
      <c r="AX168" s="202" t="s">
        <v>2140</v>
      </c>
      <c r="AY168" s="202">
        <v>166</v>
      </c>
    </row>
    <row r="169" spans="1:51">
      <c r="A169" s="202" t="str">
        <f t="shared" si="11"/>
        <v>普恒章</v>
      </c>
      <c r="B169" s="202">
        <f>IF(C169&lt;&gt;"NA",C169,VLOOKUP(K169,Update_from_YIFIP!$X$2:$AD$174,7,FALSE))</f>
        <v>89</v>
      </c>
      <c r="C169" s="207">
        <f t="shared" si="8"/>
        <v>89</v>
      </c>
      <c r="D169" s="207">
        <f t="shared" si="9"/>
        <v>89</v>
      </c>
      <c r="E169" s="202" t="s">
        <v>2110</v>
      </c>
      <c r="F169" s="202" t="s">
        <v>1929</v>
      </c>
      <c r="G169" s="202" t="s">
        <v>1070</v>
      </c>
      <c r="H169" s="207" t="str">
        <f t="shared" si="10"/>
        <v>NA</v>
      </c>
      <c r="I169" s="202" t="s">
        <v>1929</v>
      </c>
      <c r="J169" s="202" t="s">
        <v>1068</v>
      </c>
      <c r="K169" s="202" t="s">
        <v>3063</v>
      </c>
      <c r="L169" s="202" t="s">
        <v>1569</v>
      </c>
      <c r="M169" s="202">
        <v>10</v>
      </c>
      <c r="N169" s="202">
        <v>0</v>
      </c>
      <c r="O169" s="202">
        <v>28</v>
      </c>
      <c r="P169" s="202">
        <v>2</v>
      </c>
      <c r="Q169" s="202">
        <v>2</v>
      </c>
      <c r="R169" s="202">
        <v>3</v>
      </c>
      <c r="S169" s="202">
        <v>3</v>
      </c>
      <c r="T169" s="202">
        <v>3</v>
      </c>
      <c r="U169" s="202">
        <v>3</v>
      </c>
      <c r="V169" s="202">
        <v>3</v>
      </c>
      <c r="W169" s="202">
        <v>3</v>
      </c>
      <c r="X169" s="202">
        <v>3</v>
      </c>
      <c r="Y169" s="202">
        <v>3</v>
      </c>
      <c r="Z169" s="202">
        <v>0</v>
      </c>
      <c r="AA169" s="202">
        <v>0</v>
      </c>
      <c r="AB169" s="202">
        <v>0</v>
      </c>
      <c r="AC169" s="202">
        <v>0</v>
      </c>
      <c r="AD169" s="202">
        <v>0</v>
      </c>
      <c r="AE169" s="202">
        <v>0</v>
      </c>
      <c r="AF169" s="202">
        <v>0</v>
      </c>
      <c r="AG169" s="202">
        <v>0</v>
      </c>
      <c r="AH169" s="202">
        <v>0</v>
      </c>
      <c r="AI169" s="202">
        <v>0</v>
      </c>
      <c r="AJ169" s="202">
        <v>0</v>
      </c>
      <c r="AK169" s="202">
        <v>0</v>
      </c>
      <c r="AL169" s="202">
        <v>0</v>
      </c>
      <c r="AM169" s="202">
        <v>0</v>
      </c>
      <c r="AN169" s="202">
        <v>0</v>
      </c>
      <c r="AO169" s="202">
        <v>0</v>
      </c>
      <c r="AP169" s="202">
        <v>0</v>
      </c>
      <c r="AQ169" s="202" t="s">
        <v>2650</v>
      </c>
      <c r="AR169" s="202">
        <v>0</v>
      </c>
      <c r="AS169" s="202">
        <v>0</v>
      </c>
      <c r="AT169" s="202">
        <v>5</v>
      </c>
      <c r="AU169" s="202">
        <v>0</v>
      </c>
      <c r="AV169" s="202">
        <v>1</v>
      </c>
      <c r="AX169" s="202" t="s">
        <v>2136</v>
      </c>
      <c r="AY169" s="202">
        <v>167</v>
      </c>
    </row>
    <row r="170" spans="1:51">
      <c r="A170" s="202" t="str">
        <f t="shared" si="11"/>
        <v>普恒章</v>
      </c>
      <c r="B170" s="202">
        <f>IF(C170&lt;&gt;"NA",C170,VLOOKUP(K170,Update_from_YIFIP!$X$2:$AD$174,7,FALSE))</f>
        <v>89</v>
      </c>
      <c r="C170" s="207">
        <f t="shared" si="8"/>
        <v>89</v>
      </c>
      <c r="D170" s="207">
        <f t="shared" si="9"/>
        <v>89</v>
      </c>
      <c r="E170" s="202" t="s">
        <v>2110</v>
      </c>
      <c r="F170" s="202" t="s">
        <v>1929</v>
      </c>
      <c r="G170" s="202" t="s">
        <v>1070</v>
      </c>
      <c r="H170" s="207" t="str">
        <f t="shared" si="10"/>
        <v>NA</v>
      </c>
      <c r="I170" s="202" t="s">
        <v>1929</v>
      </c>
      <c r="J170" s="202" t="s">
        <v>1068</v>
      </c>
      <c r="K170" s="202" t="s">
        <v>3064</v>
      </c>
      <c r="L170" s="202" t="s">
        <v>1570</v>
      </c>
      <c r="M170" s="202">
        <v>0</v>
      </c>
      <c r="N170" s="202">
        <v>9</v>
      </c>
      <c r="O170" s="202">
        <v>20</v>
      </c>
      <c r="P170" s="202">
        <v>2</v>
      </c>
      <c r="Q170" s="202">
        <v>2</v>
      </c>
      <c r="R170" s="202">
        <v>2</v>
      </c>
      <c r="S170" s="202">
        <v>2</v>
      </c>
      <c r="T170" s="202">
        <v>2</v>
      </c>
      <c r="U170" s="202">
        <v>2</v>
      </c>
      <c r="V170" s="202">
        <v>2</v>
      </c>
      <c r="W170" s="202">
        <v>2</v>
      </c>
      <c r="X170" s="202">
        <v>4</v>
      </c>
      <c r="Y170" s="202">
        <v>0</v>
      </c>
      <c r="Z170" s="202">
        <v>0</v>
      </c>
      <c r="AA170" s="202">
        <v>0</v>
      </c>
      <c r="AB170" s="202">
        <v>0</v>
      </c>
      <c r="AC170" s="202">
        <v>0</v>
      </c>
      <c r="AD170" s="202">
        <v>0</v>
      </c>
      <c r="AE170" s="202">
        <v>0</v>
      </c>
      <c r="AF170" s="202">
        <v>0</v>
      </c>
      <c r="AG170" s="202">
        <v>0</v>
      </c>
      <c r="AH170" s="202">
        <v>0</v>
      </c>
      <c r="AI170" s="202">
        <v>0</v>
      </c>
      <c r="AJ170" s="202">
        <v>0</v>
      </c>
      <c r="AK170" s="202">
        <v>0</v>
      </c>
      <c r="AL170" s="202">
        <v>0</v>
      </c>
      <c r="AM170" s="202">
        <v>0</v>
      </c>
      <c r="AN170" s="202">
        <v>0</v>
      </c>
      <c r="AO170" s="202">
        <v>0</v>
      </c>
      <c r="AP170" s="202">
        <v>0</v>
      </c>
      <c r="AQ170" s="202" t="s">
        <v>2650</v>
      </c>
      <c r="AR170" s="202">
        <v>0</v>
      </c>
      <c r="AS170" s="202">
        <v>0</v>
      </c>
      <c r="AT170" s="202">
        <v>10</v>
      </c>
      <c r="AU170" s="202">
        <v>0</v>
      </c>
      <c r="AV170" s="202">
        <v>2</v>
      </c>
      <c r="AX170" s="202" t="s">
        <v>2098</v>
      </c>
      <c r="AY170" s="202">
        <v>168</v>
      </c>
    </row>
    <row r="171" spans="1:51">
      <c r="A171" s="202" t="str">
        <f t="shared" si="11"/>
        <v>普恒章</v>
      </c>
      <c r="B171" s="202">
        <f>IF(C171&lt;&gt;"NA",C171,VLOOKUP(K171,Update_from_YIFIP!$X$2:$AD$174,7,FALSE))</f>
        <v>89</v>
      </c>
      <c r="C171" s="207">
        <f t="shared" si="8"/>
        <v>89</v>
      </c>
      <c r="D171" s="207">
        <f t="shared" si="9"/>
        <v>89</v>
      </c>
      <c r="E171" s="202" t="s">
        <v>2110</v>
      </c>
      <c r="F171" s="202" t="s">
        <v>1929</v>
      </c>
      <c r="G171" s="202" t="s">
        <v>1070</v>
      </c>
      <c r="H171" s="207" t="str">
        <f t="shared" si="10"/>
        <v>NA</v>
      </c>
      <c r="I171" s="202" t="s">
        <v>1929</v>
      </c>
      <c r="J171" s="202" t="s">
        <v>1068</v>
      </c>
      <c r="K171" s="202" t="s">
        <v>3065</v>
      </c>
      <c r="L171" s="202" t="s">
        <v>1571</v>
      </c>
      <c r="M171" s="202">
        <v>10</v>
      </c>
      <c r="N171" s="202">
        <v>0</v>
      </c>
      <c r="O171" s="202">
        <v>23</v>
      </c>
      <c r="P171" s="202">
        <v>2</v>
      </c>
      <c r="Q171" s="202">
        <v>2</v>
      </c>
      <c r="R171" s="202">
        <v>2</v>
      </c>
      <c r="S171" s="202">
        <v>2</v>
      </c>
      <c r="T171" s="202">
        <v>2</v>
      </c>
      <c r="U171" s="202">
        <v>2</v>
      </c>
      <c r="V171" s="202">
        <v>2</v>
      </c>
      <c r="W171" s="202">
        <v>2</v>
      </c>
      <c r="X171" s="202">
        <v>3</v>
      </c>
      <c r="Y171" s="202">
        <v>4</v>
      </c>
      <c r="Z171" s="202">
        <v>0</v>
      </c>
      <c r="AA171" s="202">
        <v>0</v>
      </c>
      <c r="AB171" s="202">
        <v>0</v>
      </c>
      <c r="AC171" s="202">
        <v>0</v>
      </c>
      <c r="AD171" s="202">
        <v>0</v>
      </c>
      <c r="AE171" s="202">
        <v>0</v>
      </c>
      <c r="AF171" s="202">
        <v>0</v>
      </c>
      <c r="AG171" s="202">
        <v>0</v>
      </c>
      <c r="AH171" s="202">
        <v>0</v>
      </c>
      <c r="AI171" s="202">
        <v>0</v>
      </c>
      <c r="AJ171" s="202">
        <v>0</v>
      </c>
      <c r="AK171" s="202">
        <v>0</v>
      </c>
      <c r="AL171" s="202">
        <v>0</v>
      </c>
      <c r="AM171" s="202">
        <v>0</v>
      </c>
      <c r="AN171" s="202">
        <v>0</v>
      </c>
      <c r="AO171" s="202">
        <v>0</v>
      </c>
      <c r="AP171" s="202">
        <v>0</v>
      </c>
      <c r="AQ171" s="202" t="s">
        <v>2650</v>
      </c>
      <c r="AR171" s="202">
        <v>0</v>
      </c>
      <c r="AS171" s="202">
        <v>0</v>
      </c>
      <c r="AT171" s="202">
        <v>4</v>
      </c>
      <c r="AU171" s="202">
        <v>0</v>
      </c>
      <c r="AV171" s="202">
        <v>0.8</v>
      </c>
      <c r="AX171" s="202" t="s">
        <v>2158</v>
      </c>
      <c r="AY171" s="202">
        <v>169</v>
      </c>
    </row>
    <row r="172" spans="1:51">
      <c r="A172" s="202" t="str">
        <f t="shared" si="11"/>
        <v>普恒章</v>
      </c>
      <c r="B172" s="202">
        <f>IF(C172&lt;&gt;"NA",C172,VLOOKUP(K172,Update_from_YIFIP!$X$2:$AD$174,7,FALSE))</f>
        <v>89</v>
      </c>
      <c r="C172" s="207">
        <f t="shared" si="8"/>
        <v>89</v>
      </c>
      <c r="D172" s="207">
        <f t="shared" si="9"/>
        <v>89</v>
      </c>
      <c r="E172" s="202" t="s">
        <v>2110</v>
      </c>
      <c r="F172" s="202" t="s">
        <v>1929</v>
      </c>
      <c r="G172" s="202" t="s">
        <v>1070</v>
      </c>
      <c r="H172" s="207" t="str">
        <f t="shared" si="10"/>
        <v>NA</v>
      </c>
      <c r="I172" s="202" t="s">
        <v>1929</v>
      </c>
      <c r="J172" s="202" t="s">
        <v>1068</v>
      </c>
      <c r="K172" s="202" t="s">
        <v>3062</v>
      </c>
      <c r="L172" s="202" t="s">
        <v>1575</v>
      </c>
      <c r="M172" s="202">
        <v>10</v>
      </c>
      <c r="N172" s="202">
        <v>0</v>
      </c>
      <c r="O172" s="202">
        <v>36</v>
      </c>
      <c r="P172" s="202">
        <v>3</v>
      </c>
      <c r="Q172" s="202">
        <v>3</v>
      </c>
      <c r="R172" s="202">
        <v>3</v>
      </c>
      <c r="S172" s="202">
        <v>3</v>
      </c>
      <c r="T172" s="202">
        <v>3</v>
      </c>
      <c r="U172" s="202">
        <v>3</v>
      </c>
      <c r="V172" s="202">
        <v>3</v>
      </c>
      <c r="W172" s="202">
        <v>5</v>
      </c>
      <c r="X172" s="202">
        <v>5</v>
      </c>
      <c r="Y172" s="202">
        <v>5</v>
      </c>
      <c r="Z172" s="202">
        <v>0</v>
      </c>
      <c r="AA172" s="202">
        <v>0</v>
      </c>
      <c r="AB172" s="202">
        <v>0</v>
      </c>
      <c r="AC172" s="202">
        <v>0</v>
      </c>
      <c r="AD172" s="202">
        <v>0</v>
      </c>
      <c r="AE172" s="202">
        <v>0</v>
      </c>
      <c r="AF172" s="202">
        <v>0</v>
      </c>
      <c r="AG172" s="202">
        <v>0</v>
      </c>
      <c r="AH172" s="202">
        <v>0</v>
      </c>
      <c r="AI172" s="202">
        <v>0</v>
      </c>
      <c r="AJ172" s="202">
        <v>0</v>
      </c>
      <c r="AK172" s="202">
        <v>0</v>
      </c>
      <c r="AL172" s="202">
        <v>0</v>
      </c>
      <c r="AM172" s="202">
        <v>0</v>
      </c>
      <c r="AN172" s="202">
        <v>0</v>
      </c>
      <c r="AO172" s="202">
        <v>0</v>
      </c>
      <c r="AP172" s="202">
        <v>0</v>
      </c>
      <c r="AQ172" s="202" t="s">
        <v>2650</v>
      </c>
      <c r="AR172" s="202">
        <v>0</v>
      </c>
      <c r="AS172" s="202">
        <v>0</v>
      </c>
      <c r="AT172" s="202">
        <v>7.5</v>
      </c>
      <c r="AU172" s="202">
        <v>0</v>
      </c>
      <c r="AV172" s="202">
        <v>1.5</v>
      </c>
      <c r="AX172" s="202" t="s">
        <v>2092</v>
      </c>
      <c r="AY172" s="202">
        <v>170</v>
      </c>
    </row>
    <row r="173" spans="1:51">
      <c r="A173" s="202" t="str">
        <f t="shared" si="11"/>
        <v>何兴能</v>
      </c>
      <c r="B173" s="202">
        <f>IF(C173&lt;&gt;"NA",C173,VLOOKUP(K173,Update_from_YIFIP!$X$2:$AD$174,7,FALSE))</f>
        <v>93</v>
      </c>
      <c r="C173" s="207">
        <f t="shared" si="8"/>
        <v>93</v>
      </c>
      <c r="D173" s="207">
        <f t="shared" si="9"/>
        <v>93</v>
      </c>
      <c r="E173" s="202" t="s">
        <v>2046</v>
      </c>
      <c r="F173" s="202" t="s">
        <v>1929</v>
      </c>
      <c r="G173" s="202" t="s">
        <v>3084</v>
      </c>
      <c r="H173" s="207" t="str">
        <f t="shared" si="10"/>
        <v>NA</v>
      </c>
      <c r="I173" s="202" t="s">
        <v>1929</v>
      </c>
      <c r="J173" s="202" t="s">
        <v>1051</v>
      </c>
      <c r="K173" s="202" t="s">
        <v>2922</v>
      </c>
      <c r="L173" s="202" t="s">
        <v>1585</v>
      </c>
      <c r="M173" s="202">
        <v>8</v>
      </c>
      <c r="N173" s="202">
        <v>0</v>
      </c>
      <c r="O173" s="202">
        <v>82</v>
      </c>
      <c r="P173" s="202">
        <v>28</v>
      </c>
      <c r="Q173" s="202">
        <v>18</v>
      </c>
      <c r="R173" s="202">
        <v>7</v>
      </c>
      <c r="S173" s="202">
        <v>9</v>
      </c>
      <c r="T173" s="202">
        <v>7</v>
      </c>
      <c r="U173" s="202">
        <v>4</v>
      </c>
      <c r="V173" s="202">
        <v>6</v>
      </c>
      <c r="W173" s="202">
        <v>3</v>
      </c>
      <c r="X173" s="202">
        <v>0</v>
      </c>
      <c r="Y173" s="202">
        <v>0</v>
      </c>
      <c r="Z173" s="202">
        <v>0</v>
      </c>
      <c r="AA173" s="202">
        <v>0</v>
      </c>
      <c r="AB173" s="202">
        <v>0</v>
      </c>
      <c r="AC173" s="202">
        <v>0</v>
      </c>
      <c r="AD173" s="202">
        <v>0</v>
      </c>
      <c r="AE173" s="202">
        <v>0</v>
      </c>
      <c r="AF173" s="202">
        <v>0</v>
      </c>
      <c r="AG173" s="202">
        <v>0</v>
      </c>
      <c r="AH173" s="202">
        <v>0</v>
      </c>
      <c r="AI173" s="202">
        <v>0</v>
      </c>
      <c r="AJ173" s="202">
        <v>0</v>
      </c>
      <c r="AK173" s="202">
        <v>0</v>
      </c>
      <c r="AL173" s="202">
        <v>0</v>
      </c>
      <c r="AM173" s="202">
        <v>0</v>
      </c>
      <c r="AN173" s="202">
        <v>0</v>
      </c>
      <c r="AO173" s="202">
        <v>0</v>
      </c>
      <c r="AP173" s="202">
        <v>0</v>
      </c>
      <c r="AQ173" s="202" t="s">
        <v>2795</v>
      </c>
      <c r="AR173" s="202">
        <v>0</v>
      </c>
      <c r="AS173" s="202">
        <v>0</v>
      </c>
      <c r="AT173" s="202">
        <v>12.5</v>
      </c>
      <c r="AU173" s="202">
        <v>0</v>
      </c>
      <c r="AV173" s="202">
        <v>2.5</v>
      </c>
      <c r="AX173" s="202" t="s">
        <v>2057</v>
      </c>
      <c r="AY173" s="202">
        <v>171</v>
      </c>
    </row>
    <row r="174" spans="1:51">
      <c r="A174" s="202" t="str">
        <f t="shared" si="11"/>
        <v>何兴能</v>
      </c>
      <c r="B174" s="202">
        <f>IF(C174&lt;&gt;"NA",C174,VLOOKUP(K174,Update_from_YIFIP!$X$2:$AD$174,7,FALSE))</f>
        <v>93</v>
      </c>
      <c r="C174" s="207">
        <f t="shared" si="8"/>
        <v>93</v>
      </c>
      <c r="D174" s="207">
        <f t="shared" si="9"/>
        <v>93</v>
      </c>
      <c r="E174" s="202" t="s">
        <v>2046</v>
      </c>
      <c r="F174" s="202" t="s">
        <v>1929</v>
      </c>
      <c r="G174" s="202" t="s">
        <v>3084</v>
      </c>
      <c r="H174" s="207" t="str">
        <f t="shared" si="10"/>
        <v>NA</v>
      </c>
      <c r="I174" s="202" t="s">
        <v>1929</v>
      </c>
      <c r="J174" s="202" t="s">
        <v>1051</v>
      </c>
      <c r="K174" s="202" t="s">
        <v>2916</v>
      </c>
      <c r="L174" s="202" t="s">
        <v>1586</v>
      </c>
      <c r="M174" s="202">
        <v>8</v>
      </c>
      <c r="N174" s="202">
        <v>0</v>
      </c>
      <c r="O174" s="202">
        <v>63</v>
      </c>
      <c r="P174" s="202">
        <v>9</v>
      </c>
      <c r="Q174" s="202">
        <v>12</v>
      </c>
      <c r="R174" s="202">
        <v>12</v>
      </c>
      <c r="S174" s="202">
        <v>6</v>
      </c>
      <c r="T174" s="202">
        <v>10</v>
      </c>
      <c r="U174" s="202">
        <v>4</v>
      </c>
      <c r="V174" s="202">
        <v>7</v>
      </c>
      <c r="W174" s="202">
        <v>3</v>
      </c>
      <c r="X174" s="202">
        <v>0</v>
      </c>
      <c r="Y174" s="202">
        <v>0</v>
      </c>
      <c r="Z174" s="202">
        <v>0</v>
      </c>
      <c r="AA174" s="202">
        <v>0</v>
      </c>
      <c r="AB174" s="202">
        <v>0</v>
      </c>
      <c r="AC174" s="202">
        <v>0</v>
      </c>
      <c r="AD174" s="202">
        <v>0</v>
      </c>
      <c r="AE174" s="202">
        <v>0</v>
      </c>
      <c r="AF174" s="202">
        <v>0</v>
      </c>
      <c r="AG174" s="202">
        <v>0</v>
      </c>
      <c r="AH174" s="202">
        <v>0</v>
      </c>
      <c r="AI174" s="202">
        <v>0</v>
      </c>
      <c r="AJ174" s="202">
        <v>0</v>
      </c>
      <c r="AK174" s="202">
        <v>0</v>
      </c>
      <c r="AL174" s="202">
        <v>0</v>
      </c>
      <c r="AM174" s="202">
        <v>0</v>
      </c>
      <c r="AN174" s="202">
        <v>0</v>
      </c>
      <c r="AO174" s="202">
        <v>0</v>
      </c>
      <c r="AP174" s="202">
        <v>0</v>
      </c>
      <c r="AQ174" s="202" t="s">
        <v>2795</v>
      </c>
      <c r="AR174" s="202">
        <v>0</v>
      </c>
      <c r="AS174" s="202">
        <v>0</v>
      </c>
      <c r="AT174" s="202">
        <v>10</v>
      </c>
      <c r="AU174" s="202">
        <v>0</v>
      </c>
      <c r="AV174" s="202">
        <v>2</v>
      </c>
    </row>
    <row r="175" spans="1:51">
      <c r="A175" s="202" t="str">
        <f t="shared" si="11"/>
        <v>李红伟</v>
      </c>
      <c r="B175" s="202">
        <f>IF(C175&lt;&gt;"NA",C175,VLOOKUP(K175,Update_from_YIFIP!$X$2:$AD$174,7,FALSE))</f>
        <v>94</v>
      </c>
      <c r="C175" s="207">
        <f t="shared" si="8"/>
        <v>94</v>
      </c>
      <c r="D175" s="207">
        <f t="shared" si="9"/>
        <v>94</v>
      </c>
      <c r="E175" s="202" t="s">
        <v>2061</v>
      </c>
      <c r="F175" s="202" t="s">
        <v>3079</v>
      </c>
      <c r="G175" s="202" t="s">
        <v>3080</v>
      </c>
      <c r="H175" s="207" t="str">
        <f t="shared" si="10"/>
        <v>NA</v>
      </c>
      <c r="I175" s="202" t="s">
        <v>1929</v>
      </c>
      <c r="J175" s="202" t="s">
        <v>1033</v>
      </c>
      <c r="K175" s="202">
        <v>0</v>
      </c>
      <c r="L175" s="202" t="s">
        <v>1581</v>
      </c>
      <c r="M175" s="202">
        <v>9</v>
      </c>
      <c r="N175" s="202">
        <v>0</v>
      </c>
      <c r="O175" s="202">
        <v>109</v>
      </c>
      <c r="P175" s="202">
        <v>16</v>
      </c>
      <c r="Q175" s="202">
        <v>30</v>
      </c>
      <c r="R175" s="202">
        <v>14</v>
      </c>
      <c r="S175" s="202">
        <v>13</v>
      </c>
      <c r="T175" s="202">
        <v>7</v>
      </c>
      <c r="U175" s="202">
        <v>9</v>
      </c>
      <c r="V175" s="202">
        <v>7</v>
      </c>
      <c r="W175" s="202">
        <v>7</v>
      </c>
      <c r="X175" s="202">
        <v>6</v>
      </c>
      <c r="Y175" s="202">
        <v>0</v>
      </c>
      <c r="Z175" s="202">
        <v>0</v>
      </c>
      <c r="AA175" s="202">
        <v>0</v>
      </c>
      <c r="AB175" s="202">
        <v>0</v>
      </c>
      <c r="AC175" s="202">
        <v>0</v>
      </c>
      <c r="AD175" s="202">
        <v>0</v>
      </c>
      <c r="AE175" s="202">
        <v>0</v>
      </c>
      <c r="AF175" s="202">
        <v>0</v>
      </c>
      <c r="AG175" s="202">
        <v>0</v>
      </c>
      <c r="AH175" s="202">
        <v>0</v>
      </c>
      <c r="AI175" s="202">
        <v>0</v>
      </c>
      <c r="AJ175" s="202">
        <v>0</v>
      </c>
      <c r="AK175" s="202">
        <v>0</v>
      </c>
      <c r="AL175" s="202">
        <v>0</v>
      </c>
      <c r="AM175" s="202">
        <v>0</v>
      </c>
      <c r="AN175" s="202">
        <v>0</v>
      </c>
      <c r="AO175" s="202">
        <v>0</v>
      </c>
      <c r="AP175" s="202">
        <v>0</v>
      </c>
      <c r="AQ175" s="202" t="s">
        <v>2557</v>
      </c>
      <c r="AR175" s="202">
        <v>0</v>
      </c>
      <c r="AS175" s="202">
        <v>0</v>
      </c>
      <c r="AT175" s="202">
        <v>19.5</v>
      </c>
      <c r="AU175" s="202" t="s">
        <v>3078</v>
      </c>
      <c r="AV175" s="202">
        <v>3.9000000000000004</v>
      </c>
    </row>
    <row r="176" spans="1:51">
      <c r="A176" s="202" t="str">
        <f t="shared" si="11"/>
        <v>李红伟</v>
      </c>
      <c r="B176" s="202">
        <f>IF(C176&lt;&gt;"NA",C176,VLOOKUP(K176,Update_from_YIFIP!$X$2:$AD$174,7,FALSE))</f>
        <v>94</v>
      </c>
      <c r="C176" s="207">
        <f t="shared" si="8"/>
        <v>94</v>
      </c>
      <c r="D176" s="207">
        <f t="shared" si="9"/>
        <v>94</v>
      </c>
      <c r="E176" s="202" t="s">
        <v>2061</v>
      </c>
      <c r="F176" s="202" t="s">
        <v>3079</v>
      </c>
      <c r="G176" s="202" t="s">
        <v>3080</v>
      </c>
      <c r="H176" s="207" t="str">
        <f t="shared" si="10"/>
        <v>NA</v>
      </c>
      <c r="I176" s="202" t="s">
        <v>1929</v>
      </c>
      <c r="J176" s="202" t="s">
        <v>1033</v>
      </c>
      <c r="K176" s="202">
        <v>0</v>
      </c>
      <c r="L176" s="202" t="s">
        <v>1582</v>
      </c>
      <c r="M176" s="202">
        <v>7</v>
      </c>
      <c r="N176" s="202">
        <v>0</v>
      </c>
      <c r="O176" s="202">
        <v>97</v>
      </c>
      <c r="P176" s="202">
        <v>34</v>
      </c>
      <c r="Q176" s="202">
        <v>18</v>
      </c>
      <c r="R176" s="202">
        <v>18</v>
      </c>
      <c r="S176" s="202">
        <v>9</v>
      </c>
      <c r="T176" s="202">
        <v>7</v>
      </c>
      <c r="U176" s="202">
        <v>8</v>
      </c>
      <c r="V176" s="202">
        <v>3</v>
      </c>
      <c r="W176" s="202">
        <v>0</v>
      </c>
      <c r="X176" s="202">
        <v>0</v>
      </c>
      <c r="Y176" s="202">
        <v>0</v>
      </c>
      <c r="Z176" s="202">
        <v>0</v>
      </c>
      <c r="AA176" s="202">
        <v>0</v>
      </c>
      <c r="AB176" s="202">
        <v>0</v>
      </c>
      <c r="AC176" s="202">
        <v>0</v>
      </c>
      <c r="AD176" s="202">
        <v>0</v>
      </c>
      <c r="AE176" s="202">
        <v>0</v>
      </c>
      <c r="AF176" s="202">
        <v>0</v>
      </c>
      <c r="AG176" s="202">
        <v>0</v>
      </c>
      <c r="AH176" s="202">
        <v>0</v>
      </c>
      <c r="AI176" s="202">
        <v>0</v>
      </c>
      <c r="AJ176" s="202">
        <v>0</v>
      </c>
      <c r="AK176" s="202">
        <v>0</v>
      </c>
      <c r="AL176" s="202">
        <v>0</v>
      </c>
      <c r="AM176" s="202">
        <v>0</v>
      </c>
      <c r="AN176" s="202">
        <v>0</v>
      </c>
      <c r="AO176" s="202">
        <v>0</v>
      </c>
      <c r="AP176" s="202">
        <v>0</v>
      </c>
      <c r="AQ176" s="202" t="s">
        <v>3081</v>
      </c>
      <c r="AR176" s="202">
        <v>0</v>
      </c>
      <c r="AS176" s="202">
        <v>0</v>
      </c>
      <c r="AT176" s="202">
        <v>22.5</v>
      </c>
      <c r="AU176" s="202">
        <v>0</v>
      </c>
      <c r="AV176" s="202">
        <v>4.5</v>
      </c>
    </row>
    <row r="177" spans="1:51">
      <c r="A177" s="202" t="str">
        <f t="shared" si="11"/>
        <v>何忠云</v>
      </c>
      <c r="B177" s="202">
        <f>IF(C177&lt;&gt;"NA",C177,VLOOKUP(K177,Update_from_YIFIP!$X$2:$AD$174,7,FALSE))</f>
        <v>95</v>
      </c>
      <c r="C177" s="207">
        <f t="shared" si="8"/>
        <v>95</v>
      </c>
      <c r="D177" s="207">
        <f t="shared" si="9"/>
        <v>95</v>
      </c>
      <c r="E177" s="202" t="s">
        <v>2047</v>
      </c>
      <c r="F177" s="202" t="s">
        <v>3009</v>
      </c>
      <c r="G177" s="202" t="s">
        <v>3010</v>
      </c>
      <c r="H177" s="207" t="str">
        <f t="shared" si="10"/>
        <v>NA</v>
      </c>
      <c r="I177" s="202" t="s">
        <v>1929</v>
      </c>
      <c r="J177" s="202" t="s">
        <v>1035</v>
      </c>
      <c r="K177" s="202">
        <v>0</v>
      </c>
      <c r="L177" s="202" t="s">
        <v>1532</v>
      </c>
      <c r="M177" s="202">
        <v>5</v>
      </c>
      <c r="N177" s="202">
        <v>0</v>
      </c>
      <c r="O177" s="202">
        <v>85</v>
      </c>
      <c r="P177" s="202">
        <v>34</v>
      </c>
      <c r="Q177" s="202">
        <v>10</v>
      </c>
      <c r="R177" s="202">
        <v>17</v>
      </c>
      <c r="S177" s="202">
        <v>11</v>
      </c>
      <c r="T177" s="202">
        <v>13</v>
      </c>
      <c r="U177" s="202">
        <v>0</v>
      </c>
      <c r="V177" s="202">
        <v>0</v>
      </c>
      <c r="W177" s="202">
        <v>0</v>
      </c>
      <c r="X177" s="202">
        <v>0</v>
      </c>
      <c r="Y177" s="202">
        <v>0</v>
      </c>
      <c r="Z177" s="202">
        <v>0</v>
      </c>
      <c r="AA177" s="202">
        <v>0</v>
      </c>
      <c r="AB177" s="202">
        <v>0</v>
      </c>
      <c r="AC177" s="202">
        <v>0</v>
      </c>
      <c r="AD177" s="202">
        <v>0</v>
      </c>
      <c r="AE177" s="202">
        <v>0</v>
      </c>
      <c r="AF177" s="202">
        <v>0</v>
      </c>
      <c r="AG177" s="202">
        <v>0</v>
      </c>
      <c r="AH177" s="202">
        <v>0</v>
      </c>
      <c r="AI177" s="202">
        <v>0</v>
      </c>
      <c r="AJ177" s="202">
        <v>0</v>
      </c>
      <c r="AK177" s="202">
        <v>0</v>
      </c>
      <c r="AL177" s="202">
        <v>0</v>
      </c>
      <c r="AM177" s="202">
        <v>0</v>
      </c>
      <c r="AN177" s="202">
        <v>0</v>
      </c>
      <c r="AO177" s="202">
        <v>0</v>
      </c>
      <c r="AP177" s="202">
        <v>0</v>
      </c>
      <c r="AQ177" s="202" t="s">
        <v>3008</v>
      </c>
      <c r="AR177" s="202">
        <v>0</v>
      </c>
      <c r="AS177" s="202">
        <v>0</v>
      </c>
      <c r="AT177" s="202">
        <v>20</v>
      </c>
      <c r="AU177" s="202">
        <v>0</v>
      </c>
      <c r="AV177" s="202">
        <v>4</v>
      </c>
      <c r="AW177"/>
      <c r="AX177"/>
      <c r="AY177"/>
    </row>
    <row r="178" spans="1:51">
      <c r="A178" s="202" t="str">
        <f t="shared" si="11"/>
        <v>李廷峰</v>
      </c>
      <c r="B178" s="202">
        <f>IF(C178&lt;&gt;"NA",C178,VLOOKUP(K178,Update_from_YIFIP!$X$2:$AD$174,7,FALSE))</f>
        <v>97</v>
      </c>
      <c r="C178" s="207">
        <f t="shared" si="8"/>
        <v>97</v>
      </c>
      <c r="D178" s="207">
        <f t="shared" si="9"/>
        <v>97</v>
      </c>
      <c r="E178" s="202" t="s">
        <v>2077</v>
      </c>
      <c r="F178" s="202" t="s">
        <v>2798</v>
      </c>
      <c r="G178" s="202" t="s">
        <v>2799</v>
      </c>
      <c r="H178" s="207" t="str">
        <f t="shared" si="10"/>
        <v>NA</v>
      </c>
      <c r="I178" s="202" t="s">
        <v>1929</v>
      </c>
      <c r="J178" s="202" t="s">
        <v>2797</v>
      </c>
      <c r="K178" s="202">
        <v>0</v>
      </c>
      <c r="L178" s="202" t="s">
        <v>1476</v>
      </c>
      <c r="M178" s="202">
        <v>0</v>
      </c>
      <c r="N178" s="202">
        <v>3</v>
      </c>
      <c r="O178" s="202">
        <v>6</v>
      </c>
      <c r="P178" s="202">
        <v>2</v>
      </c>
      <c r="Q178" s="202">
        <v>2</v>
      </c>
      <c r="R178" s="202">
        <v>2</v>
      </c>
      <c r="S178" s="202">
        <v>0</v>
      </c>
      <c r="T178" s="202">
        <v>0</v>
      </c>
      <c r="U178" s="202">
        <v>0</v>
      </c>
      <c r="V178" s="202">
        <v>0</v>
      </c>
      <c r="W178" s="202">
        <v>0</v>
      </c>
      <c r="X178" s="202">
        <v>0</v>
      </c>
      <c r="Y178" s="202">
        <v>0</v>
      </c>
      <c r="Z178" s="202">
        <v>0</v>
      </c>
      <c r="AA178" s="202">
        <v>0</v>
      </c>
      <c r="AB178" s="202">
        <v>0</v>
      </c>
      <c r="AC178" s="202">
        <v>0</v>
      </c>
      <c r="AD178" s="202">
        <v>0</v>
      </c>
      <c r="AE178" s="202">
        <v>0</v>
      </c>
      <c r="AF178" s="202">
        <v>0</v>
      </c>
      <c r="AG178" s="202">
        <v>0</v>
      </c>
      <c r="AH178" s="202">
        <v>0</v>
      </c>
      <c r="AI178" s="202">
        <v>0</v>
      </c>
      <c r="AJ178" s="202">
        <v>0</v>
      </c>
      <c r="AK178" s="202">
        <v>0</v>
      </c>
      <c r="AL178" s="202">
        <v>0</v>
      </c>
      <c r="AM178" s="202">
        <v>0</v>
      </c>
      <c r="AN178" s="202">
        <v>0</v>
      </c>
      <c r="AO178" s="202">
        <v>0</v>
      </c>
      <c r="AP178" s="202">
        <v>0</v>
      </c>
      <c r="AQ178" s="202" t="s">
        <v>2461</v>
      </c>
      <c r="AR178" s="202">
        <v>0</v>
      </c>
      <c r="AS178" s="202">
        <v>0</v>
      </c>
      <c r="AT178" s="202">
        <v>1</v>
      </c>
      <c r="AU178" s="202">
        <v>0</v>
      </c>
      <c r="AV178" s="202">
        <v>0.2</v>
      </c>
      <c r="AW178"/>
      <c r="AX178"/>
      <c r="AY178"/>
    </row>
    <row r="179" spans="1:51">
      <c r="A179" s="202" t="str">
        <f t="shared" si="11"/>
        <v>李廷峰</v>
      </c>
      <c r="B179" s="202">
        <f>IF(C179&lt;&gt;"NA",C179,VLOOKUP(K179,Update_from_YIFIP!$X$2:$AD$174,7,FALSE))</f>
        <v>97</v>
      </c>
      <c r="C179" s="207">
        <f t="shared" si="8"/>
        <v>97</v>
      </c>
      <c r="D179" s="207">
        <f t="shared" si="9"/>
        <v>97</v>
      </c>
      <c r="E179" s="202" t="s">
        <v>2077</v>
      </c>
      <c r="F179" s="202" t="s">
        <v>2798</v>
      </c>
      <c r="G179" s="202" t="s">
        <v>2799</v>
      </c>
      <c r="H179" s="207" t="str">
        <f t="shared" si="10"/>
        <v>NA</v>
      </c>
      <c r="I179" s="202" t="s">
        <v>1929</v>
      </c>
      <c r="J179" s="202" t="s">
        <v>2797</v>
      </c>
      <c r="K179" s="202">
        <v>0</v>
      </c>
      <c r="L179" s="202" t="s">
        <v>1477</v>
      </c>
      <c r="M179" s="202">
        <v>4</v>
      </c>
      <c r="N179" s="202">
        <v>0</v>
      </c>
      <c r="O179" s="202">
        <v>9</v>
      </c>
      <c r="P179" s="202">
        <v>2</v>
      </c>
      <c r="Q179" s="202">
        <v>2</v>
      </c>
      <c r="R179" s="202">
        <v>2</v>
      </c>
      <c r="S179" s="202">
        <v>3</v>
      </c>
      <c r="T179" s="202">
        <v>0</v>
      </c>
      <c r="U179" s="202">
        <v>0</v>
      </c>
      <c r="V179" s="202">
        <v>0</v>
      </c>
      <c r="W179" s="202">
        <v>0</v>
      </c>
      <c r="X179" s="202">
        <v>0</v>
      </c>
      <c r="Y179" s="202">
        <v>0</v>
      </c>
      <c r="Z179" s="202">
        <v>0</v>
      </c>
      <c r="AA179" s="202">
        <v>0</v>
      </c>
      <c r="AB179" s="202">
        <v>0</v>
      </c>
      <c r="AC179" s="202">
        <v>0</v>
      </c>
      <c r="AD179" s="202">
        <v>0</v>
      </c>
      <c r="AE179" s="202">
        <v>0</v>
      </c>
      <c r="AF179" s="202">
        <v>0</v>
      </c>
      <c r="AG179" s="202">
        <v>0</v>
      </c>
      <c r="AH179" s="202">
        <v>0</v>
      </c>
      <c r="AI179" s="202">
        <v>0</v>
      </c>
      <c r="AJ179" s="202">
        <v>0</v>
      </c>
      <c r="AK179" s="202">
        <v>0</v>
      </c>
      <c r="AL179" s="202">
        <v>0</v>
      </c>
      <c r="AM179" s="202">
        <v>0</v>
      </c>
      <c r="AN179" s="202">
        <v>0</v>
      </c>
      <c r="AO179" s="202">
        <v>0</v>
      </c>
      <c r="AP179" s="202">
        <v>0</v>
      </c>
      <c r="AQ179" s="202" t="s">
        <v>2473</v>
      </c>
      <c r="AR179" s="202">
        <v>0</v>
      </c>
      <c r="AS179" s="202">
        <v>0</v>
      </c>
      <c r="AT179" s="202">
        <v>1.5</v>
      </c>
      <c r="AU179" s="202">
        <v>0</v>
      </c>
      <c r="AV179" s="202">
        <v>0.3</v>
      </c>
      <c r="AW179"/>
      <c r="AX179"/>
      <c r="AY179"/>
    </row>
    <row r="180" spans="1:51">
      <c r="A180" s="202" t="str">
        <f t="shared" si="11"/>
        <v>李廷峰</v>
      </c>
      <c r="B180" s="202">
        <f>IF(C180&lt;&gt;"NA",C180,VLOOKUP(K180,Update_from_YIFIP!$X$2:$AD$174,7,FALSE))</f>
        <v>97</v>
      </c>
      <c r="C180" s="207">
        <f t="shared" si="8"/>
        <v>97</v>
      </c>
      <c r="D180" s="207">
        <f t="shared" si="9"/>
        <v>97</v>
      </c>
      <c r="E180" s="202" t="s">
        <v>2077</v>
      </c>
      <c r="F180" s="202" t="s">
        <v>2798</v>
      </c>
      <c r="G180" s="202" t="s">
        <v>2799</v>
      </c>
      <c r="H180" s="207" t="str">
        <f t="shared" si="10"/>
        <v>NA</v>
      </c>
      <c r="I180" s="202" t="s">
        <v>1929</v>
      </c>
      <c r="J180" s="202" t="s">
        <v>2797</v>
      </c>
      <c r="K180" s="202">
        <v>0</v>
      </c>
      <c r="L180" s="202" t="s">
        <v>1478</v>
      </c>
      <c r="M180" s="202">
        <v>4</v>
      </c>
      <c r="N180" s="202">
        <v>0</v>
      </c>
      <c r="O180" s="202">
        <v>8</v>
      </c>
      <c r="P180" s="202">
        <v>2</v>
      </c>
      <c r="Q180" s="202">
        <v>2</v>
      </c>
      <c r="R180" s="202">
        <v>2</v>
      </c>
      <c r="S180" s="202">
        <v>2</v>
      </c>
      <c r="T180" s="202">
        <v>0</v>
      </c>
      <c r="U180" s="202">
        <v>0</v>
      </c>
      <c r="V180" s="202">
        <v>0</v>
      </c>
      <c r="W180" s="202">
        <v>0</v>
      </c>
      <c r="X180" s="202">
        <v>0</v>
      </c>
      <c r="Y180" s="202">
        <v>0</v>
      </c>
      <c r="Z180" s="202">
        <v>0</v>
      </c>
      <c r="AA180" s="202">
        <v>0</v>
      </c>
      <c r="AB180" s="202">
        <v>0</v>
      </c>
      <c r="AC180" s="202">
        <v>0</v>
      </c>
      <c r="AD180" s="202">
        <v>0</v>
      </c>
      <c r="AE180" s="202">
        <v>0</v>
      </c>
      <c r="AF180" s="202">
        <v>0</v>
      </c>
      <c r="AG180" s="202">
        <v>0</v>
      </c>
      <c r="AH180" s="202">
        <v>0</v>
      </c>
      <c r="AI180" s="202">
        <v>0</v>
      </c>
      <c r="AJ180" s="202">
        <v>0</v>
      </c>
      <c r="AK180" s="202">
        <v>0</v>
      </c>
      <c r="AL180" s="202">
        <v>0</v>
      </c>
      <c r="AM180" s="202">
        <v>0</v>
      </c>
      <c r="AN180" s="202">
        <v>0</v>
      </c>
      <c r="AO180" s="202">
        <v>0</v>
      </c>
      <c r="AP180" s="202">
        <v>0</v>
      </c>
      <c r="AQ180" s="202" t="s">
        <v>2539</v>
      </c>
      <c r="AR180" s="202">
        <v>0</v>
      </c>
      <c r="AS180" s="202">
        <v>0</v>
      </c>
      <c r="AT180" s="202">
        <v>1.5</v>
      </c>
      <c r="AU180" s="202">
        <v>0</v>
      </c>
      <c r="AV180" s="202">
        <v>0.3</v>
      </c>
      <c r="AW180"/>
      <c r="AX180"/>
      <c r="AY180"/>
    </row>
    <row r="181" spans="1:51">
      <c r="A181" s="202" t="str">
        <f t="shared" si="11"/>
        <v>李廷峰</v>
      </c>
      <c r="B181" s="202">
        <f>IF(C181&lt;&gt;"NA",C181,VLOOKUP(K181,Update_from_YIFIP!$X$2:$AD$174,7,FALSE))</f>
        <v>97</v>
      </c>
      <c r="C181" s="207">
        <f t="shared" si="8"/>
        <v>97</v>
      </c>
      <c r="D181" s="207">
        <f t="shared" si="9"/>
        <v>97</v>
      </c>
      <c r="E181" s="202" t="s">
        <v>2077</v>
      </c>
      <c r="F181" s="202" t="s">
        <v>2798</v>
      </c>
      <c r="G181" s="202" t="s">
        <v>2799</v>
      </c>
      <c r="H181" s="207" t="str">
        <f t="shared" si="10"/>
        <v>NA</v>
      </c>
      <c r="I181" s="202" t="s">
        <v>1929</v>
      </c>
      <c r="J181" s="202" t="s">
        <v>2797</v>
      </c>
      <c r="K181" s="202">
        <v>0</v>
      </c>
      <c r="L181" s="202" t="s">
        <v>1479</v>
      </c>
      <c r="M181" s="202">
        <v>3</v>
      </c>
      <c r="N181" s="202">
        <v>0</v>
      </c>
      <c r="O181" s="202">
        <v>13</v>
      </c>
      <c r="P181" s="202">
        <v>3</v>
      </c>
      <c r="Q181" s="202">
        <v>5</v>
      </c>
      <c r="R181" s="202">
        <v>5</v>
      </c>
      <c r="S181" s="202">
        <v>0</v>
      </c>
      <c r="T181" s="202">
        <v>0</v>
      </c>
      <c r="U181" s="202">
        <v>0</v>
      </c>
      <c r="V181" s="202">
        <v>0</v>
      </c>
      <c r="W181" s="202">
        <v>0</v>
      </c>
      <c r="X181" s="202">
        <v>0</v>
      </c>
      <c r="Y181" s="202">
        <v>0</v>
      </c>
      <c r="Z181" s="202">
        <v>0</v>
      </c>
      <c r="AA181" s="202">
        <v>0</v>
      </c>
      <c r="AB181" s="202">
        <v>0</v>
      </c>
      <c r="AC181" s="202">
        <v>0</v>
      </c>
      <c r="AD181" s="202">
        <v>0</v>
      </c>
      <c r="AE181" s="202">
        <v>0</v>
      </c>
      <c r="AF181" s="202">
        <v>0</v>
      </c>
      <c r="AG181" s="202">
        <v>0</v>
      </c>
      <c r="AH181" s="202">
        <v>0</v>
      </c>
      <c r="AI181" s="202">
        <v>0</v>
      </c>
      <c r="AJ181" s="202">
        <v>0</v>
      </c>
      <c r="AK181" s="202">
        <v>0</v>
      </c>
      <c r="AL181" s="202">
        <v>0</v>
      </c>
      <c r="AM181" s="202">
        <v>0</v>
      </c>
      <c r="AN181" s="202">
        <v>0</v>
      </c>
      <c r="AO181" s="202">
        <v>0</v>
      </c>
      <c r="AP181" s="202">
        <v>0</v>
      </c>
      <c r="AQ181" s="202" t="s">
        <v>2483</v>
      </c>
      <c r="AR181" s="202">
        <v>0</v>
      </c>
      <c r="AS181" s="202">
        <v>0</v>
      </c>
      <c r="AT181" s="202">
        <v>2</v>
      </c>
      <c r="AU181" s="202">
        <v>0</v>
      </c>
      <c r="AV181" s="202">
        <v>0.4</v>
      </c>
      <c r="AW181"/>
      <c r="AX181"/>
      <c r="AY181"/>
    </row>
    <row r="182" spans="1:51">
      <c r="A182" s="202" t="str">
        <f t="shared" si="11"/>
        <v>李廷峰</v>
      </c>
      <c r="B182" s="202">
        <f>IF(C182&lt;&gt;"NA",C182,VLOOKUP(K182,Update_from_YIFIP!$X$2:$AD$174,7,FALSE))</f>
        <v>97</v>
      </c>
      <c r="C182" s="207">
        <f t="shared" si="8"/>
        <v>97</v>
      </c>
      <c r="D182" s="207">
        <f t="shared" si="9"/>
        <v>97</v>
      </c>
      <c r="E182" s="202" t="s">
        <v>2077</v>
      </c>
      <c r="F182" s="202" t="s">
        <v>2798</v>
      </c>
      <c r="G182" s="202" t="s">
        <v>2799</v>
      </c>
      <c r="H182" s="207" t="str">
        <f t="shared" si="10"/>
        <v>NA</v>
      </c>
      <c r="I182" s="202" t="s">
        <v>1929</v>
      </c>
      <c r="J182" s="202" t="s">
        <v>2797</v>
      </c>
      <c r="K182" s="202">
        <v>0</v>
      </c>
      <c r="L182" s="202" t="s">
        <v>1480</v>
      </c>
      <c r="M182" s="202">
        <v>5</v>
      </c>
      <c r="N182" s="202">
        <v>0</v>
      </c>
      <c r="O182" s="202">
        <v>17</v>
      </c>
      <c r="P182" s="202">
        <v>1</v>
      </c>
      <c r="Q182" s="202">
        <v>3</v>
      </c>
      <c r="R182" s="202">
        <v>4</v>
      </c>
      <c r="S182" s="202">
        <v>4</v>
      </c>
      <c r="T182" s="202">
        <v>5</v>
      </c>
      <c r="U182" s="202">
        <v>0</v>
      </c>
      <c r="V182" s="202">
        <v>0</v>
      </c>
      <c r="W182" s="202">
        <v>0</v>
      </c>
      <c r="X182" s="202">
        <v>0</v>
      </c>
      <c r="Y182" s="202">
        <v>0</v>
      </c>
      <c r="Z182" s="202">
        <v>0</v>
      </c>
      <c r="AA182" s="202">
        <v>0</v>
      </c>
      <c r="AB182" s="202">
        <v>0</v>
      </c>
      <c r="AC182" s="202">
        <v>0</v>
      </c>
      <c r="AD182" s="202">
        <v>0</v>
      </c>
      <c r="AE182" s="202">
        <v>0</v>
      </c>
      <c r="AF182" s="202">
        <v>0</v>
      </c>
      <c r="AG182" s="202">
        <v>0</v>
      </c>
      <c r="AH182" s="202">
        <v>0</v>
      </c>
      <c r="AI182" s="202">
        <v>0</v>
      </c>
      <c r="AJ182" s="202">
        <v>0</v>
      </c>
      <c r="AK182" s="202">
        <v>0</v>
      </c>
      <c r="AL182" s="202">
        <v>0</v>
      </c>
      <c r="AM182" s="202">
        <v>0</v>
      </c>
      <c r="AN182" s="202">
        <v>0</v>
      </c>
      <c r="AO182" s="202">
        <v>0</v>
      </c>
      <c r="AP182" s="202">
        <v>0</v>
      </c>
      <c r="AQ182" s="202" t="s">
        <v>2800</v>
      </c>
      <c r="AR182" s="202">
        <v>0</v>
      </c>
      <c r="AS182" s="202">
        <v>0</v>
      </c>
      <c r="AT182" s="202">
        <v>4</v>
      </c>
      <c r="AU182" s="202">
        <v>0</v>
      </c>
      <c r="AV182" s="202">
        <v>0.8</v>
      </c>
      <c r="AW182"/>
      <c r="AX182"/>
      <c r="AY182"/>
    </row>
    <row r="183" spans="1:51">
      <c r="A183" s="202" t="str">
        <f t="shared" si="11"/>
        <v>张汝志</v>
      </c>
      <c r="B183" s="202">
        <f>IF(C183&lt;&gt;"NA",C183,VLOOKUP(K183,Update_from_YIFIP!$X$2:$AD$174,7,FALSE))</f>
        <v>98</v>
      </c>
      <c r="C183" s="207">
        <f t="shared" si="8"/>
        <v>98</v>
      </c>
      <c r="D183" s="207">
        <f t="shared" si="9"/>
        <v>98</v>
      </c>
      <c r="E183" s="202" t="s">
        <v>2152</v>
      </c>
      <c r="F183" s="202" t="s">
        <v>2857</v>
      </c>
      <c r="G183" s="202" t="s">
        <v>2858</v>
      </c>
      <c r="H183" s="207" t="str">
        <f t="shared" si="10"/>
        <v>NA</v>
      </c>
      <c r="I183" s="202" t="s">
        <v>1929</v>
      </c>
      <c r="J183" s="202" t="s">
        <v>2855</v>
      </c>
      <c r="K183" s="202">
        <v>0</v>
      </c>
      <c r="L183" s="202" t="s">
        <v>1501</v>
      </c>
      <c r="M183" s="202">
        <v>2</v>
      </c>
      <c r="N183" s="202">
        <v>0</v>
      </c>
      <c r="O183" s="202">
        <v>14</v>
      </c>
      <c r="P183" s="202">
        <v>6</v>
      </c>
      <c r="Q183" s="202">
        <v>8</v>
      </c>
      <c r="R183" s="202">
        <v>0</v>
      </c>
      <c r="S183" s="202">
        <v>0</v>
      </c>
      <c r="T183" s="202">
        <v>0</v>
      </c>
      <c r="U183" s="202">
        <v>0</v>
      </c>
      <c r="V183" s="202">
        <v>0</v>
      </c>
      <c r="W183" s="202">
        <v>0</v>
      </c>
      <c r="X183" s="202">
        <v>0</v>
      </c>
      <c r="Y183" s="202">
        <v>0</v>
      </c>
      <c r="Z183" s="202">
        <v>0</v>
      </c>
      <c r="AA183" s="202">
        <v>0</v>
      </c>
      <c r="AB183" s="202">
        <v>0</v>
      </c>
      <c r="AC183" s="202">
        <v>0</v>
      </c>
      <c r="AD183" s="202">
        <v>0</v>
      </c>
      <c r="AE183" s="202">
        <v>0</v>
      </c>
      <c r="AF183" s="202">
        <v>0</v>
      </c>
      <c r="AG183" s="202">
        <v>0</v>
      </c>
      <c r="AH183" s="202">
        <v>0</v>
      </c>
      <c r="AI183" s="202">
        <v>0</v>
      </c>
      <c r="AJ183" s="202">
        <v>0</v>
      </c>
      <c r="AK183" s="202">
        <v>0</v>
      </c>
      <c r="AL183" s="202">
        <v>0</v>
      </c>
      <c r="AM183" s="202">
        <v>0</v>
      </c>
      <c r="AN183" s="202">
        <v>0</v>
      </c>
      <c r="AO183" s="202">
        <v>0</v>
      </c>
      <c r="AP183" s="202">
        <v>0</v>
      </c>
      <c r="AQ183" s="202" t="s">
        <v>2856</v>
      </c>
      <c r="AR183" s="202">
        <v>0</v>
      </c>
      <c r="AS183" s="202">
        <v>0</v>
      </c>
      <c r="AT183" s="202">
        <v>3</v>
      </c>
      <c r="AU183" s="202">
        <v>0</v>
      </c>
      <c r="AV183" s="202">
        <v>0.6</v>
      </c>
      <c r="AW183"/>
      <c r="AX183"/>
      <c r="AY183"/>
    </row>
    <row r="184" spans="1:51">
      <c r="A184" s="202" t="str">
        <f t="shared" si="11"/>
        <v>者付华</v>
      </c>
      <c r="B184" s="202">
        <f>IF(C184&lt;&gt;"NA",C184,VLOOKUP(K184,Update_from_YIFIP!$X$2:$AD$174,7,FALSE))</f>
        <v>100</v>
      </c>
      <c r="C184" s="207">
        <f t="shared" si="8"/>
        <v>100</v>
      </c>
      <c r="D184" s="207">
        <f t="shared" si="9"/>
        <v>100</v>
      </c>
      <c r="E184" s="202" t="s">
        <v>2157</v>
      </c>
      <c r="F184" s="202" t="s">
        <v>2831</v>
      </c>
      <c r="G184" s="202" t="s">
        <v>2832</v>
      </c>
      <c r="H184" s="207" t="str">
        <f t="shared" si="10"/>
        <v>NA</v>
      </c>
      <c r="I184" s="202" t="s">
        <v>1929</v>
      </c>
      <c r="J184" s="202" t="s">
        <v>2829</v>
      </c>
      <c r="K184" s="202">
        <v>0</v>
      </c>
      <c r="L184" s="202" t="s">
        <v>1491</v>
      </c>
      <c r="M184" s="202">
        <v>6</v>
      </c>
      <c r="N184" s="202">
        <v>0</v>
      </c>
      <c r="O184" s="202">
        <v>31</v>
      </c>
      <c r="P184" s="202">
        <v>6</v>
      </c>
      <c r="Q184" s="202">
        <v>6</v>
      </c>
      <c r="R184" s="202">
        <v>5</v>
      </c>
      <c r="S184" s="202">
        <v>2</v>
      </c>
      <c r="T184" s="202">
        <v>6</v>
      </c>
      <c r="U184" s="202">
        <v>6</v>
      </c>
      <c r="V184" s="202">
        <v>0</v>
      </c>
      <c r="W184" s="202">
        <v>0</v>
      </c>
      <c r="X184" s="202">
        <v>0</v>
      </c>
      <c r="Y184" s="202">
        <v>0</v>
      </c>
      <c r="Z184" s="202">
        <v>0</v>
      </c>
      <c r="AA184" s="202">
        <v>0</v>
      </c>
      <c r="AB184" s="202">
        <v>0</v>
      </c>
      <c r="AC184" s="202">
        <v>0</v>
      </c>
      <c r="AD184" s="202">
        <v>0</v>
      </c>
      <c r="AE184" s="202">
        <v>0</v>
      </c>
      <c r="AF184" s="202">
        <v>0</v>
      </c>
      <c r="AG184" s="202">
        <v>0</v>
      </c>
      <c r="AH184" s="202">
        <v>0</v>
      </c>
      <c r="AI184" s="202">
        <v>0</v>
      </c>
      <c r="AJ184" s="202">
        <v>0</v>
      </c>
      <c r="AK184" s="202">
        <v>0</v>
      </c>
      <c r="AL184" s="202">
        <v>0</v>
      </c>
      <c r="AM184" s="202">
        <v>0</v>
      </c>
      <c r="AN184" s="202">
        <v>0</v>
      </c>
      <c r="AO184" s="202">
        <v>0</v>
      </c>
      <c r="AP184" s="202">
        <v>0</v>
      </c>
      <c r="AQ184" s="202" t="s">
        <v>2830</v>
      </c>
      <c r="AR184" s="202">
        <v>0</v>
      </c>
      <c r="AS184" s="202">
        <v>0</v>
      </c>
      <c r="AT184" s="202">
        <v>4</v>
      </c>
      <c r="AU184" s="202">
        <v>0</v>
      </c>
      <c r="AV184" s="202">
        <v>0.8</v>
      </c>
      <c r="AW184"/>
      <c r="AX184"/>
      <c r="AY184"/>
    </row>
    <row r="185" spans="1:51">
      <c r="A185" s="202" t="str">
        <f t="shared" si="11"/>
        <v>周开伸</v>
      </c>
      <c r="B185" s="202">
        <f>IF(C185&lt;&gt;"NA",C185,VLOOKUP(K185,Update_from_YIFIP!$X$2:$AD$174,7,FALSE))</f>
        <v>101</v>
      </c>
      <c r="C185" s="207">
        <f t="shared" si="8"/>
        <v>101</v>
      </c>
      <c r="D185" s="207">
        <f t="shared" si="9"/>
        <v>101</v>
      </c>
      <c r="E185" s="202" t="s">
        <v>2160</v>
      </c>
      <c r="F185" s="202" t="s">
        <v>2699</v>
      </c>
      <c r="G185" s="202" t="s">
        <v>2700</v>
      </c>
      <c r="H185" s="207" t="str">
        <f t="shared" si="10"/>
        <v>NA</v>
      </c>
      <c r="I185" s="202" t="s">
        <v>1929</v>
      </c>
      <c r="J185" s="202" t="s">
        <v>2697</v>
      </c>
      <c r="K185" s="202">
        <v>0</v>
      </c>
      <c r="L185" s="202" t="s">
        <v>2696</v>
      </c>
      <c r="M185" s="202">
        <v>8</v>
      </c>
      <c r="N185" s="202">
        <v>0</v>
      </c>
      <c r="O185" s="202">
        <v>36</v>
      </c>
      <c r="P185" s="202">
        <v>3</v>
      </c>
      <c r="Q185" s="202">
        <v>6</v>
      </c>
      <c r="R185" s="202">
        <v>5</v>
      </c>
      <c r="S185" s="202">
        <v>3</v>
      </c>
      <c r="T185" s="202">
        <v>7</v>
      </c>
      <c r="U185" s="202">
        <v>4</v>
      </c>
      <c r="V185" s="202">
        <v>6</v>
      </c>
      <c r="W185" s="202">
        <v>2</v>
      </c>
      <c r="X185" s="202">
        <v>0</v>
      </c>
      <c r="Y185" s="202">
        <v>0</v>
      </c>
      <c r="Z185" s="202">
        <v>0</v>
      </c>
      <c r="AA185" s="202">
        <v>0</v>
      </c>
      <c r="AB185" s="202">
        <v>0</v>
      </c>
      <c r="AC185" s="202">
        <v>0</v>
      </c>
      <c r="AD185" s="202">
        <v>0</v>
      </c>
      <c r="AE185" s="202">
        <v>0</v>
      </c>
      <c r="AF185" s="202">
        <v>0</v>
      </c>
      <c r="AG185" s="202">
        <v>0</v>
      </c>
      <c r="AH185" s="202">
        <v>0</v>
      </c>
      <c r="AI185" s="202">
        <v>0</v>
      </c>
      <c r="AJ185" s="202">
        <v>0</v>
      </c>
      <c r="AK185" s="202">
        <v>0</v>
      </c>
      <c r="AL185" s="202">
        <v>0</v>
      </c>
      <c r="AM185" s="202">
        <v>0</v>
      </c>
      <c r="AN185" s="202">
        <v>0</v>
      </c>
      <c r="AO185" s="202">
        <v>0</v>
      </c>
      <c r="AP185" s="202">
        <v>0</v>
      </c>
      <c r="AQ185" s="202" t="s">
        <v>2698</v>
      </c>
      <c r="AR185" s="202">
        <v>0</v>
      </c>
      <c r="AS185" s="202">
        <v>0</v>
      </c>
      <c r="AT185" s="202">
        <v>7.5</v>
      </c>
      <c r="AU185" s="202">
        <v>0</v>
      </c>
      <c r="AV185" s="202">
        <v>1.5</v>
      </c>
      <c r="AW185"/>
      <c r="AX185"/>
      <c r="AY185"/>
    </row>
    <row r="186" spans="1:51">
      <c r="A186" s="202" t="str">
        <f t="shared" si="11"/>
        <v>周开伸</v>
      </c>
      <c r="B186" s="202">
        <f>IF(C186&lt;&gt;"NA",C186,VLOOKUP(K186,Update_from_YIFIP!$X$2:$AD$174,7,FALSE))</f>
        <v>101</v>
      </c>
      <c r="C186" s="207">
        <f t="shared" si="8"/>
        <v>101</v>
      </c>
      <c r="D186" s="207">
        <f t="shared" si="9"/>
        <v>101</v>
      </c>
      <c r="E186" s="202" t="s">
        <v>2160</v>
      </c>
      <c r="F186" s="202" t="s">
        <v>2699</v>
      </c>
      <c r="G186" s="202" t="s">
        <v>2700</v>
      </c>
      <c r="H186" s="207" t="str">
        <f t="shared" si="10"/>
        <v>NA</v>
      </c>
      <c r="I186" s="202" t="s">
        <v>1929</v>
      </c>
      <c r="J186" s="202" t="s">
        <v>2697</v>
      </c>
      <c r="K186" s="202">
        <v>0</v>
      </c>
      <c r="L186" s="202" t="s">
        <v>1431</v>
      </c>
      <c r="M186" s="202">
        <v>8</v>
      </c>
      <c r="N186" s="202">
        <v>0</v>
      </c>
      <c r="O186" s="202">
        <v>47</v>
      </c>
      <c r="P186" s="202">
        <v>5</v>
      </c>
      <c r="Q186" s="202">
        <v>6</v>
      </c>
      <c r="R186" s="202">
        <v>5</v>
      </c>
      <c r="S186" s="202">
        <v>5</v>
      </c>
      <c r="T186" s="202">
        <v>5</v>
      </c>
      <c r="U186" s="202">
        <v>8</v>
      </c>
      <c r="V186" s="202">
        <v>4</v>
      </c>
      <c r="W186" s="202">
        <v>9</v>
      </c>
      <c r="X186" s="202">
        <v>0</v>
      </c>
      <c r="Y186" s="202">
        <v>0</v>
      </c>
      <c r="Z186" s="202">
        <v>0</v>
      </c>
      <c r="AA186" s="202">
        <v>0</v>
      </c>
      <c r="AB186" s="202">
        <v>0</v>
      </c>
      <c r="AC186" s="202">
        <v>0</v>
      </c>
      <c r="AD186" s="202">
        <v>0</v>
      </c>
      <c r="AE186" s="202">
        <v>0</v>
      </c>
      <c r="AF186" s="202">
        <v>0</v>
      </c>
      <c r="AG186" s="202">
        <v>0</v>
      </c>
      <c r="AH186" s="202">
        <v>0</v>
      </c>
      <c r="AI186" s="202">
        <v>0</v>
      </c>
      <c r="AJ186" s="202">
        <v>0</v>
      </c>
      <c r="AK186" s="202">
        <v>0</v>
      </c>
      <c r="AL186" s="202">
        <v>0</v>
      </c>
      <c r="AM186" s="202">
        <v>0</v>
      </c>
      <c r="AN186" s="202">
        <v>0</v>
      </c>
      <c r="AO186" s="202">
        <v>0</v>
      </c>
      <c r="AP186" s="202">
        <v>0</v>
      </c>
      <c r="AQ186" s="202" t="s">
        <v>2701</v>
      </c>
      <c r="AR186" s="202">
        <v>0</v>
      </c>
      <c r="AS186" s="202">
        <v>0</v>
      </c>
      <c r="AT186" s="202">
        <v>7.5</v>
      </c>
      <c r="AU186" s="202">
        <v>0</v>
      </c>
      <c r="AV186" s="202">
        <v>1.5</v>
      </c>
      <c r="AW186"/>
      <c r="AX186"/>
      <c r="AY186"/>
    </row>
    <row r="187" spans="1:51">
      <c r="A187" s="202" t="str">
        <f t="shared" si="11"/>
        <v>周开伸</v>
      </c>
      <c r="B187" s="202">
        <f>IF(C187&lt;&gt;"NA",C187,VLOOKUP(K187,Update_from_YIFIP!$X$2:$AD$174,7,FALSE))</f>
        <v>101</v>
      </c>
      <c r="C187" s="207">
        <f t="shared" si="8"/>
        <v>101</v>
      </c>
      <c r="D187" s="207">
        <f t="shared" si="9"/>
        <v>101</v>
      </c>
      <c r="E187" s="202" t="s">
        <v>2160</v>
      </c>
      <c r="F187" s="202" t="s">
        <v>2699</v>
      </c>
      <c r="G187" s="202" t="s">
        <v>2700</v>
      </c>
      <c r="H187" s="207" t="str">
        <f t="shared" si="10"/>
        <v>NA</v>
      </c>
      <c r="I187" s="202" t="s">
        <v>1929</v>
      </c>
      <c r="J187" s="202" t="s">
        <v>2702</v>
      </c>
      <c r="K187" s="202">
        <v>0</v>
      </c>
      <c r="L187" s="202" t="s">
        <v>1432</v>
      </c>
      <c r="M187" s="202">
        <v>4</v>
      </c>
      <c r="N187" s="202">
        <v>0</v>
      </c>
      <c r="O187" s="202">
        <v>54</v>
      </c>
      <c r="P187" s="202">
        <v>10</v>
      </c>
      <c r="Q187" s="202">
        <v>19</v>
      </c>
      <c r="R187" s="202">
        <v>5</v>
      </c>
      <c r="S187" s="202">
        <v>20</v>
      </c>
      <c r="T187" s="202">
        <v>0</v>
      </c>
      <c r="U187" s="202">
        <v>0</v>
      </c>
      <c r="V187" s="202">
        <v>0</v>
      </c>
      <c r="W187" s="202">
        <v>0</v>
      </c>
      <c r="X187" s="202">
        <v>0</v>
      </c>
      <c r="Y187" s="202">
        <v>0</v>
      </c>
      <c r="Z187" s="202">
        <v>0</v>
      </c>
      <c r="AA187" s="202">
        <v>0</v>
      </c>
      <c r="AB187" s="202">
        <v>0</v>
      </c>
      <c r="AC187" s="202">
        <v>0</v>
      </c>
      <c r="AD187" s="202">
        <v>0</v>
      </c>
      <c r="AE187" s="202">
        <v>0</v>
      </c>
      <c r="AF187" s="202">
        <v>0</v>
      </c>
      <c r="AG187" s="202">
        <v>0</v>
      </c>
      <c r="AH187" s="202">
        <v>0</v>
      </c>
      <c r="AI187" s="202">
        <v>0</v>
      </c>
      <c r="AJ187" s="202">
        <v>0</v>
      </c>
      <c r="AK187" s="202">
        <v>0</v>
      </c>
      <c r="AL187" s="202">
        <v>0</v>
      </c>
      <c r="AM187" s="202">
        <v>0</v>
      </c>
      <c r="AN187" s="202">
        <v>0</v>
      </c>
      <c r="AO187" s="202">
        <v>0</v>
      </c>
      <c r="AP187" s="202">
        <v>0</v>
      </c>
      <c r="AQ187" s="202" t="s">
        <v>2483</v>
      </c>
      <c r="AR187" s="202">
        <v>0</v>
      </c>
      <c r="AS187" s="202">
        <v>0</v>
      </c>
      <c r="AT187" s="202">
        <v>7.5</v>
      </c>
      <c r="AU187" s="202">
        <v>0</v>
      </c>
      <c r="AV187" s="202">
        <v>1.5</v>
      </c>
      <c r="AW187"/>
      <c r="AX187"/>
      <c r="AY187"/>
    </row>
    <row r="188" spans="1:51">
      <c r="A188" s="202" t="str">
        <f t="shared" si="11"/>
        <v>周开伸</v>
      </c>
      <c r="B188" s="202">
        <f>IF(C188&lt;&gt;"NA",C188,VLOOKUP(K188,Update_from_YIFIP!$X$2:$AD$174,7,FALSE))</f>
        <v>101</v>
      </c>
      <c r="C188" s="207">
        <f t="shared" si="8"/>
        <v>101</v>
      </c>
      <c r="D188" s="207">
        <f t="shared" si="9"/>
        <v>101</v>
      </c>
      <c r="E188" s="202" t="s">
        <v>2160</v>
      </c>
      <c r="F188" s="202" t="s">
        <v>2699</v>
      </c>
      <c r="G188" s="202" t="s">
        <v>2700</v>
      </c>
      <c r="H188" s="207" t="str">
        <f t="shared" si="10"/>
        <v>NA</v>
      </c>
      <c r="I188" s="202" t="s">
        <v>1929</v>
      </c>
      <c r="J188" s="202" t="s">
        <v>2702</v>
      </c>
      <c r="K188" s="202">
        <v>0</v>
      </c>
      <c r="L188" s="202" t="s">
        <v>1433</v>
      </c>
      <c r="M188" s="202">
        <v>2</v>
      </c>
      <c r="N188" s="202">
        <v>0</v>
      </c>
      <c r="O188" s="202">
        <v>19</v>
      </c>
      <c r="P188" s="202">
        <v>10</v>
      </c>
      <c r="Q188" s="202">
        <v>9</v>
      </c>
      <c r="R188" s="202">
        <v>0</v>
      </c>
      <c r="S188" s="202">
        <v>0</v>
      </c>
      <c r="T188" s="202">
        <v>0</v>
      </c>
      <c r="U188" s="202">
        <v>0</v>
      </c>
      <c r="V188" s="202">
        <v>0</v>
      </c>
      <c r="W188" s="202">
        <v>0</v>
      </c>
      <c r="X188" s="202">
        <v>0</v>
      </c>
      <c r="Y188" s="202">
        <v>0</v>
      </c>
      <c r="Z188" s="202">
        <v>0</v>
      </c>
      <c r="AA188" s="202">
        <v>0</v>
      </c>
      <c r="AB188" s="202">
        <v>0</v>
      </c>
      <c r="AC188" s="202">
        <v>0</v>
      </c>
      <c r="AD188" s="202">
        <v>0</v>
      </c>
      <c r="AE188" s="202">
        <v>0</v>
      </c>
      <c r="AF188" s="202">
        <v>0</v>
      </c>
      <c r="AG188" s="202">
        <v>0</v>
      </c>
      <c r="AH188" s="202">
        <v>0</v>
      </c>
      <c r="AI188" s="202">
        <v>0</v>
      </c>
      <c r="AJ188" s="202">
        <v>0</v>
      </c>
      <c r="AK188" s="202">
        <v>0</v>
      </c>
      <c r="AL188" s="202">
        <v>0</v>
      </c>
      <c r="AM188" s="202">
        <v>0</v>
      </c>
      <c r="AN188" s="202">
        <v>0</v>
      </c>
      <c r="AO188" s="202">
        <v>0</v>
      </c>
      <c r="AP188" s="202">
        <v>0</v>
      </c>
      <c r="AQ188" s="202" t="s">
        <v>2703</v>
      </c>
      <c r="AR188" s="202">
        <v>0</v>
      </c>
      <c r="AS188" s="202">
        <v>0</v>
      </c>
      <c r="AT188" s="202">
        <v>3</v>
      </c>
      <c r="AU188" s="202">
        <v>0</v>
      </c>
      <c r="AV188" s="202">
        <v>0.6</v>
      </c>
      <c r="AW188"/>
      <c r="AX188"/>
      <c r="AY188"/>
    </row>
    <row r="189" spans="1:51">
      <c r="A189" s="202" t="str">
        <f t="shared" si="11"/>
        <v>张开堂</v>
      </c>
      <c r="B189" s="202">
        <f>IF(C189&lt;&gt;"NA",C189,VLOOKUP(K189,Update_from_YIFIP!$X$2:$AD$174,7,FALSE))</f>
        <v>102</v>
      </c>
      <c r="C189" s="207">
        <f t="shared" si="8"/>
        <v>102</v>
      </c>
      <c r="D189" s="207">
        <f t="shared" si="9"/>
        <v>102</v>
      </c>
      <c r="E189" s="202" t="s">
        <v>2150</v>
      </c>
      <c r="F189" s="202" t="s">
        <v>2730</v>
      </c>
      <c r="G189" s="202" t="s">
        <v>2731</v>
      </c>
      <c r="H189" s="207" t="str">
        <f t="shared" si="10"/>
        <v>NA</v>
      </c>
      <c r="I189" s="202" t="s">
        <v>1929</v>
      </c>
      <c r="J189" s="202" t="s">
        <v>2728</v>
      </c>
      <c r="K189" s="202">
        <v>0</v>
      </c>
      <c r="L189" s="202" t="s">
        <v>1446</v>
      </c>
      <c r="M189" s="202">
        <v>10</v>
      </c>
      <c r="N189" s="202">
        <v>0</v>
      </c>
      <c r="O189" s="202">
        <v>29</v>
      </c>
      <c r="P189" s="202">
        <v>1</v>
      </c>
      <c r="Q189" s="202">
        <v>2</v>
      </c>
      <c r="R189" s="202">
        <v>2</v>
      </c>
      <c r="S189" s="202">
        <v>2</v>
      </c>
      <c r="T189" s="202">
        <v>2</v>
      </c>
      <c r="U189" s="202">
        <v>2</v>
      </c>
      <c r="V189" s="202">
        <v>3</v>
      </c>
      <c r="W189" s="202">
        <v>4</v>
      </c>
      <c r="X189" s="202">
        <v>5</v>
      </c>
      <c r="Y189" s="202">
        <v>6</v>
      </c>
      <c r="Z189" s="202">
        <v>0</v>
      </c>
      <c r="AA189" s="202">
        <v>0</v>
      </c>
      <c r="AB189" s="202">
        <v>0</v>
      </c>
      <c r="AC189" s="202">
        <v>0</v>
      </c>
      <c r="AD189" s="202">
        <v>0</v>
      </c>
      <c r="AE189" s="202">
        <v>0</v>
      </c>
      <c r="AF189" s="202">
        <v>0</v>
      </c>
      <c r="AG189" s="202">
        <v>0</v>
      </c>
      <c r="AH189" s="202">
        <v>0</v>
      </c>
      <c r="AI189" s="202">
        <v>0</v>
      </c>
      <c r="AJ189" s="202">
        <v>0</v>
      </c>
      <c r="AK189" s="202">
        <v>0</v>
      </c>
      <c r="AL189" s="202">
        <v>0</v>
      </c>
      <c r="AM189" s="202">
        <v>0</v>
      </c>
      <c r="AN189" s="202">
        <v>0</v>
      </c>
      <c r="AO189" s="202">
        <v>0</v>
      </c>
      <c r="AP189" s="202">
        <v>0</v>
      </c>
      <c r="AQ189" s="202" t="s">
        <v>2729</v>
      </c>
      <c r="AR189" s="202">
        <v>0</v>
      </c>
      <c r="AS189" s="202">
        <v>0</v>
      </c>
      <c r="AT189" s="202">
        <v>4</v>
      </c>
      <c r="AU189" s="202">
        <v>0</v>
      </c>
      <c r="AV189" s="202">
        <v>0.8</v>
      </c>
      <c r="AW189"/>
      <c r="AX189"/>
      <c r="AY189"/>
    </row>
    <row r="190" spans="1:51">
      <c r="A190" s="202" t="str">
        <f t="shared" si="11"/>
        <v>李荣发</v>
      </c>
      <c r="B190" s="202">
        <f>IF(C190&lt;&gt;"NA",C190,VLOOKUP(K190,Update_from_YIFIP!$X$2:$AD$174,7,FALSE))</f>
        <v>103</v>
      </c>
      <c r="C190" s="207">
        <f t="shared" si="8"/>
        <v>103</v>
      </c>
      <c r="D190" s="207">
        <f t="shared" si="9"/>
        <v>103</v>
      </c>
      <c r="E190" s="202" t="s">
        <v>2074</v>
      </c>
      <c r="F190" s="202" t="s">
        <v>2785</v>
      </c>
      <c r="G190" s="202" t="s">
        <v>2786</v>
      </c>
      <c r="H190" s="207" t="str">
        <f t="shared" si="10"/>
        <v>NA</v>
      </c>
      <c r="I190" s="202" t="s">
        <v>1929</v>
      </c>
      <c r="J190" s="202" t="s">
        <v>2783</v>
      </c>
      <c r="K190" s="202">
        <v>0</v>
      </c>
      <c r="L190" s="202" t="s">
        <v>1470</v>
      </c>
      <c r="M190" s="202">
        <v>6</v>
      </c>
      <c r="N190" s="202">
        <v>0</v>
      </c>
      <c r="O190" s="202">
        <v>21</v>
      </c>
      <c r="P190" s="202">
        <v>1</v>
      </c>
      <c r="Q190" s="202">
        <v>13</v>
      </c>
      <c r="R190" s="202">
        <v>3</v>
      </c>
      <c r="S190" s="202">
        <v>2</v>
      </c>
      <c r="T190" s="202">
        <v>2</v>
      </c>
      <c r="U190" s="202">
        <v>0</v>
      </c>
      <c r="V190" s="202">
        <v>0</v>
      </c>
      <c r="W190" s="202">
        <v>0</v>
      </c>
      <c r="X190" s="202">
        <v>0</v>
      </c>
      <c r="Y190" s="202">
        <v>0</v>
      </c>
      <c r="Z190" s="202">
        <v>0</v>
      </c>
      <c r="AA190" s="202">
        <v>0</v>
      </c>
      <c r="AB190" s="202">
        <v>0</v>
      </c>
      <c r="AC190" s="202">
        <v>0</v>
      </c>
      <c r="AD190" s="202">
        <v>0</v>
      </c>
      <c r="AE190" s="202">
        <v>0</v>
      </c>
      <c r="AF190" s="202">
        <v>0</v>
      </c>
      <c r="AG190" s="202">
        <v>0</v>
      </c>
      <c r="AH190" s="202">
        <v>0</v>
      </c>
      <c r="AI190" s="202">
        <v>0</v>
      </c>
      <c r="AJ190" s="202">
        <v>0</v>
      </c>
      <c r="AK190" s="202">
        <v>0</v>
      </c>
      <c r="AL190" s="202">
        <v>0</v>
      </c>
      <c r="AM190" s="202">
        <v>0</v>
      </c>
      <c r="AN190" s="202">
        <v>0</v>
      </c>
      <c r="AO190" s="202">
        <v>0</v>
      </c>
      <c r="AP190" s="202">
        <v>0</v>
      </c>
      <c r="AQ190" s="202" t="s">
        <v>2784</v>
      </c>
      <c r="AR190" s="202">
        <v>0</v>
      </c>
      <c r="AS190" s="202">
        <v>0</v>
      </c>
      <c r="AT190" s="202">
        <v>4</v>
      </c>
      <c r="AU190" s="202">
        <v>0</v>
      </c>
      <c r="AV190" s="202">
        <v>0.8</v>
      </c>
      <c r="AW190"/>
      <c r="AX190"/>
      <c r="AY190"/>
    </row>
    <row r="191" spans="1:51">
      <c r="A191" s="202" t="str">
        <f t="shared" si="11"/>
        <v>李荣发</v>
      </c>
      <c r="B191" s="202">
        <f>IF(C191&lt;&gt;"NA",C191,VLOOKUP(K191,Update_from_YIFIP!$X$2:$AD$174,7,FALSE))</f>
        <v>103</v>
      </c>
      <c r="C191" s="207">
        <f t="shared" si="8"/>
        <v>103</v>
      </c>
      <c r="D191" s="207">
        <f t="shared" si="9"/>
        <v>103</v>
      </c>
      <c r="E191" s="202" t="s">
        <v>2074</v>
      </c>
      <c r="F191" s="202" t="s">
        <v>2785</v>
      </c>
      <c r="G191" s="202" t="s">
        <v>2786</v>
      </c>
      <c r="H191" s="207" t="str">
        <f t="shared" si="10"/>
        <v>NA</v>
      </c>
      <c r="I191" s="202" t="s">
        <v>1929</v>
      </c>
      <c r="J191" s="202" t="s">
        <v>2783</v>
      </c>
      <c r="K191" s="202">
        <v>0</v>
      </c>
      <c r="L191" s="202" t="s">
        <v>1471</v>
      </c>
      <c r="M191" s="202">
        <v>0</v>
      </c>
      <c r="N191" s="202">
        <v>3</v>
      </c>
      <c r="O191" s="202">
        <v>21</v>
      </c>
      <c r="P191" s="202">
        <v>2</v>
      </c>
      <c r="Q191" s="202">
        <v>8</v>
      </c>
      <c r="R191" s="202">
        <v>11</v>
      </c>
      <c r="S191" s="202">
        <v>0</v>
      </c>
      <c r="T191" s="202">
        <v>0</v>
      </c>
      <c r="U191" s="202">
        <v>0</v>
      </c>
      <c r="V191" s="202">
        <v>0</v>
      </c>
      <c r="W191" s="202">
        <v>0</v>
      </c>
      <c r="X191" s="202">
        <v>0</v>
      </c>
      <c r="Y191" s="202">
        <v>0</v>
      </c>
      <c r="Z191" s="202">
        <v>0</v>
      </c>
      <c r="AA191" s="202">
        <v>0</v>
      </c>
      <c r="AB191" s="202">
        <v>0</v>
      </c>
      <c r="AC191" s="202">
        <v>0</v>
      </c>
      <c r="AD191" s="202">
        <v>0</v>
      </c>
      <c r="AE191" s="202">
        <v>0</v>
      </c>
      <c r="AF191" s="202">
        <v>0</v>
      </c>
      <c r="AG191" s="202">
        <v>0</v>
      </c>
      <c r="AH191" s="202">
        <v>0</v>
      </c>
      <c r="AI191" s="202">
        <v>0</v>
      </c>
      <c r="AJ191" s="202">
        <v>0</v>
      </c>
      <c r="AK191" s="202">
        <v>0</v>
      </c>
      <c r="AL191" s="202">
        <v>0</v>
      </c>
      <c r="AM191" s="202">
        <v>0</v>
      </c>
      <c r="AN191" s="202">
        <v>0</v>
      </c>
      <c r="AO191" s="202">
        <v>0</v>
      </c>
      <c r="AP191" s="202">
        <v>0</v>
      </c>
      <c r="AQ191" s="202" t="s">
        <v>2787</v>
      </c>
      <c r="AR191" s="202">
        <v>0</v>
      </c>
      <c r="AS191" s="202">
        <v>0</v>
      </c>
      <c r="AT191" s="202">
        <v>0.5</v>
      </c>
      <c r="AU191" s="202">
        <v>0</v>
      </c>
      <c r="AV191" s="202">
        <v>0.1</v>
      </c>
      <c r="AW191"/>
      <c r="AX191"/>
      <c r="AY191"/>
    </row>
    <row r="192" spans="1:51">
      <c r="A192" s="202" t="str">
        <f t="shared" si="11"/>
        <v>祝发贵</v>
      </c>
      <c r="B192" s="202">
        <f>IF(C192&lt;&gt;"NA",C192,VLOOKUP(K192,Update_from_YIFIP!$X$2:$AD$174,7,FALSE))</f>
        <v>104</v>
      </c>
      <c r="C192" s="207">
        <f t="shared" si="8"/>
        <v>104</v>
      </c>
      <c r="D192" s="207">
        <f t="shared" si="9"/>
        <v>104</v>
      </c>
      <c r="E192" s="202" t="s">
        <v>2166</v>
      </c>
      <c r="F192" s="202" t="s">
        <v>2739</v>
      </c>
      <c r="G192" s="202" t="s">
        <v>2740</v>
      </c>
      <c r="H192" s="207" t="str">
        <f t="shared" si="10"/>
        <v>NA</v>
      </c>
      <c r="I192" s="202" t="s">
        <v>1929</v>
      </c>
      <c r="J192" s="202" t="s">
        <v>2737</v>
      </c>
      <c r="K192" s="202">
        <v>0</v>
      </c>
      <c r="L192" s="202" t="s">
        <v>1452</v>
      </c>
      <c r="M192" s="202">
        <v>0</v>
      </c>
      <c r="N192" s="202">
        <v>6</v>
      </c>
      <c r="O192" s="202">
        <v>44</v>
      </c>
      <c r="P192" s="202">
        <v>5</v>
      </c>
      <c r="Q192" s="202">
        <v>10</v>
      </c>
      <c r="R192" s="202">
        <v>7</v>
      </c>
      <c r="S192" s="202">
        <v>10</v>
      </c>
      <c r="T192" s="202">
        <v>8</v>
      </c>
      <c r="U192" s="202">
        <v>4</v>
      </c>
      <c r="V192" s="202">
        <v>0</v>
      </c>
      <c r="W192" s="202">
        <v>0</v>
      </c>
      <c r="X192" s="202">
        <v>0</v>
      </c>
      <c r="Y192" s="202">
        <v>0</v>
      </c>
      <c r="Z192" s="202">
        <v>0</v>
      </c>
      <c r="AA192" s="202">
        <v>0</v>
      </c>
      <c r="AB192" s="202">
        <v>0</v>
      </c>
      <c r="AC192" s="202">
        <v>0</v>
      </c>
      <c r="AD192" s="202">
        <v>0</v>
      </c>
      <c r="AE192" s="202">
        <v>0</v>
      </c>
      <c r="AF192" s="202">
        <v>0</v>
      </c>
      <c r="AG192" s="202">
        <v>0</v>
      </c>
      <c r="AH192" s="202">
        <v>0</v>
      </c>
      <c r="AI192" s="202">
        <v>0</v>
      </c>
      <c r="AJ192" s="202">
        <v>0</v>
      </c>
      <c r="AK192" s="202">
        <v>0</v>
      </c>
      <c r="AL192" s="202">
        <v>0</v>
      </c>
      <c r="AM192" s="202">
        <v>0</v>
      </c>
      <c r="AN192" s="202">
        <v>0</v>
      </c>
      <c r="AO192" s="202">
        <v>0</v>
      </c>
      <c r="AP192" s="202">
        <v>0</v>
      </c>
      <c r="AQ192" s="202" t="s">
        <v>2738</v>
      </c>
      <c r="AR192" s="202">
        <v>0</v>
      </c>
      <c r="AS192" s="202">
        <v>0</v>
      </c>
      <c r="AT192" s="202">
        <v>3</v>
      </c>
      <c r="AU192" s="202">
        <v>0</v>
      </c>
      <c r="AV192" s="202">
        <v>0.6</v>
      </c>
      <c r="AW192"/>
      <c r="AX192"/>
      <c r="AY192"/>
    </row>
    <row r="193" spans="1:51">
      <c r="A193" s="202" t="str">
        <f t="shared" si="11"/>
        <v>祝发贵</v>
      </c>
      <c r="B193" s="202">
        <f>IF(C193&lt;&gt;"NA",C193,VLOOKUP(K193,Update_from_YIFIP!$X$2:$AD$174,7,FALSE))</f>
        <v>104</v>
      </c>
      <c r="C193" s="207">
        <f t="shared" si="8"/>
        <v>104</v>
      </c>
      <c r="D193" s="207">
        <f t="shared" si="9"/>
        <v>104</v>
      </c>
      <c r="E193" s="202" t="s">
        <v>2166</v>
      </c>
      <c r="F193" s="202" t="s">
        <v>2739</v>
      </c>
      <c r="G193" s="202" t="s">
        <v>2740</v>
      </c>
      <c r="H193" s="207" t="str">
        <f t="shared" si="10"/>
        <v>NA</v>
      </c>
      <c r="I193" s="202" t="s">
        <v>1929</v>
      </c>
      <c r="J193" s="202" t="s">
        <v>2737</v>
      </c>
      <c r="K193" s="202">
        <v>0</v>
      </c>
      <c r="L193" s="202" t="s">
        <v>1453</v>
      </c>
      <c r="M193" s="202">
        <v>6</v>
      </c>
      <c r="N193" s="202">
        <v>0</v>
      </c>
      <c r="O193" s="202">
        <v>28</v>
      </c>
      <c r="P193" s="202">
        <v>6</v>
      </c>
      <c r="Q193" s="202">
        <v>7</v>
      </c>
      <c r="R193" s="202">
        <v>5</v>
      </c>
      <c r="S193" s="202">
        <v>5</v>
      </c>
      <c r="T193" s="202">
        <v>3</v>
      </c>
      <c r="U193" s="202">
        <v>2</v>
      </c>
      <c r="V193" s="202">
        <v>0</v>
      </c>
      <c r="W193" s="202">
        <v>0</v>
      </c>
      <c r="X193" s="202">
        <v>0</v>
      </c>
      <c r="Y193" s="202">
        <v>0</v>
      </c>
      <c r="Z193" s="202">
        <v>0</v>
      </c>
      <c r="AA193" s="202">
        <v>0</v>
      </c>
      <c r="AB193" s="202">
        <v>0</v>
      </c>
      <c r="AC193" s="202">
        <v>0</v>
      </c>
      <c r="AD193" s="202">
        <v>0</v>
      </c>
      <c r="AE193" s="202">
        <v>0</v>
      </c>
      <c r="AF193" s="202">
        <v>0</v>
      </c>
      <c r="AG193" s="202">
        <v>0</v>
      </c>
      <c r="AH193" s="202">
        <v>0</v>
      </c>
      <c r="AI193" s="202">
        <v>0</v>
      </c>
      <c r="AJ193" s="202">
        <v>0</v>
      </c>
      <c r="AK193" s="202">
        <v>0</v>
      </c>
      <c r="AL193" s="202">
        <v>0</v>
      </c>
      <c r="AM193" s="202">
        <v>0</v>
      </c>
      <c r="AN193" s="202">
        <v>0</v>
      </c>
      <c r="AO193" s="202">
        <v>0</v>
      </c>
      <c r="AP193" s="202">
        <v>0</v>
      </c>
      <c r="AQ193" s="202" t="s">
        <v>2741</v>
      </c>
      <c r="AR193" s="202">
        <v>0</v>
      </c>
      <c r="AS193" s="202">
        <v>0</v>
      </c>
      <c r="AT193" s="202">
        <v>3</v>
      </c>
      <c r="AU193" s="202">
        <v>0</v>
      </c>
      <c r="AV193" s="202">
        <v>0.6</v>
      </c>
      <c r="AW193"/>
      <c r="AX193"/>
      <c r="AY193"/>
    </row>
    <row r="194" spans="1:51">
      <c r="A194" s="202" t="str">
        <f t="shared" si="11"/>
        <v>祝发贵</v>
      </c>
      <c r="B194" s="202">
        <f>IF(C194&lt;&gt;"NA",C194,VLOOKUP(K194,Update_from_YIFIP!$X$2:$AD$174,7,FALSE))</f>
        <v>104</v>
      </c>
      <c r="C194" s="207">
        <f t="shared" ref="C194:C257" si="12">IF(H194=D194,H194,IF(ISNUMBER(H194-D194),CONCATENATE(H194," or ",D194),IF(ISNUMBER(H194),H194,D194)))</f>
        <v>104</v>
      </c>
      <c r="D194" s="207">
        <f t="shared" ref="D194:D257" si="13">IF(ISNA(VLOOKUP(E194,$AX$2:$AY$173,2,FALSE)) = TRUE, "NA", VLOOKUP(E194,$AX$2:$AY$173,2,FALSE))</f>
        <v>104</v>
      </c>
      <c r="E194" s="202" t="s">
        <v>2166</v>
      </c>
      <c r="F194" s="202" t="s">
        <v>2739</v>
      </c>
      <c r="G194" s="202" t="s">
        <v>2740</v>
      </c>
      <c r="H194" s="207" t="str">
        <f t="shared" ref="H194:H257" si="14">IF(ISNA(VLOOKUP(I194,$AX$2:$AY$173,2,FALSE)) = TRUE, "NA", VLOOKUP(I194,$AX$2:$AY$173,2,FALSE))</f>
        <v>NA</v>
      </c>
      <c r="I194" s="202" t="s">
        <v>1929</v>
      </c>
      <c r="J194" s="202" t="s">
        <v>2737</v>
      </c>
      <c r="K194" s="202">
        <v>0</v>
      </c>
      <c r="L194" s="202" t="s">
        <v>1454</v>
      </c>
      <c r="M194" s="202">
        <v>2</v>
      </c>
      <c r="N194" s="202">
        <v>0</v>
      </c>
      <c r="O194" s="202">
        <v>5</v>
      </c>
      <c r="P194" s="202">
        <v>2</v>
      </c>
      <c r="Q194" s="202">
        <v>3</v>
      </c>
      <c r="R194" s="202">
        <v>0</v>
      </c>
      <c r="S194" s="202">
        <v>0</v>
      </c>
      <c r="T194" s="202">
        <v>0</v>
      </c>
      <c r="U194" s="202">
        <v>0</v>
      </c>
      <c r="V194" s="202">
        <v>0</v>
      </c>
      <c r="W194" s="202">
        <v>0</v>
      </c>
      <c r="X194" s="202">
        <v>0</v>
      </c>
      <c r="Y194" s="202">
        <v>0</v>
      </c>
      <c r="Z194" s="202">
        <v>0</v>
      </c>
      <c r="AA194" s="202">
        <v>0</v>
      </c>
      <c r="AB194" s="202">
        <v>0</v>
      </c>
      <c r="AC194" s="202">
        <v>0</v>
      </c>
      <c r="AD194" s="202">
        <v>0</v>
      </c>
      <c r="AE194" s="202">
        <v>0</v>
      </c>
      <c r="AF194" s="202">
        <v>0</v>
      </c>
      <c r="AG194" s="202">
        <v>0</v>
      </c>
      <c r="AH194" s="202">
        <v>0</v>
      </c>
      <c r="AI194" s="202">
        <v>0</v>
      </c>
      <c r="AJ194" s="202">
        <v>0</v>
      </c>
      <c r="AK194" s="202">
        <v>0</v>
      </c>
      <c r="AL194" s="202">
        <v>0</v>
      </c>
      <c r="AM194" s="202">
        <v>0</v>
      </c>
      <c r="AN194" s="202">
        <v>0</v>
      </c>
      <c r="AO194" s="202">
        <v>0</v>
      </c>
      <c r="AP194" s="202">
        <v>0</v>
      </c>
      <c r="AQ194" s="202" t="s">
        <v>2742</v>
      </c>
      <c r="AR194" s="202">
        <v>0</v>
      </c>
      <c r="AS194" s="202">
        <v>0</v>
      </c>
      <c r="AT194" s="202">
        <v>0.5</v>
      </c>
      <c r="AU194" s="202">
        <v>0</v>
      </c>
      <c r="AV194" s="202">
        <v>0.1</v>
      </c>
      <c r="AW194"/>
      <c r="AX194"/>
      <c r="AY194"/>
    </row>
    <row r="195" spans="1:51">
      <c r="A195" s="202" t="str">
        <f t="shared" ref="A195:A258" si="15">IF(I195="NA",E195,CONCATENATE(E195,"&amp;",I195))</f>
        <v>李新荣</v>
      </c>
      <c r="B195" s="202">
        <f>IF(C195&lt;&gt;"NA",C195,VLOOKUP(K195,Update_from_YIFIP!$X$2:$AD$174,7,FALSE))</f>
        <v>105</v>
      </c>
      <c r="C195" s="207">
        <f t="shared" si="12"/>
        <v>105</v>
      </c>
      <c r="D195" s="207">
        <f t="shared" si="13"/>
        <v>105</v>
      </c>
      <c r="E195" s="202" t="s">
        <v>2083</v>
      </c>
      <c r="F195" s="202" t="s">
        <v>2759</v>
      </c>
      <c r="G195" s="202" t="s">
        <v>2760</v>
      </c>
      <c r="H195" s="207" t="str">
        <f t="shared" si="14"/>
        <v>NA</v>
      </c>
      <c r="I195" s="202" t="s">
        <v>1929</v>
      </c>
      <c r="J195" s="202" t="s">
        <v>2756</v>
      </c>
      <c r="K195" s="202" t="s">
        <v>2758</v>
      </c>
      <c r="L195" s="202" t="s">
        <v>1459</v>
      </c>
      <c r="M195" s="202">
        <v>3</v>
      </c>
      <c r="N195" s="202">
        <v>0</v>
      </c>
      <c r="O195" s="202">
        <v>30</v>
      </c>
      <c r="P195" s="202">
        <v>17</v>
      </c>
      <c r="Q195" s="202">
        <v>5</v>
      </c>
      <c r="R195" s="202">
        <v>8</v>
      </c>
      <c r="S195" s="202">
        <v>0</v>
      </c>
      <c r="T195" s="202">
        <v>0</v>
      </c>
      <c r="U195" s="202">
        <v>0</v>
      </c>
      <c r="V195" s="202">
        <v>0</v>
      </c>
      <c r="W195" s="202">
        <v>0</v>
      </c>
      <c r="X195" s="202">
        <v>0</v>
      </c>
      <c r="Y195" s="202">
        <v>0</v>
      </c>
      <c r="Z195" s="202">
        <v>0</v>
      </c>
      <c r="AA195" s="202">
        <v>0</v>
      </c>
      <c r="AB195" s="202">
        <v>0</v>
      </c>
      <c r="AC195" s="202">
        <v>0</v>
      </c>
      <c r="AD195" s="202">
        <v>0</v>
      </c>
      <c r="AE195" s="202">
        <v>0</v>
      </c>
      <c r="AF195" s="202">
        <v>0</v>
      </c>
      <c r="AG195" s="202">
        <v>0</v>
      </c>
      <c r="AH195" s="202">
        <v>0</v>
      </c>
      <c r="AI195" s="202">
        <v>0</v>
      </c>
      <c r="AJ195" s="202">
        <v>0</v>
      </c>
      <c r="AK195" s="202">
        <v>0</v>
      </c>
      <c r="AL195" s="202">
        <v>0</v>
      </c>
      <c r="AM195" s="202">
        <v>0</v>
      </c>
      <c r="AN195" s="202">
        <v>0</v>
      </c>
      <c r="AO195" s="202">
        <v>0</v>
      </c>
      <c r="AP195" s="202">
        <v>0</v>
      </c>
      <c r="AQ195" s="202" t="s">
        <v>2757</v>
      </c>
      <c r="AR195" s="202">
        <v>0</v>
      </c>
      <c r="AS195" s="202">
        <v>0</v>
      </c>
      <c r="AT195" s="202">
        <v>7.5</v>
      </c>
      <c r="AU195" s="202">
        <v>0</v>
      </c>
      <c r="AV195" s="202">
        <v>1.5</v>
      </c>
      <c r="AW195"/>
      <c r="AX195"/>
      <c r="AY195"/>
    </row>
    <row r="196" spans="1:51">
      <c r="A196" s="202" t="str">
        <f t="shared" si="15"/>
        <v>李新荣</v>
      </c>
      <c r="B196" s="202">
        <f>IF(C196&lt;&gt;"NA",C196,VLOOKUP(K196,Update_from_YIFIP!$X$2:$AD$174,7,FALSE))</f>
        <v>105</v>
      </c>
      <c r="C196" s="207">
        <f t="shared" si="12"/>
        <v>105</v>
      </c>
      <c r="D196" s="207">
        <f t="shared" si="13"/>
        <v>105</v>
      </c>
      <c r="E196" s="202" t="s">
        <v>2083</v>
      </c>
      <c r="F196" s="202" t="s">
        <v>2759</v>
      </c>
      <c r="G196" s="202" t="s">
        <v>2760</v>
      </c>
      <c r="H196" s="207" t="str">
        <f t="shared" si="14"/>
        <v>NA</v>
      </c>
      <c r="I196" s="202" t="s">
        <v>1929</v>
      </c>
      <c r="J196" s="202" t="s">
        <v>2756</v>
      </c>
      <c r="K196" s="202">
        <v>0</v>
      </c>
      <c r="L196" s="202" t="s">
        <v>1460</v>
      </c>
      <c r="M196" s="202">
        <v>4</v>
      </c>
      <c r="N196" s="202">
        <v>0</v>
      </c>
      <c r="O196" s="202">
        <v>26</v>
      </c>
      <c r="P196" s="202">
        <v>11</v>
      </c>
      <c r="Q196" s="202">
        <v>7</v>
      </c>
      <c r="R196" s="202">
        <v>4</v>
      </c>
      <c r="S196" s="202">
        <v>4</v>
      </c>
      <c r="T196" s="202">
        <v>0</v>
      </c>
      <c r="U196" s="202">
        <v>0</v>
      </c>
      <c r="V196" s="202">
        <v>0</v>
      </c>
      <c r="W196" s="202">
        <v>0</v>
      </c>
      <c r="X196" s="202">
        <v>0</v>
      </c>
      <c r="Y196" s="202">
        <v>0</v>
      </c>
      <c r="Z196" s="202">
        <v>0</v>
      </c>
      <c r="AA196" s="202">
        <v>0</v>
      </c>
      <c r="AB196" s="202">
        <v>0</v>
      </c>
      <c r="AC196" s="202">
        <v>0</v>
      </c>
      <c r="AD196" s="202">
        <v>0</v>
      </c>
      <c r="AE196" s="202">
        <v>0</v>
      </c>
      <c r="AF196" s="202">
        <v>0</v>
      </c>
      <c r="AG196" s="202">
        <v>0</v>
      </c>
      <c r="AH196" s="202">
        <v>0</v>
      </c>
      <c r="AI196" s="202">
        <v>0</v>
      </c>
      <c r="AJ196" s="202">
        <v>0</v>
      </c>
      <c r="AK196" s="202">
        <v>0</v>
      </c>
      <c r="AL196" s="202">
        <v>0</v>
      </c>
      <c r="AM196" s="202">
        <v>0</v>
      </c>
      <c r="AN196" s="202">
        <v>0</v>
      </c>
      <c r="AO196" s="202">
        <v>0</v>
      </c>
      <c r="AP196" s="202">
        <v>0</v>
      </c>
      <c r="AQ196" s="202" t="s">
        <v>2698</v>
      </c>
      <c r="AR196" s="202">
        <v>0</v>
      </c>
      <c r="AS196" s="202">
        <v>0</v>
      </c>
      <c r="AT196" s="202">
        <v>7.5</v>
      </c>
      <c r="AU196" s="202">
        <v>0</v>
      </c>
      <c r="AV196" s="202">
        <v>1.5</v>
      </c>
      <c r="AW196"/>
      <c r="AX196"/>
      <c r="AY196"/>
    </row>
    <row r="197" spans="1:51">
      <c r="A197" s="202" t="str">
        <f t="shared" si="15"/>
        <v>李新荣</v>
      </c>
      <c r="B197" s="202">
        <f>IF(C197&lt;&gt;"NA",C197,VLOOKUP(K197,Update_from_YIFIP!$X$2:$AD$174,7,FALSE))</f>
        <v>105</v>
      </c>
      <c r="C197" s="207">
        <f t="shared" si="12"/>
        <v>105</v>
      </c>
      <c r="D197" s="207">
        <f t="shared" si="13"/>
        <v>105</v>
      </c>
      <c r="E197" s="202" t="s">
        <v>2083</v>
      </c>
      <c r="F197" s="202" t="s">
        <v>2759</v>
      </c>
      <c r="G197" s="202" t="s">
        <v>2760</v>
      </c>
      <c r="H197" s="207" t="str">
        <f t="shared" si="14"/>
        <v>NA</v>
      </c>
      <c r="I197" s="202" t="s">
        <v>1929</v>
      </c>
      <c r="J197" s="202" t="s">
        <v>2756</v>
      </c>
      <c r="K197" s="202">
        <v>0</v>
      </c>
      <c r="L197" s="202" t="s">
        <v>1461</v>
      </c>
      <c r="M197" s="202">
        <v>7</v>
      </c>
      <c r="N197" s="202">
        <v>0</v>
      </c>
      <c r="O197" s="202">
        <v>68</v>
      </c>
      <c r="P197" s="202">
        <v>14</v>
      </c>
      <c r="Q197" s="202">
        <v>5</v>
      </c>
      <c r="R197" s="202">
        <v>5</v>
      </c>
      <c r="S197" s="202">
        <v>10</v>
      </c>
      <c r="T197" s="202">
        <v>9</v>
      </c>
      <c r="U197" s="202">
        <v>15</v>
      </c>
      <c r="V197" s="202">
        <v>10</v>
      </c>
      <c r="W197" s="202">
        <v>0</v>
      </c>
      <c r="X197" s="202">
        <v>0</v>
      </c>
      <c r="Y197" s="202">
        <v>0</v>
      </c>
      <c r="Z197" s="202">
        <v>0</v>
      </c>
      <c r="AA197" s="202">
        <v>0</v>
      </c>
      <c r="AB197" s="202">
        <v>0</v>
      </c>
      <c r="AC197" s="202">
        <v>0</v>
      </c>
      <c r="AD197" s="202">
        <v>0</v>
      </c>
      <c r="AE197" s="202">
        <v>0</v>
      </c>
      <c r="AF197" s="202">
        <v>0</v>
      </c>
      <c r="AG197" s="202">
        <v>0</v>
      </c>
      <c r="AH197" s="202">
        <v>0</v>
      </c>
      <c r="AI197" s="202">
        <v>0</v>
      </c>
      <c r="AJ197" s="202">
        <v>0</v>
      </c>
      <c r="AK197" s="202">
        <v>0</v>
      </c>
      <c r="AL197" s="202">
        <v>0</v>
      </c>
      <c r="AM197" s="202">
        <v>0</v>
      </c>
      <c r="AN197" s="202">
        <v>0</v>
      </c>
      <c r="AO197" s="202">
        <v>0</v>
      </c>
      <c r="AP197" s="202">
        <v>0</v>
      </c>
      <c r="AQ197" s="202" t="s">
        <v>2761</v>
      </c>
      <c r="AR197" s="202">
        <v>0</v>
      </c>
      <c r="AS197" s="202">
        <v>0</v>
      </c>
      <c r="AT197" s="202">
        <v>15</v>
      </c>
      <c r="AU197" s="202">
        <v>0</v>
      </c>
      <c r="AV197" s="202">
        <v>3</v>
      </c>
      <c r="AW197"/>
      <c r="AX197"/>
      <c r="AY197"/>
    </row>
    <row r="198" spans="1:51">
      <c r="A198" s="202" t="str">
        <f t="shared" si="15"/>
        <v>李新荣</v>
      </c>
      <c r="B198" s="202">
        <f>IF(C198&lt;&gt;"NA",C198,VLOOKUP(K198,Update_from_YIFIP!$X$2:$AD$174,7,FALSE))</f>
        <v>105</v>
      </c>
      <c r="C198" s="207">
        <f t="shared" si="12"/>
        <v>105</v>
      </c>
      <c r="D198" s="207">
        <f t="shared" si="13"/>
        <v>105</v>
      </c>
      <c r="E198" s="202" t="s">
        <v>2083</v>
      </c>
      <c r="F198" s="202" t="s">
        <v>2759</v>
      </c>
      <c r="G198" s="202" t="s">
        <v>2760</v>
      </c>
      <c r="H198" s="207" t="str">
        <f t="shared" si="14"/>
        <v>NA</v>
      </c>
      <c r="I198" s="202" t="s">
        <v>1929</v>
      </c>
      <c r="J198" s="202" t="s">
        <v>2756</v>
      </c>
      <c r="K198" s="202">
        <v>0</v>
      </c>
      <c r="L198" s="202" t="s">
        <v>1462</v>
      </c>
      <c r="M198" s="202">
        <v>0</v>
      </c>
      <c r="N198" s="202">
        <v>4</v>
      </c>
      <c r="O198" s="202">
        <v>14</v>
      </c>
      <c r="P198" s="202">
        <v>4</v>
      </c>
      <c r="Q198" s="202">
        <v>3</v>
      </c>
      <c r="R198" s="202">
        <v>1</v>
      </c>
      <c r="S198" s="202">
        <v>6</v>
      </c>
      <c r="T198" s="202">
        <v>0</v>
      </c>
      <c r="U198" s="202">
        <v>0</v>
      </c>
      <c r="V198" s="202">
        <v>0</v>
      </c>
      <c r="W198" s="202">
        <v>0</v>
      </c>
      <c r="X198" s="202">
        <v>0</v>
      </c>
      <c r="Y198" s="202">
        <v>0</v>
      </c>
      <c r="Z198" s="202">
        <v>0</v>
      </c>
      <c r="AA198" s="202">
        <v>0</v>
      </c>
      <c r="AB198" s="202">
        <v>0</v>
      </c>
      <c r="AC198" s="202">
        <v>0</v>
      </c>
      <c r="AD198" s="202">
        <v>0</v>
      </c>
      <c r="AE198" s="202">
        <v>0</v>
      </c>
      <c r="AF198" s="202">
        <v>0</v>
      </c>
      <c r="AG198" s="202">
        <v>0</v>
      </c>
      <c r="AH198" s="202">
        <v>0</v>
      </c>
      <c r="AI198" s="202">
        <v>0</v>
      </c>
      <c r="AJ198" s="202">
        <v>0</v>
      </c>
      <c r="AK198" s="202">
        <v>0</v>
      </c>
      <c r="AL198" s="202">
        <v>0</v>
      </c>
      <c r="AM198" s="202">
        <v>0</v>
      </c>
      <c r="AN198" s="202">
        <v>0</v>
      </c>
      <c r="AO198" s="202">
        <v>0</v>
      </c>
      <c r="AP198" s="202">
        <v>0</v>
      </c>
      <c r="AQ198" s="202" t="s">
        <v>2762</v>
      </c>
      <c r="AR198" s="202">
        <v>0</v>
      </c>
      <c r="AS198" s="202">
        <v>0</v>
      </c>
      <c r="AT198" s="202">
        <v>7.5</v>
      </c>
      <c r="AU198" s="202">
        <v>0</v>
      </c>
      <c r="AV198" s="202">
        <v>1.5</v>
      </c>
      <c r="AW198"/>
      <c r="AX198"/>
      <c r="AY198"/>
    </row>
    <row r="199" spans="1:51">
      <c r="A199" s="202" t="str">
        <f t="shared" si="15"/>
        <v>李明德</v>
      </c>
      <c r="B199" s="202">
        <f>IF(C199&lt;&gt;"NA",C199,VLOOKUP(K199,Update_from_YIFIP!$X$2:$AD$174,7,FALSE))</f>
        <v>106</v>
      </c>
      <c r="C199" s="207">
        <f t="shared" si="12"/>
        <v>106</v>
      </c>
      <c r="D199" s="207">
        <f t="shared" si="13"/>
        <v>106</v>
      </c>
      <c r="E199" s="202" t="s">
        <v>2070</v>
      </c>
      <c r="F199" s="202" t="s">
        <v>2706</v>
      </c>
      <c r="G199" s="202" t="s">
        <v>2707</v>
      </c>
      <c r="H199" s="207" t="str">
        <f t="shared" si="14"/>
        <v>NA</v>
      </c>
      <c r="I199" s="202" t="s">
        <v>1929</v>
      </c>
      <c r="J199" s="202" t="s">
        <v>2704</v>
      </c>
      <c r="K199" s="202">
        <v>0</v>
      </c>
      <c r="L199" s="202" t="s">
        <v>1434</v>
      </c>
      <c r="M199" s="202">
        <v>6</v>
      </c>
      <c r="N199" s="202">
        <v>0</v>
      </c>
      <c r="O199" s="202">
        <v>14</v>
      </c>
      <c r="P199" s="202">
        <v>1</v>
      </c>
      <c r="Q199" s="202">
        <v>1</v>
      </c>
      <c r="R199" s="202">
        <v>2</v>
      </c>
      <c r="S199" s="202">
        <v>3</v>
      </c>
      <c r="T199" s="202">
        <v>3</v>
      </c>
      <c r="U199" s="202">
        <v>4</v>
      </c>
      <c r="V199" s="202">
        <v>0</v>
      </c>
      <c r="W199" s="202">
        <v>0</v>
      </c>
      <c r="X199" s="202">
        <v>0</v>
      </c>
      <c r="Y199" s="202">
        <v>0</v>
      </c>
      <c r="Z199" s="202">
        <v>0</v>
      </c>
      <c r="AA199" s="202">
        <v>0</v>
      </c>
      <c r="AB199" s="202">
        <v>0</v>
      </c>
      <c r="AC199" s="202">
        <v>0</v>
      </c>
      <c r="AD199" s="202">
        <v>0</v>
      </c>
      <c r="AE199" s="202">
        <v>0</v>
      </c>
      <c r="AF199" s="202">
        <v>0</v>
      </c>
      <c r="AG199" s="202">
        <v>0</v>
      </c>
      <c r="AH199" s="202">
        <v>0</v>
      </c>
      <c r="AI199" s="202">
        <v>0</v>
      </c>
      <c r="AJ199" s="202">
        <v>0</v>
      </c>
      <c r="AK199" s="202">
        <v>0</v>
      </c>
      <c r="AL199" s="202">
        <v>0</v>
      </c>
      <c r="AM199" s="202">
        <v>0</v>
      </c>
      <c r="AN199" s="202">
        <v>0</v>
      </c>
      <c r="AO199" s="202">
        <v>0</v>
      </c>
      <c r="AP199" s="202">
        <v>0</v>
      </c>
      <c r="AQ199" s="202" t="s">
        <v>2705</v>
      </c>
      <c r="AR199" s="202">
        <v>0</v>
      </c>
      <c r="AS199" s="202">
        <v>0</v>
      </c>
      <c r="AT199" s="202">
        <v>7.5</v>
      </c>
      <c r="AU199" s="202">
        <v>0</v>
      </c>
      <c r="AV199" s="202">
        <v>1.5</v>
      </c>
      <c r="AW199"/>
      <c r="AX199"/>
      <c r="AY199"/>
    </row>
    <row r="200" spans="1:51">
      <c r="A200" s="202" t="str">
        <f t="shared" si="15"/>
        <v>李明德</v>
      </c>
      <c r="B200" s="202">
        <f>IF(C200&lt;&gt;"NA",C200,VLOOKUP(K200,Update_from_YIFIP!$X$2:$AD$174,7,FALSE))</f>
        <v>106</v>
      </c>
      <c r="C200" s="207">
        <f t="shared" si="12"/>
        <v>106</v>
      </c>
      <c r="D200" s="207">
        <f t="shared" si="13"/>
        <v>106</v>
      </c>
      <c r="E200" s="202" t="s">
        <v>2070</v>
      </c>
      <c r="F200" s="202" t="s">
        <v>2706</v>
      </c>
      <c r="G200" s="202" t="s">
        <v>2707</v>
      </c>
      <c r="H200" s="207" t="str">
        <f t="shared" si="14"/>
        <v>NA</v>
      </c>
      <c r="I200" s="202" t="s">
        <v>1929</v>
      </c>
      <c r="J200" s="202" t="s">
        <v>2708</v>
      </c>
      <c r="K200" s="202" t="s">
        <v>2709</v>
      </c>
      <c r="L200" s="202" t="s">
        <v>1435</v>
      </c>
      <c r="M200" s="202">
        <v>6</v>
      </c>
      <c r="N200" s="202">
        <v>0</v>
      </c>
      <c r="O200" s="202">
        <v>7</v>
      </c>
      <c r="P200" s="202">
        <v>1</v>
      </c>
      <c r="Q200" s="202">
        <v>1</v>
      </c>
      <c r="R200" s="202">
        <v>1</v>
      </c>
      <c r="S200" s="202">
        <v>1</v>
      </c>
      <c r="T200" s="202">
        <v>1</v>
      </c>
      <c r="U200" s="202">
        <v>2</v>
      </c>
      <c r="V200" s="202">
        <v>0</v>
      </c>
      <c r="W200" s="202">
        <v>0</v>
      </c>
      <c r="X200" s="202">
        <v>0</v>
      </c>
      <c r="Y200" s="202">
        <v>0</v>
      </c>
      <c r="Z200" s="202">
        <v>0</v>
      </c>
      <c r="AA200" s="202">
        <v>0</v>
      </c>
      <c r="AB200" s="202">
        <v>0</v>
      </c>
      <c r="AC200" s="202">
        <v>0</v>
      </c>
      <c r="AD200" s="202">
        <v>0</v>
      </c>
      <c r="AE200" s="202">
        <v>0</v>
      </c>
      <c r="AF200" s="202">
        <v>0</v>
      </c>
      <c r="AG200" s="202">
        <v>0</v>
      </c>
      <c r="AH200" s="202">
        <v>0</v>
      </c>
      <c r="AI200" s="202">
        <v>0</v>
      </c>
      <c r="AJ200" s="202">
        <v>0</v>
      </c>
      <c r="AK200" s="202">
        <v>0</v>
      </c>
      <c r="AL200" s="202">
        <v>0</v>
      </c>
      <c r="AM200" s="202">
        <v>0</v>
      </c>
      <c r="AN200" s="202">
        <v>0</v>
      </c>
      <c r="AO200" s="202">
        <v>0</v>
      </c>
      <c r="AP200" s="202">
        <v>0</v>
      </c>
      <c r="AQ200" s="202" t="s">
        <v>2475</v>
      </c>
      <c r="AR200" s="202">
        <v>0</v>
      </c>
      <c r="AS200" s="202">
        <v>0</v>
      </c>
      <c r="AT200" s="202">
        <v>7.5</v>
      </c>
      <c r="AU200" s="202">
        <v>0</v>
      </c>
      <c r="AV200" s="202">
        <v>1.5</v>
      </c>
      <c r="AW200"/>
      <c r="AX200"/>
      <c r="AY200"/>
    </row>
    <row r="201" spans="1:51">
      <c r="A201" s="202" t="str">
        <f t="shared" si="15"/>
        <v>李明德</v>
      </c>
      <c r="B201" s="202">
        <f>IF(C201&lt;&gt;"NA",C201,VLOOKUP(K201,Update_from_YIFIP!$X$2:$AD$174,7,FALSE))</f>
        <v>106</v>
      </c>
      <c r="C201" s="207">
        <f t="shared" si="12"/>
        <v>106</v>
      </c>
      <c r="D201" s="207">
        <f t="shared" si="13"/>
        <v>106</v>
      </c>
      <c r="E201" s="202" t="s">
        <v>2070</v>
      </c>
      <c r="F201" s="202" t="s">
        <v>2706</v>
      </c>
      <c r="G201" s="202" t="s">
        <v>2707</v>
      </c>
      <c r="H201" s="207" t="str">
        <f t="shared" si="14"/>
        <v>NA</v>
      </c>
      <c r="I201" s="202" t="s">
        <v>1929</v>
      </c>
      <c r="J201" s="202" t="s">
        <v>2704</v>
      </c>
      <c r="K201" s="202" t="s">
        <v>2710</v>
      </c>
      <c r="L201" s="202" t="s">
        <v>1436</v>
      </c>
      <c r="M201" s="202">
        <v>7</v>
      </c>
      <c r="N201" s="202">
        <v>0</v>
      </c>
      <c r="O201" s="202">
        <v>8</v>
      </c>
      <c r="P201" s="202">
        <v>1</v>
      </c>
      <c r="Q201" s="202">
        <v>1</v>
      </c>
      <c r="R201" s="202">
        <v>1</v>
      </c>
      <c r="S201" s="202">
        <v>1</v>
      </c>
      <c r="T201" s="202">
        <v>1</v>
      </c>
      <c r="U201" s="202">
        <v>1</v>
      </c>
      <c r="V201" s="202">
        <v>2</v>
      </c>
      <c r="W201" s="202">
        <v>0</v>
      </c>
      <c r="X201" s="202">
        <v>0</v>
      </c>
      <c r="Y201" s="202">
        <v>0</v>
      </c>
      <c r="Z201" s="202">
        <v>0</v>
      </c>
      <c r="AA201" s="202">
        <v>0</v>
      </c>
      <c r="AB201" s="202">
        <v>0</v>
      </c>
      <c r="AC201" s="202">
        <v>0</v>
      </c>
      <c r="AD201" s="202">
        <v>0</v>
      </c>
      <c r="AE201" s="202">
        <v>0</v>
      </c>
      <c r="AF201" s="202">
        <v>0</v>
      </c>
      <c r="AG201" s="202">
        <v>0</v>
      </c>
      <c r="AH201" s="202">
        <v>0</v>
      </c>
      <c r="AI201" s="202">
        <v>0</v>
      </c>
      <c r="AJ201" s="202">
        <v>0</v>
      </c>
      <c r="AK201" s="202">
        <v>0</v>
      </c>
      <c r="AL201" s="202">
        <v>0</v>
      </c>
      <c r="AM201" s="202">
        <v>0</v>
      </c>
      <c r="AN201" s="202">
        <v>0</v>
      </c>
      <c r="AO201" s="202">
        <v>0</v>
      </c>
      <c r="AP201" s="202">
        <v>0</v>
      </c>
      <c r="AQ201" s="202" t="s">
        <v>2483</v>
      </c>
      <c r="AR201" s="202">
        <v>0</v>
      </c>
      <c r="AS201" s="202">
        <v>0</v>
      </c>
      <c r="AT201" s="202">
        <v>5</v>
      </c>
      <c r="AU201" s="202">
        <v>0</v>
      </c>
      <c r="AV201" s="202">
        <v>1</v>
      </c>
      <c r="AW201"/>
      <c r="AX201"/>
      <c r="AY201"/>
    </row>
    <row r="202" spans="1:51">
      <c r="A202" s="202" t="str">
        <f t="shared" si="15"/>
        <v>李明德</v>
      </c>
      <c r="B202" s="202">
        <f>IF(C202&lt;&gt;"NA",C202,VLOOKUP(K202,Update_from_YIFIP!$X$2:$AD$174,7,FALSE))</f>
        <v>106</v>
      </c>
      <c r="C202" s="207">
        <f t="shared" si="12"/>
        <v>106</v>
      </c>
      <c r="D202" s="207">
        <f t="shared" si="13"/>
        <v>106</v>
      </c>
      <c r="E202" s="202" t="s">
        <v>2070</v>
      </c>
      <c r="F202" s="202" t="s">
        <v>2706</v>
      </c>
      <c r="G202" s="202" t="s">
        <v>2707</v>
      </c>
      <c r="H202" s="207" t="str">
        <f t="shared" si="14"/>
        <v>NA</v>
      </c>
      <c r="I202" s="202" t="s">
        <v>1929</v>
      </c>
      <c r="J202" s="202" t="s">
        <v>2704</v>
      </c>
      <c r="K202" s="202" t="s">
        <v>2709</v>
      </c>
      <c r="L202" s="202" t="s">
        <v>1437</v>
      </c>
      <c r="M202" s="202">
        <v>5</v>
      </c>
      <c r="N202" s="202">
        <v>0</v>
      </c>
      <c r="O202" s="202">
        <v>6</v>
      </c>
      <c r="P202" s="202">
        <v>1</v>
      </c>
      <c r="Q202" s="202">
        <v>1</v>
      </c>
      <c r="R202" s="202">
        <v>1</v>
      </c>
      <c r="S202" s="202">
        <v>1</v>
      </c>
      <c r="T202" s="202">
        <v>2</v>
      </c>
      <c r="U202" s="202">
        <v>0</v>
      </c>
      <c r="V202" s="202">
        <v>0</v>
      </c>
      <c r="W202" s="202">
        <v>0</v>
      </c>
      <c r="X202" s="202">
        <v>0</v>
      </c>
      <c r="Y202" s="202">
        <v>0</v>
      </c>
      <c r="Z202" s="202">
        <v>0</v>
      </c>
      <c r="AA202" s="202">
        <v>0</v>
      </c>
      <c r="AB202" s="202">
        <v>0</v>
      </c>
      <c r="AC202" s="202">
        <v>0</v>
      </c>
      <c r="AD202" s="202">
        <v>0</v>
      </c>
      <c r="AE202" s="202">
        <v>0</v>
      </c>
      <c r="AF202" s="202">
        <v>0</v>
      </c>
      <c r="AG202" s="202">
        <v>0</v>
      </c>
      <c r="AH202" s="202">
        <v>0</v>
      </c>
      <c r="AI202" s="202">
        <v>0</v>
      </c>
      <c r="AJ202" s="202">
        <v>0</v>
      </c>
      <c r="AK202" s="202">
        <v>0</v>
      </c>
      <c r="AL202" s="202">
        <v>0</v>
      </c>
      <c r="AM202" s="202">
        <v>0</v>
      </c>
      <c r="AN202" s="202">
        <v>0</v>
      </c>
      <c r="AO202" s="202">
        <v>0</v>
      </c>
      <c r="AP202" s="202">
        <v>0</v>
      </c>
      <c r="AQ202" s="202" t="s">
        <v>2711</v>
      </c>
      <c r="AR202" s="202">
        <v>0</v>
      </c>
      <c r="AS202" s="202">
        <v>0</v>
      </c>
      <c r="AT202" s="202">
        <v>7.5</v>
      </c>
      <c r="AU202" s="202">
        <v>0</v>
      </c>
      <c r="AV202" s="202">
        <v>1.5</v>
      </c>
      <c r="AW202"/>
      <c r="AX202"/>
      <c r="AY202"/>
    </row>
    <row r="203" spans="1:51">
      <c r="A203" s="202" t="str">
        <f t="shared" si="15"/>
        <v>李应付</v>
      </c>
      <c r="B203" s="202">
        <f>IF(C203&lt;&gt;"NA",C203,VLOOKUP(K203,Update_from_YIFIP!$X$2:$AD$174,7,FALSE))</f>
        <v>109</v>
      </c>
      <c r="C203" s="207">
        <f t="shared" si="12"/>
        <v>109</v>
      </c>
      <c r="D203" s="207">
        <f t="shared" si="13"/>
        <v>109</v>
      </c>
      <c r="E203" s="202" t="s">
        <v>2084</v>
      </c>
      <c r="F203" s="202" t="s">
        <v>2836</v>
      </c>
      <c r="G203" s="202" t="s">
        <v>2837</v>
      </c>
      <c r="H203" s="207" t="str">
        <f t="shared" si="14"/>
        <v>NA</v>
      </c>
      <c r="I203" s="202" t="s">
        <v>1929</v>
      </c>
      <c r="J203" s="202" t="s">
        <v>2833</v>
      </c>
      <c r="K203" s="202" t="s">
        <v>2835</v>
      </c>
      <c r="L203" s="202" t="s">
        <v>1492</v>
      </c>
      <c r="M203" s="202">
        <v>0</v>
      </c>
      <c r="N203" s="202">
        <v>16</v>
      </c>
      <c r="O203" s="202">
        <v>53</v>
      </c>
      <c r="P203" s="202">
        <v>3</v>
      </c>
      <c r="Q203" s="202">
        <v>3</v>
      </c>
      <c r="R203" s="202">
        <v>3</v>
      </c>
      <c r="S203" s="202">
        <v>3</v>
      </c>
      <c r="T203" s="202">
        <v>3</v>
      </c>
      <c r="U203" s="202">
        <v>3</v>
      </c>
      <c r="V203" s="202">
        <v>3</v>
      </c>
      <c r="W203" s="202">
        <v>3</v>
      </c>
      <c r="X203" s="202">
        <v>3</v>
      </c>
      <c r="Y203" s="202">
        <v>3</v>
      </c>
      <c r="Z203" s="202">
        <v>3</v>
      </c>
      <c r="AA203" s="202">
        <v>3</v>
      </c>
      <c r="AB203" s="202">
        <v>4</v>
      </c>
      <c r="AC203" s="202">
        <v>4</v>
      </c>
      <c r="AD203" s="202">
        <v>4</v>
      </c>
      <c r="AE203" s="202">
        <v>5</v>
      </c>
      <c r="AF203" s="202">
        <v>0</v>
      </c>
      <c r="AG203" s="202">
        <v>0</v>
      </c>
      <c r="AH203" s="202">
        <v>0</v>
      </c>
      <c r="AI203" s="202">
        <v>0</v>
      </c>
      <c r="AJ203" s="202">
        <v>0</v>
      </c>
      <c r="AK203" s="202">
        <v>0</v>
      </c>
      <c r="AL203" s="202">
        <v>0</v>
      </c>
      <c r="AM203" s="202">
        <v>0</v>
      </c>
      <c r="AN203" s="202">
        <v>0</v>
      </c>
      <c r="AO203" s="202">
        <v>0</v>
      </c>
      <c r="AP203" s="202">
        <v>0</v>
      </c>
      <c r="AQ203" s="202" t="s">
        <v>2834</v>
      </c>
      <c r="AR203" s="202">
        <v>0</v>
      </c>
      <c r="AS203" s="202">
        <v>0</v>
      </c>
      <c r="AT203" s="202">
        <v>7.5</v>
      </c>
      <c r="AU203" s="202">
        <v>0</v>
      </c>
      <c r="AV203" s="202">
        <v>1.5</v>
      </c>
      <c r="AW203"/>
      <c r="AX203"/>
      <c r="AY203"/>
    </row>
    <row r="204" spans="1:51">
      <c r="A204" s="202" t="str">
        <f t="shared" si="15"/>
        <v>李应付</v>
      </c>
      <c r="B204" s="202">
        <f>IF(C204&lt;&gt;"NA",C204,VLOOKUP(K204,Update_from_YIFIP!$X$2:$AD$174,7,FALSE))</f>
        <v>109</v>
      </c>
      <c r="C204" s="207">
        <f t="shared" si="12"/>
        <v>109</v>
      </c>
      <c r="D204" s="207">
        <f t="shared" si="13"/>
        <v>109</v>
      </c>
      <c r="E204" s="202" t="s">
        <v>2084</v>
      </c>
      <c r="F204" s="202" t="s">
        <v>2836</v>
      </c>
      <c r="G204" s="202" t="s">
        <v>2837</v>
      </c>
      <c r="H204" s="207" t="str">
        <f t="shared" si="14"/>
        <v>NA</v>
      </c>
      <c r="I204" s="202" t="s">
        <v>1929</v>
      </c>
      <c r="J204" s="202" t="s">
        <v>2838</v>
      </c>
      <c r="K204" s="202" t="s">
        <v>2840</v>
      </c>
      <c r="L204" s="202" t="s">
        <v>1493</v>
      </c>
      <c r="M204" s="202">
        <v>9</v>
      </c>
      <c r="N204" s="202">
        <v>0</v>
      </c>
      <c r="O204" s="202">
        <v>26</v>
      </c>
      <c r="P204" s="202">
        <v>1</v>
      </c>
      <c r="Q204" s="202">
        <v>2</v>
      </c>
      <c r="R204" s="202">
        <v>3</v>
      </c>
      <c r="S204" s="202">
        <v>3</v>
      </c>
      <c r="T204" s="202">
        <v>3</v>
      </c>
      <c r="U204" s="202">
        <v>3</v>
      </c>
      <c r="V204" s="202">
        <v>3</v>
      </c>
      <c r="W204" s="202">
        <v>3</v>
      </c>
      <c r="X204" s="202">
        <v>5</v>
      </c>
      <c r="Y204" s="202">
        <v>0</v>
      </c>
      <c r="Z204" s="202">
        <v>0</v>
      </c>
      <c r="AA204" s="202">
        <v>0</v>
      </c>
      <c r="AB204" s="202">
        <v>0</v>
      </c>
      <c r="AC204" s="202">
        <v>0</v>
      </c>
      <c r="AD204" s="202">
        <v>0</v>
      </c>
      <c r="AE204" s="202">
        <v>0</v>
      </c>
      <c r="AF204" s="202">
        <v>0</v>
      </c>
      <c r="AG204" s="202">
        <v>0</v>
      </c>
      <c r="AH204" s="202">
        <v>0</v>
      </c>
      <c r="AI204" s="202">
        <v>0</v>
      </c>
      <c r="AJ204" s="202">
        <v>0</v>
      </c>
      <c r="AK204" s="202">
        <v>0</v>
      </c>
      <c r="AL204" s="202">
        <v>0</v>
      </c>
      <c r="AM204" s="202">
        <v>0</v>
      </c>
      <c r="AN204" s="202">
        <v>0</v>
      </c>
      <c r="AO204" s="202">
        <v>0</v>
      </c>
      <c r="AP204" s="202">
        <v>0</v>
      </c>
      <c r="AQ204" s="202" t="s">
        <v>2839</v>
      </c>
      <c r="AR204" s="202">
        <v>0</v>
      </c>
      <c r="AS204" s="202">
        <v>0</v>
      </c>
      <c r="AT204" s="202">
        <v>7.5</v>
      </c>
      <c r="AU204" s="202">
        <v>0</v>
      </c>
      <c r="AV204" s="202">
        <v>1.5</v>
      </c>
      <c r="AW204"/>
      <c r="AX204"/>
      <c r="AY204"/>
    </row>
    <row r="205" spans="1:51">
      <c r="A205" s="202" t="str">
        <f t="shared" si="15"/>
        <v>李应付</v>
      </c>
      <c r="B205" s="202">
        <f>IF(C205&lt;&gt;"NA",C205,VLOOKUP(K205,Update_from_YIFIP!$X$2:$AD$174,7,FALSE))</f>
        <v>109</v>
      </c>
      <c r="C205" s="207">
        <f t="shared" si="12"/>
        <v>109</v>
      </c>
      <c r="D205" s="207">
        <f t="shared" si="13"/>
        <v>109</v>
      </c>
      <c r="E205" s="202" t="s">
        <v>2084</v>
      </c>
      <c r="F205" s="202" t="s">
        <v>2836</v>
      </c>
      <c r="G205" s="202" t="s">
        <v>2837</v>
      </c>
      <c r="H205" s="207" t="str">
        <f t="shared" si="14"/>
        <v>NA</v>
      </c>
      <c r="I205" s="202" t="s">
        <v>1929</v>
      </c>
      <c r="J205" s="202" t="s">
        <v>2838</v>
      </c>
      <c r="K205" s="202" t="s">
        <v>2841</v>
      </c>
      <c r="L205" s="202" t="s">
        <v>1494</v>
      </c>
      <c r="M205" s="202">
        <v>10</v>
      </c>
      <c r="N205" s="202">
        <v>0</v>
      </c>
      <c r="O205" s="202">
        <v>44</v>
      </c>
      <c r="P205" s="202">
        <v>3</v>
      </c>
      <c r="Q205" s="202">
        <v>3</v>
      </c>
      <c r="R205" s="202">
        <v>3</v>
      </c>
      <c r="S205" s="202">
        <v>3</v>
      </c>
      <c r="T205" s="202">
        <v>4</v>
      </c>
      <c r="U205" s="202">
        <v>4</v>
      </c>
      <c r="V205" s="202">
        <v>5</v>
      </c>
      <c r="W205" s="202">
        <v>5</v>
      </c>
      <c r="X205" s="202">
        <v>7</v>
      </c>
      <c r="Y205" s="202">
        <v>7</v>
      </c>
      <c r="Z205" s="202">
        <v>0</v>
      </c>
      <c r="AA205" s="202">
        <v>0</v>
      </c>
      <c r="AB205" s="202">
        <v>0</v>
      </c>
      <c r="AC205" s="202">
        <v>0</v>
      </c>
      <c r="AD205" s="202">
        <v>0</v>
      </c>
      <c r="AE205" s="202">
        <v>0</v>
      </c>
      <c r="AF205" s="202">
        <v>0</v>
      </c>
      <c r="AG205" s="202">
        <v>0</v>
      </c>
      <c r="AH205" s="202">
        <v>0</v>
      </c>
      <c r="AI205" s="202">
        <v>0</v>
      </c>
      <c r="AJ205" s="202">
        <v>0</v>
      </c>
      <c r="AK205" s="202">
        <v>0</v>
      </c>
      <c r="AL205" s="202">
        <v>0</v>
      </c>
      <c r="AM205" s="202">
        <v>0</v>
      </c>
      <c r="AN205" s="202">
        <v>0</v>
      </c>
      <c r="AO205" s="202">
        <v>0</v>
      </c>
      <c r="AP205" s="202">
        <v>0</v>
      </c>
      <c r="AQ205" s="202" t="s">
        <v>2625</v>
      </c>
      <c r="AR205" s="202">
        <v>0</v>
      </c>
      <c r="AS205" s="202">
        <v>0</v>
      </c>
      <c r="AT205" s="202">
        <v>10</v>
      </c>
      <c r="AU205" s="202">
        <v>0</v>
      </c>
      <c r="AV205" s="202">
        <v>2</v>
      </c>
      <c r="AW205"/>
      <c r="AX205"/>
      <c r="AY205"/>
    </row>
    <row r="206" spans="1:51">
      <c r="A206" s="202" t="str">
        <f t="shared" si="15"/>
        <v>李应付</v>
      </c>
      <c r="B206" s="202">
        <f>IF(C206&lt;&gt;"NA",C206,VLOOKUP(K206,Update_from_YIFIP!$X$2:$AD$174,7,FALSE))</f>
        <v>109</v>
      </c>
      <c r="C206" s="207">
        <f t="shared" si="12"/>
        <v>109</v>
      </c>
      <c r="D206" s="207">
        <f t="shared" si="13"/>
        <v>109</v>
      </c>
      <c r="E206" s="202" t="s">
        <v>2084</v>
      </c>
      <c r="F206" s="202" t="s">
        <v>2836</v>
      </c>
      <c r="G206" s="202" t="s">
        <v>2837</v>
      </c>
      <c r="H206" s="207" t="str">
        <f t="shared" si="14"/>
        <v>NA</v>
      </c>
      <c r="I206" s="202" t="s">
        <v>1929</v>
      </c>
      <c r="J206" s="202" t="s">
        <v>2838</v>
      </c>
      <c r="K206" s="202" t="s">
        <v>2842</v>
      </c>
      <c r="L206" s="202" t="s">
        <v>1495</v>
      </c>
      <c r="M206" s="202">
        <v>10</v>
      </c>
      <c r="N206" s="202">
        <v>0</v>
      </c>
      <c r="O206" s="202">
        <v>38</v>
      </c>
      <c r="P206" s="202">
        <v>2</v>
      </c>
      <c r="Q206" s="202">
        <v>2</v>
      </c>
      <c r="R206" s="202">
        <v>3</v>
      </c>
      <c r="S206" s="202">
        <v>3</v>
      </c>
      <c r="T206" s="202">
        <v>4</v>
      </c>
      <c r="U206" s="202">
        <v>4</v>
      </c>
      <c r="V206" s="202">
        <v>4</v>
      </c>
      <c r="W206" s="202">
        <v>4</v>
      </c>
      <c r="X206" s="202">
        <v>5</v>
      </c>
      <c r="Y206" s="202">
        <v>7</v>
      </c>
      <c r="Z206" s="202">
        <v>0</v>
      </c>
      <c r="AA206" s="202">
        <v>0</v>
      </c>
      <c r="AB206" s="202">
        <v>0</v>
      </c>
      <c r="AC206" s="202">
        <v>0</v>
      </c>
      <c r="AD206" s="202">
        <v>0</v>
      </c>
      <c r="AE206" s="202">
        <v>0</v>
      </c>
      <c r="AF206" s="202">
        <v>0</v>
      </c>
      <c r="AG206" s="202">
        <v>0</v>
      </c>
      <c r="AH206" s="202">
        <v>0</v>
      </c>
      <c r="AI206" s="202">
        <v>0</v>
      </c>
      <c r="AJ206" s="202">
        <v>0</v>
      </c>
      <c r="AK206" s="202">
        <v>0</v>
      </c>
      <c r="AL206" s="202">
        <v>0</v>
      </c>
      <c r="AM206" s="202">
        <v>0</v>
      </c>
      <c r="AN206" s="202">
        <v>0</v>
      </c>
      <c r="AO206" s="202">
        <v>0</v>
      </c>
      <c r="AP206" s="202">
        <v>0</v>
      </c>
      <c r="AQ206" s="202" t="s">
        <v>2736</v>
      </c>
      <c r="AR206" s="202">
        <v>0</v>
      </c>
      <c r="AS206" s="202">
        <v>0</v>
      </c>
      <c r="AT206" s="202">
        <v>7.5</v>
      </c>
      <c r="AU206" s="202">
        <v>0</v>
      </c>
      <c r="AV206" s="202">
        <v>1.5</v>
      </c>
      <c r="AW206"/>
      <c r="AX206"/>
      <c r="AY206"/>
    </row>
    <row r="207" spans="1:51">
      <c r="A207" s="202" t="str">
        <f t="shared" si="15"/>
        <v>李应付</v>
      </c>
      <c r="B207" s="202">
        <f>IF(C207&lt;&gt;"NA",C207,VLOOKUP(K207,Update_from_YIFIP!$X$2:$AD$174,7,FALSE))</f>
        <v>109</v>
      </c>
      <c r="C207" s="207">
        <f t="shared" si="12"/>
        <v>109</v>
      </c>
      <c r="D207" s="207">
        <f t="shared" si="13"/>
        <v>109</v>
      </c>
      <c r="E207" s="202" t="s">
        <v>2084</v>
      </c>
      <c r="F207" s="202" t="s">
        <v>2836</v>
      </c>
      <c r="G207" s="202" t="s">
        <v>2837</v>
      </c>
      <c r="H207" s="207" t="str">
        <f t="shared" si="14"/>
        <v>NA</v>
      </c>
      <c r="I207" s="202" t="s">
        <v>1929</v>
      </c>
      <c r="J207" s="202" t="s">
        <v>2838</v>
      </c>
      <c r="K207" s="202" t="s">
        <v>2844</v>
      </c>
      <c r="L207" s="202" t="s">
        <v>1496</v>
      </c>
      <c r="M207" s="202">
        <v>10</v>
      </c>
      <c r="N207" s="202">
        <v>0</v>
      </c>
      <c r="O207" s="202">
        <v>33</v>
      </c>
      <c r="P207" s="202">
        <v>2</v>
      </c>
      <c r="Q207" s="202">
        <v>3</v>
      </c>
      <c r="R207" s="202">
        <v>3</v>
      </c>
      <c r="S207" s="202">
        <v>3</v>
      </c>
      <c r="T207" s="202">
        <v>3</v>
      </c>
      <c r="U207" s="202">
        <v>3</v>
      </c>
      <c r="V207" s="202">
        <v>3</v>
      </c>
      <c r="W207" s="202">
        <v>4</v>
      </c>
      <c r="X207" s="202">
        <v>4</v>
      </c>
      <c r="Y207" s="202">
        <v>5</v>
      </c>
      <c r="Z207" s="202">
        <v>0</v>
      </c>
      <c r="AA207" s="202">
        <v>0</v>
      </c>
      <c r="AB207" s="202">
        <v>0</v>
      </c>
      <c r="AC207" s="202">
        <v>0</v>
      </c>
      <c r="AD207" s="202">
        <v>0</v>
      </c>
      <c r="AE207" s="202">
        <v>0</v>
      </c>
      <c r="AF207" s="202">
        <v>0</v>
      </c>
      <c r="AG207" s="202">
        <v>0</v>
      </c>
      <c r="AH207" s="202">
        <v>0</v>
      </c>
      <c r="AI207" s="202">
        <v>0</v>
      </c>
      <c r="AJ207" s="202">
        <v>0</v>
      </c>
      <c r="AK207" s="202">
        <v>0</v>
      </c>
      <c r="AL207" s="202">
        <v>0</v>
      </c>
      <c r="AM207" s="202">
        <v>0</v>
      </c>
      <c r="AN207" s="202">
        <v>0</v>
      </c>
      <c r="AO207" s="202">
        <v>0</v>
      </c>
      <c r="AP207" s="202">
        <v>0</v>
      </c>
      <c r="AQ207" s="202" t="s">
        <v>2843</v>
      </c>
      <c r="AR207" s="202">
        <v>0</v>
      </c>
      <c r="AS207" s="202">
        <v>0</v>
      </c>
      <c r="AT207" s="202">
        <v>10</v>
      </c>
      <c r="AU207" s="202">
        <v>0</v>
      </c>
      <c r="AV207" s="202">
        <v>2</v>
      </c>
      <c r="AW207"/>
      <c r="AX207"/>
      <c r="AY207"/>
    </row>
    <row r="208" spans="1:51">
      <c r="A208" s="202" t="str">
        <f t="shared" si="15"/>
        <v>自付文</v>
      </c>
      <c r="B208" s="202">
        <f>IF(C208&lt;&gt;"NA",C208,VLOOKUP(K208,Update_from_YIFIP!$X$2:$AD$174,7,FALSE))</f>
        <v>110</v>
      </c>
      <c r="C208" s="207">
        <f t="shared" si="12"/>
        <v>110</v>
      </c>
      <c r="D208" s="207">
        <f t="shared" si="13"/>
        <v>110</v>
      </c>
      <c r="E208" s="202" t="s">
        <v>2169</v>
      </c>
      <c r="F208" s="202" t="s">
        <v>2862</v>
      </c>
      <c r="G208" s="202" t="s">
        <v>2863</v>
      </c>
      <c r="H208" s="207" t="str">
        <f t="shared" si="14"/>
        <v>NA</v>
      </c>
      <c r="I208" s="202" t="s">
        <v>1929</v>
      </c>
      <c r="J208" s="202" t="s">
        <v>2859</v>
      </c>
      <c r="K208" s="202" t="s">
        <v>2860</v>
      </c>
      <c r="L208" s="202" t="s">
        <v>1502</v>
      </c>
      <c r="M208" s="202">
        <v>0</v>
      </c>
      <c r="N208" s="202">
        <v>20</v>
      </c>
      <c r="O208" s="202">
        <v>100</v>
      </c>
      <c r="P208" s="202">
        <v>2</v>
      </c>
      <c r="Q208" s="202">
        <v>3</v>
      </c>
      <c r="R208" s="202">
        <v>3</v>
      </c>
      <c r="S208" s="202">
        <v>4</v>
      </c>
      <c r="T208" s="202">
        <v>4</v>
      </c>
      <c r="U208" s="202">
        <v>4</v>
      </c>
      <c r="V208" s="202">
        <v>4</v>
      </c>
      <c r="W208" s="202">
        <v>5</v>
      </c>
      <c r="X208" s="202">
        <v>5</v>
      </c>
      <c r="Y208" s="202">
        <v>5</v>
      </c>
      <c r="Z208" s="202">
        <v>5</v>
      </c>
      <c r="AA208" s="202">
        <v>6</v>
      </c>
      <c r="AB208" s="202">
        <v>6</v>
      </c>
      <c r="AC208" s="202">
        <v>6</v>
      </c>
      <c r="AD208" s="202">
        <v>6</v>
      </c>
      <c r="AE208" s="202">
        <v>6</v>
      </c>
      <c r="AF208" s="202">
        <v>6</v>
      </c>
      <c r="AG208" s="202">
        <v>6</v>
      </c>
      <c r="AH208" s="202">
        <v>7</v>
      </c>
      <c r="AI208" s="202">
        <v>7</v>
      </c>
      <c r="AJ208" s="202">
        <v>0</v>
      </c>
      <c r="AK208" s="202">
        <v>0</v>
      </c>
      <c r="AL208" s="202">
        <v>0</v>
      </c>
      <c r="AM208" s="202">
        <v>0</v>
      </c>
      <c r="AN208" s="202">
        <v>0</v>
      </c>
      <c r="AO208" s="202">
        <v>0</v>
      </c>
      <c r="AP208" s="202">
        <v>0</v>
      </c>
      <c r="AQ208" s="202" t="s">
        <v>2729</v>
      </c>
      <c r="AR208" s="202">
        <v>0</v>
      </c>
      <c r="AS208" s="202">
        <v>0</v>
      </c>
      <c r="AT208" s="202">
        <v>19.5</v>
      </c>
      <c r="AU208" s="202" t="s">
        <v>2861</v>
      </c>
      <c r="AV208" s="202">
        <v>3.9000000000000004</v>
      </c>
      <c r="AW208"/>
      <c r="AX208"/>
      <c r="AY208"/>
    </row>
    <row r="209" spans="1:51">
      <c r="A209" s="202" t="str">
        <f t="shared" si="15"/>
        <v>自付文</v>
      </c>
      <c r="B209" s="202">
        <f>IF(C209&lt;&gt;"NA",C209,VLOOKUP(K209,Update_from_YIFIP!$X$2:$AD$174,7,FALSE))</f>
        <v>110</v>
      </c>
      <c r="C209" s="207">
        <f t="shared" si="12"/>
        <v>110</v>
      </c>
      <c r="D209" s="207">
        <f t="shared" si="13"/>
        <v>110</v>
      </c>
      <c r="E209" s="202" t="s">
        <v>2169</v>
      </c>
      <c r="F209" s="202" t="s">
        <v>2862</v>
      </c>
      <c r="G209" s="202" t="s">
        <v>2863</v>
      </c>
      <c r="H209" s="207" t="str">
        <f t="shared" si="14"/>
        <v>NA</v>
      </c>
      <c r="I209" s="202" t="s">
        <v>1929</v>
      </c>
      <c r="J209" s="202" t="s">
        <v>2859</v>
      </c>
      <c r="K209" s="202" t="s">
        <v>2865</v>
      </c>
      <c r="L209" s="202" t="s">
        <v>1503</v>
      </c>
      <c r="M209" s="202">
        <v>9</v>
      </c>
      <c r="N209" s="202">
        <v>0</v>
      </c>
      <c r="O209" s="202">
        <v>41</v>
      </c>
      <c r="P209" s="202">
        <v>3</v>
      </c>
      <c r="Q209" s="202">
        <v>3</v>
      </c>
      <c r="R209" s="202">
        <v>4</v>
      </c>
      <c r="S209" s="202">
        <v>4</v>
      </c>
      <c r="T209" s="202">
        <v>4</v>
      </c>
      <c r="U209" s="202">
        <v>5</v>
      </c>
      <c r="V209" s="202">
        <v>5</v>
      </c>
      <c r="W209" s="202">
        <v>6</v>
      </c>
      <c r="X209" s="202">
        <v>7</v>
      </c>
      <c r="Y209" s="202">
        <v>0</v>
      </c>
      <c r="Z209" s="202">
        <v>0</v>
      </c>
      <c r="AA209" s="202">
        <v>0</v>
      </c>
      <c r="AB209" s="202">
        <v>0</v>
      </c>
      <c r="AC209" s="202">
        <v>0</v>
      </c>
      <c r="AD209" s="202">
        <v>0</v>
      </c>
      <c r="AE209" s="202">
        <v>0</v>
      </c>
      <c r="AF209" s="202">
        <v>0</v>
      </c>
      <c r="AG209" s="202">
        <v>0</v>
      </c>
      <c r="AH209" s="202">
        <v>0</v>
      </c>
      <c r="AI209" s="202">
        <v>0</v>
      </c>
      <c r="AJ209" s="202">
        <v>0</v>
      </c>
      <c r="AK209" s="202">
        <v>0</v>
      </c>
      <c r="AL209" s="202">
        <v>0</v>
      </c>
      <c r="AM209" s="202">
        <v>0</v>
      </c>
      <c r="AN209" s="202">
        <v>0</v>
      </c>
      <c r="AO209" s="202">
        <v>0</v>
      </c>
      <c r="AP209" s="202">
        <v>0</v>
      </c>
      <c r="AQ209" s="202" t="s">
        <v>2864</v>
      </c>
      <c r="AR209" s="202">
        <v>0</v>
      </c>
      <c r="AS209" s="202">
        <v>0</v>
      </c>
      <c r="AT209" s="202">
        <v>7.5</v>
      </c>
      <c r="AU209" s="202">
        <v>0</v>
      </c>
      <c r="AV209" s="202">
        <v>1.5</v>
      </c>
      <c r="AW209"/>
      <c r="AX209"/>
      <c r="AY209"/>
    </row>
    <row r="210" spans="1:51">
      <c r="A210" s="202" t="str">
        <f t="shared" si="15"/>
        <v>自付文</v>
      </c>
      <c r="B210" s="202">
        <f>IF(C210&lt;&gt;"NA",C210,VLOOKUP(K210,Update_from_YIFIP!$X$2:$AD$174,7,FALSE))</f>
        <v>110</v>
      </c>
      <c r="C210" s="207">
        <f t="shared" si="12"/>
        <v>110</v>
      </c>
      <c r="D210" s="207">
        <f t="shared" si="13"/>
        <v>110</v>
      </c>
      <c r="E210" s="202" t="s">
        <v>2169</v>
      </c>
      <c r="F210" s="202" t="s">
        <v>2862</v>
      </c>
      <c r="G210" s="202" t="s">
        <v>2863</v>
      </c>
      <c r="H210" s="207" t="str">
        <f t="shared" si="14"/>
        <v>NA</v>
      </c>
      <c r="I210" s="202" t="s">
        <v>1929</v>
      </c>
      <c r="J210" s="202" t="s">
        <v>2859</v>
      </c>
      <c r="K210" s="202" t="s">
        <v>2867</v>
      </c>
      <c r="L210" s="202" t="s">
        <v>1504</v>
      </c>
      <c r="M210" s="202">
        <v>9</v>
      </c>
      <c r="N210" s="202">
        <v>0</v>
      </c>
      <c r="O210" s="202">
        <v>38</v>
      </c>
      <c r="P210" s="202">
        <v>2</v>
      </c>
      <c r="Q210" s="202">
        <v>3</v>
      </c>
      <c r="R210" s="202">
        <v>3</v>
      </c>
      <c r="S210" s="202">
        <v>3</v>
      </c>
      <c r="T210" s="202">
        <v>4</v>
      </c>
      <c r="U210" s="202">
        <v>4</v>
      </c>
      <c r="V210" s="202">
        <v>5</v>
      </c>
      <c r="W210" s="202">
        <v>6</v>
      </c>
      <c r="X210" s="202">
        <v>8</v>
      </c>
      <c r="Y210" s="202">
        <v>0</v>
      </c>
      <c r="Z210" s="202">
        <v>0</v>
      </c>
      <c r="AA210" s="202">
        <v>0</v>
      </c>
      <c r="AB210" s="202">
        <v>0</v>
      </c>
      <c r="AC210" s="202">
        <v>0</v>
      </c>
      <c r="AD210" s="202">
        <v>0</v>
      </c>
      <c r="AE210" s="202">
        <v>0</v>
      </c>
      <c r="AF210" s="202">
        <v>0</v>
      </c>
      <c r="AG210" s="202">
        <v>0</v>
      </c>
      <c r="AH210" s="202">
        <v>0</v>
      </c>
      <c r="AI210" s="202">
        <v>0</v>
      </c>
      <c r="AJ210" s="202">
        <v>0</v>
      </c>
      <c r="AK210" s="202">
        <v>0</v>
      </c>
      <c r="AL210" s="202">
        <v>0</v>
      </c>
      <c r="AM210" s="202">
        <v>0</v>
      </c>
      <c r="AN210" s="202">
        <v>0</v>
      </c>
      <c r="AO210" s="202">
        <v>0</v>
      </c>
      <c r="AP210" s="202">
        <v>0</v>
      </c>
      <c r="AQ210" s="202" t="s">
        <v>2866</v>
      </c>
      <c r="AR210" s="202">
        <v>0</v>
      </c>
      <c r="AS210" s="202">
        <v>0</v>
      </c>
      <c r="AT210" s="202">
        <v>10</v>
      </c>
      <c r="AU210" s="202">
        <v>0</v>
      </c>
      <c r="AV210" s="202">
        <v>2</v>
      </c>
      <c r="AW210"/>
      <c r="AX210"/>
      <c r="AY210"/>
    </row>
    <row r="211" spans="1:51">
      <c r="A211" s="202" t="str">
        <f t="shared" si="15"/>
        <v>自付文</v>
      </c>
      <c r="B211" s="202">
        <f>IF(C211&lt;&gt;"NA",C211,VLOOKUP(K211,Update_from_YIFIP!$X$2:$AD$174,7,FALSE))</f>
        <v>110</v>
      </c>
      <c r="C211" s="207">
        <f t="shared" si="12"/>
        <v>110</v>
      </c>
      <c r="D211" s="207">
        <f t="shared" si="13"/>
        <v>110</v>
      </c>
      <c r="E211" s="202" t="s">
        <v>2169</v>
      </c>
      <c r="F211" s="202" t="s">
        <v>2862</v>
      </c>
      <c r="G211" s="202" t="s">
        <v>2863</v>
      </c>
      <c r="H211" s="207" t="str">
        <f t="shared" si="14"/>
        <v>NA</v>
      </c>
      <c r="I211" s="202" t="s">
        <v>1929</v>
      </c>
      <c r="J211" s="202" t="s">
        <v>2859</v>
      </c>
      <c r="K211" s="202" t="s">
        <v>2868</v>
      </c>
      <c r="L211" s="202" t="s">
        <v>1505</v>
      </c>
      <c r="M211" s="202">
        <v>10</v>
      </c>
      <c r="N211" s="202">
        <v>0</v>
      </c>
      <c r="O211" s="202">
        <v>41</v>
      </c>
      <c r="P211" s="202">
        <v>3</v>
      </c>
      <c r="Q211" s="202">
        <v>3</v>
      </c>
      <c r="R211" s="202">
        <v>3</v>
      </c>
      <c r="S211" s="202">
        <v>3</v>
      </c>
      <c r="T211" s="202">
        <v>4</v>
      </c>
      <c r="U211" s="202">
        <v>4</v>
      </c>
      <c r="V211" s="202">
        <v>4</v>
      </c>
      <c r="W211" s="202">
        <v>5</v>
      </c>
      <c r="X211" s="202">
        <v>5</v>
      </c>
      <c r="Y211" s="202">
        <v>7</v>
      </c>
      <c r="Z211" s="202">
        <v>0</v>
      </c>
      <c r="AA211" s="202">
        <v>0</v>
      </c>
      <c r="AB211" s="202">
        <v>0</v>
      </c>
      <c r="AC211" s="202">
        <v>0</v>
      </c>
      <c r="AD211" s="202">
        <v>0</v>
      </c>
      <c r="AE211" s="202">
        <v>0</v>
      </c>
      <c r="AF211" s="202">
        <v>0</v>
      </c>
      <c r="AG211" s="202">
        <v>0</v>
      </c>
      <c r="AH211" s="202">
        <v>0</v>
      </c>
      <c r="AI211" s="202">
        <v>0</v>
      </c>
      <c r="AJ211" s="202">
        <v>0</v>
      </c>
      <c r="AK211" s="202">
        <v>0</v>
      </c>
      <c r="AL211" s="202">
        <v>0</v>
      </c>
      <c r="AM211" s="202">
        <v>0</v>
      </c>
      <c r="AN211" s="202">
        <v>0</v>
      </c>
      <c r="AO211" s="202">
        <v>0</v>
      </c>
      <c r="AP211" s="202">
        <v>0</v>
      </c>
      <c r="AQ211" s="202" t="s">
        <v>2461</v>
      </c>
      <c r="AR211" s="202">
        <v>0</v>
      </c>
      <c r="AS211" s="202">
        <v>0</v>
      </c>
      <c r="AT211" s="202">
        <v>12.5</v>
      </c>
      <c r="AU211" s="202">
        <v>0</v>
      </c>
      <c r="AV211" s="202">
        <v>2.5</v>
      </c>
      <c r="AW211"/>
      <c r="AX211"/>
      <c r="AY211"/>
    </row>
    <row r="212" spans="1:51">
      <c r="A212" s="202" t="str">
        <f t="shared" si="15"/>
        <v>自付文</v>
      </c>
      <c r="B212" s="202">
        <f>IF(C212&lt;&gt;"NA",C212,VLOOKUP(K212,Update_from_YIFIP!$X$2:$AD$174,7,FALSE))</f>
        <v>110</v>
      </c>
      <c r="C212" s="207">
        <f t="shared" si="12"/>
        <v>110</v>
      </c>
      <c r="D212" s="207">
        <f t="shared" si="13"/>
        <v>110</v>
      </c>
      <c r="E212" s="202" t="s">
        <v>2169</v>
      </c>
      <c r="F212" s="202" t="s">
        <v>2862</v>
      </c>
      <c r="G212" s="202" t="s">
        <v>2863</v>
      </c>
      <c r="H212" s="207" t="str">
        <f t="shared" si="14"/>
        <v>NA</v>
      </c>
      <c r="I212" s="202" t="s">
        <v>1929</v>
      </c>
      <c r="J212" s="202" t="s">
        <v>2859</v>
      </c>
      <c r="K212" s="202" t="s">
        <v>2869</v>
      </c>
      <c r="L212" s="202" t="s">
        <v>1506</v>
      </c>
      <c r="M212" s="202">
        <v>10</v>
      </c>
      <c r="N212" s="202">
        <v>0</v>
      </c>
      <c r="O212" s="202">
        <v>51</v>
      </c>
      <c r="P212" s="202">
        <v>2</v>
      </c>
      <c r="Q212" s="202">
        <v>4</v>
      </c>
      <c r="R212" s="202">
        <v>4</v>
      </c>
      <c r="S212" s="202">
        <v>4</v>
      </c>
      <c r="T212" s="202">
        <v>4</v>
      </c>
      <c r="U212" s="202">
        <v>5</v>
      </c>
      <c r="V212" s="202">
        <v>5</v>
      </c>
      <c r="W212" s="202">
        <v>6</v>
      </c>
      <c r="X212" s="202">
        <v>8</v>
      </c>
      <c r="Y212" s="202">
        <v>9</v>
      </c>
      <c r="Z212" s="202">
        <v>0</v>
      </c>
      <c r="AA212" s="202">
        <v>0</v>
      </c>
      <c r="AB212" s="202">
        <v>0</v>
      </c>
      <c r="AC212" s="202">
        <v>0</v>
      </c>
      <c r="AD212" s="202">
        <v>0</v>
      </c>
      <c r="AE212" s="202">
        <v>0</v>
      </c>
      <c r="AF212" s="202">
        <v>0</v>
      </c>
      <c r="AG212" s="202">
        <v>0</v>
      </c>
      <c r="AH212" s="202">
        <v>0</v>
      </c>
      <c r="AI212" s="202">
        <v>0</v>
      </c>
      <c r="AJ212" s="202">
        <v>0</v>
      </c>
      <c r="AK212" s="202">
        <v>0</v>
      </c>
      <c r="AL212" s="202">
        <v>0</v>
      </c>
      <c r="AM212" s="202">
        <v>0</v>
      </c>
      <c r="AN212" s="202">
        <v>0</v>
      </c>
      <c r="AO212" s="202">
        <v>0</v>
      </c>
      <c r="AP212" s="202">
        <v>0</v>
      </c>
      <c r="AQ212" s="202" t="s">
        <v>2467</v>
      </c>
      <c r="AR212" s="202">
        <v>0</v>
      </c>
      <c r="AS212" s="202">
        <v>0</v>
      </c>
      <c r="AT212" s="202">
        <v>7.5</v>
      </c>
      <c r="AU212" s="202">
        <v>0</v>
      </c>
      <c r="AV212" s="202">
        <v>1.5</v>
      </c>
      <c r="AW212"/>
      <c r="AX212"/>
      <c r="AY212"/>
    </row>
    <row r="213" spans="1:51">
      <c r="A213" s="202" t="str">
        <f t="shared" si="15"/>
        <v>李发文</v>
      </c>
      <c r="B213" s="202">
        <f>IF(C213&lt;&gt;"NA",C213,VLOOKUP(K213,Update_from_YIFIP!$X$2:$AD$174,7,FALSE))</f>
        <v>111</v>
      </c>
      <c r="C213" s="207">
        <f t="shared" si="12"/>
        <v>111</v>
      </c>
      <c r="D213" s="207">
        <f t="shared" si="13"/>
        <v>111</v>
      </c>
      <c r="E213" s="202" t="s">
        <v>2056</v>
      </c>
      <c r="F213" s="202" t="s">
        <v>2908</v>
      </c>
      <c r="G213" s="202" t="s">
        <v>2909</v>
      </c>
      <c r="H213" s="207" t="str">
        <f t="shared" si="14"/>
        <v>NA</v>
      </c>
      <c r="I213" s="202" t="s">
        <v>1929</v>
      </c>
      <c r="J213" s="202" t="s">
        <v>2907</v>
      </c>
      <c r="K213" s="202">
        <v>0</v>
      </c>
      <c r="L213" s="202" t="s">
        <v>1524</v>
      </c>
      <c r="M213" s="202">
        <v>10</v>
      </c>
      <c r="N213" s="202">
        <v>0</v>
      </c>
      <c r="O213" s="202">
        <v>92</v>
      </c>
      <c r="P213" s="202">
        <v>7</v>
      </c>
      <c r="Q213" s="202">
        <v>3</v>
      </c>
      <c r="R213" s="202">
        <v>6</v>
      </c>
      <c r="S213" s="202">
        <v>6</v>
      </c>
      <c r="T213" s="202">
        <v>6</v>
      </c>
      <c r="U213" s="202">
        <v>8</v>
      </c>
      <c r="V213" s="202">
        <v>14</v>
      </c>
      <c r="W213" s="202">
        <v>15</v>
      </c>
      <c r="X213" s="202">
        <v>10</v>
      </c>
      <c r="Y213" s="202">
        <v>17</v>
      </c>
      <c r="Z213" s="202">
        <v>0</v>
      </c>
      <c r="AA213" s="202">
        <v>0</v>
      </c>
      <c r="AB213" s="202">
        <v>0</v>
      </c>
      <c r="AC213" s="202">
        <v>0</v>
      </c>
      <c r="AD213" s="202">
        <v>0</v>
      </c>
      <c r="AE213" s="202">
        <v>0</v>
      </c>
      <c r="AF213" s="202">
        <v>0</v>
      </c>
      <c r="AG213" s="202">
        <v>0</v>
      </c>
      <c r="AH213" s="202">
        <v>0</v>
      </c>
      <c r="AI213" s="202">
        <v>0</v>
      </c>
      <c r="AJ213" s="202">
        <v>0</v>
      </c>
      <c r="AK213" s="202">
        <v>0</v>
      </c>
      <c r="AL213" s="202">
        <v>0</v>
      </c>
      <c r="AM213" s="202">
        <v>0</v>
      </c>
      <c r="AN213" s="202">
        <v>0</v>
      </c>
      <c r="AO213" s="202">
        <v>0</v>
      </c>
      <c r="AP213" s="202">
        <v>0</v>
      </c>
      <c r="AQ213" s="202" t="s">
        <v>2757</v>
      </c>
      <c r="AR213" s="202">
        <v>0</v>
      </c>
      <c r="AS213" s="202">
        <v>0</v>
      </c>
      <c r="AT213" s="202">
        <v>20</v>
      </c>
      <c r="AU213" s="202">
        <v>0</v>
      </c>
      <c r="AV213" s="202">
        <v>4</v>
      </c>
      <c r="AW213"/>
      <c r="AX213"/>
      <c r="AY213"/>
    </row>
    <row r="214" spans="1:51">
      <c r="A214" s="202" t="str">
        <f t="shared" si="15"/>
        <v>李发文</v>
      </c>
      <c r="B214" s="202">
        <f>IF(C214&lt;&gt;"NA",C214,VLOOKUP(K214,Update_from_YIFIP!$X$2:$AD$174,7,FALSE))</f>
        <v>111</v>
      </c>
      <c r="C214" s="207">
        <f t="shared" si="12"/>
        <v>111</v>
      </c>
      <c r="D214" s="207">
        <f t="shared" si="13"/>
        <v>111</v>
      </c>
      <c r="E214" s="202" t="s">
        <v>2056</v>
      </c>
      <c r="F214" s="202" t="s">
        <v>2908</v>
      </c>
      <c r="G214" s="202" t="s">
        <v>2909</v>
      </c>
      <c r="H214" s="207" t="str">
        <f t="shared" si="14"/>
        <v>NA</v>
      </c>
      <c r="I214" s="202" t="s">
        <v>1929</v>
      </c>
      <c r="J214" s="202" t="s">
        <v>2907</v>
      </c>
      <c r="K214" s="202">
        <v>0</v>
      </c>
      <c r="L214" s="202" t="s">
        <v>1525</v>
      </c>
      <c r="M214" s="202">
        <v>10</v>
      </c>
      <c r="N214" s="202">
        <v>0</v>
      </c>
      <c r="O214" s="202">
        <v>139</v>
      </c>
      <c r="P214" s="202">
        <v>25</v>
      </c>
      <c r="Q214" s="202">
        <v>17</v>
      </c>
      <c r="R214" s="202">
        <v>15</v>
      </c>
      <c r="S214" s="202">
        <v>21</v>
      </c>
      <c r="T214" s="202">
        <v>8</v>
      </c>
      <c r="U214" s="202">
        <v>15</v>
      </c>
      <c r="V214" s="202">
        <v>15</v>
      </c>
      <c r="W214" s="202">
        <v>11</v>
      </c>
      <c r="X214" s="202">
        <v>8</v>
      </c>
      <c r="Y214" s="202">
        <v>4</v>
      </c>
      <c r="Z214" s="202">
        <v>0</v>
      </c>
      <c r="AA214" s="202">
        <v>0</v>
      </c>
      <c r="AB214" s="202">
        <v>0</v>
      </c>
      <c r="AC214" s="202">
        <v>0</v>
      </c>
      <c r="AD214" s="202">
        <v>0</v>
      </c>
      <c r="AE214" s="202">
        <v>0</v>
      </c>
      <c r="AF214" s="202">
        <v>0</v>
      </c>
      <c r="AG214" s="202">
        <v>0</v>
      </c>
      <c r="AH214" s="202">
        <v>0</v>
      </c>
      <c r="AI214" s="202">
        <v>0</v>
      </c>
      <c r="AJ214" s="202">
        <v>0</v>
      </c>
      <c r="AK214" s="202">
        <v>0</v>
      </c>
      <c r="AL214" s="202">
        <v>0</v>
      </c>
      <c r="AM214" s="202">
        <v>0</v>
      </c>
      <c r="AN214" s="202">
        <v>0</v>
      </c>
      <c r="AO214" s="202">
        <v>0</v>
      </c>
      <c r="AP214" s="202">
        <v>0</v>
      </c>
      <c r="AQ214" s="202" t="s">
        <v>2650</v>
      </c>
      <c r="AR214" s="202">
        <v>0</v>
      </c>
      <c r="AS214" s="202">
        <v>0</v>
      </c>
      <c r="AT214" s="202">
        <v>48</v>
      </c>
      <c r="AU214" s="202" t="s">
        <v>2910</v>
      </c>
      <c r="AV214" s="202">
        <v>9.6</v>
      </c>
      <c r="AW214"/>
      <c r="AX214"/>
      <c r="AY214"/>
    </row>
    <row r="215" spans="1:51">
      <c r="A215" s="202" t="str">
        <f t="shared" si="15"/>
        <v>李发文</v>
      </c>
      <c r="B215" s="202">
        <f>IF(C215&lt;&gt;"NA",C215,VLOOKUP(K215,Update_from_YIFIP!$X$2:$AD$174,7,FALSE))</f>
        <v>111</v>
      </c>
      <c r="C215" s="207">
        <f t="shared" si="12"/>
        <v>111</v>
      </c>
      <c r="D215" s="207">
        <f t="shared" si="13"/>
        <v>111</v>
      </c>
      <c r="E215" s="202" t="s">
        <v>2056</v>
      </c>
      <c r="F215" s="202" t="s">
        <v>2908</v>
      </c>
      <c r="G215" s="202" t="s">
        <v>2909</v>
      </c>
      <c r="H215" s="207" t="str">
        <f t="shared" si="14"/>
        <v>NA</v>
      </c>
      <c r="I215" s="202" t="s">
        <v>1929</v>
      </c>
      <c r="J215" s="202" t="s">
        <v>2907</v>
      </c>
      <c r="K215" s="202">
        <v>0</v>
      </c>
      <c r="L215" s="202" t="s">
        <v>1526</v>
      </c>
      <c r="M215" s="202">
        <v>10</v>
      </c>
      <c r="N215" s="202">
        <v>0</v>
      </c>
      <c r="O215" s="202">
        <v>63</v>
      </c>
      <c r="P215" s="202">
        <v>6</v>
      </c>
      <c r="Q215" s="202">
        <v>4</v>
      </c>
      <c r="R215" s="202">
        <v>4</v>
      </c>
      <c r="S215" s="202">
        <v>6</v>
      </c>
      <c r="T215" s="202">
        <v>5</v>
      </c>
      <c r="U215" s="202">
        <v>4</v>
      </c>
      <c r="V215" s="202">
        <v>10</v>
      </c>
      <c r="W215" s="202">
        <v>12</v>
      </c>
      <c r="X215" s="202">
        <v>3</v>
      </c>
      <c r="Y215" s="202">
        <v>9</v>
      </c>
      <c r="Z215" s="202">
        <v>0</v>
      </c>
      <c r="AA215" s="202">
        <v>0</v>
      </c>
      <c r="AB215" s="202">
        <v>0</v>
      </c>
      <c r="AC215" s="202">
        <v>0</v>
      </c>
      <c r="AD215" s="202">
        <v>0</v>
      </c>
      <c r="AE215" s="202">
        <v>0</v>
      </c>
      <c r="AF215" s="202">
        <v>0</v>
      </c>
      <c r="AG215" s="202">
        <v>0</v>
      </c>
      <c r="AH215" s="202">
        <v>0</v>
      </c>
      <c r="AI215" s="202">
        <v>0</v>
      </c>
      <c r="AJ215" s="202">
        <v>0</v>
      </c>
      <c r="AK215" s="202">
        <v>0</v>
      </c>
      <c r="AL215" s="202">
        <v>0</v>
      </c>
      <c r="AM215" s="202">
        <v>0</v>
      </c>
      <c r="AN215" s="202">
        <v>0</v>
      </c>
      <c r="AO215" s="202">
        <v>0</v>
      </c>
      <c r="AP215" s="202">
        <v>0</v>
      </c>
      <c r="AQ215" s="202" t="s">
        <v>2650</v>
      </c>
      <c r="AR215" s="202">
        <v>0</v>
      </c>
      <c r="AS215" s="202">
        <v>0</v>
      </c>
      <c r="AT215" s="202">
        <v>17.5</v>
      </c>
      <c r="AU215" s="202">
        <v>0</v>
      </c>
      <c r="AV215" s="202">
        <v>3.5</v>
      </c>
      <c r="AW215"/>
      <c r="AX215"/>
      <c r="AY215"/>
    </row>
    <row r="216" spans="1:51">
      <c r="A216" s="202" t="str">
        <f t="shared" si="15"/>
        <v>李发文</v>
      </c>
      <c r="B216" s="202">
        <f>IF(C216&lt;&gt;"NA",C216,VLOOKUP(K216,Update_from_YIFIP!$X$2:$AD$174,7,FALSE))</f>
        <v>111</v>
      </c>
      <c r="C216" s="207">
        <f t="shared" si="12"/>
        <v>111</v>
      </c>
      <c r="D216" s="207">
        <f t="shared" si="13"/>
        <v>111</v>
      </c>
      <c r="E216" s="202" t="s">
        <v>2056</v>
      </c>
      <c r="F216" s="202" t="s">
        <v>2908</v>
      </c>
      <c r="G216" s="202" t="s">
        <v>2909</v>
      </c>
      <c r="H216" s="207" t="str">
        <f t="shared" si="14"/>
        <v>NA</v>
      </c>
      <c r="I216" s="202" t="s">
        <v>1929</v>
      </c>
      <c r="J216" s="202" t="s">
        <v>2907</v>
      </c>
      <c r="K216" s="202">
        <v>0</v>
      </c>
      <c r="L216" s="202" t="s">
        <v>1527</v>
      </c>
      <c r="M216" s="202">
        <v>7</v>
      </c>
      <c r="N216" s="202">
        <v>0</v>
      </c>
      <c r="O216" s="202">
        <v>105</v>
      </c>
      <c r="P216" s="202">
        <v>18</v>
      </c>
      <c r="Q216" s="202">
        <v>18</v>
      </c>
      <c r="R216" s="202">
        <v>16</v>
      </c>
      <c r="S216" s="202">
        <v>8</v>
      </c>
      <c r="T216" s="202">
        <v>23</v>
      </c>
      <c r="U216" s="202">
        <v>12</v>
      </c>
      <c r="V216" s="202">
        <v>10</v>
      </c>
      <c r="W216" s="202">
        <v>0</v>
      </c>
      <c r="X216" s="202">
        <v>0</v>
      </c>
      <c r="Y216" s="202">
        <v>0</v>
      </c>
      <c r="Z216" s="202">
        <v>0</v>
      </c>
      <c r="AA216" s="202">
        <v>0</v>
      </c>
      <c r="AB216" s="202">
        <v>0</v>
      </c>
      <c r="AC216" s="202">
        <v>0</v>
      </c>
      <c r="AD216" s="202">
        <v>0</v>
      </c>
      <c r="AE216" s="202">
        <v>0</v>
      </c>
      <c r="AF216" s="202">
        <v>0</v>
      </c>
      <c r="AG216" s="202">
        <v>0</v>
      </c>
      <c r="AH216" s="202">
        <v>0</v>
      </c>
      <c r="AI216" s="202">
        <v>0</v>
      </c>
      <c r="AJ216" s="202">
        <v>0</v>
      </c>
      <c r="AK216" s="202">
        <v>0</v>
      </c>
      <c r="AL216" s="202">
        <v>0</v>
      </c>
      <c r="AM216" s="202">
        <v>0</v>
      </c>
      <c r="AN216" s="202">
        <v>0</v>
      </c>
      <c r="AO216" s="202">
        <v>0</v>
      </c>
      <c r="AP216" s="202">
        <v>0</v>
      </c>
      <c r="AQ216" s="202" t="s">
        <v>2830</v>
      </c>
      <c r="AR216" s="202">
        <v>0</v>
      </c>
      <c r="AS216" s="202">
        <v>0</v>
      </c>
      <c r="AT216" s="202">
        <v>24.5</v>
      </c>
      <c r="AU216" s="202" t="s">
        <v>2911</v>
      </c>
      <c r="AV216" s="202">
        <v>4.9000000000000004</v>
      </c>
      <c r="AW216"/>
      <c r="AX216"/>
      <c r="AY216"/>
    </row>
    <row r="217" spans="1:51">
      <c r="A217" s="202" t="str">
        <f t="shared" si="15"/>
        <v>李志国</v>
      </c>
      <c r="B217" s="202">
        <f>IF(C217&lt;&gt;"NA",C217,VLOOKUP(K217,Update_from_YIFIP!$X$2:$AD$174,7,FALSE))</f>
        <v>112</v>
      </c>
      <c r="C217" s="207">
        <f t="shared" si="12"/>
        <v>112</v>
      </c>
      <c r="D217" s="207">
        <f t="shared" si="13"/>
        <v>112</v>
      </c>
      <c r="E217" s="202" t="s">
        <v>2086</v>
      </c>
      <c r="F217" s="202" t="s">
        <v>2804</v>
      </c>
      <c r="G217" s="202" t="s">
        <v>2805</v>
      </c>
      <c r="H217" s="207" t="str">
        <f t="shared" si="14"/>
        <v>NA</v>
      </c>
      <c r="I217" s="202" t="s">
        <v>1929</v>
      </c>
      <c r="J217" s="202" t="s">
        <v>2801</v>
      </c>
      <c r="K217" s="202" t="s">
        <v>2803</v>
      </c>
      <c r="L217" s="202" t="s">
        <v>1481</v>
      </c>
      <c r="M217" s="202">
        <v>10</v>
      </c>
      <c r="N217" s="202">
        <v>0</v>
      </c>
      <c r="O217" s="202">
        <v>60</v>
      </c>
      <c r="P217" s="202">
        <v>6</v>
      </c>
      <c r="Q217" s="202">
        <v>4</v>
      </c>
      <c r="R217" s="202">
        <v>7</v>
      </c>
      <c r="S217" s="202">
        <v>6</v>
      </c>
      <c r="T217" s="202">
        <v>7</v>
      </c>
      <c r="U217" s="202">
        <v>5</v>
      </c>
      <c r="V217" s="202">
        <v>6</v>
      </c>
      <c r="W217" s="202">
        <v>6</v>
      </c>
      <c r="X217" s="202">
        <v>7</v>
      </c>
      <c r="Y217" s="202">
        <v>6</v>
      </c>
      <c r="Z217" s="202">
        <v>0</v>
      </c>
      <c r="AA217" s="202">
        <v>0</v>
      </c>
      <c r="AB217" s="202">
        <v>0</v>
      </c>
      <c r="AC217" s="202">
        <v>0</v>
      </c>
      <c r="AD217" s="202">
        <v>0</v>
      </c>
      <c r="AE217" s="202">
        <v>0</v>
      </c>
      <c r="AF217" s="202">
        <v>0</v>
      </c>
      <c r="AG217" s="202">
        <v>0</v>
      </c>
      <c r="AH217" s="202">
        <v>0</v>
      </c>
      <c r="AI217" s="202">
        <v>0</v>
      </c>
      <c r="AJ217" s="202">
        <v>0</v>
      </c>
      <c r="AK217" s="202">
        <v>0</v>
      </c>
      <c r="AL217" s="202">
        <v>0</v>
      </c>
      <c r="AM217" s="202">
        <v>0</v>
      </c>
      <c r="AN217" s="202">
        <v>0</v>
      </c>
      <c r="AO217" s="202">
        <v>0</v>
      </c>
      <c r="AP217" s="202">
        <v>0</v>
      </c>
      <c r="AQ217" s="202" t="s">
        <v>2802</v>
      </c>
      <c r="AR217" s="202">
        <v>0</v>
      </c>
      <c r="AS217" s="202">
        <v>0</v>
      </c>
      <c r="AT217" s="202">
        <v>12.5</v>
      </c>
      <c r="AU217" s="202">
        <v>0</v>
      </c>
      <c r="AV217" s="202">
        <v>2.5</v>
      </c>
      <c r="AW217"/>
      <c r="AX217"/>
      <c r="AY217"/>
    </row>
    <row r="218" spans="1:51">
      <c r="A218" s="202" t="str">
        <f t="shared" si="15"/>
        <v>李志国</v>
      </c>
      <c r="B218" s="202">
        <f>IF(C218&lt;&gt;"NA",C218,VLOOKUP(K218,Update_from_YIFIP!$X$2:$AD$174,7,FALSE))</f>
        <v>112</v>
      </c>
      <c r="C218" s="207">
        <f t="shared" si="12"/>
        <v>112</v>
      </c>
      <c r="D218" s="207">
        <f t="shared" si="13"/>
        <v>112</v>
      </c>
      <c r="E218" s="202" t="s">
        <v>2086</v>
      </c>
      <c r="F218" s="202" t="s">
        <v>2804</v>
      </c>
      <c r="G218" s="202" t="s">
        <v>2805</v>
      </c>
      <c r="H218" s="207" t="str">
        <f t="shared" si="14"/>
        <v>NA</v>
      </c>
      <c r="I218" s="202" t="s">
        <v>1929</v>
      </c>
      <c r="J218" s="202" t="s">
        <v>2801</v>
      </c>
      <c r="K218" s="202" t="s">
        <v>2807</v>
      </c>
      <c r="L218" s="202" t="s">
        <v>1482</v>
      </c>
      <c r="M218" s="202">
        <v>10</v>
      </c>
      <c r="N218" s="202">
        <v>0</v>
      </c>
      <c r="O218" s="202">
        <v>54</v>
      </c>
      <c r="P218" s="202">
        <v>8</v>
      </c>
      <c r="Q218" s="202">
        <v>4</v>
      </c>
      <c r="R218" s="202">
        <v>5</v>
      </c>
      <c r="S218" s="202">
        <v>7</v>
      </c>
      <c r="T218" s="202">
        <v>5</v>
      </c>
      <c r="U218" s="202">
        <v>4</v>
      </c>
      <c r="V218" s="202">
        <v>8</v>
      </c>
      <c r="W218" s="202">
        <v>4</v>
      </c>
      <c r="X218" s="202">
        <v>4</v>
      </c>
      <c r="Y218" s="202">
        <v>5</v>
      </c>
      <c r="Z218" s="202">
        <v>0</v>
      </c>
      <c r="AA218" s="202">
        <v>0</v>
      </c>
      <c r="AB218" s="202">
        <v>0</v>
      </c>
      <c r="AC218" s="202">
        <v>0</v>
      </c>
      <c r="AD218" s="202">
        <v>0</v>
      </c>
      <c r="AE218" s="202">
        <v>0</v>
      </c>
      <c r="AF218" s="202">
        <v>0</v>
      </c>
      <c r="AG218" s="202">
        <v>0</v>
      </c>
      <c r="AH218" s="202">
        <v>0</v>
      </c>
      <c r="AI218" s="202">
        <v>0</v>
      </c>
      <c r="AJ218" s="202">
        <v>0</v>
      </c>
      <c r="AK218" s="202">
        <v>0</v>
      </c>
      <c r="AL218" s="202">
        <v>0</v>
      </c>
      <c r="AM218" s="202">
        <v>0</v>
      </c>
      <c r="AN218" s="202">
        <v>0</v>
      </c>
      <c r="AO218" s="202">
        <v>0</v>
      </c>
      <c r="AP218" s="202">
        <v>0</v>
      </c>
      <c r="AQ218" s="202" t="s">
        <v>2806</v>
      </c>
      <c r="AR218" s="202">
        <v>0</v>
      </c>
      <c r="AS218" s="202">
        <v>0</v>
      </c>
      <c r="AT218" s="202">
        <v>10</v>
      </c>
      <c r="AU218" s="202">
        <v>0</v>
      </c>
      <c r="AV218" s="202">
        <v>2</v>
      </c>
      <c r="AW218"/>
      <c r="AX218"/>
      <c r="AY218"/>
    </row>
    <row r="219" spans="1:51">
      <c r="A219" s="202" t="str">
        <f t="shared" si="15"/>
        <v>李志国</v>
      </c>
      <c r="B219" s="202">
        <f>IF(C219&lt;&gt;"NA",C219,VLOOKUP(K219,Update_from_YIFIP!$X$2:$AD$174,7,FALSE))</f>
        <v>112</v>
      </c>
      <c r="C219" s="207">
        <f t="shared" si="12"/>
        <v>112</v>
      </c>
      <c r="D219" s="207">
        <f t="shared" si="13"/>
        <v>112</v>
      </c>
      <c r="E219" s="202" t="s">
        <v>2086</v>
      </c>
      <c r="F219" s="202" t="s">
        <v>2804</v>
      </c>
      <c r="G219" s="202" t="s">
        <v>2805</v>
      </c>
      <c r="H219" s="207" t="str">
        <f t="shared" si="14"/>
        <v>NA</v>
      </c>
      <c r="I219" s="202" t="s">
        <v>1929</v>
      </c>
      <c r="J219" s="202" t="s">
        <v>2801</v>
      </c>
      <c r="K219" s="202" t="s">
        <v>2809</v>
      </c>
      <c r="L219" s="202" t="s">
        <v>1483</v>
      </c>
      <c r="M219" s="202">
        <v>10</v>
      </c>
      <c r="N219" s="202">
        <v>0</v>
      </c>
      <c r="O219" s="202">
        <v>59</v>
      </c>
      <c r="P219" s="202">
        <v>6</v>
      </c>
      <c r="Q219" s="202">
        <v>5</v>
      </c>
      <c r="R219" s="202">
        <v>4</v>
      </c>
      <c r="S219" s="202">
        <v>6</v>
      </c>
      <c r="T219" s="202">
        <v>5</v>
      </c>
      <c r="U219" s="202">
        <v>9</v>
      </c>
      <c r="V219" s="202">
        <v>7</v>
      </c>
      <c r="W219" s="202">
        <v>5</v>
      </c>
      <c r="X219" s="202">
        <v>6</v>
      </c>
      <c r="Y219" s="202">
        <v>6</v>
      </c>
      <c r="Z219" s="202">
        <v>0</v>
      </c>
      <c r="AA219" s="202">
        <v>0</v>
      </c>
      <c r="AB219" s="202">
        <v>0</v>
      </c>
      <c r="AC219" s="202">
        <v>0</v>
      </c>
      <c r="AD219" s="202">
        <v>0</v>
      </c>
      <c r="AE219" s="202">
        <v>0</v>
      </c>
      <c r="AF219" s="202">
        <v>0</v>
      </c>
      <c r="AG219" s="202">
        <v>0</v>
      </c>
      <c r="AH219" s="202">
        <v>0</v>
      </c>
      <c r="AI219" s="202">
        <v>0</v>
      </c>
      <c r="AJ219" s="202">
        <v>0</v>
      </c>
      <c r="AK219" s="202">
        <v>0</v>
      </c>
      <c r="AL219" s="202">
        <v>0</v>
      </c>
      <c r="AM219" s="202">
        <v>0</v>
      </c>
      <c r="AN219" s="202">
        <v>0</v>
      </c>
      <c r="AO219" s="202">
        <v>0</v>
      </c>
      <c r="AP219" s="202">
        <v>0</v>
      </c>
      <c r="AQ219" s="202" t="s">
        <v>2808</v>
      </c>
      <c r="AR219" s="202">
        <v>0</v>
      </c>
      <c r="AS219" s="202">
        <v>0</v>
      </c>
      <c r="AT219" s="202">
        <v>10</v>
      </c>
      <c r="AU219" s="202">
        <v>0</v>
      </c>
      <c r="AV219" s="202">
        <v>2</v>
      </c>
      <c r="AW219"/>
      <c r="AX219"/>
      <c r="AY219"/>
    </row>
    <row r="220" spans="1:51">
      <c r="A220" s="202" t="str">
        <f t="shared" si="15"/>
        <v>李志国</v>
      </c>
      <c r="B220" s="202">
        <f>IF(C220&lt;&gt;"NA",C220,VLOOKUP(K220,Update_from_YIFIP!$X$2:$AD$174,7,FALSE))</f>
        <v>112</v>
      </c>
      <c r="C220" s="207">
        <f t="shared" si="12"/>
        <v>112</v>
      </c>
      <c r="D220" s="207">
        <f t="shared" si="13"/>
        <v>112</v>
      </c>
      <c r="E220" s="202" t="s">
        <v>2086</v>
      </c>
      <c r="F220" s="202" t="s">
        <v>2804</v>
      </c>
      <c r="G220" s="202" t="s">
        <v>2805</v>
      </c>
      <c r="H220" s="207" t="str">
        <f t="shared" si="14"/>
        <v>NA</v>
      </c>
      <c r="I220" s="202" t="s">
        <v>1929</v>
      </c>
      <c r="J220" s="202" t="s">
        <v>2801</v>
      </c>
      <c r="K220" s="202" t="s">
        <v>2811</v>
      </c>
      <c r="L220" s="202" t="s">
        <v>1484</v>
      </c>
      <c r="M220" s="202">
        <v>10</v>
      </c>
      <c r="N220" s="202">
        <v>0</v>
      </c>
      <c r="O220" s="202">
        <v>60</v>
      </c>
      <c r="P220" s="202">
        <v>4</v>
      </c>
      <c r="Q220" s="202">
        <v>6</v>
      </c>
      <c r="R220" s="202">
        <v>5</v>
      </c>
      <c r="S220" s="202">
        <v>5</v>
      </c>
      <c r="T220" s="202">
        <v>9</v>
      </c>
      <c r="U220" s="202">
        <v>6</v>
      </c>
      <c r="V220" s="202">
        <v>7</v>
      </c>
      <c r="W220" s="202">
        <v>5</v>
      </c>
      <c r="X220" s="202">
        <v>8</v>
      </c>
      <c r="Y220" s="202">
        <v>5</v>
      </c>
      <c r="Z220" s="202">
        <v>0</v>
      </c>
      <c r="AA220" s="202">
        <v>0</v>
      </c>
      <c r="AB220" s="202">
        <v>0</v>
      </c>
      <c r="AC220" s="202">
        <v>0</v>
      </c>
      <c r="AD220" s="202">
        <v>0</v>
      </c>
      <c r="AE220" s="202">
        <v>0</v>
      </c>
      <c r="AF220" s="202">
        <v>0</v>
      </c>
      <c r="AG220" s="202">
        <v>0</v>
      </c>
      <c r="AH220" s="202">
        <v>0</v>
      </c>
      <c r="AI220" s="202">
        <v>0</v>
      </c>
      <c r="AJ220" s="202">
        <v>0</v>
      </c>
      <c r="AK220" s="202">
        <v>0</v>
      </c>
      <c r="AL220" s="202">
        <v>0</v>
      </c>
      <c r="AM220" s="202">
        <v>0</v>
      </c>
      <c r="AN220" s="202">
        <v>0</v>
      </c>
      <c r="AO220" s="202">
        <v>0</v>
      </c>
      <c r="AP220" s="202">
        <v>0</v>
      </c>
      <c r="AQ220" s="202" t="s">
        <v>2810</v>
      </c>
      <c r="AR220" s="202">
        <v>0</v>
      </c>
      <c r="AS220" s="202">
        <v>0</v>
      </c>
      <c r="AT220" s="202">
        <v>10</v>
      </c>
      <c r="AU220" s="202">
        <v>0</v>
      </c>
      <c r="AV220" s="202">
        <v>2</v>
      </c>
      <c r="AW220"/>
      <c r="AX220"/>
      <c r="AY220"/>
    </row>
    <row r="221" spans="1:51">
      <c r="A221" s="202" t="str">
        <f t="shared" si="15"/>
        <v>李志国</v>
      </c>
      <c r="B221" s="202">
        <f>IF(C221&lt;&gt;"NA",C221,VLOOKUP(K221,Update_from_YIFIP!$X$2:$AD$174,7,FALSE))</f>
        <v>112</v>
      </c>
      <c r="C221" s="207">
        <f t="shared" si="12"/>
        <v>112</v>
      </c>
      <c r="D221" s="207">
        <f t="shared" si="13"/>
        <v>112</v>
      </c>
      <c r="E221" s="202" t="s">
        <v>2086</v>
      </c>
      <c r="F221" s="202" t="s">
        <v>2804</v>
      </c>
      <c r="G221" s="202" t="s">
        <v>2805</v>
      </c>
      <c r="H221" s="207" t="str">
        <f t="shared" si="14"/>
        <v>NA</v>
      </c>
      <c r="I221" s="202" t="s">
        <v>1929</v>
      </c>
      <c r="J221" s="202" t="s">
        <v>2801</v>
      </c>
      <c r="K221" s="202" t="s">
        <v>2813</v>
      </c>
      <c r="L221" s="202" t="s">
        <v>1485</v>
      </c>
      <c r="M221" s="202">
        <v>0</v>
      </c>
      <c r="N221" s="202">
        <v>20</v>
      </c>
      <c r="O221" s="202">
        <v>98</v>
      </c>
      <c r="P221" s="202">
        <v>2</v>
      </c>
      <c r="Q221" s="202">
        <v>3</v>
      </c>
      <c r="R221" s="202">
        <v>3</v>
      </c>
      <c r="S221" s="202">
        <v>4</v>
      </c>
      <c r="T221" s="202">
        <v>5</v>
      </c>
      <c r="U221" s="202">
        <v>5</v>
      </c>
      <c r="V221" s="202">
        <v>5</v>
      </c>
      <c r="W221" s="202">
        <v>5</v>
      </c>
      <c r="X221" s="202">
        <v>5</v>
      </c>
      <c r="Y221" s="202">
        <v>5</v>
      </c>
      <c r="Z221" s="202">
        <v>5</v>
      </c>
      <c r="AA221" s="202">
        <v>5</v>
      </c>
      <c r="AB221" s="202">
        <v>5</v>
      </c>
      <c r="AC221" s="202">
        <v>5</v>
      </c>
      <c r="AD221" s="202">
        <v>5</v>
      </c>
      <c r="AE221" s="202">
        <v>5</v>
      </c>
      <c r="AF221" s="202">
        <v>6</v>
      </c>
      <c r="AG221" s="202">
        <v>6</v>
      </c>
      <c r="AH221" s="202">
        <v>7</v>
      </c>
      <c r="AI221" s="202">
        <v>7</v>
      </c>
      <c r="AJ221" s="202">
        <v>0</v>
      </c>
      <c r="AK221" s="202">
        <v>0</v>
      </c>
      <c r="AL221" s="202">
        <v>0</v>
      </c>
      <c r="AM221" s="202">
        <v>0</v>
      </c>
      <c r="AN221" s="202">
        <v>0</v>
      </c>
      <c r="AO221" s="202">
        <v>0</v>
      </c>
      <c r="AP221" s="202">
        <v>0</v>
      </c>
      <c r="AQ221" s="202" t="s">
        <v>2812</v>
      </c>
      <c r="AR221" s="202">
        <v>0</v>
      </c>
      <c r="AS221" s="202">
        <v>0</v>
      </c>
      <c r="AT221" s="202">
        <v>17.5</v>
      </c>
      <c r="AU221" s="202">
        <v>0</v>
      </c>
      <c r="AV221" s="202">
        <v>3.5</v>
      </c>
      <c r="AW221"/>
      <c r="AX221"/>
      <c r="AY221"/>
    </row>
    <row r="222" spans="1:51">
      <c r="A222" s="202" t="str">
        <f t="shared" si="15"/>
        <v>鲁顺福</v>
      </c>
      <c r="B222" s="202">
        <f>IF(C222&lt;&gt;"NA",C222,VLOOKUP(K222,Update_from_YIFIP!$X$2:$AD$174,7,FALSE))</f>
        <v>114</v>
      </c>
      <c r="C222" s="207">
        <f t="shared" si="12"/>
        <v>114</v>
      </c>
      <c r="D222" s="207">
        <f t="shared" si="13"/>
        <v>114</v>
      </c>
      <c r="E222" s="202" t="s">
        <v>2098</v>
      </c>
      <c r="F222" s="202" t="s">
        <v>2773</v>
      </c>
      <c r="G222" s="202" t="s">
        <v>2774</v>
      </c>
      <c r="H222" s="207" t="str">
        <f t="shared" si="14"/>
        <v>NA</v>
      </c>
      <c r="I222" s="202" t="s">
        <v>1929</v>
      </c>
      <c r="J222" s="202" t="s">
        <v>2770</v>
      </c>
      <c r="K222" s="202" t="s">
        <v>2772</v>
      </c>
      <c r="L222" s="202" t="s">
        <v>1466</v>
      </c>
      <c r="M222" s="202">
        <v>10</v>
      </c>
      <c r="N222" s="202">
        <v>0</v>
      </c>
      <c r="O222" s="202">
        <v>80</v>
      </c>
      <c r="P222" s="202">
        <v>7</v>
      </c>
      <c r="Q222" s="202">
        <v>15</v>
      </c>
      <c r="R222" s="202">
        <v>8</v>
      </c>
      <c r="S222" s="202">
        <v>3</v>
      </c>
      <c r="T222" s="202">
        <v>8</v>
      </c>
      <c r="U222" s="202">
        <v>7</v>
      </c>
      <c r="V222" s="202">
        <v>9</v>
      </c>
      <c r="W222" s="202">
        <v>7</v>
      </c>
      <c r="X222" s="202">
        <v>8</v>
      </c>
      <c r="Y222" s="202">
        <v>8</v>
      </c>
      <c r="Z222" s="202">
        <v>0</v>
      </c>
      <c r="AA222" s="202">
        <v>0</v>
      </c>
      <c r="AB222" s="202">
        <v>0</v>
      </c>
      <c r="AC222" s="202">
        <v>0</v>
      </c>
      <c r="AD222" s="202">
        <v>0</v>
      </c>
      <c r="AE222" s="202">
        <v>0</v>
      </c>
      <c r="AF222" s="202">
        <v>0</v>
      </c>
      <c r="AG222" s="202">
        <v>0</v>
      </c>
      <c r="AH222" s="202">
        <v>0</v>
      </c>
      <c r="AI222" s="202">
        <v>0</v>
      </c>
      <c r="AJ222" s="202">
        <v>0</v>
      </c>
      <c r="AK222" s="202">
        <v>0</v>
      </c>
      <c r="AL222" s="202">
        <v>0</v>
      </c>
      <c r="AM222" s="202">
        <v>0</v>
      </c>
      <c r="AN222" s="202">
        <v>0</v>
      </c>
      <c r="AO222" s="202">
        <v>0</v>
      </c>
      <c r="AP222" s="202">
        <v>0</v>
      </c>
      <c r="AQ222" s="202" t="s">
        <v>2771</v>
      </c>
      <c r="AR222" s="202">
        <v>0</v>
      </c>
      <c r="AS222" s="202">
        <v>0</v>
      </c>
      <c r="AT222" s="202">
        <v>20</v>
      </c>
      <c r="AU222" s="202">
        <v>0</v>
      </c>
      <c r="AV222" s="202">
        <v>4</v>
      </c>
      <c r="AW222"/>
      <c r="AX222"/>
      <c r="AY222"/>
    </row>
    <row r="223" spans="1:51">
      <c r="A223" s="202" t="str">
        <f t="shared" si="15"/>
        <v>鲁顺福</v>
      </c>
      <c r="B223" s="202">
        <f>IF(C223&lt;&gt;"NA",C223,VLOOKUP(K223,Update_from_YIFIP!$X$2:$AD$174,7,FALSE))</f>
        <v>114</v>
      </c>
      <c r="C223" s="207">
        <f t="shared" si="12"/>
        <v>114</v>
      </c>
      <c r="D223" s="207">
        <f t="shared" si="13"/>
        <v>114</v>
      </c>
      <c r="E223" s="202" t="s">
        <v>2098</v>
      </c>
      <c r="F223" s="202" t="s">
        <v>2773</v>
      </c>
      <c r="G223" s="202" t="s">
        <v>2774</v>
      </c>
      <c r="H223" s="207" t="str">
        <f t="shared" si="14"/>
        <v>NA</v>
      </c>
      <c r="I223" s="202" t="s">
        <v>1929</v>
      </c>
      <c r="J223" s="202" t="s">
        <v>2775</v>
      </c>
      <c r="K223" s="202" t="s">
        <v>2776</v>
      </c>
      <c r="L223" s="202" t="s">
        <v>1467</v>
      </c>
      <c r="M223" s="202">
        <v>10</v>
      </c>
      <c r="N223" s="202">
        <v>0</v>
      </c>
      <c r="O223" s="202">
        <v>54</v>
      </c>
      <c r="P223" s="202">
        <v>7</v>
      </c>
      <c r="Q223" s="202">
        <v>1</v>
      </c>
      <c r="R223" s="202">
        <v>4</v>
      </c>
      <c r="S223" s="202">
        <v>3</v>
      </c>
      <c r="T223" s="202">
        <v>7</v>
      </c>
      <c r="U223" s="202">
        <v>6</v>
      </c>
      <c r="V223" s="202">
        <v>4</v>
      </c>
      <c r="W223" s="202">
        <v>4</v>
      </c>
      <c r="X223" s="202">
        <v>5</v>
      </c>
      <c r="Y223" s="202">
        <v>13</v>
      </c>
      <c r="Z223" s="202">
        <v>0</v>
      </c>
      <c r="AA223" s="202">
        <v>0</v>
      </c>
      <c r="AB223" s="202">
        <v>0</v>
      </c>
      <c r="AC223" s="202">
        <v>0</v>
      </c>
      <c r="AD223" s="202">
        <v>0</v>
      </c>
      <c r="AE223" s="202">
        <v>0</v>
      </c>
      <c r="AF223" s="202">
        <v>0</v>
      </c>
      <c r="AG223" s="202">
        <v>0</v>
      </c>
      <c r="AH223" s="202">
        <v>0</v>
      </c>
      <c r="AI223" s="202">
        <v>0</v>
      </c>
      <c r="AJ223" s="202">
        <v>0</v>
      </c>
      <c r="AK223" s="202">
        <v>0</v>
      </c>
      <c r="AL223" s="202">
        <v>0</v>
      </c>
      <c r="AM223" s="202">
        <v>0</v>
      </c>
      <c r="AN223" s="202">
        <v>0</v>
      </c>
      <c r="AO223" s="202">
        <v>0</v>
      </c>
      <c r="AP223" s="202">
        <v>0</v>
      </c>
      <c r="AQ223" s="202" t="s">
        <v>2467</v>
      </c>
      <c r="AR223" s="202">
        <v>0</v>
      </c>
      <c r="AS223" s="202">
        <v>0</v>
      </c>
      <c r="AT223" s="202">
        <v>15</v>
      </c>
      <c r="AU223" s="202">
        <v>0</v>
      </c>
      <c r="AV223" s="202">
        <v>3</v>
      </c>
      <c r="AW223"/>
      <c r="AX223"/>
      <c r="AY223"/>
    </row>
    <row r="224" spans="1:51">
      <c r="A224" s="202" t="str">
        <f t="shared" si="15"/>
        <v>鲁顺福</v>
      </c>
      <c r="B224" s="202">
        <f>IF(C224&lt;&gt;"NA",C224,VLOOKUP(K224,Update_from_YIFIP!$X$2:$AD$174,7,FALSE))</f>
        <v>114</v>
      </c>
      <c r="C224" s="207">
        <f t="shared" si="12"/>
        <v>114</v>
      </c>
      <c r="D224" s="207">
        <f t="shared" si="13"/>
        <v>114</v>
      </c>
      <c r="E224" s="202" t="s">
        <v>2098</v>
      </c>
      <c r="F224" s="202" t="s">
        <v>2773</v>
      </c>
      <c r="G224" s="202" t="s">
        <v>2774</v>
      </c>
      <c r="H224" s="207" t="str">
        <f t="shared" si="14"/>
        <v>NA</v>
      </c>
      <c r="I224" s="202" t="s">
        <v>1929</v>
      </c>
      <c r="J224" s="202" t="s">
        <v>2777</v>
      </c>
      <c r="K224" s="202" t="s">
        <v>2779</v>
      </c>
      <c r="L224" s="202" t="s">
        <v>1468</v>
      </c>
      <c r="M224" s="202">
        <v>0</v>
      </c>
      <c r="N224" s="202">
        <v>12</v>
      </c>
      <c r="O224" s="202">
        <v>26</v>
      </c>
      <c r="P224" s="202">
        <v>1</v>
      </c>
      <c r="Q224" s="202">
        <v>2</v>
      </c>
      <c r="R224" s="202">
        <v>2</v>
      </c>
      <c r="S224" s="202">
        <v>2</v>
      </c>
      <c r="T224" s="202">
        <v>2</v>
      </c>
      <c r="U224" s="202">
        <v>2</v>
      </c>
      <c r="V224" s="202">
        <v>2</v>
      </c>
      <c r="W224" s="202">
        <v>2</v>
      </c>
      <c r="X224" s="202">
        <v>2</v>
      </c>
      <c r="Y224" s="202">
        <v>3</v>
      </c>
      <c r="Z224" s="202">
        <v>3</v>
      </c>
      <c r="AA224" s="202">
        <v>3</v>
      </c>
      <c r="AB224" s="202">
        <v>0</v>
      </c>
      <c r="AC224" s="202">
        <v>0</v>
      </c>
      <c r="AD224" s="202">
        <v>0</v>
      </c>
      <c r="AE224" s="202">
        <v>0</v>
      </c>
      <c r="AF224" s="202">
        <v>0</v>
      </c>
      <c r="AG224" s="202">
        <v>0</v>
      </c>
      <c r="AH224" s="202">
        <v>0</v>
      </c>
      <c r="AI224" s="202">
        <v>0</v>
      </c>
      <c r="AJ224" s="202">
        <v>0</v>
      </c>
      <c r="AK224" s="202">
        <v>0</v>
      </c>
      <c r="AL224" s="202">
        <v>0</v>
      </c>
      <c r="AM224" s="202">
        <v>0</v>
      </c>
      <c r="AN224" s="202">
        <v>0</v>
      </c>
      <c r="AO224" s="202">
        <v>0</v>
      </c>
      <c r="AP224" s="202">
        <v>0</v>
      </c>
      <c r="AQ224" s="202" t="s">
        <v>2778</v>
      </c>
      <c r="AR224" s="202">
        <v>0</v>
      </c>
      <c r="AS224" s="202">
        <v>0</v>
      </c>
      <c r="AT224" s="202">
        <v>10</v>
      </c>
      <c r="AU224" s="202">
        <v>0</v>
      </c>
      <c r="AV224" s="202">
        <v>2</v>
      </c>
      <c r="AW224"/>
      <c r="AX224"/>
      <c r="AY224"/>
    </row>
    <row r="225" spans="1:51">
      <c r="A225" s="202" t="str">
        <f t="shared" si="15"/>
        <v>鲁顺福</v>
      </c>
      <c r="B225" s="202">
        <f>IF(C225&lt;&gt;"NA",C225,VLOOKUP(K225,Update_from_YIFIP!$X$2:$AD$174,7,FALSE))</f>
        <v>114</v>
      </c>
      <c r="C225" s="207">
        <f t="shared" si="12"/>
        <v>114</v>
      </c>
      <c r="D225" s="207">
        <f t="shared" si="13"/>
        <v>114</v>
      </c>
      <c r="E225" s="202" t="s">
        <v>2098</v>
      </c>
      <c r="F225" s="202" t="s">
        <v>2773</v>
      </c>
      <c r="G225" s="202" t="s">
        <v>2774</v>
      </c>
      <c r="H225" s="207" t="str">
        <f t="shared" si="14"/>
        <v>NA</v>
      </c>
      <c r="I225" s="202" t="s">
        <v>1929</v>
      </c>
      <c r="J225" s="202" t="s">
        <v>2780</v>
      </c>
      <c r="K225" s="202" t="s">
        <v>2782</v>
      </c>
      <c r="L225" s="202" t="s">
        <v>1469</v>
      </c>
      <c r="M225" s="202">
        <v>5</v>
      </c>
      <c r="N225" s="202">
        <v>0</v>
      </c>
      <c r="O225" s="202">
        <v>34</v>
      </c>
      <c r="P225" s="202">
        <v>9</v>
      </c>
      <c r="Q225" s="202">
        <v>3</v>
      </c>
      <c r="R225" s="202">
        <v>7</v>
      </c>
      <c r="S225" s="202">
        <v>7</v>
      </c>
      <c r="T225" s="202">
        <v>8</v>
      </c>
      <c r="U225" s="202">
        <v>0</v>
      </c>
      <c r="V225" s="202">
        <v>0</v>
      </c>
      <c r="W225" s="202">
        <v>0</v>
      </c>
      <c r="X225" s="202">
        <v>0</v>
      </c>
      <c r="Y225" s="202">
        <v>0</v>
      </c>
      <c r="Z225" s="202">
        <v>0</v>
      </c>
      <c r="AA225" s="202">
        <v>0</v>
      </c>
      <c r="AB225" s="202">
        <v>0</v>
      </c>
      <c r="AC225" s="202">
        <v>0</v>
      </c>
      <c r="AD225" s="202">
        <v>0</v>
      </c>
      <c r="AE225" s="202">
        <v>0</v>
      </c>
      <c r="AF225" s="202">
        <v>0</v>
      </c>
      <c r="AG225" s="202">
        <v>0</v>
      </c>
      <c r="AH225" s="202">
        <v>0</v>
      </c>
      <c r="AI225" s="202">
        <v>0</v>
      </c>
      <c r="AJ225" s="202">
        <v>0</v>
      </c>
      <c r="AK225" s="202">
        <v>0</v>
      </c>
      <c r="AL225" s="202">
        <v>0</v>
      </c>
      <c r="AM225" s="202">
        <v>0</v>
      </c>
      <c r="AN225" s="202">
        <v>0</v>
      </c>
      <c r="AO225" s="202">
        <v>0</v>
      </c>
      <c r="AP225" s="202">
        <v>0</v>
      </c>
      <c r="AQ225" s="202" t="s">
        <v>2781</v>
      </c>
      <c r="AR225" s="202">
        <v>0</v>
      </c>
      <c r="AS225" s="202">
        <v>0</v>
      </c>
      <c r="AT225" s="202">
        <v>10</v>
      </c>
      <c r="AU225" s="202">
        <v>0</v>
      </c>
      <c r="AV225" s="202">
        <v>2</v>
      </c>
      <c r="AW225"/>
      <c r="AX225"/>
      <c r="AY225"/>
    </row>
    <row r="226" spans="1:51">
      <c r="A226" s="202" t="str">
        <f t="shared" si="15"/>
        <v>詹清平</v>
      </c>
      <c r="B226" s="202">
        <f>IF(C226&lt;&gt;"NA",C226,VLOOKUP(K226,Update_from_YIFIP!$X$2:$AD$174,7,FALSE))</f>
        <v>115</v>
      </c>
      <c r="C226" s="207">
        <f t="shared" si="12"/>
        <v>115</v>
      </c>
      <c r="D226" s="207">
        <f t="shared" si="13"/>
        <v>115</v>
      </c>
      <c r="E226" s="202" t="s">
        <v>2147</v>
      </c>
      <c r="F226" s="202" t="s">
        <v>2818</v>
      </c>
      <c r="G226" s="202" t="s">
        <v>2819</v>
      </c>
      <c r="H226" s="207" t="str">
        <f t="shared" si="14"/>
        <v>NA</v>
      </c>
      <c r="I226" s="202" t="s">
        <v>1929</v>
      </c>
      <c r="J226" s="202" t="s">
        <v>2814</v>
      </c>
      <c r="K226" s="202" t="s">
        <v>2816</v>
      </c>
      <c r="L226" s="202" t="s">
        <v>1486</v>
      </c>
      <c r="M226" s="202">
        <v>0</v>
      </c>
      <c r="N226" s="202">
        <v>19</v>
      </c>
      <c r="O226" s="202">
        <v>182</v>
      </c>
      <c r="P226" s="202">
        <v>3</v>
      </c>
      <c r="Q226" s="202">
        <v>5</v>
      </c>
      <c r="R226" s="202">
        <v>6</v>
      </c>
      <c r="S226" s="202">
        <v>6</v>
      </c>
      <c r="T226" s="202">
        <v>6</v>
      </c>
      <c r="U226" s="202">
        <v>13</v>
      </c>
      <c r="V226" s="202">
        <v>13</v>
      </c>
      <c r="W226" s="202">
        <v>8</v>
      </c>
      <c r="X226" s="202">
        <v>8</v>
      </c>
      <c r="Y226" s="202">
        <v>8</v>
      </c>
      <c r="Z226" s="202">
        <v>8</v>
      </c>
      <c r="AA226" s="202">
        <v>11</v>
      </c>
      <c r="AB226" s="202">
        <v>11</v>
      </c>
      <c r="AC226" s="202">
        <v>10</v>
      </c>
      <c r="AD226" s="202">
        <v>10</v>
      </c>
      <c r="AE226" s="202">
        <v>10</v>
      </c>
      <c r="AF226" s="202">
        <v>15</v>
      </c>
      <c r="AG226" s="202">
        <v>15</v>
      </c>
      <c r="AH226" s="202">
        <v>16</v>
      </c>
      <c r="AI226" s="202">
        <v>0</v>
      </c>
      <c r="AJ226" s="202">
        <v>0</v>
      </c>
      <c r="AK226" s="202">
        <v>0</v>
      </c>
      <c r="AL226" s="202">
        <v>0</v>
      </c>
      <c r="AM226" s="202">
        <v>0</v>
      </c>
      <c r="AN226" s="202">
        <v>0</v>
      </c>
      <c r="AO226" s="202">
        <v>0</v>
      </c>
      <c r="AP226" s="202">
        <v>0</v>
      </c>
      <c r="AQ226" s="202" t="s">
        <v>2815</v>
      </c>
      <c r="AR226" s="202">
        <v>0</v>
      </c>
      <c r="AS226" s="202">
        <v>0</v>
      </c>
      <c r="AT226" s="202">
        <v>50</v>
      </c>
      <c r="AU226" s="202" t="s">
        <v>2817</v>
      </c>
      <c r="AV226" s="202">
        <v>10</v>
      </c>
      <c r="AW226"/>
      <c r="AX226"/>
      <c r="AY226"/>
    </row>
    <row r="227" spans="1:51">
      <c r="A227" s="202" t="str">
        <f t="shared" si="15"/>
        <v>詹清平</v>
      </c>
      <c r="B227" s="202">
        <f>IF(C227&lt;&gt;"NA",C227,VLOOKUP(K227,Update_from_YIFIP!$X$2:$AD$174,7,FALSE))</f>
        <v>115</v>
      </c>
      <c r="C227" s="207">
        <f t="shared" si="12"/>
        <v>115</v>
      </c>
      <c r="D227" s="207">
        <f t="shared" si="13"/>
        <v>115</v>
      </c>
      <c r="E227" s="202" t="s">
        <v>2147</v>
      </c>
      <c r="F227" s="202" t="s">
        <v>2818</v>
      </c>
      <c r="G227" s="202" t="s">
        <v>2819</v>
      </c>
      <c r="H227" s="207" t="str">
        <f t="shared" si="14"/>
        <v>NA</v>
      </c>
      <c r="I227" s="202" t="s">
        <v>1929</v>
      </c>
      <c r="J227" s="202" t="s">
        <v>2820</v>
      </c>
      <c r="K227" s="202" t="s">
        <v>2822</v>
      </c>
      <c r="L227" s="202" t="s">
        <v>1487</v>
      </c>
      <c r="M227" s="202">
        <v>10</v>
      </c>
      <c r="N227" s="202">
        <v>0</v>
      </c>
      <c r="O227" s="202">
        <v>199</v>
      </c>
      <c r="P227" s="202">
        <v>19</v>
      </c>
      <c r="Q227" s="202">
        <v>10</v>
      </c>
      <c r="R227" s="202">
        <v>26</v>
      </c>
      <c r="S227" s="202">
        <v>8</v>
      </c>
      <c r="T227" s="202">
        <v>16</v>
      </c>
      <c r="U227" s="202">
        <v>16</v>
      </c>
      <c r="V227" s="202">
        <v>16</v>
      </c>
      <c r="W227" s="202">
        <v>27</v>
      </c>
      <c r="X227" s="202">
        <v>22</v>
      </c>
      <c r="Y227" s="202">
        <v>39</v>
      </c>
      <c r="Z227" s="202">
        <v>0</v>
      </c>
      <c r="AA227" s="202">
        <v>0</v>
      </c>
      <c r="AB227" s="202">
        <v>0</v>
      </c>
      <c r="AC227" s="202">
        <v>0</v>
      </c>
      <c r="AD227" s="202">
        <v>0</v>
      </c>
      <c r="AE227" s="202">
        <v>0</v>
      </c>
      <c r="AF227" s="202">
        <v>0</v>
      </c>
      <c r="AG227" s="202">
        <v>0</v>
      </c>
      <c r="AH227" s="202">
        <v>0</v>
      </c>
      <c r="AI227" s="202">
        <v>0</v>
      </c>
      <c r="AJ227" s="202">
        <v>0</v>
      </c>
      <c r="AK227" s="202">
        <v>0</v>
      </c>
      <c r="AL227" s="202">
        <v>0</v>
      </c>
      <c r="AM227" s="202">
        <v>0</v>
      </c>
      <c r="AN227" s="202">
        <v>0</v>
      </c>
      <c r="AO227" s="202">
        <v>0</v>
      </c>
      <c r="AP227" s="202">
        <v>0</v>
      </c>
      <c r="AQ227" s="202" t="s">
        <v>2821</v>
      </c>
      <c r="AR227" s="202">
        <v>0</v>
      </c>
      <c r="AS227" s="202">
        <v>0</v>
      </c>
      <c r="AT227" s="202">
        <v>44.5</v>
      </c>
      <c r="AU227" s="202" t="s">
        <v>2823</v>
      </c>
      <c r="AV227" s="202">
        <v>8.9</v>
      </c>
      <c r="AW227"/>
      <c r="AX227"/>
      <c r="AY227"/>
    </row>
    <row r="228" spans="1:51">
      <c r="A228" s="202" t="str">
        <f t="shared" si="15"/>
        <v>詹清平</v>
      </c>
      <c r="B228" s="202">
        <f>IF(C228&lt;&gt;"NA",C228,VLOOKUP(K228,Update_from_YIFIP!$X$2:$AD$174,7,FALSE))</f>
        <v>115</v>
      </c>
      <c r="C228" s="207">
        <f t="shared" si="12"/>
        <v>115</v>
      </c>
      <c r="D228" s="207">
        <f t="shared" si="13"/>
        <v>115</v>
      </c>
      <c r="E228" s="202" t="s">
        <v>2147</v>
      </c>
      <c r="F228" s="202" t="s">
        <v>2818</v>
      </c>
      <c r="G228" s="202" t="s">
        <v>2819</v>
      </c>
      <c r="H228" s="207" t="str">
        <f t="shared" si="14"/>
        <v>NA</v>
      </c>
      <c r="I228" s="202" t="s">
        <v>1929</v>
      </c>
      <c r="J228" s="202" t="s">
        <v>2820</v>
      </c>
      <c r="K228" s="202" t="s">
        <v>2824</v>
      </c>
      <c r="L228" s="202" t="s">
        <v>1488</v>
      </c>
      <c r="M228" s="202">
        <v>11</v>
      </c>
      <c r="N228" s="202">
        <v>0</v>
      </c>
      <c r="O228" s="202">
        <v>149</v>
      </c>
      <c r="P228" s="202">
        <v>13</v>
      </c>
      <c r="Q228" s="202">
        <v>10</v>
      </c>
      <c r="R228" s="202">
        <v>21</v>
      </c>
      <c r="S228" s="202">
        <v>19</v>
      </c>
      <c r="T228" s="202">
        <v>19</v>
      </c>
      <c r="U228" s="202">
        <v>17</v>
      </c>
      <c r="V228" s="202">
        <v>12</v>
      </c>
      <c r="W228" s="202">
        <v>16</v>
      </c>
      <c r="X228" s="202">
        <v>3</v>
      </c>
      <c r="Y228" s="202">
        <v>5</v>
      </c>
      <c r="Z228" s="202">
        <v>14</v>
      </c>
      <c r="AA228" s="202">
        <v>0</v>
      </c>
      <c r="AB228" s="202">
        <v>0</v>
      </c>
      <c r="AC228" s="202">
        <v>0</v>
      </c>
      <c r="AD228" s="202">
        <v>0</v>
      </c>
      <c r="AE228" s="202">
        <v>0</v>
      </c>
      <c r="AF228" s="202">
        <v>0</v>
      </c>
      <c r="AG228" s="202">
        <v>0</v>
      </c>
      <c r="AH228" s="202">
        <v>0</v>
      </c>
      <c r="AI228" s="202">
        <v>0</v>
      </c>
      <c r="AJ228" s="202">
        <v>0</v>
      </c>
      <c r="AK228" s="202">
        <v>0</v>
      </c>
      <c r="AL228" s="202">
        <v>0</v>
      </c>
      <c r="AM228" s="202">
        <v>0</v>
      </c>
      <c r="AN228" s="202">
        <v>0</v>
      </c>
      <c r="AO228" s="202">
        <v>0</v>
      </c>
      <c r="AP228" s="202">
        <v>0</v>
      </c>
      <c r="AQ228" s="202" t="s">
        <v>2821</v>
      </c>
      <c r="AR228" s="202">
        <v>0</v>
      </c>
      <c r="AS228" s="202">
        <v>0</v>
      </c>
      <c r="AT228" s="202">
        <v>40</v>
      </c>
      <c r="AU228" s="202" t="s">
        <v>2746</v>
      </c>
      <c r="AV228" s="202">
        <v>8</v>
      </c>
      <c r="AW228"/>
      <c r="AX228"/>
      <c r="AY228"/>
    </row>
    <row r="229" spans="1:51">
      <c r="A229" s="202" t="str">
        <f t="shared" si="15"/>
        <v>詹清平</v>
      </c>
      <c r="B229" s="202">
        <f>IF(C229&lt;&gt;"NA",C229,VLOOKUP(K229,Update_from_YIFIP!$X$2:$AD$174,7,FALSE))</f>
        <v>115</v>
      </c>
      <c r="C229" s="207">
        <f t="shared" si="12"/>
        <v>115</v>
      </c>
      <c r="D229" s="207">
        <f t="shared" si="13"/>
        <v>115</v>
      </c>
      <c r="E229" s="202" t="s">
        <v>2147</v>
      </c>
      <c r="F229" s="202" t="s">
        <v>2818</v>
      </c>
      <c r="G229" s="202" t="s">
        <v>2819</v>
      </c>
      <c r="H229" s="207" t="str">
        <f t="shared" si="14"/>
        <v>NA</v>
      </c>
      <c r="I229" s="202" t="s">
        <v>1929</v>
      </c>
      <c r="J229" s="202" t="s">
        <v>2825</v>
      </c>
      <c r="K229" s="202" t="s">
        <v>2826</v>
      </c>
      <c r="L229" s="202" t="s">
        <v>1489</v>
      </c>
      <c r="M229" s="202">
        <v>10</v>
      </c>
      <c r="N229" s="202">
        <v>0</v>
      </c>
      <c r="O229" s="202">
        <v>182</v>
      </c>
      <c r="P229" s="202">
        <v>18</v>
      </c>
      <c r="Q229" s="202">
        <v>18</v>
      </c>
      <c r="R229" s="202">
        <v>18</v>
      </c>
      <c r="S229" s="202">
        <v>15</v>
      </c>
      <c r="T229" s="202">
        <v>15</v>
      </c>
      <c r="U229" s="202">
        <v>21</v>
      </c>
      <c r="V229" s="202">
        <v>17</v>
      </c>
      <c r="W229" s="202">
        <v>10</v>
      </c>
      <c r="X229" s="202">
        <v>20</v>
      </c>
      <c r="Y229" s="202">
        <v>30</v>
      </c>
      <c r="Z229" s="202">
        <v>0</v>
      </c>
      <c r="AA229" s="202">
        <v>0</v>
      </c>
      <c r="AB229" s="202">
        <v>0</v>
      </c>
      <c r="AC229" s="202">
        <v>0</v>
      </c>
      <c r="AD229" s="202">
        <v>0</v>
      </c>
      <c r="AE229" s="202">
        <v>0</v>
      </c>
      <c r="AF229" s="202">
        <v>0</v>
      </c>
      <c r="AG229" s="202">
        <v>0</v>
      </c>
      <c r="AH229" s="202">
        <v>0</v>
      </c>
      <c r="AI229" s="202">
        <v>0</v>
      </c>
      <c r="AJ229" s="202">
        <v>0</v>
      </c>
      <c r="AK229" s="202">
        <v>0</v>
      </c>
      <c r="AL229" s="202">
        <v>0</v>
      </c>
      <c r="AM229" s="202">
        <v>0</v>
      </c>
      <c r="AN229" s="202">
        <v>0</v>
      </c>
      <c r="AO229" s="202">
        <v>0</v>
      </c>
      <c r="AP229" s="202">
        <v>0</v>
      </c>
      <c r="AQ229" s="202" t="s">
        <v>2454</v>
      </c>
      <c r="AR229" s="202">
        <v>0</v>
      </c>
      <c r="AS229" s="202">
        <v>0</v>
      </c>
      <c r="AT229" s="202">
        <v>33.5</v>
      </c>
      <c r="AU229" s="202" t="s">
        <v>2641</v>
      </c>
      <c r="AV229" s="202">
        <v>6.6999999999999993</v>
      </c>
      <c r="AW229"/>
      <c r="AX229"/>
      <c r="AY229"/>
    </row>
    <row r="230" spans="1:51">
      <c r="A230" s="202" t="str">
        <f t="shared" si="15"/>
        <v>詹清平</v>
      </c>
      <c r="B230" s="202">
        <f>IF(C230&lt;&gt;"NA",C230,VLOOKUP(K230,Update_from_YIFIP!$X$2:$AD$174,7,FALSE))</f>
        <v>115</v>
      </c>
      <c r="C230" s="207">
        <f t="shared" si="12"/>
        <v>115</v>
      </c>
      <c r="D230" s="207">
        <f t="shared" si="13"/>
        <v>115</v>
      </c>
      <c r="E230" s="202" t="s">
        <v>2147</v>
      </c>
      <c r="F230" s="202" t="s">
        <v>2818</v>
      </c>
      <c r="G230" s="202" t="s">
        <v>2819</v>
      </c>
      <c r="H230" s="207" t="str">
        <f t="shared" si="14"/>
        <v>NA</v>
      </c>
      <c r="I230" s="202" t="s">
        <v>1929</v>
      </c>
      <c r="J230" s="202" t="s">
        <v>2825</v>
      </c>
      <c r="K230" s="202" t="s">
        <v>2827</v>
      </c>
      <c r="L230" s="202" t="s">
        <v>1490</v>
      </c>
      <c r="M230" s="202">
        <v>10</v>
      </c>
      <c r="N230" s="202">
        <v>0</v>
      </c>
      <c r="O230" s="202">
        <v>102</v>
      </c>
      <c r="P230" s="202">
        <v>15</v>
      </c>
      <c r="Q230" s="202">
        <v>11</v>
      </c>
      <c r="R230" s="202">
        <v>11</v>
      </c>
      <c r="S230" s="202">
        <v>13</v>
      </c>
      <c r="T230" s="202">
        <v>4</v>
      </c>
      <c r="U230" s="202">
        <v>9</v>
      </c>
      <c r="V230" s="202">
        <v>17</v>
      </c>
      <c r="W230" s="202">
        <v>8</v>
      </c>
      <c r="X230" s="202">
        <v>8</v>
      </c>
      <c r="Y230" s="202">
        <v>6</v>
      </c>
      <c r="Z230" s="202">
        <v>0</v>
      </c>
      <c r="AA230" s="202">
        <v>0</v>
      </c>
      <c r="AB230" s="202">
        <v>0</v>
      </c>
      <c r="AC230" s="202">
        <v>0</v>
      </c>
      <c r="AD230" s="202">
        <v>0</v>
      </c>
      <c r="AE230" s="202">
        <v>0</v>
      </c>
      <c r="AF230" s="202">
        <v>0</v>
      </c>
      <c r="AG230" s="202">
        <v>0</v>
      </c>
      <c r="AH230" s="202">
        <v>0</v>
      </c>
      <c r="AI230" s="202">
        <v>0</v>
      </c>
      <c r="AJ230" s="202">
        <v>0</v>
      </c>
      <c r="AK230" s="202">
        <v>0</v>
      </c>
      <c r="AL230" s="202">
        <v>0</v>
      </c>
      <c r="AM230" s="202">
        <v>0</v>
      </c>
      <c r="AN230" s="202">
        <v>0</v>
      </c>
      <c r="AO230" s="202">
        <v>0</v>
      </c>
      <c r="AP230" s="202">
        <v>0</v>
      </c>
      <c r="AQ230" s="202" t="s">
        <v>2454</v>
      </c>
      <c r="AR230" s="202">
        <v>0</v>
      </c>
      <c r="AS230" s="202">
        <v>0</v>
      </c>
      <c r="AT230" s="202">
        <v>24.5</v>
      </c>
      <c r="AU230" s="202" t="s">
        <v>2828</v>
      </c>
      <c r="AV230" s="202">
        <v>4.9000000000000004</v>
      </c>
      <c r="AW230"/>
      <c r="AX230"/>
      <c r="AY230"/>
    </row>
    <row r="231" spans="1:51">
      <c r="A231" s="202" t="str">
        <f t="shared" si="15"/>
        <v>鲁开福</v>
      </c>
      <c r="B231" s="202">
        <f>IF(C231&lt;&gt;"NA",C231,VLOOKUP(K231,Update_from_YIFIP!$X$2:$AD$174,7,FALSE))</f>
        <v>119</v>
      </c>
      <c r="C231" s="207">
        <f t="shared" si="12"/>
        <v>119</v>
      </c>
      <c r="D231" s="207">
        <f t="shared" si="13"/>
        <v>119</v>
      </c>
      <c r="E231" s="202" t="s">
        <v>2095</v>
      </c>
      <c r="F231" s="202" t="s">
        <v>2734</v>
      </c>
      <c r="G231" s="202" t="s">
        <v>2735</v>
      </c>
      <c r="H231" s="207" t="str">
        <f t="shared" si="14"/>
        <v>NA</v>
      </c>
      <c r="I231" s="202" t="s">
        <v>1929</v>
      </c>
      <c r="J231" s="202" t="s">
        <v>2732</v>
      </c>
      <c r="K231" s="202">
        <v>0</v>
      </c>
      <c r="L231" s="202" t="s">
        <v>1447</v>
      </c>
      <c r="M231" s="202">
        <v>0</v>
      </c>
      <c r="N231" s="202">
        <v>15</v>
      </c>
      <c r="O231" s="202">
        <v>19</v>
      </c>
      <c r="P231" s="202">
        <v>1</v>
      </c>
      <c r="Q231" s="202">
        <v>1</v>
      </c>
      <c r="R231" s="202">
        <v>1</v>
      </c>
      <c r="S231" s="202">
        <v>1</v>
      </c>
      <c r="T231" s="202">
        <v>1</v>
      </c>
      <c r="U231" s="202">
        <v>1</v>
      </c>
      <c r="V231" s="202">
        <v>1</v>
      </c>
      <c r="W231" s="202">
        <v>1</v>
      </c>
      <c r="X231" s="202">
        <v>1</v>
      </c>
      <c r="Y231" s="202">
        <v>1</v>
      </c>
      <c r="Z231" s="202">
        <v>1</v>
      </c>
      <c r="AA231" s="202">
        <v>1</v>
      </c>
      <c r="AB231" s="202">
        <v>2</v>
      </c>
      <c r="AC231" s="202">
        <v>2</v>
      </c>
      <c r="AD231" s="202">
        <v>3</v>
      </c>
      <c r="AE231" s="202">
        <v>0</v>
      </c>
      <c r="AF231" s="202">
        <v>0</v>
      </c>
      <c r="AG231" s="202">
        <v>0</v>
      </c>
      <c r="AH231" s="202">
        <v>0</v>
      </c>
      <c r="AI231" s="202">
        <v>0</v>
      </c>
      <c r="AJ231" s="202">
        <v>0</v>
      </c>
      <c r="AK231" s="202">
        <v>0</v>
      </c>
      <c r="AL231" s="202">
        <v>0</v>
      </c>
      <c r="AM231" s="202">
        <v>0</v>
      </c>
      <c r="AN231" s="202">
        <v>0</v>
      </c>
      <c r="AO231" s="202">
        <v>0</v>
      </c>
      <c r="AP231" s="202">
        <v>0</v>
      </c>
      <c r="AQ231" s="202" t="s">
        <v>2733</v>
      </c>
      <c r="AR231" s="202">
        <v>0</v>
      </c>
      <c r="AS231" s="202">
        <v>0</v>
      </c>
      <c r="AT231" s="202">
        <v>7.5</v>
      </c>
      <c r="AU231" s="202">
        <v>0</v>
      </c>
      <c r="AV231" s="202">
        <v>1.5</v>
      </c>
      <c r="AW231"/>
      <c r="AX231"/>
      <c r="AY231"/>
    </row>
    <row r="232" spans="1:51">
      <c r="A232" s="202" t="str">
        <f t="shared" si="15"/>
        <v>鲁开福</v>
      </c>
      <c r="B232" s="202">
        <f>IF(C232&lt;&gt;"NA",C232,VLOOKUP(K232,Update_from_YIFIP!$X$2:$AD$174,7,FALSE))</f>
        <v>119</v>
      </c>
      <c r="C232" s="207">
        <f t="shared" si="12"/>
        <v>119</v>
      </c>
      <c r="D232" s="207">
        <f t="shared" si="13"/>
        <v>119</v>
      </c>
      <c r="E232" s="202" t="s">
        <v>2095</v>
      </c>
      <c r="F232" s="202" t="s">
        <v>2734</v>
      </c>
      <c r="G232" s="202" t="s">
        <v>2735</v>
      </c>
      <c r="H232" s="207" t="str">
        <f t="shared" si="14"/>
        <v>NA</v>
      </c>
      <c r="I232" s="202" t="s">
        <v>1929</v>
      </c>
      <c r="J232" s="202" t="s">
        <v>2732</v>
      </c>
      <c r="K232" s="202">
        <v>0</v>
      </c>
      <c r="L232" s="202" t="s">
        <v>1448</v>
      </c>
      <c r="M232" s="202">
        <v>9</v>
      </c>
      <c r="N232" s="202">
        <v>0</v>
      </c>
      <c r="O232" s="202">
        <v>10</v>
      </c>
      <c r="P232" s="202">
        <v>1</v>
      </c>
      <c r="Q232" s="202">
        <v>1</v>
      </c>
      <c r="R232" s="202">
        <v>1</v>
      </c>
      <c r="S232" s="202">
        <v>1</v>
      </c>
      <c r="T232" s="202">
        <v>1</v>
      </c>
      <c r="U232" s="202">
        <v>1</v>
      </c>
      <c r="V232" s="202">
        <v>1</v>
      </c>
      <c r="W232" s="202">
        <v>1</v>
      </c>
      <c r="X232" s="202">
        <v>2</v>
      </c>
      <c r="Y232" s="202">
        <v>0</v>
      </c>
      <c r="Z232" s="202">
        <v>0</v>
      </c>
      <c r="AA232" s="202">
        <v>0</v>
      </c>
      <c r="AB232" s="202">
        <v>0</v>
      </c>
      <c r="AC232" s="202">
        <v>0</v>
      </c>
      <c r="AD232" s="202">
        <v>0</v>
      </c>
      <c r="AE232" s="202">
        <v>0</v>
      </c>
      <c r="AF232" s="202">
        <v>0</v>
      </c>
      <c r="AG232" s="202">
        <v>0</v>
      </c>
      <c r="AH232" s="202">
        <v>0</v>
      </c>
      <c r="AI232" s="202">
        <v>0</v>
      </c>
      <c r="AJ232" s="202">
        <v>0</v>
      </c>
      <c r="AK232" s="202">
        <v>0</v>
      </c>
      <c r="AL232" s="202">
        <v>0</v>
      </c>
      <c r="AM232" s="202">
        <v>0</v>
      </c>
      <c r="AN232" s="202">
        <v>0</v>
      </c>
      <c r="AO232" s="202">
        <v>0</v>
      </c>
      <c r="AP232" s="202">
        <v>0</v>
      </c>
      <c r="AQ232" s="202" t="s">
        <v>2491</v>
      </c>
      <c r="AR232" s="202">
        <v>0</v>
      </c>
      <c r="AS232" s="202">
        <v>0</v>
      </c>
      <c r="AT232" s="202">
        <v>3</v>
      </c>
      <c r="AU232" s="202">
        <v>0</v>
      </c>
      <c r="AV232" s="202">
        <v>0.6</v>
      </c>
      <c r="AW232"/>
      <c r="AX232"/>
      <c r="AY232"/>
    </row>
    <row r="233" spans="1:51">
      <c r="A233" s="202" t="str">
        <f t="shared" si="15"/>
        <v>鲁开福</v>
      </c>
      <c r="B233" s="202">
        <f>IF(C233&lt;&gt;"NA",C233,VLOOKUP(K233,Update_from_YIFIP!$X$2:$AD$174,7,FALSE))</f>
        <v>119</v>
      </c>
      <c r="C233" s="207">
        <f t="shared" si="12"/>
        <v>119</v>
      </c>
      <c r="D233" s="207">
        <f t="shared" si="13"/>
        <v>119</v>
      </c>
      <c r="E233" s="202" t="s">
        <v>2095</v>
      </c>
      <c r="F233" s="202" t="s">
        <v>2734</v>
      </c>
      <c r="G233" s="202" t="s">
        <v>2735</v>
      </c>
      <c r="H233" s="207" t="str">
        <f t="shared" si="14"/>
        <v>NA</v>
      </c>
      <c r="I233" s="202" t="s">
        <v>1929</v>
      </c>
      <c r="J233" s="202" t="s">
        <v>2732</v>
      </c>
      <c r="K233" s="202">
        <v>0</v>
      </c>
      <c r="L233" s="202" t="s">
        <v>1449</v>
      </c>
      <c r="M233" s="202">
        <v>8</v>
      </c>
      <c r="N233" s="202">
        <v>0</v>
      </c>
      <c r="O233" s="202">
        <v>13</v>
      </c>
      <c r="P233" s="202">
        <v>1</v>
      </c>
      <c r="Q233" s="202">
        <v>1</v>
      </c>
      <c r="R233" s="202">
        <v>1</v>
      </c>
      <c r="S233" s="202">
        <v>1</v>
      </c>
      <c r="T233" s="202">
        <v>1</v>
      </c>
      <c r="U233" s="202">
        <v>2</v>
      </c>
      <c r="V233" s="202">
        <v>2</v>
      </c>
      <c r="W233" s="202">
        <v>4</v>
      </c>
      <c r="X233" s="202">
        <v>0</v>
      </c>
      <c r="Y233" s="202">
        <v>0</v>
      </c>
      <c r="Z233" s="202">
        <v>0</v>
      </c>
      <c r="AA233" s="202">
        <v>0</v>
      </c>
      <c r="AB233" s="202">
        <v>0</v>
      </c>
      <c r="AC233" s="202">
        <v>0</v>
      </c>
      <c r="AD233" s="202">
        <v>0</v>
      </c>
      <c r="AE233" s="202">
        <v>0</v>
      </c>
      <c r="AF233" s="202">
        <v>0</v>
      </c>
      <c r="AG233" s="202">
        <v>0</v>
      </c>
      <c r="AH233" s="202">
        <v>0</v>
      </c>
      <c r="AI233" s="202">
        <v>0</v>
      </c>
      <c r="AJ233" s="202">
        <v>0</v>
      </c>
      <c r="AK233" s="202">
        <v>0</v>
      </c>
      <c r="AL233" s="202">
        <v>0</v>
      </c>
      <c r="AM233" s="202">
        <v>0</v>
      </c>
      <c r="AN233" s="202">
        <v>0</v>
      </c>
      <c r="AO233" s="202">
        <v>0</v>
      </c>
      <c r="AP233" s="202">
        <v>0</v>
      </c>
      <c r="AQ233" s="202" t="s">
        <v>2581</v>
      </c>
      <c r="AR233" s="202">
        <v>0</v>
      </c>
      <c r="AS233" s="202">
        <v>0</v>
      </c>
      <c r="AT233" s="202">
        <v>4</v>
      </c>
      <c r="AU233" s="202">
        <v>0</v>
      </c>
      <c r="AV233" s="202">
        <v>0.8</v>
      </c>
      <c r="AW233"/>
      <c r="AX233"/>
      <c r="AY233"/>
    </row>
    <row r="234" spans="1:51">
      <c r="A234" s="202" t="str">
        <f t="shared" si="15"/>
        <v>鲁开福</v>
      </c>
      <c r="B234" s="202">
        <f>IF(C234&lt;&gt;"NA",C234,VLOOKUP(K234,Update_from_YIFIP!$X$2:$AD$174,7,FALSE))</f>
        <v>119</v>
      </c>
      <c r="C234" s="207">
        <f t="shared" si="12"/>
        <v>119</v>
      </c>
      <c r="D234" s="207">
        <f t="shared" si="13"/>
        <v>119</v>
      </c>
      <c r="E234" s="202" t="s">
        <v>2095</v>
      </c>
      <c r="F234" s="202" t="s">
        <v>2734</v>
      </c>
      <c r="G234" s="202" t="s">
        <v>2735</v>
      </c>
      <c r="H234" s="207" t="str">
        <f t="shared" si="14"/>
        <v>NA</v>
      </c>
      <c r="I234" s="202" t="s">
        <v>1929</v>
      </c>
      <c r="J234" s="202" t="s">
        <v>2732</v>
      </c>
      <c r="K234" s="202">
        <v>0</v>
      </c>
      <c r="L234" s="202" t="s">
        <v>1450</v>
      </c>
      <c r="M234" s="202">
        <v>8</v>
      </c>
      <c r="N234" s="202">
        <v>0</v>
      </c>
      <c r="O234" s="202">
        <v>26</v>
      </c>
      <c r="P234" s="202">
        <v>2</v>
      </c>
      <c r="Q234" s="202">
        <v>2</v>
      </c>
      <c r="R234" s="202">
        <v>2</v>
      </c>
      <c r="S234" s="202">
        <v>3</v>
      </c>
      <c r="T234" s="202">
        <v>3</v>
      </c>
      <c r="U234" s="202">
        <v>4</v>
      </c>
      <c r="V234" s="202">
        <v>7</v>
      </c>
      <c r="W234" s="202">
        <v>3</v>
      </c>
      <c r="X234" s="202">
        <v>0</v>
      </c>
      <c r="Y234" s="202">
        <v>0</v>
      </c>
      <c r="Z234" s="202">
        <v>0</v>
      </c>
      <c r="AA234" s="202">
        <v>0</v>
      </c>
      <c r="AB234" s="202">
        <v>0</v>
      </c>
      <c r="AC234" s="202">
        <v>0</v>
      </c>
      <c r="AD234" s="202">
        <v>0</v>
      </c>
      <c r="AE234" s="202">
        <v>0</v>
      </c>
      <c r="AF234" s="202">
        <v>0</v>
      </c>
      <c r="AG234" s="202">
        <v>0</v>
      </c>
      <c r="AH234" s="202">
        <v>0</v>
      </c>
      <c r="AI234" s="202">
        <v>0</v>
      </c>
      <c r="AJ234" s="202">
        <v>0</v>
      </c>
      <c r="AK234" s="202">
        <v>0</v>
      </c>
      <c r="AL234" s="202">
        <v>0</v>
      </c>
      <c r="AM234" s="202">
        <v>0</v>
      </c>
      <c r="AN234" s="202">
        <v>0</v>
      </c>
      <c r="AO234" s="202">
        <v>0</v>
      </c>
      <c r="AP234" s="202">
        <v>0</v>
      </c>
      <c r="AQ234" s="202" t="s">
        <v>2736</v>
      </c>
      <c r="AR234" s="202">
        <v>0</v>
      </c>
      <c r="AS234" s="202">
        <v>0</v>
      </c>
      <c r="AT234" s="202">
        <v>10</v>
      </c>
      <c r="AU234" s="202">
        <v>0</v>
      </c>
      <c r="AV234" s="202">
        <v>2</v>
      </c>
      <c r="AW234"/>
      <c r="AX234"/>
      <c r="AY234"/>
    </row>
    <row r="235" spans="1:51">
      <c r="A235" s="202" t="str">
        <f t="shared" si="15"/>
        <v>鲁开福</v>
      </c>
      <c r="B235" s="202">
        <f>IF(C235&lt;&gt;"NA",C235,VLOOKUP(K235,Update_from_YIFIP!$X$2:$AD$174,7,FALSE))</f>
        <v>119</v>
      </c>
      <c r="C235" s="207">
        <f t="shared" si="12"/>
        <v>119</v>
      </c>
      <c r="D235" s="207">
        <f t="shared" si="13"/>
        <v>119</v>
      </c>
      <c r="E235" s="202" t="s">
        <v>2095</v>
      </c>
      <c r="F235" s="202" t="s">
        <v>2734</v>
      </c>
      <c r="G235" s="202" t="s">
        <v>2735</v>
      </c>
      <c r="H235" s="207" t="str">
        <f t="shared" si="14"/>
        <v>NA</v>
      </c>
      <c r="I235" s="202" t="s">
        <v>1929</v>
      </c>
      <c r="J235" s="202" t="s">
        <v>1929</v>
      </c>
      <c r="K235" s="202">
        <v>0</v>
      </c>
      <c r="L235" s="202" t="s">
        <v>1451</v>
      </c>
      <c r="M235" s="202">
        <v>11</v>
      </c>
      <c r="N235" s="202">
        <v>0</v>
      </c>
      <c r="O235" s="202">
        <v>42</v>
      </c>
      <c r="P235" s="202">
        <v>2</v>
      </c>
      <c r="Q235" s="202">
        <v>2</v>
      </c>
      <c r="R235" s="202">
        <v>3</v>
      </c>
      <c r="S235" s="202">
        <v>3</v>
      </c>
      <c r="T235" s="202">
        <v>3</v>
      </c>
      <c r="U235" s="202">
        <v>3</v>
      </c>
      <c r="V235" s="202">
        <v>3</v>
      </c>
      <c r="W235" s="202">
        <v>4</v>
      </c>
      <c r="X235" s="202">
        <v>6</v>
      </c>
      <c r="Y235" s="202">
        <v>6</v>
      </c>
      <c r="Z235" s="202">
        <v>7</v>
      </c>
      <c r="AA235" s="202">
        <v>0</v>
      </c>
      <c r="AB235" s="202">
        <v>0</v>
      </c>
      <c r="AC235" s="202">
        <v>0</v>
      </c>
      <c r="AD235" s="202">
        <v>0</v>
      </c>
      <c r="AE235" s="202">
        <v>0</v>
      </c>
      <c r="AF235" s="202">
        <v>0</v>
      </c>
      <c r="AG235" s="202">
        <v>0</v>
      </c>
      <c r="AH235" s="202">
        <v>0</v>
      </c>
      <c r="AI235" s="202">
        <v>0</v>
      </c>
      <c r="AJ235" s="202">
        <v>0</v>
      </c>
      <c r="AK235" s="202">
        <v>0</v>
      </c>
      <c r="AL235" s="202">
        <v>0</v>
      </c>
      <c r="AM235" s="202">
        <v>0</v>
      </c>
      <c r="AN235" s="202">
        <v>0</v>
      </c>
      <c r="AO235" s="202">
        <v>0</v>
      </c>
      <c r="AP235" s="202">
        <v>0</v>
      </c>
      <c r="AQ235" s="202" t="s">
        <v>1929</v>
      </c>
      <c r="AR235" s="202">
        <v>0</v>
      </c>
      <c r="AS235" s="202">
        <v>0</v>
      </c>
      <c r="AT235" s="202">
        <v>15</v>
      </c>
      <c r="AU235" s="202">
        <v>0</v>
      </c>
      <c r="AV235" s="202">
        <v>3</v>
      </c>
      <c r="AW235"/>
      <c r="AX235"/>
      <c r="AY235"/>
    </row>
    <row r="236" spans="1:51">
      <c r="A236" s="202" t="str">
        <f t="shared" si="15"/>
        <v>李开愉</v>
      </c>
      <c r="B236" s="202">
        <f>IF(C236&lt;&gt;"NA",C236,VLOOKUP(K236,Update_from_YIFIP!$X$2:$AD$174,7,FALSE))</f>
        <v>121</v>
      </c>
      <c r="C236" s="207">
        <f t="shared" si="12"/>
        <v>121</v>
      </c>
      <c r="D236" s="207">
        <f t="shared" si="13"/>
        <v>121</v>
      </c>
      <c r="E236" s="202" t="s">
        <v>2068</v>
      </c>
      <c r="F236" s="202" t="s">
        <v>2893</v>
      </c>
      <c r="G236" s="202" t="s">
        <v>2894</v>
      </c>
      <c r="H236" s="207" t="str">
        <f t="shared" si="14"/>
        <v>NA</v>
      </c>
      <c r="I236" s="202" t="s">
        <v>1929</v>
      </c>
      <c r="J236" s="202" t="s">
        <v>2891</v>
      </c>
      <c r="K236" s="202">
        <v>0</v>
      </c>
      <c r="L236" s="202" t="s">
        <v>1518</v>
      </c>
      <c r="M236" s="202">
        <v>8</v>
      </c>
      <c r="N236" s="202">
        <v>0</v>
      </c>
      <c r="O236" s="202">
        <v>134</v>
      </c>
      <c r="P236" s="202">
        <v>22</v>
      </c>
      <c r="Q236" s="202">
        <v>14</v>
      </c>
      <c r="R236" s="202">
        <v>20</v>
      </c>
      <c r="S236" s="202">
        <v>15</v>
      </c>
      <c r="T236" s="202">
        <v>10</v>
      </c>
      <c r="U236" s="202">
        <v>25</v>
      </c>
      <c r="V236" s="202">
        <v>17</v>
      </c>
      <c r="W236" s="202">
        <v>11</v>
      </c>
      <c r="X236" s="202">
        <v>0</v>
      </c>
      <c r="Y236" s="202">
        <v>0</v>
      </c>
      <c r="Z236" s="202">
        <v>0</v>
      </c>
      <c r="AA236" s="202">
        <v>0</v>
      </c>
      <c r="AB236" s="202">
        <v>0</v>
      </c>
      <c r="AC236" s="202">
        <v>0</v>
      </c>
      <c r="AD236" s="202">
        <v>0</v>
      </c>
      <c r="AE236" s="202">
        <v>0</v>
      </c>
      <c r="AF236" s="202">
        <v>0</v>
      </c>
      <c r="AG236" s="202">
        <v>0</v>
      </c>
      <c r="AH236" s="202">
        <v>0</v>
      </c>
      <c r="AI236" s="202">
        <v>0</v>
      </c>
      <c r="AJ236" s="202">
        <v>0</v>
      </c>
      <c r="AK236" s="202">
        <v>0</v>
      </c>
      <c r="AL236" s="202">
        <v>0</v>
      </c>
      <c r="AM236" s="202">
        <v>0</v>
      </c>
      <c r="AN236" s="202">
        <v>0</v>
      </c>
      <c r="AO236" s="202">
        <v>0</v>
      </c>
      <c r="AP236" s="202">
        <v>0</v>
      </c>
      <c r="AQ236" s="202" t="s">
        <v>343</v>
      </c>
      <c r="AR236" s="202">
        <v>0</v>
      </c>
      <c r="AS236" s="202">
        <v>0</v>
      </c>
      <c r="AT236" s="202">
        <v>32</v>
      </c>
      <c r="AU236" s="202" t="s">
        <v>2892</v>
      </c>
      <c r="AV236" s="202">
        <v>6.4</v>
      </c>
      <c r="AW236"/>
      <c r="AX236"/>
      <c r="AY236"/>
    </row>
    <row r="237" spans="1:51">
      <c r="A237" s="202" t="str">
        <f t="shared" si="15"/>
        <v>李开愉</v>
      </c>
      <c r="B237" s="202">
        <f>IF(C237&lt;&gt;"NA",C237,VLOOKUP(K237,Update_from_YIFIP!$X$2:$AD$174,7,FALSE))</f>
        <v>121</v>
      </c>
      <c r="C237" s="207">
        <f t="shared" si="12"/>
        <v>121</v>
      </c>
      <c r="D237" s="207">
        <f t="shared" si="13"/>
        <v>121</v>
      </c>
      <c r="E237" s="202" t="s">
        <v>2068</v>
      </c>
      <c r="F237" s="202" t="s">
        <v>2893</v>
      </c>
      <c r="G237" s="202" t="s">
        <v>2894</v>
      </c>
      <c r="H237" s="207" t="str">
        <f t="shared" si="14"/>
        <v>NA</v>
      </c>
      <c r="I237" s="202" t="s">
        <v>1929</v>
      </c>
      <c r="J237" s="202" t="s">
        <v>2891</v>
      </c>
      <c r="K237" s="202">
        <v>0</v>
      </c>
      <c r="L237" s="202" t="s">
        <v>1519</v>
      </c>
      <c r="M237" s="202">
        <v>0</v>
      </c>
      <c r="N237" s="202">
        <v>2</v>
      </c>
      <c r="O237" s="202">
        <v>7</v>
      </c>
      <c r="P237" s="202">
        <v>3</v>
      </c>
      <c r="Q237" s="202">
        <v>4</v>
      </c>
      <c r="R237" s="202">
        <v>0</v>
      </c>
      <c r="S237" s="202">
        <v>0</v>
      </c>
      <c r="T237" s="202">
        <v>0</v>
      </c>
      <c r="U237" s="202">
        <v>0</v>
      </c>
      <c r="V237" s="202">
        <v>0</v>
      </c>
      <c r="W237" s="202">
        <v>0</v>
      </c>
      <c r="X237" s="202">
        <v>0</v>
      </c>
      <c r="Y237" s="202">
        <v>0</v>
      </c>
      <c r="Z237" s="202">
        <v>0</v>
      </c>
      <c r="AA237" s="202">
        <v>0</v>
      </c>
      <c r="AB237" s="202">
        <v>0</v>
      </c>
      <c r="AC237" s="202">
        <v>0</v>
      </c>
      <c r="AD237" s="202">
        <v>0</v>
      </c>
      <c r="AE237" s="202">
        <v>0</v>
      </c>
      <c r="AF237" s="202">
        <v>0</v>
      </c>
      <c r="AG237" s="202">
        <v>0</v>
      </c>
      <c r="AH237" s="202">
        <v>0</v>
      </c>
      <c r="AI237" s="202">
        <v>0</v>
      </c>
      <c r="AJ237" s="202">
        <v>0</v>
      </c>
      <c r="AK237" s="202">
        <v>0</v>
      </c>
      <c r="AL237" s="202">
        <v>0</v>
      </c>
      <c r="AM237" s="202">
        <v>0</v>
      </c>
      <c r="AN237" s="202">
        <v>0</v>
      </c>
      <c r="AO237" s="202">
        <v>0</v>
      </c>
      <c r="AP237" s="202">
        <v>0</v>
      </c>
      <c r="AQ237" s="202" t="s">
        <v>2871</v>
      </c>
      <c r="AR237" s="202">
        <v>0</v>
      </c>
      <c r="AS237" s="202">
        <v>0</v>
      </c>
      <c r="AT237" s="202">
        <v>3</v>
      </c>
      <c r="AU237" s="202">
        <v>0</v>
      </c>
      <c r="AV237" s="202">
        <v>0.6</v>
      </c>
      <c r="AW237"/>
      <c r="AX237"/>
      <c r="AY237"/>
    </row>
    <row r="238" spans="1:51">
      <c r="A238" s="202" t="str">
        <f t="shared" si="15"/>
        <v>李忠燕</v>
      </c>
      <c r="B238" s="202">
        <f>IF(C238&lt;&gt;"NA",C238,VLOOKUP(K238,Update_from_YIFIP!$X$2:$AD$174,7,FALSE))</f>
        <v>122</v>
      </c>
      <c r="C238" s="207">
        <f t="shared" si="12"/>
        <v>122</v>
      </c>
      <c r="D238" s="207">
        <f t="shared" si="13"/>
        <v>122</v>
      </c>
      <c r="E238" s="202" t="s">
        <v>2087</v>
      </c>
      <c r="F238" s="202" t="s">
        <v>2876</v>
      </c>
      <c r="G238" s="202" t="s">
        <v>2877</v>
      </c>
      <c r="H238" s="207" t="str">
        <f t="shared" si="14"/>
        <v>NA</v>
      </c>
      <c r="I238" s="202" t="s">
        <v>1929</v>
      </c>
      <c r="J238" s="202" t="s">
        <v>2875</v>
      </c>
      <c r="K238" s="202">
        <v>0</v>
      </c>
      <c r="L238" s="202" t="s">
        <v>1510</v>
      </c>
      <c r="M238" s="202">
        <v>7</v>
      </c>
      <c r="N238" s="202">
        <v>0</v>
      </c>
      <c r="O238" s="202">
        <v>29</v>
      </c>
      <c r="P238" s="202">
        <v>7</v>
      </c>
      <c r="Q238" s="202">
        <v>6</v>
      </c>
      <c r="R238" s="202">
        <v>3</v>
      </c>
      <c r="S238" s="202">
        <v>4</v>
      </c>
      <c r="T238" s="202">
        <v>1</v>
      </c>
      <c r="U238" s="202">
        <v>6</v>
      </c>
      <c r="V238" s="202">
        <v>2</v>
      </c>
      <c r="W238" s="202">
        <v>0</v>
      </c>
      <c r="X238" s="202">
        <v>0</v>
      </c>
      <c r="Y238" s="202">
        <v>0</v>
      </c>
      <c r="Z238" s="202">
        <v>0</v>
      </c>
      <c r="AA238" s="202">
        <v>0</v>
      </c>
      <c r="AB238" s="202">
        <v>0</v>
      </c>
      <c r="AC238" s="202">
        <v>0</v>
      </c>
      <c r="AD238" s="202">
        <v>0</v>
      </c>
      <c r="AE238" s="202">
        <v>0</v>
      </c>
      <c r="AF238" s="202">
        <v>0</v>
      </c>
      <c r="AG238" s="202">
        <v>0</v>
      </c>
      <c r="AH238" s="202">
        <v>0</v>
      </c>
      <c r="AI238" s="202">
        <v>0</v>
      </c>
      <c r="AJ238" s="202">
        <v>0</v>
      </c>
      <c r="AK238" s="202">
        <v>0</v>
      </c>
      <c r="AL238" s="202">
        <v>0</v>
      </c>
      <c r="AM238" s="202">
        <v>0</v>
      </c>
      <c r="AN238" s="202">
        <v>0</v>
      </c>
      <c r="AO238" s="202">
        <v>0</v>
      </c>
      <c r="AP238" s="202">
        <v>0</v>
      </c>
      <c r="AQ238" s="202" t="s">
        <v>2554</v>
      </c>
      <c r="AR238" s="202">
        <v>0</v>
      </c>
      <c r="AS238" s="202">
        <v>0</v>
      </c>
      <c r="AT238" s="202">
        <v>7.5</v>
      </c>
      <c r="AU238" s="202">
        <v>0</v>
      </c>
      <c r="AV238" s="202">
        <v>1.5</v>
      </c>
      <c r="AW238"/>
      <c r="AX238"/>
      <c r="AY238"/>
    </row>
    <row r="239" spans="1:51">
      <c r="A239" s="202" t="str">
        <f t="shared" si="15"/>
        <v>李忠燕</v>
      </c>
      <c r="B239" s="202">
        <f>IF(C239&lt;&gt;"NA",C239,VLOOKUP(K239,Update_from_YIFIP!$X$2:$AD$174,7,FALSE))</f>
        <v>122</v>
      </c>
      <c r="C239" s="207">
        <f t="shared" si="12"/>
        <v>122</v>
      </c>
      <c r="D239" s="207">
        <f t="shared" si="13"/>
        <v>122</v>
      </c>
      <c r="E239" s="202" t="s">
        <v>2087</v>
      </c>
      <c r="F239" s="202" t="s">
        <v>2876</v>
      </c>
      <c r="G239" s="202" t="s">
        <v>2877</v>
      </c>
      <c r="H239" s="207" t="str">
        <f t="shared" si="14"/>
        <v>NA</v>
      </c>
      <c r="I239" s="202" t="s">
        <v>1929</v>
      </c>
      <c r="J239" s="202" t="s">
        <v>2875</v>
      </c>
      <c r="K239" s="202">
        <v>0</v>
      </c>
      <c r="L239" s="202" t="s">
        <v>1511</v>
      </c>
      <c r="M239" s="202">
        <v>6</v>
      </c>
      <c r="N239" s="202">
        <v>0</v>
      </c>
      <c r="O239" s="202">
        <v>61</v>
      </c>
      <c r="P239" s="202">
        <v>4</v>
      </c>
      <c r="Q239" s="202">
        <v>4</v>
      </c>
      <c r="R239" s="202">
        <v>8</v>
      </c>
      <c r="S239" s="202">
        <v>8</v>
      </c>
      <c r="T239" s="202">
        <v>25</v>
      </c>
      <c r="U239" s="202">
        <v>12</v>
      </c>
      <c r="V239" s="202">
        <v>0</v>
      </c>
      <c r="W239" s="202">
        <v>0</v>
      </c>
      <c r="X239" s="202">
        <v>0</v>
      </c>
      <c r="Y239" s="202">
        <v>0</v>
      </c>
      <c r="Z239" s="202">
        <v>0</v>
      </c>
      <c r="AA239" s="202">
        <v>0</v>
      </c>
      <c r="AB239" s="202">
        <v>0</v>
      </c>
      <c r="AC239" s="202">
        <v>0</v>
      </c>
      <c r="AD239" s="202">
        <v>0</v>
      </c>
      <c r="AE239" s="202">
        <v>0</v>
      </c>
      <c r="AF239" s="202">
        <v>0</v>
      </c>
      <c r="AG239" s="202">
        <v>0</v>
      </c>
      <c r="AH239" s="202">
        <v>0</v>
      </c>
      <c r="AI239" s="202">
        <v>0</v>
      </c>
      <c r="AJ239" s="202">
        <v>0</v>
      </c>
      <c r="AK239" s="202">
        <v>0</v>
      </c>
      <c r="AL239" s="202">
        <v>0</v>
      </c>
      <c r="AM239" s="202">
        <v>0</v>
      </c>
      <c r="AN239" s="202">
        <v>0</v>
      </c>
      <c r="AO239" s="202">
        <v>0</v>
      </c>
      <c r="AP239" s="202">
        <v>0</v>
      </c>
      <c r="AQ239" s="202" t="s">
        <v>2847</v>
      </c>
      <c r="AR239" s="202">
        <v>0</v>
      </c>
      <c r="AS239" s="202">
        <v>0</v>
      </c>
      <c r="AT239" s="202">
        <v>15</v>
      </c>
      <c r="AU239" s="202">
        <v>0</v>
      </c>
      <c r="AV239" s="202">
        <v>3</v>
      </c>
      <c r="AW239"/>
      <c r="AX239"/>
      <c r="AY239"/>
    </row>
    <row r="240" spans="1:51">
      <c r="A240" s="202" t="str">
        <f t="shared" si="15"/>
        <v>李忠燕</v>
      </c>
      <c r="B240" s="202">
        <f>IF(C240&lt;&gt;"NA",C240,VLOOKUP(K240,Update_from_YIFIP!$X$2:$AD$174,7,FALSE))</f>
        <v>122</v>
      </c>
      <c r="C240" s="207">
        <f t="shared" si="12"/>
        <v>122</v>
      </c>
      <c r="D240" s="207">
        <f t="shared" si="13"/>
        <v>122</v>
      </c>
      <c r="E240" s="202" t="s">
        <v>2087</v>
      </c>
      <c r="F240" s="202" t="s">
        <v>2876</v>
      </c>
      <c r="G240" s="202" t="s">
        <v>2877</v>
      </c>
      <c r="H240" s="207" t="str">
        <f t="shared" si="14"/>
        <v>NA</v>
      </c>
      <c r="I240" s="202" t="s">
        <v>1929</v>
      </c>
      <c r="J240" s="202" t="s">
        <v>2875</v>
      </c>
      <c r="K240" s="202">
        <v>0</v>
      </c>
      <c r="L240" s="202" t="s">
        <v>1512</v>
      </c>
      <c r="M240" s="202">
        <v>1</v>
      </c>
      <c r="N240" s="202">
        <v>0</v>
      </c>
      <c r="O240" s="202">
        <v>5</v>
      </c>
      <c r="P240" s="202">
        <v>5</v>
      </c>
      <c r="Q240" s="202">
        <v>0</v>
      </c>
      <c r="R240" s="202">
        <v>0</v>
      </c>
      <c r="S240" s="202">
        <v>0</v>
      </c>
      <c r="T240" s="202">
        <v>0</v>
      </c>
      <c r="U240" s="202">
        <v>0</v>
      </c>
      <c r="V240" s="202">
        <v>0</v>
      </c>
      <c r="W240" s="202">
        <v>0</v>
      </c>
      <c r="X240" s="202">
        <v>0</v>
      </c>
      <c r="Y240" s="202">
        <v>0</v>
      </c>
      <c r="Z240" s="202">
        <v>0</v>
      </c>
      <c r="AA240" s="202">
        <v>0</v>
      </c>
      <c r="AB240" s="202">
        <v>0</v>
      </c>
      <c r="AC240" s="202">
        <v>0</v>
      </c>
      <c r="AD240" s="202">
        <v>0</v>
      </c>
      <c r="AE240" s="202">
        <v>0</v>
      </c>
      <c r="AF240" s="202">
        <v>0</v>
      </c>
      <c r="AG240" s="202">
        <v>0</v>
      </c>
      <c r="AH240" s="202">
        <v>0</v>
      </c>
      <c r="AI240" s="202">
        <v>0</v>
      </c>
      <c r="AJ240" s="202">
        <v>0</v>
      </c>
      <c r="AK240" s="202">
        <v>0</v>
      </c>
      <c r="AL240" s="202">
        <v>0</v>
      </c>
      <c r="AM240" s="202">
        <v>0</v>
      </c>
      <c r="AN240" s="202">
        <v>0</v>
      </c>
      <c r="AO240" s="202">
        <v>0</v>
      </c>
      <c r="AP240" s="202">
        <v>0</v>
      </c>
      <c r="AQ240" s="202" t="s">
        <v>2508</v>
      </c>
      <c r="AR240" s="202">
        <v>0</v>
      </c>
      <c r="AS240" s="202">
        <v>0</v>
      </c>
      <c r="AT240" s="202">
        <v>2</v>
      </c>
      <c r="AU240" s="202">
        <v>0</v>
      </c>
      <c r="AV240" s="202">
        <v>0.4</v>
      </c>
      <c r="AW240"/>
      <c r="AX240"/>
      <c r="AY240"/>
    </row>
    <row r="241" spans="1:51">
      <c r="A241" s="202" t="str">
        <f t="shared" si="15"/>
        <v>李忠燕</v>
      </c>
      <c r="B241" s="202">
        <f>IF(C241&lt;&gt;"NA",C241,VLOOKUP(K241,Update_from_YIFIP!$X$2:$AD$174,7,FALSE))</f>
        <v>122</v>
      </c>
      <c r="C241" s="207">
        <f t="shared" si="12"/>
        <v>122</v>
      </c>
      <c r="D241" s="207">
        <f t="shared" si="13"/>
        <v>122</v>
      </c>
      <c r="E241" s="202" t="s">
        <v>2087</v>
      </c>
      <c r="F241" s="202" t="s">
        <v>2876</v>
      </c>
      <c r="G241" s="202" t="s">
        <v>2877</v>
      </c>
      <c r="H241" s="207" t="str">
        <f t="shared" si="14"/>
        <v>NA</v>
      </c>
      <c r="I241" s="202" t="s">
        <v>1929</v>
      </c>
      <c r="J241" s="202" t="s">
        <v>2875</v>
      </c>
      <c r="K241" s="202">
        <v>0</v>
      </c>
      <c r="L241" s="202" t="s">
        <v>1513</v>
      </c>
      <c r="M241" s="202">
        <v>3</v>
      </c>
      <c r="N241" s="202">
        <v>0</v>
      </c>
      <c r="O241" s="202">
        <v>7</v>
      </c>
      <c r="P241" s="202">
        <v>1</v>
      </c>
      <c r="Q241" s="202">
        <v>2</v>
      </c>
      <c r="R241" s="202">
        <v>4</v>
      </c>
      <c r="S241" s="202">
        <v>0</v>
      </c>
      <c r="T241" s="202">
        <v>0</v>
      </c>
      <c r="U241" s="202">
        <v>0</v>
      </c>
      <c r="V241" s="202">
        <v>0</v>
      </c>
      <c r="W241" s="202">
        <v>0</v>
      </c>
      <c r="X241" s="202">
        <v>0</v>
      </c>
      <c r="Y241" s="202">
        <v>0</v>
      </c>
      <c r="Z241" s="202">
        <v>0</v>
      </c>
      <c r="AA241" s="202">
        <v>0</v>
      </c>
      <c r="AB241" s="202">
        <v>0</v>
      </c>
      <c r="AC241" s="202">
        <v>0</v>
      </c>
      <c r="AD241" s="202">
        <v>0</v>
      </c>
      <c r="AE241" s="202">
        <v>0</v>
      </c>
      <c r="AF241" s="202">
        <v>0</v>
      </c>
      <c r="AG241" s="202">
        <v>0</v>
      </c>
      <c r="AH241" s="202">
        <v>0</v>
      </c>
      <c r="AI241" s="202">
        <v>0</v>
      </c>
      <c r="AJ241" s="202">
        <v>0</v>
      </c>
      <c r="AK241" s="202">
        <v>0</v>
      </c>
      <c r="AL241" s="202">
        <v>0</v>
      </c>
      <c r="AM241" s="202">
        <v>0</v>
      </c>
      <c r="AN241" s="202">
        <v>0</v>
      </c>
      <c r="AO241" s="202">
        <v>0</v>
      </c>
      <c r="AP241" s="202">
        <v>0</v>
      </c>
      <c r="AQ241" s="202" t="s">
        <v>2625</v>
      </c>
      <c r="AR241" s="202">
        <v>0</v>
      </c>
      <c r="AS241" s="202">
        <v>0</v>
      </c>
      <c r="AT241" s="202">
        <v>4</v>
      </c>
      <c r="AU241" s="202">
        <v>0</v>
      </c>
      <c r="AV241" s="202">
        <v>0.8</v>
      </c>
      <c r="AW241"/>
      <c r="AX241"/>
      <c r="AY241"/>
    </row>
    <row r="242" spans="1:51">
      <c r="A242" s="202" t="str">
        <f t="shared" si="15"/>
        <v>陈春礼</v>
      </c>
      <c r="B242" s="202">
        <f>IF(C242&lt;&gt;"NA",C242,VLOOKUP(K242,Update_from_YIFIP!$X$2:$AD$174,7,FALSE))</f>
        <v>123</v>
      </c>
      <c r="C242" s="207">
        <f t="shared" si="12"/>
        <v>123</v>
      </c>
      <c r="D242" s="207">
        <f t="shared" si="13"/>
        <v>123</v>
      </c>
      <c r="E242" s="202" t="s">
        <v>2030</v>
      </c>
      <c r="F242" s="202" t="s">
        <v>2881</v>
      </c>
      <c r="G242" s="202" t="s">
        <v>2882</v>
      </c>
      <c r="H242" s="207" t="str">
        <f t="shared" si="14"/>
        <v>NA</v>
      </c>
      <c r="I242" s="202" t="s">
        <v>1929</v>
      </c>
      <c r="J242" s="202" t="s">
        <v>2878</v>
      </c>
      <c r="K242" s="202" t="s">
        <v>2880</v>
      </c>
      <c r="L242" s="202" t="s">
        <v>1514</v>
      </c>
      <c r="M242" s="202">
        <v>0</v>
      </c>
      <c r="N242" s="202">
        <v>7</v>
      </c>
      <c r="O242" s="202">
        <v>29</v>
      </c>
      <c r="P242" s="202">
        <v>6</v>
      </c>
      <c r="Q242" s="202">
        <v>7</v>
      </c>
      <c r="R242" s="202">
        <v>4</v>
      </c>
      <c r="S242" s="202">
        <v>4</v>
      </c>
      <c r="T242" s="202">
        <v>1</v>
      </c>
      <c r="U242" s="202">
        <v>6</v>
      </c>
      <c r="V242" s="202">
        <v>1</v>
      </c>
      <c r="W242" s="202">
        <v>0</v>
      </c>
      <c r="X242" s="202">
        <v>0</v>
      </c>
      <c r="Y242" s="202">
        <v>0</v>
      </c>
      <c r="Z242" s="202">
        <v>0</v>
      </c>
      <c r="AA242" s="202">
        <v>0</v>
      </c>
      <c r="AB242" s="202">
        <v>0</v>
      </c>
      <c r="AC242" s="202">
        <v>0</v>
      </c>
      <c r="AD242" s="202">
        <v>0</v>
      </c>
      <c r="AE242" s="202">
        <v>0</v>
      </c>
      <c r="AF242" s="202">
        <v>0</v>
      </c>
      <c r="AG242" s="202">
        <v>0</v>
      </c>
      <c r="AH242" s="202">
        <v>0</v>
      </c>
      <c r="AI242" s="202">
        <v>0</v>
      </c>
      <c r="AJ242" s="202">
        <v>0</v>
      </c>
      <c r="AK242" s="202">
        <v>0</v>
      </c>
      <c r="AL242" s="202">
        <v>0</v>
      </c>
      <c r="AM242" s="202">
        <v>0</v>
      </c>
      <c r="AN242" s="202">
        <v>0</v>
      </c>
      <c r="AO242" s="202">
        <v>0</v>
      </c>
      <c r="AP242" s="202">
        <v>0</v>
      </c>
      <c r="AQ242" s="202" t="s">
        <v>2879</v>
      </c>
      <c r="AR242" s="202">
        <v>0</v>
      </c>
      <c r="AS242" s="202">
        <v>0</v>
      </c>
      <c r="AT242" s="202">
        <v>7.5</v>
      </c>
      <c r="AU242" s="202">
        <v>0</v>
      </c>
      <c r="AV242" s="202">
        <v>1.5</v>
      </c>
      <c r="AW242"/>
      <c r="AX242"/>
      <c r="AY242"/>
    </row>
    <row r="243" spans="1:51">
      <c r="A243" s="202" t="str">
        <f t="shared" si="15"/>
        <v>陈春礼</v>
      </c>
      <c r="B243" s="202">
        <f>IF(C243&lt;&gt;"NA",C243,VLOOKUP(K243,Update_from_YIFIP!$X$2:$AD$174,7,FALSE))</f>
        <v>123</v>
      </c>
      <c r="C243" s="207">
        <f t="shared" si="12"/>
        <v>123</v>
      </c>
      <c r="D243" s="207">
        <f t="shared" si="13"/>
        <v>123</v>
      </c>
      <c r="E243" s="202" t="s">
        <v>2030</v>
      </c>
      <c r="F243" s="202" t="s">
        <v>2881</v>
      </c>
      <c r="G243" s="202" t="s">
        <v>2882</v>
      </c>
      <c r="H243" s="207" t="str">
        <f t="shared" si="14"/>
        <v>NA</v>
      </c>
      <c r="I243" s="202" t="s">
        <v>1929</v>
      </c>
      <c r="J243" s="202" t="s">
        <v>2878</v>
      </c>
      <c r="K243" s="202" t="s">
        <v>2883</v>
      </c>
      <c r="L243" s="202" t="s">
        <v>1515</v>
      </c>
      <c r="M243" s="202">
        <v>10</v>
      </c>
      <c r="N243" s="202">
        <v>0</v>
      </c>
      <c r="O243" s="202">
        <v>163</v>
      </c>
      <c r="P243" s="202">
        <v>23</v>
      </c>
      <c r="Q243" s="202">
        <v>19</v>
      </c>
      <c r="R243" s="202">
        <v>27</v>
      </c>
      <c r="S243" s="202">
        <v>18</v>
      </c>
      <c r="T243" s="202">
        <v>16</v>
      </c>
      <c r="U243" s="202">
        <v>13</v>
      </c>
      <c r="V243" s="202">
        <v>13</v>
      </c>
      <c r="W243" s="202">
        <v>19</v>
      </c>
      <c r="X243" s="202">
        <v>10</v>
      </c>
      <c r="Y243" s="202">
        <v>5</v>
      </c>
      <c r="Z243" s="202">
        <v>0</v>
      </c>
      <c r="AA243" s="202">
        <v>0</v>
      </c>
      <c r="AB243" s="202">
        <v>0</v>
      </c>
      <c r="AC243" s="202">
        <v>0</v>
      </c>
      <c r="AD243" s="202">
        <v>0</v>
      </c>
      <c r="AE243" s="202">
        <v>0</v>
      </c>
      <c r="AF243" s="202">
        <v>0</v>
      </c>
      <c r="AG243" s="202">
        <v>0</v>
      </c>
      <c r="AH243" s="202">
        <v>0</v>
      </c>
      <c r="AI243" s="202">
        <v>0</v>
      </c>
      <c r="AJ243" s="202">
        <v>0</v>
      </c>
      <c r="AK243" s="202">
        <v>0</v>
      </c>
      <c r="AL243" s="202">
        <v>0</v>
      </c>
      <c r="AM243" s="202">
        <v>0</v>
      </c>
      <c r="AN243" s="202">
        <v>0</v>
      </c>
      <c r="AO243" s="202">
        <v>0</v>
      </c>
      <c r="AP243" s="202">
        <v>0</v>
      </c>
      <c r="AQ243" s="202" t="s">
        <v>2879</v>
      </c>
      <c r="AR243" s="202">
        <v>0</v>
      </c>
      <c r="AS243" s="202">
        <v>0</v>
      </c>
      <c r="AT243" s="202">
        <v>50</v>
      </c>
      <c r="AU243" s="202" t="s">
        <v>2302</v>
      </c>
      <c r="AV243" s="202">
        <v>10</v>
      </c>
      <c r="AW243"/>
      <c r="AX243"/>
      <c r="AY243"/>
    </row>
    <row r="244" spans="1:51">
      <c r="A244" s="202" t="str">
        <f t="shared" si="15"/>
        <v>罗德勇</v>
      </c>
      <c r="B244" s="202">
        <f>IF(C244&lt;&gt;"NA",C244,VLOOKUP(K244,Update_from_YIFIP!$X$2:$AD$174,7,FALSE))</f>
        <v>124</v>
      </c>
      <c r="C244" s="207">
        <f t="shared" si="12"/>
        <v>124</v>
      </c>
      <c r="D244" s="207">
        <f t="shared" si="13"/>
        <v>124</v>
      </c>
      <c r="E244" s="202" t="s">
        <v>2100</v>
      </c>
      <c r="F244" s="202" t="s">
        <v>2872</v>
      </c>
      <c r="G244" s="202" t="s">
        <v>2873</v>
      </c>
      <c r="H244" s="207" t="str">
        <f t="shared" si="14"/>
        <v>NA</v>
      </c>
      <c r="I244" s="202" t="s">
        <v>1929</v>
      </c>
      <c r="J244" s="202" t="s">
        <v>2870</v>
      </c>
      <c r="K244" s="202">
        <v>0</v>
      </c>
      <c r="L244" s="202" t="s">
        <v>1507</v>
      </c>
      <c r="M244" s="202">
        <v>5</v>
      </c>
      <c r="N244" s="202">
        <v>0</v>
      </c>
      <c r="O244" s="202">
        <v>63</v>
      </c>
      <c r="P244" s="202">
        <v>12</v>
      </c>
      <c r="Q244" s="202">
        <v>10</v>
      </c>
      <c r="R244" s="202">
        <v>19</v>
      </c>
      <c r="S244" s="202">
        <v>12</v>
      </c>
      <c r="T244" s="202">
        <v>10</v>
      </c>
      <c r="U244" s="202">
        <v>0</v>
      </c>
      <c r="V244" s="202">
        <v>0</v>
      </c>
      <c r="W244" s="202">
        <v>0</v>
      </c>
      <c r="X244" s="202">
        <v>0</v>
      </c>
      <c r="Y244" s="202">
        <v>0</v>
      </c>
      <c r="Z244" s="202">
        <v>0</v>
      </c>
      <c r="AA244" s="202">
        <v>0</v>
      </c>
      <c r="AB244" s="202">
        <v>0</v>
      </c>
      <c r="AC244" s="202">
        <v>0</v>
      </c>
      <c r="AD244" s="202">
        <v>0</v>
      </c>
      <c r="AE244" s="202">
        <v>0</v>
      </c>
      <c r="AF244" s="202">
        <v>0</v>
      </c>
      <c r="AG244" s="202">
        <v>0</v>
      </c>
      <c r="AH244" s="202">
        <v>0</v>
      </c>
      <c r="AI244" s="202">
        <v>0</v>
      </c>
      <c r="AJ244" s="202">
        <v>0</v>
      </c>
      <c r="AK244" s="202">
        <v>0</v>
      </c>
      <c r="AL244" s="202">
        <v>0</v>
      </c>
      <c r="AM244" s="202">
        <v>0</v>
      </c>
      <c r="AN244" s="202">
        <v>0</v>
      </c>
      <c r="AO244" s="202">
        <v>0</v>
      </c>
      <c r="AP244" s="202">
        <v>0</v>
      </c>
      <c r="AQ244" s="202" t="s">
        <v>2871</v>
      </c>
      <c r="AR244" s="202">
        <v>0</v>
      </c>
      <c r="AS244" s="202">
        <v>0</v>
      </c>
      <c r="AT244" s="202">
        <v>25</v>
      </c>
      <c r="AU244" s="202">
        <v>0</v>
      </c>
      <c r="AV244" s="202">
        <v>5</v>
      </c>
      <c r="AW244"/>
      <c r="AX244"/>
      <c r="AY244"/>
    </row>
    <row r="245" spans="1:51">
      <c r="A245" s="202" t="str">
        <f t="shared" si="15"/>
        <v>罗德勇</v>
      </c>
      <c r="B245" s="202">
        <f>IF(C245&lt;&gt;"NA",C245,VLOOKUP(K245,Update_from_YIFIP!$X$2:$AD$174,7,FALSE))</f>
        <v>124</v>
      </c>
      <c r="C245" s="207">
        <f t="shared" si="12"/>
        <v>124</v>
      </c>
      <c r="D245" s="207">
        <f t="shared" si="13"/>
        <v>124</v>
      </c>
      <c r="E245" s="202" t="s">
        <v>2100</v>
      </c>
      <c r="F245" s="202" t="s">
        <v>2872</v>
      </c>
      <c r="G245" s="202" t="s">
        <v>2873</v>
      </c>
      <c r="H245" s="207" t="str">
        <f t="shared" si="14"/>
        <v>NA</v>
      </c>
      <c r="I245" s="202" t="s">
        <v>1929</v>
      </c>
      <c r="J245" s="202" t="s">
        <v>2870</v>
      </c>
      <c r="K245" s="202">
        <v>0</v>
      </c>
      <c r="L245" s="202" t="s">
        <v>1508</v>
      </c>
      <c r="M245" s="202">
        <v>9</v>
      </c>
      <c r="N245" s="202">
        <v>0</v>
      </c>
      <c r="O245" s="202">
        <v>150</v>
      </c>
      <c r="P245" s="202">
        <v>35</v>
      </c>
      <c r="Q245" s="202">
        <v>17</v>
      </c>
      <c r="R245" s="202">
        <v>21</v>
      </c>
      <c r="S245" s="202">
        <v>14</v>
      </c>
      <c r="T245" s="202">
        <v>23</v>
      </c>
      <c r="U245" s="202">
        <v>13</v>
      </c>
      <c r="V245" s="202">
        <v>14</v>
      </c>
      <c r="W245" s="202">
        <v>5</v>
      </c>
      <c r="X245" s="202">
        <v>8</v>
      </c>
      <c r="Y245" s="202">
        <v>0</v>
      </c>
      <c r="Z245" s="202">
        <v>0</v>
      </c>
      <c r="AA245" s="202">
        <v>0</v>
      </c>
      <c r="AB245" s="202">
        <v>0</v>
      </c>
      <c r="AC245" s="202">
        <v>0</v>
      </c>
      <c r="AD245" s="202">
        <v>0</v>
      </c>
      <c r="AE245" s="202">
        <v>0</v>
      </c>
      <c r="AF245" s="202">
        <v>0</v>
      </c>
      <c r="AG245" s="202">
        <v>0</v>
      </c>
      <c r="AH245" s="202">
        <v>0</v>
      </c>
      <c r="AI245" s="202">
        <v>0</v>
      </c>
      <c r="AJ245" s="202">
        <v>0</v>
      </c>
      <c r="AK245" s="202">
        <v>0</v>
      </c>
      <c r="AL245" s="202">
        <v>0</v>
      </c>
      <c r="AM245" s="202">
        <v>0</v>
      </c>
      <c r="AN245" s="202">
        <v>0</v>
      </c>
      <c r="AO245" s="202">
        <v>0</v>
      </c>
      <c r="AP245" s="202">
        <v>0</v>
      </c>
      <c r="AQ245" s="202" t="s">
        <v>2871</v>
      </c>
      <c r="AR245" s="202">
        <v>0</v>
      </c>
      <c r="AS245" s="202">
        <v>0</v>
      </c>
      <c r="AT245" s="202">
        <v>42.5</v>
      </c>
      <c r="AU245" s="202" t="s">
        <v>2874</v>
      </c>
      <c r="AV245" s="202">
        <v>8.5</v>
      </c>
      <c r="AW245"/>
      <c r="AX245"/>
      <c r="AY245"/>
    </row>
    <row r="246" spans="1:51">
      <c r="A246" s="202" t="str">
        <f t="shared" si="15"/>
        <v>罗德勇</v>
      </c>
      <c r="B246" s="202">
        <f>IF(C246&lt;&gt;"NA",C246,VLOOKUP(K246,Update_from_YIFIP!$X$2:$AD$174,7,FALSE))</f>
        <v>124</v>
      </c>
      <c r="C246" s="207">
        <f t="shared" si="12"/>
        <v>124</v>
      </c>
      <c r="D246" s="207">
        <f t="shared" si="13"/>
        <v>124</v>
      </c>
      <c r="E246" s="202" t="s">
        <v>2100</v>
      </c>
      <c r="F246" s="202" t="s">
        <v>2872</v>
      </c>
      <c r="G246" s="202" t="s">
        <v>2873</v>
      </c>
      <c r="H246" s="207" t="str">
        <f t="shared" si="14"/>
        <v>NA</v>
      </c>
      <c r="I246" s="202" t="s">
        <v>1929</v>
      </c>
      <c r="J246" s="202" t="s">
        <v>2870</v>
      </c>
      <c r="K246" s="202">
        <v>0</v>
      </c>
      <c r="L246" s="202" t="s">
        <v>1509</v>
      </c>
      <c r="M246" s="202">
        <v>0</v>
      </c>
      <c r="N246" s="202">
        <v>4</v>
      </c>
      <c r="O246" s="202">
        <v>24</v>
      </c>
      <c r="P246" s="202">
        <v>5</v>
      </c>
      <c r="Q246" s="202">
        <v>9</v>
      </c>
      <c r="R246" s="202">
        <v>8</v>
      </c>
      <c r="S246" s="202">
        <v>2</v>
      </c>
      <c r="T246" s="202">
        <v>0</v>
      </c>
      <c r="U246" s="202">
        <v>0</v>
      </c>
      <c r="V246" s="202">
        <v>0</v>
      </c>
      <c r="W246" s="202">
        <v>0</v>
      </c>
      <c r="X246" s="202">
        <v>0</v>
      </c>
      <c r="Y246" s="202">
        <v>0</v>
      </c>
      <c r="Z246" s="202">
        <v>0</v>
      </c>
      <c r="AA246" s="202">
        <v>0</v>
      </c>
      <c r="AB246" s="202">
        <v>0</v>
      </c>
      <c r="AC246" s="202">
        <v>0</v>
      </c>
      <c r="AD246" s="202">
        <v>0</v>
      </c>
      <c r="AE246" s="202">
        <v>0</v>
      </c>
      <c r="AF246" s="202">
        <v>0</v>
      </c>
      <c r="AG246" s="202">
        <v>0</v>
      </c>
      <c r="AH246" s="202">
        <v>0</v>
      </c>
      <c r="AI246" s="202">
        <v>0</v>
      </c>
      <c r="AJ246" s="202">
        <v>0</v>
      </c>
      <c r="AK246" s="202">
        <v>0</v>
      </c>
      <c r="AL246" s="202">
        <v>0</v>
      </c>
      <c r="AM246" s="202">
        <v>0</v>
      </c>
      <c r="AN246" s="202">
        <v>0</v>
      </c>
      <c r="AO246" s="202">
        <v>0</v>
      </c>
      <c r="AP246" s="202">
        <v>0</v>
      </c>
      <c r="AQ246" s="202" t="s">
        <v>2871</v>
      </c>
      <c r="AR246" s="202">
        <v>0</v>
      </c>
      <c r="AS246" s="202">
        <v>0</v>
      </c>
      <c r="AT246" s="202">
        <v>7.5</v>
      </c>
      <c r="AU246" s="202">
        <v>0</v>
      </c>
      <c r="AV246" s="202">
        <v>1.5</v>
      </c>
      <c r="AW246"/>
      <c r="AX246"/>
      <c r="AY246"/>
    </row>
    <row r="247" spans="1:51">
      <c r="A247" s="202" t="str">
        <f t="shared" si="15"/>
        <v>李廷万</v>
      </c>
      <c r="B247" s="202">
        <f>IF(C247&lt;&gt;"NA",C247,VLOOKUP(K247,Update_from_YIFIP!$X$2:$AD$174,7,FALSE))</f>
        <v>125</v>
      </c>
      <c r="C247" s="207">
        <f t="shared" si="12"/>
        <v>125</v>
      </c>
      <c r="D247" s="207">
        <f t="shared" si="13"/>
        <v>125</v>
      </c>
      <c r="E247" s="202" t="s">
        <v>2078</v>
      </c>
      <c r="F247" s="202" t="s">
        <v>2887</v>
      </c>
      <c r="G247" s="202" t="s">
        <v>2888</v>
      </c>
      <c r="H247" s="207" t="str">
        <f t="shared" si="14"/>
        <v>NA</v>
      </c>
      <c r="I247" s="202" t="s">
        <v>1929</v>
      </c>
      <c r="J247" s="202" t="s">
        <v>2884</v>
      </c>
      <c r="K247" s="202" t="s">
        <v>2886</v>
      </c>
      <c r="L247" s="202" t="s">
        <v>1516</v>
      </c>
      <c r="M247" s="202">
        <v>0</v>
      </c>
      <c r="N247" s="202">
        <v>10</v>
      </c>
      <c r="O247" s="202">
        <v>36</v>
      </c>
      <c r="P247" s="202">
        <v>6</v>
      </c>
      <c r="Q247" s="202">
        <v>4</v>
      </c>
      <c r="R247" s="202">
        <v>4</v>
      </c>
      <c r="S247" s="202">
        <v>4</v>
      </c>
      <c r="T247" s="202">
        <v>5</v>
      </c>
      <c r="U247" s="202">
        <v>4</v>
      </c>
      <c r="V247" s="202">
        <v>1</v>
      </c>
      <c r="W247" s="202">
        <v>2</v>
      </c>
      <c r="X247" s="202">
        <v>4</v>
      </c>
      <c r="Y247" s="202">
        <v>2</v>
      </c>
      <c r="Z247" s="202">
        <v>0</v>
      </c>
      <c r="AA247" s="202">
        <v>0</v>
      </c>
      <c r="AB247" s="202">
        <v>0</v>
      </c>
      <c r="AC247" s="202">
        <v>0</v>
      </c>
      <c r="AD247" s="202">
        <v>0</v>
      </c>
      <c r="AE247" s="202">
        <v>0</v>
      </c>
      <c r="AF247" s="202">
        <v>0</v>
      </c>
      <c r="AG247" s="202">
        <v>0</v>
      </c>
      <c r="AH247" s="202">
        <v>0</v>
      </c>
      <c r="AI247" s="202">
        <v>0</v>
      </c>
      <c r="AJ247" s="202">
        <v>0</v>
      </c>
      <c r="AK247" s="202">
        <v>0</v>
      </c>
      <c r="AL247" s="202">
        <v>0</v>
      </c>
      <c r="AM247" s="202">
        <v>0</v>
      </c>
      <c r="AN247" s="202">
        <v>0</v>
      </c>
      <c r="AO247" s="202">
        <v>0</v>
      </c>
      <c r="AP247" s="202">
        <v>0</v>
      </c>
      <c r="AQ247" s="202" t="s">
        <v>2885</v>
      </c>
      <c r="AR247" s="202">
        <v>0</v>
      </c>
      <c r="AS247" s="202">
        <v>0</v>
      </c>
      <c r="AT247" s="202">
        <v>12.5</v>
      </c>
      <c r="AU247" s="202">
        <v>0</v>
      </c>
      <c r="AV247" s="202">
        <v>2.5</v>
      </c>
      <c r="AW247"/>
      <c r="AX247"/>
      <c r="AY247"/>
    </row>
    <row r="248" spans="1:51">
      <c r="A248" s="202" t="str">
        <f t="shared" si="15"/>
        <v>李廷万</v>
      </c>
      <c r="B248" s="202">
        <f>IF(C248&lt;&gt;"NA",C248,VLOOKUP(K248,Update_from_YIFIP!$X$2:$AD$174,7,FALSE))</f>
        <v>125</v>
      </c>
      <c r="C248" s="207">
        <f t="shared" si="12"/>
        <v>125</v>
      </c>
      <c r="D248" s="207">
        <f t="shared" si="13"/>
        <v>125</v>
      </c>
      <c r="E248" s="202" t="s">
        <v>2078</v>
      </c>
      <c r="F248" s="202" t="s">
        <v>2887</v>
      </c>
      <c r="G248" s="202" t="s">
        <v>2888</v>
      </c>
      <c r="H248" s="207" t="str">
        <f t="shared" si="14"/>
        <v>NA</v>
      </c>
      <c r="I248" s="202" t="s">
        <v>1929</v>
      </c>
      <c r="J248" s="202" t="s">
        <v>2884</v>
      </c>
      <c r="K248" s="202" t="s">
        <v>2890</v>
      </c>
      <c r="L248" s="202" t="s">
        <v>1517</v>
      </c>
      <c r="M248" s="202">
        <v>9</v>
      </c>
      <c r="N248" s="202">
        <v>0</v>
      </c>
      <c r="O248" s="202">
        <v>68</v>
      </c>
      <c r="P248" s="202">
        <v>9</v>
      </c>
      <c r="Q248" s="202">
        <v>10</v>
      </c>
      <c r="R248" s="202">
        <v>9</v>
      </c>
      <c r="S248" s="202">
        <v>9</v>
      </c>
      <c r="T248" s="202">
        <v>7</v>
      </c>
      <c r="U248" s="202">
        <v>8</v>
      </c>
      <c r="V248" s="202">
        <v>7</v>
      </c>
      <c r="W248" s="202">
        <v>4</v>
      </c>
      <c r="X248" s="202">
        <v>5</v>
      </c>
      <c r="Y248" s="202">
        <v>0</v>
      </c>
      <c r="Z248" s="202">
        <v>0</v>
      </c>
      <c r="AA248" s="202">
        <v>0</v>
      </c>
      <c r="AB248" s="202">
        <v>0</v>
      </c>
      <c r="AC248" s="202">
        <v>0</v>
      </c>
      <c r="AD248" s="202">
        <v>0</v>
      </c>
      <c r="AE248" s="202">
        <v>0</v>
      </c>
      <c r="AF248" s="202">
        <v>0</v>
      </c>
      <c r="AG248" s="202">
        <v>0</v>
      </c>
      <c r="AH248" s="202">
        <v>0</v>
      </c>
      <c r="AI248" s="202">
        <v>0</v>
      </c>
      <c r="AJ248" s="202">
        <v>0</v>
      </c>
      <c r="AK248" s="202">
        <v>0</v>
      </c>
      <c r="AL248" s="202">
        <v>0</v>
      </c>
      <c r="AM248" s="202">
        <v>0</v>
      </c>
      <c r="AN248" s="202">
        <v>0</v>
      </c>
      <c r="AO248" s="202">
        <v>0</v>
      </c>
      <c r="AP248" s="202">
        <v>0</v>
      </c>
      <c r="AQ248" s="202" t="s">
        <v>2889</v>
      </c>
      <c r="AR248" s="202">
        <v>0</v>
      </c>
      <c r="AS248" s="202">
        <v>0</v>
      </c>
      <c r="AT248" s="202">
        <v>25</v>
      </c>
      <c r="AU248" s="202">
        <v>0</v>
      </c>
      <c r="AV248" s="202">
        <v>5</v>
      </c>
      <c r="AW248"/>
      <c r="AX248"/>
      <c r="AY248"/>
    </row>
    <row r="249" spans="1:51">
      <c r="A249" s="202" t="str">
        <f t="shared" si="15"/>
        <v>王立东</v>
      </c>
      <c r="B249" s="202">
        <f>IF(C249&lt;&gt;"NA",C249,VLOOKUP(K249,Update_from_YIFIP!$X$2:$AD$174,7,FALSE))</f>
        <v>126</v>
      </c>
      <c r="C249" s="207">
        <f t="shared" si="12"/>
        <v>126</v>
      </c>
      <c r="D249" s="207">
        <f t="shared" si="13"/>
        <v>126</v>
      </c>
      <c r="E249" s="202" t="s">
        <v>2131</v>
      </c>
      <c r="F249" s="202" t="s">
        <v>1929</v>
      </c>
      <c r="G249" s="202" t="s">
        <v>3085</v>
      </c>
      <c r="H249" s="207" t="str">
        <f t="shared" si="14"/>
        <v>NA</v>
      </c>
      <c r="I249" s="202" t="s">
        <v>1929</v>
      </c>
      <c r="J249" s="202" t="s">
        <v>1035</v>
      </c>
      <c r="K249" s="202" t="s">
        <v>2922</v>
      </c>
      <c r="L249" s="202" t="s">
        <v>1587</v>
      </c>
      <c r="M249" s="202">
        <v>2</v>
      </c>
      <c r="N249" s="202">
        <v>0</v>
      </c>
      <c r="O249" s="202">
        <v>22</v>
      </c>
      <c r="P249" s="202">
        <v>11</v>
      </c>
      <c r="Q249" s="202">
        <v>11</v>
      </c>
      <c r="R249" s="202">
        <v>0</v>
      </c>
      <c r="S249" s="202">
        <v>0</v>
      </c>
      <c r="T249" s="202">
        <v>0</v>
      </c>
      <c r="U249" s="202">
        <v>0</v>
      </c>
      <c r="V249" s="202">
        <v>0</v>
      </c>
      <c r="W249" s="202">
        <v>0</v>
      </c>
      <c r="X249" s="202">
        <v>0</v>
      </c>
      <c r="Y249" s="202">
        <v>0</v>
      </c>
      <c r="Z249" s="202">
        <v>0</v>
      </c>
      <c r="AA249" s="202">
        <v>0</v>
      </c>
      <c r="AB249" s="202">
        <v>0</v>
      </c>
      <c r="AC249" s="202">
        <v>0</v>
      </c>
      <c r="AD249" s="202">
        <v>0</v>
      </c>
      <c r="AE249" s="202">
        <v>0</v>
      </c>
      <c r="AF249" s="202">
        <v>0</v>
      </c>
      <c r="AG249" s="202">
        <v>0</v>
      </c>
      <c r="AH249" s="202">
        <v>0</v>
      </c>
      <c r="AI249" s="202">
        <v>0</v>
      </c>
      <c r="AJ249" s="202">
        <v>0</v>
      </c>
      <c r="AK249" s="202">
        <v>0</v>
      </c>
      <c r="AL249" s="202">
        <v>0</v>
      </c>
      <c r="AM249" s="202">
        <v>0</v>
      </c>
      <c r="AN249" s="202">
        <v>0</v>
      </c>
      <c r="AO249" s="202">
        <v>0</v>
      </c>
      <c r="AP249" s="202">
        <v>0</v>
      </c>
      <c r="AQ249" s="202" t="s">
        <v>2834</v>
      </c>
      <c r="AR249" s="202">
        <v>0</v>
      </c>
      <c r="AS249" s="202">
        <v>0</v>
      </c>
      <c r="AT249" s="202">
        <v>5</v>
      </c>
      <c r="AU249" s="202">
        <v>0</v>
      </c>
      <c r="AV249" s="202">
        <v>1</v>
      </c>
      <c r="AW249"/>
      <c r="AX249"/>
      <c r="AY249"/>
    </row>
    <row r="250" spans="1:51">
      <c r="A250" s="202" t="str">
        <f t="shared" si="15"/>
        <v>王立东</v>
      </c>
      <c r="B250" s="202">
        <f>IF(C250&lt;&gt;"NA",C250,VLOOKUP(K250,Update_from_YIFIP!$X$2:$AD$174,7,FALSE))</f>
        <v>126</v>
      </c>
      <c r="C250" s="207">
        <f t="shared" si="12"/>
        <v>126</v>
      </c>
      <c r="D250" s="207">
        <f t="shared" si="13"/>
        <v>126</v>
      </c>
      <c r="E250" s="202" t="s">
        <v>2131</v>
      </c>
      <c r="F250" s="202" t="s">
        <v>1929</v>
      </c>
      <c r="G250" s="202" t="s">
        <v>3085</v>
      </c>
      <c r="H250" s="207" t="str">
        <f t="shared" si="14"/>
        <v>NA</v>
      </c>
      <c r="I250" s="202" t="s">
        <v>1929</v>
      </c>
      <c r="J250" s="202" t="s">
        <v>1035</v>
      </c>
      <c r="K250" s="202" t="s">
        <v>2916</v>
      </c>
      <c r="L250" s="202" t="s">
        <v>1588</v>
      </c>
      <c r="M250" s="202">
        <v>3</v>
      </c>
      <c r="N250" s="202">
        <v>0</v>
      </c>
      <c r="O250" s="202">
        <v>27</v>
      </c>
      <c r="P250" s="202">
        <v>10</v>
      </c>
      <c r="Q250" s="202">
        <v>10</v>
      </c>
      <c r="R250" s="202">
        <v>7</v>
      </c>
      <c r="S250" s="202">
        <v>0</v>
      </c>
      <c r="T250" s="202">
        <v>0</v>
      </c>
      <c r="U250" s="202">
        <v>0</v>
      </c>
      <c r="V250" s="202">
        <v>0</v>
      </c>
      <c r="W250" s="202">
        <v>0</v>
      </c>
      <c r="X250" s="202">
        <v>0</v>
      </c>
      <c r="Y250" s="202">
        <v>0</v>
      </c>
      <c r="Z250" s="202">
        <v>0</v>
      </c>
      <c r="AA250" s="202">
        <v>0</v>
      </c>
      <c r="AB250" s="202">
        <v>0</v>
      </c>
      <c r="AC250" s="202">
        <v>0</v>
      </c>
      <c r="AD250" s="202">
        <v>0</v>
      </c>
      <c r="AE250" s="202">
        <v>0</v>
      </c>
      <c r="AF250" s="202">
        <v>0</v>
      </c>
      <c r="AG250" s="202">
        <v>0</v>
      </c>
      <c r="AH250" s="202">
        <v>0</v>
      </c>
      <c r="AI250" s="202">
        <v>0</v>
      </c>
      <c r="AJ250" s="202">
        <v>0</v>
      </c>
      <c r="AK250" s="202">
        <v>0</v>
      </c>
      <c r="AL250" s="202">
        <v>0</v>
      </c>
      <c r="AM250" s="202">
        <v>0</v>
      </c>
      <c r="AN250" s="202">
        <v>0</v>
      </c>
      <c r="AO250" s="202">
        <v>0</v>
      </c>
      <c r="AP250" s="202">
        <v>0</v>
      </c>
      <c r="AQ250" s="202" t="s">
        <v>2834</v>
      </c>
      <c r="AR250" s="202">
        <v>0</v>
      </c>
      <c r="AS250" s="202">
        <v>0</v>
      </c>
      <c r="AT250" s="202">
        <v>5</v>
      </c>
      <c r="AU250" s="202">
        <v>0</v>
      </c>
      <c r="AV250" s="202">
        <v>1</v>
      </c>
      <c r="AW250"/>
      <c r="AX250"/>
      <c r="AY250"/>
    </row>
    <row r="251" spans="1:51">
      <c r="A251" s="202" t="str">
        <f t="shared" si="15"/>
        <v>王立东</v>
      </c>
      <c r="B251" s="202">
        <f>IF(C251&lt;&gt;"NA",C251,VLOOKUP(K251,Update_from_YIFIP!$X$2:$AD$174,7,FALSE))</f>
        <v>126</v>
      </c>
      <c r="C251" s="207">
        <f t="shared" si="12"/>
        <v>126</v>
      </c>
      <c r="D251" s="207">
        <f t="shared" si="13"/>
        <v>126</v>
      </c>
      <c r="E251" s="202" t="s">
        <v>2131</v>
      </c>
      <c r="F251" s="202" t="s">
        <v>1929</v>
      </c>
      <c r="G251" s="202" t="s">
        <v>3085</v>
      </c>
      <c r="H251" s="207" t="str">
        <f t="shared" si="14"/>
        <v>NA</v>
      </c>
      <c r="I251" s="202" t="s">
        <v>1929</v>
      </c>
      <c r="J251" s="202" t="s">
        <v>1035</v>
      </c>
      <c r="K251" s="202" t="s">
        <v>2924</v>
      </c>
      <c r="L251" s="202" t="s">
        <v>1589</v>
      </c>
      <c r="M251" s="202">
        <v>9</v>
      </c>
      <c r="N251" s="202">
        <v>0</v>
      </c>
      <c r="O251" s="202">
        <v>105</v>
      </c>
      <c r="P251" s="202">
        <v>21</v>
      </c>
      <c r="Q251" s="202">
        <v>12</v>
      </c>
      <c r="R251" s="202">
        <v>9</v>
      </c>
      <c r="S251" s="202">
        <v>10</v>
      </c>
      <c r="T251" s="202">
        <v>11</v>
      </c>
      <c r="U251" s="202">
        <v>12</v>
      </c>
      <c r="V251" s="202">
        <v>10</v>
      </c>
      <c r="W251" s="202">
        <v>10</v>
      </c>
      <c r="X251" s="202">
        <v>10</v>
      </c>
      <c r="Y251" s="202">
        <v>0</v>
      </c>
      <c r="Z251" s="202">
        <v>0</v>
      </c>
      <c r="AA251" s="202">
        <v>0</v>
      </c>
      <c r="AB251" s="202">
        <v>0</v>
      </c>
      <c r="AC251" s="202">
        <v>0</v>
      </c>
      <c r="AD251" s="202">
        <v>0</v>
      </c>
      <c r="AE251" s="202">
        <v>0</v>
      </c>
      <c r="AF251" s="202">
        <v>0</v>
      </c>
      <c r="AG251" s="202">
        <v>0</v>
      </c>
      <c r="AH251" s="202">
        <v>0</v>
      </c>
      <c r="AI251" s="202">
        <v>0</v>
      </c>
      <c r="AJ251" s="202">
        <v>0</v>
      </c>
      <c r="AK251" s="202">
        <v>0</v>
      </c>
      <c r="AL251" s="202">
        <v>0</v>
      </c>
      <c r="AM251" s="202">
        <v>0</v>
      </c>
      <c r="AN251" s="202">
        <v>0</v>
      </c>
      <c r="AO251" s="202">
        <v>0</v>
      </c>
      <c r="AP251" s="202">
        <v>0</v>
      </c>
      <c r="AQ251" s="202" t="s">
        <v>2834</v>
      </c>
      <c r="AR251" s="202">
        <v>0</v>
      </c>
      <c r="AS251" s="202">
        <v>0</v>
      </c>
      <c r="AT251" s="202">
        <v>16.5</v>
      </c>
      <c r="AU251" s="202" t="s">
        <v>3086</v>
      </c>
      <c r="AV251" s="202">
        <v>3.3</v>
      </c>
      <c r="AW251"/>
      <c r="AX251"/>
      <c r="AY251"/>
    </row>
    <row r="252" spans="1:51">
      <c r="A252" s="202" t="str">
        <f t="shared" si="15"/>
        <v>罗正贵</v>
      </c>
      <c r="B252" s="202">
        <f>IF(C252&lt;&gt;"NA",C252,VLOOKUP(K252,Update_from_YIFIP!$X$2:$AD$174,7,FALSE))</f>
        <v>130</v>
      </c>
      <c r="C252" s="207">
        <f t="shared" si="12"/>
        <v>130</v>
      </c>
      <c r="D252" s="207">
        <f t="shared" si="13"/>
        <v>130</v>
      </c>
      <c r="E252" s="202" t="s">
        <v>2108</v>
      </c>
      <c r="F252" s="202" t="s">
        <v>2530</v>
      </c>
      <c r="G252" s="202" t="s">
        <v>2531</v>
      </c>
      <c r="H252" s="207" t="str">
        <f t="shared" si="14"/>
        <v>NA</v>
      </c>
      <c r="I252" s="202" t="s">
        <v>1929</v>
      </c>
      <c r="J252" s="202" t="s">
        <v>2527</v>
      </c>
      <c r="K252" s="202">
        <v>0</v>
      </c>
      <c r="L252" s="202" t="s">
        <v>1371</v>
      </c>
      <c r="M252" s="202">
        <v>10</v>
      </c>
      <c r="N252" s="202">
        <v>0</v>
      </c>
      <c r="O252" s="202">
        <v>150</v>
      </c>
      <c r="P252" s="202">
        <v>9</v>
      </c>
      <c r="Q252" s="202">
        <v>19</v>
      </c>
      <c r="R252" s="202">
        <v>17</v>
      </c>
      <c r="S252" s="202">
        <v>16</v>
      </c>
      <c r="T252" s="202">
        <v>17</v>
      </c>
      <c r="U252" s="202">
        <v>17</v>
      </c>
      <c r="V252" s="202">
        <v>12</v>
      </c>
      <c r="W252" s="202">
        <v>12</v>
      </c>
      <c r="X252" s="202">
        <v>15</v>
      </c>
      <c r="Y252" s="202">
        <v>16</v>
      </c>
      <c r="Z252" s="202">
        <v>0</v>
      </c>
      <c r="AA252" s="202">
        <v>0</v>
      </c>
      <c r="AB252" s="202">
        <v>0</v>
      </c>
      <c r="AC252" s="202">
        <v>0</v>
      </c>
      <c r="AD252" s="202">
        <v>0</v>
      </c>
      <c r="AE252" s="202">
        <v>0</v>
      </c>
      <c r="AF252" s="202">
        <v>0</v>
      </c>
      <c r="AG252" s="202">
        <v>0</v>
      </c>
      <c r="AH252" s="202">
        <v>0</v>
      </c>
      <c r="AI252" s="202">
        <v>0</v>
      </c>
      <c r="AJ252" s="202">
        <v>0</v>
      </c>
      <c r="AK252" s="202">
        <v>0</v>
      </c>
      <c r="AL252" s="202">
        <v>0</v>
      </c>
      <c r="AM252" s="202">
        <v>0</v>
      </c>
      <c r="AN252" s="202">
        <v>0</v>
      </c>
      <c r="AO252" s="202">
        <v>0</v>
      </c>
      <c r="AP252" s="202">
        <v>0</v>
      </c>
      <c r="AQ252" s="202" t="s">
        <v>2528</v>
      </c>
      <c r="AR252" s="202">
        <v>0</v>
      </c>
      <c r="AS252" s="202">
        <v>0</v>
      </c>
      <c r="AT252" s="202">
        <v>29.5</v>
      </c>
      <c r="AU252" s="202" t="s">
        <v>2529</v>
      </c>
      <c r="AV252" s="202">
        <v>5.9</v>
      </c>
      <c r="AW252"/>
      <c r="AX252"/>
      <c r="AY252"/>
    </row>
    <row r="253" spans="1:51">
      <c r="A253" s="202" t="str">
        <f t="shared" si="15"/>
        <v>罗正贵</v>
      </c>
      <c r="B253" s="202">
        <f>IF(C253&lt;&gt;"NA",C253,VLOOKUP(K253,Update_from_YIFIP!$X$2:$AD$174,7,FALSE))</f>
        <v>130</v>
      </c>
      <c r="C253" s="207">
        <f t="shared" si="12"/>
        <v>130</v>
      </c>
      <c r="D253" s="207">
        <f t="shared" si="13"/>
        <v>130</v>
      </c>
      <c r="E253" s="202" t="s">
        <v>2108</v>
      </c>
      <c r="F253" s="202" t="s">
        <v>2530</v>
      </c>
      <c r="G253" s="202" t="s">
        <v>2531</v>
      </c>
      <c r="H253" s="207" t="str">
        <f t="shared" si="14"/>
        <v>NA</v>
      </c>
      <c r="I253" s="202" t="s">
        <v>1929</v>
      </c>
      <c r="J253" s="202" t="s">
        <v>2527</v>
      </c>
      <c r="K253" s="202">
        <v>0</v>
      </c>
      <c r="L253" s="202" t="s">
        <v>1372</v>
      </c>
      <c r="M253" s="202">
        <v>10</v>
      </c>
      <c r="N253" s="202">
        <v>0</v>
      </c>
      <c r="O253" s="202">
        <v>135</v>
      </c>
      <c r="P253" s="202">
        <v>16</v>
      </c>
      <c r="Q253" s="202">
        <v>17</v>
      </c>
      <c r="R253" s="202">
        <v>11</v>
      </c>
      <c r="S253" s="202">
        <v>8</v>
      </c>
      <c r="T253" s="202">
        <v>13</v>
      </c>
      <c r="U253" s="202">
        <v>10</v>
      </c>
      <c r="V253" s="202">
        <v>18</v>
      </c>
      <c r="W253" s="202">
        <v>10</v>
      </c>
      <c r="X253" s="202">
        <v>19</v>
      </c>
      <c r="Y253" s="202">
        <v>13</v>
      </c>
      <c r="Z253" s="202">
        <v>0</v>
      </c>
      <c r="AA253" s="202">
        <v>0</v>
      </c>
      <c r="AB253" s="202">
        <v>0</v>
      </c>
      <c r="AC253" s="202">
        <v>0</v>
      </c>
      <c r="AD253" s="202">
        <v>0</v>
      </c>
      <c r="AE253" s="202">
        <v>0</v>
      </c>
      <c r="AF253" s="202">
        <v>0</v>
      </c>
      <c r="AG253" s="202">
        <v>0</v>
      </c>
      <c r="AH253" s="202">
        <v>0</v>
      </c>
      <c r="AI253" s="202">
        <v>0</v>
      </c>
      <c r="AJ253" s="202">
        <v>0</v>
      </c>
      <c r="AK253" s="202">
        <v>0</v>
      </c>
      <c r="AL253" s="202">
        <v>0</v>
      </c>
      <c r="AM253" s="202">
        <v>0</v>
      </c>
      <c r="AN253" s="202">
        <v>0</v>
      </c>
      <c r="AO253" s="202">
        <v>0</v>
      </c>
      <c r="AP253" s="202">
        <v>0</v>
      </c>
      <c r="AQ253" s="202" t="s">
        <v>2532</v>
      </c>
      <c r="AR253" s="202">
        <v>0</v>
      </c>
      <c r="AS253" s="202">
        <v>0</v>
      </c>
      <c r="AT253" s="202">
        <v>23.5</v>
      </c>
      <c r="AU253" s="202" t="s">
        <v>2533</v>
      </c>
      <c r="AV253" s="202">
        <v>4.7</v>
      </c>
      <c r="AW253"/>
      <c r="AX253"/>
      <c r="AY253"/>
    </row>
    <row r="254" spans="1:51">
      <c r="A254" s="202" t="str">
        <f t="shared" si="15"/>
        <v>罗正贵</v>
      </c>
      <c r="B254" s="202">
        <f>IF(C254&lt;&gt;"NA",C254,VLOOKUP(K254,Update_from_YIFIP!$X$2:$AD$174,7,FALSE))</f>
        <v>130</v>
      </c>
      <c r="C254" s="207">
        <f t="shared" si="12"/>
        <v>130</v>
      </c>
      <c r="D254" s="207">
        <f t="shared" si="13"/>
        <v>130</v>
      </c>
      <c r="E254" s="202" t="s">
        <v>2108</v>
      </c>
      <c r="F254" s="202" t="s">
        <v>2530</v>
      </c>
      <c r="G254" s="202" t="s">
        <v>2531</v>
      </c>
      <c r="H254" s="207" t="str">
        <f t="shared" si="14"/>
        <v>NA</v>
      </c>
      <c r="I254" s="202" t="s">
        <v>1929</v>
      </c>
      <c r="J254" s="202" t="s">
        <v>2527</v>
      </c>
      <c r="K254" s="202">
        <v>0</v>
      </c>
      <c r="L254" s="202" t="s">
        <v>1373</v>
      </c>
      <c r="M254" s="202">
        <v>10</v>
      </c>
      <c r="N254" s="202">
        <v>0</v>
      </c>
      <c r="O254" s="202">
        <v>95</v>
      </c>
      <c r="P254" s="202">
        <v>9</v>
      </c>
      <c r="Q254" s="202">
        <v>7</v>
      </c>
      <c r="R254" s="202">
        <v>17</v>
      </c>
      <c r="S254" s="202">
        <v>7</v>
      </c>
      <c r="T254" s="202">
        <v>6</v>
      </c>
      <c r="U254" s="202">
        <v>10</v>
      </c>
      <c r="V254" s="202">
        <v>8</v>
      </c>
      <c r="W254" s="202">
        <v>10</v>
      </c>
      <c r="X254" s="202">
        <v>12</v>
      </c>
      <c r="Y254" s="202">
        <v>9</v>
      </c>
      <c r="Z254" s="202">
        <v>0</v>
      </c>
      <c r="AA254" s="202">
        <v>0</v>
      </c>
      <c r="AB254" s="202">
        <v>0</v>
      </c>
      <c r="AC254" s="202">
        <v>0</v>
      </c>
      <c r="AD254" s="202">
        <v>0</v>
      </c>
      <c r="AE254" s="202">
        <v>0</v>
      </c>
      <c r="AF254" s="202">
        <v>0</v>
      </c>
      <c r="AG254" s="202">
        <v>0</v>
      </c>
      <c r="AH254" s="202">
        <v>0</v>
      </c>
      <c r="AI254" s="202">
        <v>0</v>
      </c>
      <c r="AJ254" s="202">
        <v>0</v>
      </c>
      <c r="AK254" s="202">
        <v>0</v>
      </c>
      <c r="AL254" s="202">
        <v>0</v>
      </c>
      <c r="AM254" s="202">
        <v>0</v>
      </c>
      <c r="AN254" s="202">
        <v>0</v>
      </c>
      <c r="AO254" s="202">
        <v>0</v>
      </c>
      <c r="AP254" s="202">
        <v>0</v>
      </c>
      <c r="AQ254" s="202" t="s">
        <v>2534</v>
      </c>
      <c r="AR254" s="202">
        <v>0</v>
      </c>
      <c r="AS254" s="202">
        <v>0</v>
      </c>
      <c r="AT254" s="202">
        <v>25</v>
      </c>
      <c r="AU254" s="202">
        <v>0</v>
      </c>
      <c r="AV254" s="202">
        <v>5</v>
      </c>
      <c r="AW254"/>
      <c r="AX254"/>
      <c r="AY254"/>
    </row>
    <row r="255" spans="1:51">
      <c r="A255" s="202" t="str">
        <f t="shared" si="15"/>
        <v>罗正贵</v>
      </c>
      <c r="B255" s="202">
        <f>IF(C255&lt;&gt;"NA",C255,VLOOKUP(K255,Update_from_YIFIP!$X$2:$AD$174,7,FALSE))</f>
        <v>130</v>
      </c>
      <c r="C255" s="207">
        <f t="shared" si="12"/>
        <v>130</v>
      </c>
      <c r="D255" s="207">
        <f t="shared" si="13"/>
        <v>130</v>
      </c>
      <c r="E255" s="202" t="s">
        <v>2108</v>
      </c>
      <c r="F255" s="202" t="s">
        <v>2530</v>
      </c>
      <c r="G255" s="202" t="s">
        <v>2531</v>
      </c>
      <c r="H255" s="207" t="str">
        <f t="shared" si="14"/>
        <v>NA</v>
      </c>
      <c r="I255" s="202" t="s">
        <v>1929</v>
      </c>
      <c r="J255" s="202" t="s">
        <v>2527</v>
      </c>
      <c r="K255" s="202">
        <v>0</v>
      </c>
      <c r="L255" s="202" t="s">
        <v>1374</v>
      </c>
      <c r="M255" s="202">
        <v>10</v>
      </c>
      <c r="N255" s="202">
        <v>0</v>
      </c>
      <c r="O255" s="202">
        <v>159</v>
      </c>
      <c r="P255" s="202">
        <v>30</v>
      </c>
      <c r="Q255" s="202">
        <v>15</v>
      </c>
      <c r="R255" s="202">
        <v>20</v>
      </c>
      <c r="S255" s="202">
        <v>15</v>
      </c>
      <c r="T255" s="202">
        <v>13</v>
      </c>
      <c r="U255" s="202">
        <v>19</v>
      </c>
      <c r="V255" s="202">
        <v>15</v>
      </c>
      <c r="W255" s="202">
        <v>11</v>
      </c>
      <c r="X255" s="202">
        <v>10</v>
      </c>
      <c r="Y255" s="202">
        <v>11</v>
      </c>
      <c r="Z255" s="202">
        <v>0</v>
      </c>
      <c r="AA255" s="202">
        <v>0</v>
      </c>
      <c r="AB255" s="202">
        <v>0</v>
      </c>
      <c r="AC255" s="202">
        <v>0</v>
      </c>
      <c r="AD255" s="202">
        <v>0</v>
      </c>
      <c r="AE255" s="202">
        <v>0</v>
      </c>
      <c r="AF255" s="202">
        <v>0</v>
      </c>
      <c r="AG255" s="202">
        <v>0</v>
      </c>
      <c r="AH255" s="202">
        <v>0</v>
      </c>
      <c r="AI255" s="202">
        <v>0</v>
      </c>
      <c r="AJ255" s="202">
        <v>0</v>
      </c>
      <c r="AK255" s="202">
        <v>0</v>
      </c>
      <c r="AL255" s="202">
        <v>0</v>
      </c>
      <c r="AM255" s="202">
        <v>0</v>
      </c>
      <c r="AN255" s="202">
        <v>0</v>
      </c>
      <c r="AO255" s="202">
        <v>0</v>
      </c>
      <c r="AP255" s="202">
        <v>0</v>
      </c>
      <c r="AQ255" s="202" t="s">
        <v>2535</v>
      </c>
      <c r="AR255" s="202">
        <v>0</v>
      </c>
      <c r="AS255" s="202">
        <v>0</v>
      </c>
      <c r="AT255" s="202">
        <v>26.500000000000004</v>
      </c>
      <c r="AU255" s="202" t="s">
        <v>2536</v>
      </c>
      <c r="AV255" s="202">
        <v>5.3000000000000007</v>
      </c>
      <c r="AW255"/>
      <c r="AX255"/>
      <c r="AY255"/>
    </row>
    <row r="256" spans="1:51">
      <c r="A256" s="202" t="str">
        <f t="shared" si="15"/>
        <v>罗正贵</v>
      </c>
      <c r="B256" s="202">
        <f>IF(C256&lt;&gt;"NA",C256,VLOOKUP(K256,Update_from_YIFIP!$X$2:$AD$174,7,FALSE))</f>
        <v>130</v>
      </c>
      <c r="C256" s="207">
        <f t="shared" si="12"/>
        <v>130</v>
      </c>
      <c r="D256" s="207">
        <f t="shared" si="13"/>
        <v>130</v>
      </c>
      <c r="E256" s="202" t="s">
        <v>2108</v>
      </c>
      <c r="F256" s="202" t="s">
        <v>2530</v>
      </c>
      <c r="G256" s="202" t="s">
        <v>2531</v>
      </c>
      <c r="H256" s="207" t="str">
        <f t="shared" si="14"/>
        <v>NA</v>
      </c>
      <c r="I256" s="202" t="s">
        <v>1929</v>
      </c>
      <c r="J256" s="202" t="s">
        <v>2527</v>
      </c>
      <c r="K256" s="202">
        <v>0</v>
      </c>
      <c r="L256" s="202" t="s">
        <v>1375</v>
      </c>
      <c r="M256" s="202">
        <v>0</v>
      </c>
      <c r="N256" s="202">
        <v>20</v>
      </c>
      <c r="O256" s="202">
        <v>201</v>
      </c>
      <c r="P256" s="202">
        <v>11</v>
      </c>
      <c r="Q256" s="202">
        <v>11</v>
      </c>
      <c r="R256" s="202">
        <v>5</v>
      </c>
      <c r="S256" s="202">
        <v>15</v>
      </c>
      <c r="T256" s="202">
        <v>10</v>
      </c>
      <c r="U256" s="202">
        <v>10</v>
      </c>
      <c r="V256" s="202">
        <v>9</v>
      </c>
      <c r="W256" s="202">
        <v>12</v>
      </c>
      <c r="X256" s="202">
        <v>8</v>
      </c>
      <c r="Y256" s="202">
        <v>13</v>
      </c>
      <c r="Z256" s="202">
        <v>10</v>
      </c>
      <c r="AA256" s="202">
        <v>8</v>
      </c>
      <c r="AB256" s="202">
        <v>7</v>
      </c>
      <c r="AC256" s="202">
        <v>7</v>
      </c>
      <c r="AD256" s="202">
        <v>9</v>
      </c>
      <c r="AE256" s="202">
        <v>10</v>
      </c>
      <c r="AF256" s="202">
        <v>12</v>
      </c>
      <c r="AG256" s="202">
        <v>13</v>
      </c>
      <c r="AH256" s="202">
        <v>10</v>
      </c>
      <c r="AI256" s="202">
        <v>11</v>
      </c>
      <c r="AJ256" s="202">
        <v>0</v>
      </c>
      <c r="AK256" s="202">
        <v>0</v>
      </c>
      <c r="AL256" s="202">
        <v>0</v>
      </c>
      <c r="AM256" s="202">
        <v>0</v>
      </c>
      <c r="AN256" s="202">
        <v>0</v>
      </c>
      <c r="AO256" s="202">
        <v>0</v>
      </c>
      <c r="AP256" s="202">
        <v>0</v>
      </c>
      <c r="AQ256" s="202" t="s">
        <v>2537</v>
      </c>
      <c r="AR256" s="202">
        <v>0</v>
      </c>
      <c r="AS256" s="202">
        <v>0</v>
      </c>
      <c r="AT256" s="202">
        <v>40.5</v>
      </c>
      <c r="AU256" s="202" t="s">
        <v>2538</v>
      </c>
      <c r="AV256" s="202">
        <v>8.1</v>
      </c>
      <c r="AW256"/>
      <c r="AX256"/>
      <c r="AY256"/>
    </row>
    <row r="257" spans="1:51">
      <c r="A257" s="202" t="str">
        <f t="shared" si="15"/>
        <v>普学忠</v>
      </c>
      <c r="B257" s="202">
        <f>IF(C257&lt;&gt;"NA",C257,VLOOKUP(K257,Update_from_YIFIP!$X$2:$AD$174,7,FALSE))</f>
        <v>136</v>
      </c>
      <c r="C257" s="207">
        <f t="shared" si="12"/>
        <v>136</v>
      </c>
      <c r="D257" s="207">
        <f t="shared" si="13"/>
        <v>136</v>
      </c>
      <c r="E257" s="202" t="s">
        <v>2112</v>
      </c>
      <c r="F257" s="202" t="s">
        <v>2521</v>
      </c>
      <c r="G257" s="202" t="s">
        <v>2522</v>
      </c>
      <c r="H257" s="207" t="str">
        <f t="shared" si="14"/>
        <v>NA</v>
      </c>
      <c r="I257" s="202" t="s">
        <v>1929</v>
      </c>
      <c r="J257" s="202" t="s">
        <v>2519</v>
      </c>
      <c r="K257" s="202">
        <v>0</v>
      </c>
      <c r="L257" s="202" t="s">
        <v>1368</v>
      </c>
      <c r="M257" s="202">
        <v>2</v>
      </c>
      <c r="N257" s="202">
        <v>0</v>
      </c>
      <c r="O257" s="202">
        <v>6</v>
      </c>
      <c r="P257" s="202">
        <v>3</v>
      </c>
      <c r="Q257" s="202">
        <v>3</v>
      </c>
      <c r="R257" s="202">
        <v>0</v>
      </c>
      <c r="S257" s="202">
        <v>0</v>
      </c>
      <c r="T257" s="202">
        <v>0</v>
      </c>
      <c r="U257" s="202">
        <v>0</v>
      </c>
      <c r="V257" s="202">
        <v>0</v>
      </c>
      <c r="W257" s="202">
        <v>0</v>
      </c>
      <c r="X257" s="202">
        <v>0</v>
      </c>
      <c r="Y257" s="202">
        <v>0</v>
      </c>
      <c r="Z257" s="202">
        <v>0</v>
      </c>
      <c r="AA257" s="202">
        <v>0</v>
      </c>
      <c r="AB257" s="202">
        <v>0</v>
      </c>
      <c r="AC257" s="202">
        <v>0</v>
      </c>
      <c r="AD257" s="202">
        <v>0</v>
      </c>
      <c r="AE257" s="202">
        <v>0</v>
      </c>
      <c r="AF257" s="202">
        <v>0</v>
      </c>
      <c r="AG257" s="202">
        <v>0</v>
      </c>
      <c r="AH257" s="202">
        <v>0</v>
      </c>
      <c r="AI257" s="202">
        <v>0</v>
      </c>
      <c r="AJ257" s="202">
        <v>0</v>
      </c>
      <c r="AK257" s="202">
        <v>0</v>
      </c>
      <c r="AL257" s="202">
        <v>0</v>
      </c>
      <c r="AM257" s="202">
        <v>0</v>
      </c>
      <c r="AN257" s="202">
        <v>0</v>
      </c>
      <c r="AO257" s="202">
        <v>0</v>
      </c>
      <c r="AP257" s="202">
        <v>0</v>
      </c>
      <c r="AQ257" s="202" t="s">
        <v>2520</v>
      </c>
      <c r="AR257" s="202">
        <v>0</v>
      </c>
      <c r="AS257" s="202">
        <v>0</v>
      </c>
      <c r="AT257" s="202">
        <v>2</v>
      </c>
      <c r="AU257" s="202">
        <v>0</v>
      </c>
      <c r="AV257" s="202">
        <v>0.4</v>
      </c>
      <c r="AW257"/>
      <c r="AX257"/>
      <c r="AY257"/>
    </row>
    <row r="258" spans="1:51">
      <c r="A258" s="202" t="str">
        <f t="shared" si="15"/>
        <v>普学忠</v>
      </c>
      <c r="B258" s="202">
        <f>IF(C258&lt;&gt;"NA",C258,VLOOKUP(K258,Update_from_YIFIP!$X$2:$AD$174,7,FALSE))</f>
        <v>136</v>
      </c>
      <c r="C258" s="207">
        <f t="shared" ref="C258:C321" si="16">IF(H258=D258,H258,IF(ISNUMBER(H258-D258),CONCATENATE(H258," or ",D258),IF(ISNUMBER(H258),H258,D258)))</f>
        <v>136</v>
      </c>
      <c r="D258" s="207">
        <f t="shared" ref="D258:D321" si="17">IF(ISNA(VLOOKUP(E258,$AX$2:$AY$173,2,FALSE)) = TRUE, "NA", VLOOKUP(E258,$AX$2:$AY$173,2,FALSE))</f>
        <v>136</v>
      </c>
      <c r="E258" s="202" t="s">
        <v>2112</v>
      </c>
      <c r="F258" s="202" t="s">
        <v>2521</v>
      </c>
      <c r="G258" s="202" t="s">
        <v>2522</v>
      </c>
      <c r="H258" s="207" t="str">
        <f t="shared" ref="H258:H321" si="18">IF(ISNA(VLOOKUP(I258,$AX$2:$AY$173,2,FALSE)) = TRUE, "NA", VLOOKUP(I258,$AX$2:$AY$173,2,FALSE))</f>
        <v>NA</v>
      </c>
      <c r="I258" s="202" t="s">
        <v>1929</v>
      </c>
      <c r="J258" s="202" t="s">
        <v>2523</v>
      </c>
      <c r="K258" s="202">
        <v>0</v>
      </c>
      <c r="L258" s="202" t="s">
        <v>1369</v>
      </c>
      <c r="M258" s="202">
        <v>2</v>
      </c>
      <c r="N258" s="202">
        <v>0</v>
      </c>
      <c r="O258" s="202">
        <v>4</v>
      </c>
      <c r="P258" s="202">
        <v>2</v>
      </c>
      <c r="Q258" s="202">
        <v>2</v>
      </c>
      <c r="R258" s="202">
        <v>0</v>
      </c>
      <c r="S258" s="202">
        <v>0</v>
      </c>
      <c r="T258" s="202">
        <v>0</v>
      </c>
      <c r="U258" s="202">
        <v>0</v>
      </c>
      <c r="V258" s="202">
        <v>0</v>
      </c>
      <c r="W258" s="202">
        <v>0</v>
      </c>
      <c r="X258" s="202">
        <v>0</v>
      </c>
      <c r="Y258" s="202">
        <v>0</v>
      </c>
      <c r="Z258" s="202">
        <v>0</v>
      </c>
      <c r="AA258" s="202">
        <v>0</v>
      </c>
      <c r="AB258" s="202">
        <v>0</v>
      </c>
      <c r="AC258" s="202">
        <v>0</v>
      </c>
      <c r="AD258" s="202">
        <v>0</v>
      </c>
      <c r="AE258" s="202">
        <v>0</v>
      </c>
      <c r="AF258" s="202">
        <v>0</v>
      </c>
      <c r="AG258" s="202">
        <v>0</v>
      </c>
      <c r="AH258" s="202">
        <v>0</v>
      </c>
      <c r="AI258" s="202">
        <v>0</v>
      </c>
      <c r="AJ258" s="202">
        <v>0</v>
      </c>
      <c r="AK258" s="202">
        <v>0</v>
      </c>
      <c r="AL258" s="202">
        <v>0</v>
      </c>
      <c r="AM258" s="202">
        <v>0</v>
      </c>
      <c r="AN258" s="202">
        <v>0</v>
      </c>
      <c r="AO258" s="202">
        <v>0</v>
      </c>
      <c r="AP258" s="202">
        <v>0</v>
      </c>
      <c r="AQ258" s="202" t="s">
        <v>2524</v>
      </c>
      <c r="AR258" s="202">
        <v>0</v>
      </c>
      <c r="AS258" s="202">
        <v>0</v>
      </c>
      <c r="AT258" s="202">
        <v>2</v>
      </c>
      <c r="AU258" s="202">
        <v>0</v>
      </c>
      <c r="AV258" s="202">
        <v>0.4</v>
      </c>
      <c r="AW258"/>
      <c r="AX258"/>
      <c r="AY258"/>
    </row>
    <row r="259" spans="1:51">
      <c r="A259" s="202" t="str">
        <f t="shared" ref="A259:A322" si="19">IF(I259="NA",E259,CONCATENATE(E259,"&amp;",I259))</f>
        <v>普学忠</v>
      </c>
      <c r="B259" s="202">
        <f>IF(C259&lt;&gt;"NA",C259,VLOOKUP(K259,Update_from_YIFIP!$X$2:$AD$174,7,FALSE))</f>
        <v>136</v>
      </c>
      <c r="C259" s="207">
        <f t="shared" si="16"/>
        <v>136</v>
      </c>
      <c r="D259" s="207">
        <f t="shared" si="17"/>
        <v>136</v>
      </c>
      <c r="E259" s="202" t="s">
        <v>2112</v>
      </c>
      <c r="F259" s="202" t="s">
        <v>2521</v>
      </c>
      <c r="G259" s="202" t="s">
        <v>2522</v>
      </c>
      <c r="H259" s="207" t="str">
        <f t="shared" si="18"/>
        <v>NA</v>
      </c>
      <c r="I259" s="202" t="s">
        <v>1929</v>
      </c>
      <c r="J259" s="202" t="s">
        <v>2525</v>
      </c>
      <c r="K259" s="202">
        <v>0</v>
      </c>
      <c r="L259" s="202" t="s">
        <v>1370</v>
      </c>
      <c r="M259" s="202">
        <v>2</v>
      </c>
      <c r="N259" s="202">
        <v>0</v>
      </c>
      <c r="O259" s="202">
        <v>7</v>
      </c>
      <c r="P259" s="202">
        <v>2</v>
      </c>
      <c r="Q259" s="202">
        <v>5</v>
      </c>
      <c r="R259" s="202">
        <v>0</v>
      </c>
      <c r="S259" s="202">
        <v>0</v>
      </c>
      <c r="T259" s="202">
        <v>0</v>
      </c>
      <c r="U259" s="202">
        <v>0</v>
      </c>
      <c r="V259" s="202">
        <v>0</v>
      </c>
      <c r="W259" s="202">
        <v>0</v>
      </c>
      <c r="X259" s="202">
        <v>0</v>
      </c>
      <c r="Y259" s="202">
        <v>0</v>
      </c>
      <c r="Z259" s="202">
        <v>0</v>
      </c>
      <c r="AA259" s="202">
        <v>0</v>
      </c>
      <c r="AB259" s="202">
        <v>0</v>
      </c>
      <c r="AC259" s="202">
        <v>0</v>
      </c>
      <c r="AD259" s="202">
        <v>0</v>
      </c>
      <c r="AE259" s="202">
        <v>0</v>
      </c>
      <c r="AF259" s="202">
        <v>0</v>
      </c>
      <c r="AG259" s="202">
        <v>0</v>
      </c>
      <c r="AH259" s="202">
        <v>0</v>
      </c>
      <c r="AI259" s="202">
        <v>0</v>
      </c>
      <c r="AJ259" s="202">
        <v>0</v>
      </c>
      <c r="AK259" s="202">
        <v>0</v>
      </c>
      <c r="AL259" s="202">
        <v>0</v>
      </c>
      <c r="AM259" s="202">
        <v>0</v>
      </c>
      <c r="AN259" s="202">
        <v>0</v>
      </c>
      <c r="AO259" s="202">
        <v>0</v>
      </c>
      <c r="AP259" s="202">
        <v>0</v>
      </c>
      <c r="AQ259" s="202" t="s">
        <v>2526</v>
      </c>
      <c r="AR259" s="202">
        <v>0</v>
      </c>
      <c r="AS259" s="202">
        <v>0</v>
      </c>
      <c r="AT259" s="202">
        <v>2</v>
      </c>
      <c r="AU259" s="202">
        <v>0</v>
      </c>
      <c r="AV259" s="202">
        <v>0.4</v>
      </c>
      <c r="AW259"/>
      <c r="AX259"/>
      <c r="AY259"/>
    </row>
    <row r="260" spans="1:51">
      <c r="A260" s="202" t="str">
        <f t="shared" si="19"/>
        <v>陈德忠</v>
      </c>
      <c r="B260" s="202">
        <f>IF(C260&lt;&gt;"NA",C260,VLOOKUP(K260,Update_from_YIFIP!$X$2:$AD$174,7,FALSE))</f>
        <v>138</v>
      </c>
      <c r="C260" s="207">
        <f t="shared" si="16"/>
        <v>138</v>
      </c>
      <c r="D260" s="207">
        <f t="shared" si="17"/>
        <v>138</v>
      </c>
      <c r="E260" s="202" t="s">
        <v>2032</v>
      </c>
      <c r="F260" s="202" t="s">
        <v>2575</v>
      </c>
      <c r="G260" s="202" t="s">
        <v>2449</v>
      </c>
      <c r="H260" s="207" t="str">
        <f t="shared" si="18"/>
        <v>NA</v>
      </c>
      <c r="I260" s="202" t="s">
        <v>1929</v>
      </c>
      <c r="J260" s="202" t="s">
        <v>2573</v>
      </c>
      <c r="K260" s="202" t="s">
        <v>2574</v>
      </c>
      <c r="L260" s="202" t="s">
        <v>1396</v>
      </c>
      <c r="M260" s="202">
        <v>4</v>
      </c>
      <c r="N260" s="202">
        <v>0</v>
      </c>
      <c r="O260" s="202">
        <v>55</v>
      </c>
      <c r="P260" s="202">
        <v>8</v>
      </c>
      <c r="Q260" s="202">
        <v>17</v>
      </c>
      <c r="R260" s="202">
        <v>16</v>
      </c>
      <c r="S260" s="202">
        <v>14</v>
      </c>
      <c r="T260" s="202">
        <v>0</v>
      </c>
      <c r="U260" s="202">
        <v>0</v>
      </c>
      <c r="V260" s="202">
        <v>0</v>
      </c>
      <c r="W260" s="202">
        <v>0</v>
      </c>
      <c r="X260" s="202">
        <v>0</v>
      </c>
      <c r="Y260" s="202">
        <v>0</v>
      </c>
      <c r="Z260" s="202">
        <v>0</v>
      </c>
      <c r="AA260" s="202">
        <v>0</v>
      </c>
      <c r="AB260" s="202">
        <v>0</v>
      </c>
      <c r="AC260" s="202">
        <v>0</v>
      </c>
      <c r="AD260" s="202">
        <v>0</v>
      </c>
      <c r="AE260" s="202">
        <v>0</v>
      </c>
      <c r="AF260" s="202">
        <v>0</v>
      </c>
      <c r="AG260" s="202">
        <v>0</v>
      </c>
      <c r="AH260" s="202">
        <v>0</v>
      </c>
      <c r="AI260" s="202">
        <v>0</v>
      </c>
      <c r="AJ260" s="202">
        <v>0</v>
      </c>
      <c r="AK260" s="202">
        <v>0</v>
      </c>
      <c r="AL260" s="202">
        <v>0</v>
      </c>
      <c r="AM260" s="202">
        <v>0</v>
      </c>
      <c r="AN260" s="202">
        <v>0</v>
      </c>
      <c r="AO260" s="202">
        <v>0</v>
      </c>
      <c r="AP260" s="202">
        <v>0</v>
      </c>
      <c r="AQ260" s="202" t="s">
        <v>2491</v>
      </c>
      <c r="AR260" s="202">
        <v>0</v>
      </c>
      <c r="AS260" s="202">
        <v>0</v>
      </c>
      <c r="AT260" s="202">
        <v>10</v>
      </c>
      <c r="AU260" s="202">
        <v>0</v>
      </c>
      <c r="AV260" s="202">
        <v>2</v>
      </c>
      <c r="AW260"/>
      <c r="AX260"/>
      <c r="AY260"/>
    </row>
    <row r="261" spans="1:51">
      <c r="A261" s="202" t="str">
        <f t="shared" si="19"/>
        <v>陈德忠</v>
      </c>
      <c r="B261" s="202">
        <f>IF(C261&lt;&gt;"NA",C261,VLOOKUP(K261,Update_from_YIFIP!$X$2:$AD$174,7,FALSE))</f>
        <v>138</v>
      </c>
      <c r="C261" s="207">
        <f t="shared" si="16"/>
        <v>138</v>
      </c>
      <c r="D261" s="207">
        <f t="shared" si="17"/>
        <v>138</v>
      </c>
      <c r="E261" s="202" t="s">
        <v>2032</v>
      </c>
      <c r="F261" s="202" t="s">
        <v>2575</v>
      </c>
      <c r="G261" s="202" t="s">
        <v>2449</v>
      </c>
      <c r="H261" s="207" t="str">
        <f t="shared" si="18"/>
        <v>NA</v>
      </c>
      <c r="I261" s="202" t="s">
        <v>1929</v>
      </c>
      <c r="J261" s="202" t="s">
        <v>2573</v>
      </c>
      <c r="K261" s="202" t="s">
        <v>2576</v>
      </c>
      <c r="L261" s="202" t="s">
        <v>1397</v>
      </c>
      <c r="M261" s="202">
        <v>6</v>
      </c>
      <c r="N261" s="202">
        <v>0</v>
      </c>
      <c r="O261" s="202">
        <v>66</v>
      </c>
      <c r="P261" s="202">
        <v>18</v>
      </c>
      <c r="Q261" s="202">
        <v>7</v>
      </c>
      <c r="R261" s="202">
        <v>11</v>
      </c>
      <c r="S261" s="202">
        <v>11</v>
      </c>
      <c r="T261" s="202">
        <v>9</v>
      </c>
      <c r="U261" s="202">
        <v>10</v>
      </c>
      <c r="V261" s="202">
        <v>0</v>
      </c>
      <c r="W261" s="202">
        <v>0</v>
      </c>
      <c r="X261" s="202">
        <v>0</v>
      </c>
      <c r="Y261" s="202">
        <v>0</v>
      </c>
      <c r="Z261" s="202">
        <v>0</v>
      </c>
      <c r="AA261" s="202">
        <v>0</v>
      </c>
      <c r="AB261" s="202">
        <v>0</v>
      </c>
      <c r="AC261" s="202">
        <v>0</v>
      </c>
      <c r="AD261" s="202">
        <v>0</v>
      </c>
      <c r="AE261" s="202">
        <v>0</v>
      </c>
      <c r="AF261" s="202">
        <v>0</v>
      </c>
      <c r="AG261" s="202">
        <v>0</v>
      </c>
      <c r="AH261" s="202">
        <v>0</v>
      </c>
      <c r="AI261" s="202">
        <v>0</v>
      </c>
      <c r="AJ261" s="202">
        <v>0</v>
      </c>
      <c r="AK261" s="202">
        <v>0</v>
      </c>
      <c r="AL261" s="202">
        <v>0</v>
      </c>
      <c r="AM261" s="202">
        <v>0</v>
      </c>
      <c r="AN261" s="202">
        <v>0</v>
      </c>
      <c r="AO261" s="202">
        <v>0</v>
      </c>
      <c r="AP261" s="202">
        <v>0</v>
      </c>
      <c r="AQ261" s="202" t="s">
        <v>2491</v>
      </c>
      <c r="AR261" s="202">
        <v>0</v>
      </c>
      <c r="AS261" s="202">
        <v>0</v>
      </c>
      <c r="AT261" s="202">
        <v>10</v>
      </c>
      <c r="AU261" s="202">
        <v>0</v>
      </c>
      <c r="AV261" s="202">
        <v>2</v>
      </c>
      <c r="AW261"/>
      <c r="AX261"/>
      <c r="AY261"/>
    </row>
    <row r="262" spans="1:51">
      <c r="A262" s="202" t="str">
        <f t="shared" si="19"/>
        <v>陈德忠</v>
      </c>
      <c r="B262" s="202">
        <f>IF(C262&lt;&gt;"NA",C262,VLOOKUP(K262,Update_from_YIFIP!$X$2:$AD$174,7,FALSE))</f>
        <v>138</v>
      </c>
      <c r="C262" s="207">
        <f t="shared" si="16"/>
        <v>138</v>
      </c>
      <c r="D262" s="207">
        <f t="shared" si="17"/>
        <v>138</v>
      </c>
      <c r="E262" s="202" t="s">
        <v>2032</v>
      </c>
      <c r="F262" s="202" t="s">
        <v>2575</v>
      </c>
      <c r="G262" s="202" t="s">
        <v>2449</v>
      </c>
      <c r="H262" s="207" t="str">
        <f t="shared" si="18"/>
        <v>NA</v>
      </c>
      <c r="I262" s="202" t="s">
        <v>1929</v>
      </c>
      <c r="J262" s="202" t="s">
        <v>2573</v>
      </c>
      <c r="K262" s="202" t="s">
        <v>2577</v>
      </c>
      <c r="L262" s="202" t="s">
        <v>1398</v>
      </c>
      <c r="M262" s="202">
        <v>6</v>
      </c>
      <c r="N262" s="202">
        <v>0</v>
      </c>
      <c r="O262" s="202">
        <v>81</v>
      </c>
      <c r="P262" s="202">
        <v>12</v>
      </c>
      <c r="Q262" s="202">
        <v>13</v>
      </c>
      <c r="R262" s="202">
        <v>14</v>
      </c>
      <c r="S262" s="202">
        <v>14</v>
      </c>
      <c r="T262" s="202">
        <v>14</v>
      </c>
      <c r="U262" s="202">
        <v>14</v>
      </c>
      <c r="V262" s="202">
        <v>0</v>
      </c>
      <c r="W262" s="202">
        <v>0</v>
      </c>
      <c r="X262" s="202">
        <v>0</v>
      </c>
      <c r="Y262" s="202">
        <v>0</v>
      </c>
      <c r="Z262" s="202">
        <v>0</v>
      </c>
      <c r="AA262" s="202">
        <v>0</v>
      </c>
      <c r="AB262" s="202">
        <v>0</v>
      </c>
      <c r="AC262" s="202">
        <v>0</v>
      </c>
      <c r="AD262" s="202">
        <v>0</v>
      </c>
      <c r="AE262" s="202">
        <v>0</v>
      </c>
      <c r="AF262" s="202">
        <v>0</v>
      </c>
      <c r="AG262" s="202">
        <v>0</v>
      </c>
      <c r="AH262" s="202">
        <v>0</v>
      </c>
      <c r="AI262" s="202">
        <v>0</v>
      </c>
      <c r="AJ262" s="202">
        <v>0</v>
      </c>
      <c r="AK262" s="202">
        <v>0</v>
      </c>
      <c r="AL262" s="202">
        <v>0</v>
      </c>
      <c r="AM262" s="202">
        <v>0</v>
      </c>
      <c r="AN262" s="202">
        <v>0</v>
      </c>
      <c r="AO262" s="202">
        <v>0</v>
      </c>
      <c r="AP262" s="202">
        <v>0</v>
      </c>
      <c r="AQ262" s="202" t="s">
        <v>2549</v>
      </c>
      <c r="AR262" s="202">
        <v>0</v>
      </c>
      <c r="AS262" s="202">
        <v>0</v>
      </c>
      <c r="AT262" s="202">
        <v>12.5</v>
      </c>
      <c r="AU262" s="202">
        <v>0</v>
      </c>
      <c r="AV262" s="202">
        <v>2.5</v>
      </c>
      <c r="AW262"/>
      <c r="AX262"/>
      <c r="AY262"/>
    </row>
    <row r="263" spans="1:51">
      <c r="A263" s="202" t="str">
        <f t="shared" si="19"/>
        <v>陈德忠</v>
      </c>
      <c r="B263" s="202">
        <f>IF(C263&lt;&gt;"NA",C263,VLOOKUP(K263,Update_from_YIFIP!$X$2:$AD$174,7,FALSE))</f>
        <v>138</v>
      </c>
      <c r="C263" s="207">
        <f t="shared" si="16"/>
        <v>138</v>
      </c>
      <c r="D263" s="207">
        <f t="shared" si="17"/>
        <v>138</v>
      </c>
      <c r="E263" s="202" t="s">
        <v>2032</v>
      </c>
      <c r="F263" s="202" t="s">
        <v>2575</v>
      </c>
      <c r="G263" s="202" t="s">
        <v>2449</v>
      </c>
      <c r="H263" s="207" t="str">
        <f t="shared" si="18"/>
        <v>NA</v>
      </c>
      <c r="I263" s="202" t="s">
        <v>1929</v>
      </c>
      <c r="J263" s="202" t="s">
        <v>2573</v>
      </c>
      <c r="K263" s="202" t="s">
        <v>2578</v>
      </c>
      <c r="L263" s="202" t="s">
        <v>1399</v>
      </c>
      <c r="M263" s="202">
        <v>3</v>
      </c>
      <c r="N263" s="202">
        <v>0</v>
      </c>
      <c r="O263" s="202">
        <v>43</v>
      </c>
      <c r="P263" s="202">
        <v>16</v>
      </c>
      <c r="Q263" s="202">
        <v>14</v>
      </c>
      <c r="R263" s="202">
        <v>13</v>
      </c>
      <c r="S263" s="202">
        <v>0</v>
      </c>
      <c r="T263" s="202">
        <v>0</v>
      </c>
      <c r="U263" s="202">
        <v>0</v>
      </c>
      <c r="V263" s="202">
        <v>0</v>
      </c>
      <c r="W263" s="202">
        <v>0</v>
      </c>
      <c r="X263" s="202">
        <v>0</v>
      </c>
      <c r="Y263" s="202">
        <v>0</v>
      </c>
      <c r="Z263" s="202">
        <v>0</v>
      </c>
      <c r="AA263" s="202">
        <v>0</v>
      </c>
      <c r="AB263" s="202">
        <v>0</v>
      </c>
      <c r="AC263" s="202">
        <v>0</v>
      </c>
      <c r="AD263" s="202">
        <v>0</v>
      </c>
      <c r="AE263" s="202">
        <v>0</v>
      </c>
      <c r="AF263" s="202">
        <v>0</v>
      </c>
      <c r="AG263" s="202">
        <v>0</v>
      </c>
      <c r="AH263" s="202">
        <v>0</v>
      </c>
      <c r="AI263" s="202">
        <v>0</v>
      </c>
      <c r="AJ263" s="202">
        <v>0</v>
      </c>
      <c r="AK263" s="202">
        <v>0</v>
      </c>
      <c r="AL263" s="202">
        <v>0</v>
      </c>
      <c r="AM263" s="202">
        <v>0</v>
      </c>
      <c r="AN263" s="202">
        <v>0</v>
      </c>
      <c r="AO263" s="202">
        <v>0</v>
      </c>
      <c r="AP263" s="202">
        <v>0</v>
      </c>
      <c r="AQ263" s="202" t="s">
        <v>2549</v>
      </c>
      <c r="AR263" s="202">
        <v>0</v>
      </c>
      <c r="AS263" s="202">
        <v>0</v>
      </c>
      <c r="AT263" s="202">
        <v>6</v>
      </c>
      <c r="AU263" s="202">
        <v>0</v>
      </c>
      <c r="AV263" s="202">
        <v>1.2</v>
      </c>
      <c r="AW263"/>
      <c r="AX263"/>
      <c r="AY263"/>
    </row>
    <row r="264" spans="1:51">
      <c r="A264" s="202" t="str">
        <f t="shared" si="19"/>
        <v>谢天华</v>
      </c>
      <c r="B264" s="202">
        <f>IF(C264&lt;&gt;"NA",C264,VLOOKUP(K264,Update_from_YIFIP!$X$2:$AD$174,7,FALSE))</f>
        <v>140</v>
      </c>
      <c r="C264" s="207">
        <f t="shared" si="16"/>
        <v>140</v>
      </c>
      <c r="D264" s="207">
        <f t="shared" si="17"/>
        <v>140</v>
      </c>
      <c r="E264" s="202" t="s">
        <v>2141</v>
      </c>
      <c r="F264" s="202" t="s">
        <v>2567</v>
      </c>
      <c r="G264" s="202" t="s">
        <v>2568</v>
      </c>
      <c r="H264" s="207" t="str">
        <f t="shared" si="18"/>
        <v>NA</v>
      </c>
      <c r="I264" s="202" t="s">
        <v>1929</v>
      </c>
      <c r="J264" s="202" t="s">
        <v>2564</v>
      </c>
      <c r="K264" s="202" t="s">
        <v>2565</v>
      </c>
      <c r="L264" s="202" t="s">
        <v>1392</v>
      </c>
      <c r="M264" s="202">
        <v>7</v>
      </c>
      <c r="N264" s="202">
        <v>0</v>
      </c>
      <c r="O264" s="202">
        <v>144</v>
      </c>
      <c r="P264" s="202">
        <v>19</v>
      </c>
      <c r="Q264" s="202">
        <v>27</v>
      </c>
      <c r="R264" s="202">
        <v>22</v>
      </c>
      <c r="S264" s="202">
        <v>21</v>
      </c>
      <c r="T264" s="202">
        <v>12</v>
      </c>
      <c r="U264" s="202">
        <v>21</v>
      </c>
      <c r="V264" s="202">
        <v>22</v>
      </c>
      <c r="W264" s="202">
        <v>0</v>
      </c>
      <c r="X264" s="202">
        <v>0</v>
      </c>
      <c r="Y264" s="202">
        <v>0</v>
      </c>
      <c r="Z264" s="202">
        <v>0</v>
      </c>
      <c r="AA264" s="202">
        <v>0</v>
      </c>
      <c r="AB264" s="202">
        <v>0</v>
      </c>
      <c r="AC264" s="202">
        <v>0</v>
      </c>
      <c r="AD264" s="202">
        <v>0</v>
      </c>
      <c r="AE264" s="202">
        <v>0</v>
      </c>
      <c r="AF264" s="202">
        <v>0</v>
      </c>
      <c r="AG264" s="202">
        <v>0</v>
      </c>
      <c r="AH264" s="202">
        <v>0</v>
      </c>
      <c r="AI264" s="202">
        <v>0</v>
      </c>
      <c r="AJ264" s="202">
        <v>0</v>
      </c>
      <c r="AK264" s="202">
        <v>0</v>
      </c>
      <c r="AL264" s="202">
        <v>0</v>
      </c>
      <c r="AM264" s="202">
        <v>0</v>
      </c>
      <c r="AN264" s="202">
        <v>0</v>
      </c>
      <c r="AO264" s="202">
        <v>0</v>
      </c>
      <c r="AP264" s="202">
        <v>0</v>
      </c>
      <c r="AQ264" s="202" t="s">
        <v>2486</v>
      </c>
      <c r="AR264" s="202">
        <v>0</v>
      </c>
      <c r="AS264" s="202">
        <v>0</v>
      </c>
      <c r="AT264" s="202">
        <v>25.500000000000004</v>
      </c>
      <c r="AU264" s="202" t="s">
        <v>2566</v>
      </c>
      <c r="AV264" s="202">
        <v>5.1000000000000005</v>
      </c>
      <c r="AW264"/>
      <c r="AX264"/>
      <c r="AY264"/>
    </row>
    <row r="265" spans="1:51">
      <c r="A265" s="202" t="str">
        <f t="shared" si="19"/>
        <v>谢天华</v>
      </c>
      <c r="B265" s="202">
        <f>IF(C265&lt;&gt;"NA",C265,VLOOKUP(K265,Update_from_YIFIP!$X$2:$AD$174,7,FALSE))</f>
        <v>140</v>
      </c>
      <c r="C265" s="207">
        <f t="shared" si="16"/>
        <v>140</v>
      </c>
      <c r="D265" s="207">
        <f t="shared" si="17"/>
        <v>140</v>
      </c>
      <c r="E265" s="202" t="s">
        <v>2141</v>
      </c>
      <c r="F265" s="202" t="s">
        <v>2567</v>
      </c>
      <c r="G265" s="202" t="s">
        <v>2568</v>
      </c>
      <c r="H265" s="207" t="str">
        <f t="shared" si="18"/>
        <v>NA</v>
      </c>
      <c r="I265" s="202" t="s">
        <v>1929</v>
      </c>
      <c r="J265" s="202" t="s">
        <v>2564</v>
      </c>
      <c r="K265" s="202" t="s">
        <v>2569</v>
      </c>
      <c r="L265" s="202" t="s">
        <v>1393</v>
      </c>
      <c r="M265" s="202">
        <v>6</v>
      </c>
      <c r="N265" s="202">
        <v>0</v>
      </c>
      <c r="O265" s="202">
        <v>116</v>
      </c>
      <c r="P265" s="202">
        <v>20</v>
      </c>
      <c r="Q265" s="202">
        <v>24</v>
      </c>
      <c r="R265" s="202">
        <v>24</v>
      </c>
      <c r="S265" s="202">
        <v>18</v>
      </c>
      <c r="T265" s="202">
        <v>14</v>
      </c>
      <c r="U265" s="202">
        <v>16</v>
      </c>
      <c r="V265" s="202">
        <v>0</v>
      </c>
      <c r="W265" s="202">
        <v>0</v>
      </c>
      <c r="X265" s="202">
        <v>0</v>
      </c>
      <c r="Y265" s="202">
        <v>0</v>
      </c>
      <c r="Z265" s="202">
        <v>0</v>
      </c>
      <c r="AA265" s="202">
        <v>0</v>
      </c>
      <c r="AB265" s="202">
        <v>0</v>
      </c>
      <c r="AC265" s="202">
        <v>0</v>
      </c>
      <c r="AD265" s="202">
        <v>0</v>
      </c>
      <c r="AE265" s="202">
        <v>0</v>
      </c>
      <c r="AF265" s="202">
        <v>0</v>
      </c>
      <c r="AG265" s="202">
        <v>0</v>
      </c>
      <c r="AH265" s="202">
        <v>0</v>
      </c>
      <c r="AI265" s="202">
        <v>0</v>
      </c>
      <c r="AJ265" s="202">
        <v>0</v>
      </c>
      <c r="AK265" s="202">
        <v>0</v>
      </c>
      <c r="AL265" s="202">
        <v>0</v>
      </c>
      <c r="AM265" s="202">
        <v>0</v>
      </c>
      <c r="AN265" s="202">
        <v>0</v>
      </c>
      <c r="AO265" s="202">
        <v>0</v>
      </c>
      <c r="AP265" s="202">
        <v>0</v>
      </c>
      <c r="AQ265" s="202" t="s">
        <v>2486</v>
      </c>
      <c r="AR265" s="202">
        <v>0</v>
      </c>
      <c r="AS265" s="202">
        <v>0</v>
      </c>
      <c r="AT265" s="202">
        <v>21.5</v>
      </c>
      <c r="AU265" s="202" t="s">
        <v>2570</v>
      </c>
      <c r="AV265" s="202">
        <v>4.3</v>
      </c>
      <c r="AW265"/>
      <c r="AX265"/>
      <c r="AY265"/>
    </row>
    <row r="266" spans="1:51">
      <c r="A266" s="202" t="str">
        <f t="shared" si="19"/>
        <v>谢天华</v>
      </c>
      <c r="B266" s="202">
        <f>IF(C266&lt;&gt;"NA",C266,VLOOKUP(K266,Update_from_YIFIP!$X$2:$AD$174,7,FALSE))</f>
        <v>140</v>
      </c>
      <c r="C266" s="207">
        <f t="shared" si="16"/>
        <v>140</v>
      </c>
      <c r="D266" s="207">
        <f t="shared" si="17"/>
        <v>140</v>
      </c>
      <c r="E266" s="202" t="s">
        <v>2141</v>
      </c>
      <c r="F266" s="202" t="s">
        <v>2567</v>
      </c>
      <c r="G266" s="202" t="s">
        <v>2568</v>
      </c>
      <c r="H266" s="207" t="str">
        <f t="shared" si="18"/>
        <v>NA</v>
      </c>
      <c r="I266" s="202" t="s">
        <v>1929</v>
      </c>
      <c r="J266" s="202" t="s">
        <v>2564</v>
      </c>
      <c r="K266" s="202" t="s">
        <v>2571</v>
      </c>
      <c r="L266" s="202" t="s">
        <v>1394</v>
      </c>
      <c r="M266" s="202">
        <v>2</v>
      </c>
      <c r="N266" s="202">
        <v>0</v>
      </c>
      <c r="O266" s="202">
        <v>56</v>
      </c>
      <c r="P266" s="202">
        <v>31</v>
      </c>
      <c r="Q266" s="202">
        <v>25</v>
      </c>
      <c r="R266" s="202">
        <v>0</v>
      </c>
      <c r="S266" s="202">
        <v>0</v>
      </c>
      <c r="T266" s="202">
        <v>0</v>
      </c>
      <c r="U266" s="202">
        <v>0</v>
      </c>
      <c r="V266" s="202">
        <v>0</v>
      </c>
      <c r="W266" s="202">
        <v>0</v>
      </c>
      <c r="X266" s="202">
        <v>0</v>
      </c>
      <c r="Y266" s="202">
        <v>0</v>
      </c>
      <c r="Z266" s="202">
        <v>0</v>
      </c>
      <c r="AA266" s="202">
        <v>0</v>
      </c>
      <c r="AB266" s="202">
        <v>0</v>
      </c>
      <c r="AC266" s="202">
        <v>0</v>
      </c>
      <c r="AD266" s="202">
        <v>0</v>
      </c>
      <c r="AE266" s="202">
        <v>0</v>
      </c>
      <c r="AF266" s="202">
        <v>0</v>
      </c>
      <c r="AG266" s="202">
        <v>0</v>
      </c>
      <c r="AH266" s="202">
        <v>0</v>
      </c>
      <c r="AI266" s="202">
        <v>0</v>
      </c>
      <c r="AJ266" s="202">
        <v>0</v>
      </c>
      <c r="AK266" s="202">
        <v>0</v>
      </c>
      <c r="AL266" s="202">
        <v>0</v>
      </c>
      <c r="AM266" s="202">
        <v>0</v>
      </c>
      <c r="AN266" s="202">
        <v>0</v>
      </c>
      <c r="AO266" s="202">
        <v>0</v>
      </c>
      <c r="AP266" s="202">
        <v>0</v>
      </c>
      <c r="AQ266" s="202" t="s">
        <v>2491</v>
      </c>
      <c r="AR266" s="202">
        <v>0</v>
      </c>
      <c r="AS266" s="202">
        <v>0</v>
      </c>
      <c r="AT266" s="202">
        <v>7.5</v>
      </c>
      <c r="AU266" s="202">
        <v>0</v>
      </c>
      <c r="AV266" s="202">
        <v>1.5</v>
      </c>
      <c r="AW266"/>
      <c r="AX266"/>
      <c r="AY266"/>
    </row>
    <row r="267" spans="1:51">
      <c r="A267" s="202" t="str">
        <f t="shared" si="19"/>
        <v>谢天华</v>
      </c>
      <c r="B267" s="202">
        <f>IF(C267&lt;&gt;"NA",C267,VLOOKUP(K267,Update_from_YIFIP!$X$2:$AD$174,7,FALSE))</f>
        <v>140</v>
      </c>
      <c r="C267" s="207">
        <f t="shared" si="16"/>
        <v>140</v>
      </c>
      <c r="D267" s="207">
        <f t="shared" si="17"/>
        <v>140</v>
      </c>
      <c r="E267" s="202" t="s">
        <v>2141</v>
      </c>
      <c r="F267" s="202" t="s">
        <v>2567</v>
      </c>
      <c r="G267" s="202" t="s">
        <v>2568</v>
      </c>
      <c r="H267" s="207" t="str">
        <f t="shared" si="18"/>
        <v>NA</v>
      </c>
      <c r="I267" s="202" t="s">
        <v>1929</v>
      </c>
      <c r="J267" s="202" t="s">
        <v>2564</v>
      </c>
      <c r="K267" s="202" t="s">
        <v>2572</v>
      </c>
      <c r="L267" s="202" t="s">
        <v>1395</v>
      </c>
      <c r="M267" s="202">
        <v>3</v>
      </c>
      <c r="N267" s="202">
        <v>0</v>
      </c>
      <c r="O267" s="202">
        <v>45</v>
      </c>
      <c r="P267" s="202">
        <v>22</v>
      </c>
      <c r="Q267" s="202">
        <v>9</v>
      </c>
      <c r="R267" s="202">
        <v>14</v>
      </c>
      <c r="S267" s="202">
        <v>0</v>
      </c>
      <c r="T267" s="202">
        <v>0</v>
      </c>
      <c r="U267" s="202">
        <v>0</v>
      </c>
      <c r="V267" s="202">
        <v>0</v>
      </c>
      <c r="W267" s="202">
        <v>0</v>
      </c>
      <c r="X267" s="202">
        <v>0</v>
      </c>
      <c r="Y267" s="202">
        <v>0</v>
      </c>
      <c r="Z267" s="202">
        <v>0</v>
      </c>
      <c r="AA267" s="202">
        <v>0</v>
      </c>
      <c r="AB267" s="202">
        <v>0</v>
      </c>
      <c r="AC267" s="202">
        <v>0</v>
      </c>
      <c r="AD267" s="202">
        <v>0</v>
      </c>
      <c r="AE267" s="202">
        <v>0</v>
      </c>
      <c r="AF267" s="202">
        <v>0</v>
      </c>
      <c r="AG267" s="202">
        <v>0</v>
      </c>
      <c r="AH267" s="202">
        <v>0</v>
      </c>
      <c r="AI267" s="202">
        <v>0</v>
      </c>
      <c r="AJ267" s="202">
        <v>0</v>
      </c>
      <c r="AK267" s="202">
        <v>0</v>
      </c>
      <c r="AL267" s="202">
        <v>0</v>
      </c>
      <c r="AM267" s="202">
        <v>0</v>
      </c>
      <c r="AN267" s="202">
        <v>0</v>
      </c>
      <c r="AO267" s="202">
        <v>0</v>
      </c>
      <c r="AP267" s="202">
        <v>0</v>
      </c>
      <c r="AQ267" s="202" t="s">
        <v>2491</v>
      </c>
      <c r="AR267" s="202">
        <v>0</v>
      </c>
      <c r="AS267" s="202">
        <v>0</v>
      </c>
      <c r="AT267" s="202">
        <v>6</v>
      </c>
      <c r="AU267" s="202">
        <v>0</v>
      </c>
      <c r="AV267" s="202">
        <v>1.2</v>
      </c>
      <c r="AW267"/>
      <c r="AX267"/>
      <c r="AY267"/>
    </row>
    <row r="268" spans="1:51">
      <c r="A268" s="202" t="str">
        <f t="shared" si="19"/>
        <v>毕勇</v>
      </c>
      <c r="B268" s="202">
        <f>IF(C268&lt;&gt;"NA",C268,VLOOKUP(K268,Update_from_YIFIP!$X$2:$AD$174,7,FALSE))</f>
        <v>141</v>
      </c>
      <c r="C268" s="207">
        <f t="shared" si="16"/>
        <v>141</v>
      </c>
      <c r="D268" s="207">
        <f t="shared" si="17"/>
        <v>141</v>
      </c>
      <c r="E268" s="202" t="s">
        <v>2027</v>
      </c>
      <c r="F268" s="202" t="s">
        <v>2499</v>
      </c>
      <c r="G268" s="202" t="s">
        <v>2500</v>
      </c>
      <c r="H268" s="207" t="str">
        <f t="shared" si="18"/>
        <v>NA</v>
      </c>
      <c r="I268" s="202" t="s">
        <v>1929</v>
      </c>
      <c r="J268" s="202" t="s">
        <v>394</v>
      </c>
      <c r="K268" s="202" t="s">
        <v>2455</v>
      </c>
      <c r="L268" s="202" t="s">
        <v>1356</v>
      </c>
      <c r="M268" s="202">
        <v>7</v>
      </c>
      <c r="N268" s="202">
        <v>0</v>
      </c>
      <c r="O268" s="202">
        <v>120</v>
      </c>
      <c r="P268" s="202">
        <v>22</v>
      </c>
      <c r="Q268" s="202">
        <v>14</v>
      </c>
      <c r="R268" s="202">
        <v>9</v>
      </c>
      <c r="S268" s="202">
        <v>18</v>
      </c>
      <c r="T268" s="202">
        <v>22</v>
      </c>
      <c r="U268" s="202">
        <v>25</v>
      </c>
      <c r="V268" s="202">
        <v>10</v>
      </c>
      <c r="W268" s="202">
        <v>0</v>
      </c>
      <c r="X268" s="202">
        <v>0</v>
      </c>
      <c r="Y268" s="202">
        <v>0</v>
      </c>
      <c r="Z268" s="202">
        <v>0</v>
      </c>
      <c r="AA268" s="202">
        <v>0</v>
      </c>
      <c r="AB268" s="202">
        <v>0</v>
      </c>
      <c r="AC268" s="202">
        <v>0</v>
      </c>
      <c r="AD268" s="202">
        <v>0</v>
      </c>
      <c r="AE268" s="202">
        <v>0</v>
      </c>
      <c r="AF268" s="202">
        <v>0</v>
      </c>
      <c r="AG268" s="202">
        <v>0</v>
      </c>
      <c r="AH268" s="202">
        <v>0</v>
      </c>
      <c r="AI268" s="202">
        <v>0</v>
      </c>
      <c r="AJ268" s="202">
        <v>0</v>
      </c>
      <c r="AK268" s="202">
        <v>0</v>
      </c>
      <c r="AL268" s="202">
        <v>0</v>
      </c>
      <c r="AM268" s="202">
        <v>0</v>
      </c>
      <c r="AN268" s="202">
        <v>0</v>
      </c>
      <c r="AO268" s="202">
        <v>0</v>
      </c>
      <c r="AP268" s="202">
        <v>0</v>
      </c>
      <c r="AQ268" s="202" t="s">
        <v>2470</v>
      </c>
      <c r="AR268" s="202">
        <v>0</v>
      </c>
      <c r="AS268" s="202">
        <v>0</v>
      </c>
      <c r="AT268" s="202">
        <v>21.500000000000004</v>
      </c>
      <c r="AU268" s="202" t="s">
        <v>2498</v>
      </c>
      <c r="AV268" s="202">
        <v>4.3000000000000007</v>
      </c>
      <c r="AW268"/>
      <c r="AX268"/>
      <c r="AY268"/>
    </row>
    <row r="269" spans="1:51">
      <c r="A269" s="202" t="str">
        <f t="shared" si="19"/>
        <v>毕勇</v>
      </c>
      <c r="B269" s="202">
        <f>IF(C269&lt;&gt;"NA",C269,VLOOKUP(K269,Update_from_YIFIP!$X$2:$AD$174,7,FALSE))</f>
        <v>141</v>
      </c>
      <c r="C269" s="207">
        <f t="shared" si="16"/>
        <v>141</v>
      </c>
      <c r="D269" s="207">
        <f t="shared" si="17"/>
        <v>141</v>
      </c>
      <c r="E269" s="202" t="s">
        <v>2027</v>
      </c>
      <c r="F269" s="202" t="s">
        <v>2499</v>
      </c>
      <c r="G269" s="202" t="s">
        <v>2500</v>
      </c>
      <c r="H269" s="207" t="str">
        <f t="shared" si="18"/>
        <v>NA</v>
      </c>
      <c r="I269" s="202" t="s">
        <v>1929</v>
      </c>
      <c r="J269" s="202" t="s">
        <v>394</v>
      </c>
      <c r="K269" s="202" t="s">
        <v>2458</v>
      </c>
      <c r="L269" s="202" t="s">
        <v>1357</v>
      </c>
      <c r="M269" s="202">
        <v>5</v>
      </c>
      <c r="N269" s="202">
        <v>0</v>
      </c>
      <c r="O269" s="202">
        <v>73</v>
      </c>
      <c r="P269" s="202">
        <v>14</v>
      </c>
      <c r="Q269" s="202">
        <v>11</v>
      </c>
      <c r="R269" s="202">
        <v>11</v>
      </c>
      <c r="S269" s="202">
        <v>21</v>
      </c>
      <c r="T269" s="202">
        <v>16</v>
      </c>
      <c r="U269" s="202">
        <v>0</v>
      </c>
      <c r="V269" s="202">
        <v>0</v>
      </c>
      <c r="W269" s="202">
        <v>0</v>
      </c>
      <c r="X269" s="202">
        <v>0</v>
      </c>
      <c r="Y269" s="202">
        <v>0</v>
      </c>
      <c r="Z269" s="202">
        <v>0</v>
      </c>
      <c r="AA269" s="202">
        <v>0</v>
      </c>
      <c r="AB269" s="202">
        <v>0</v>
      </c>
      <c r="AC269" s="202">
        <v>0</v>
      </c>
      <c r="AD269" s="202">
        <v>0</v>
      </c>
      <c r="AE269" s="202">
        <v>0</v>
      </c>
      <c r="AF269" s="202">
        <v>0</v>
      </c>
      <c r="AG269" s="202">
        <v>0</v>
      </c>
      <c r="AH269" s="202">
        <v>0</v>
      </c>
      <c r="AI269" s="202">
        <v>0</v>
      </c>
      <c r="AJ269" s="202">
        <v>0</v>
      </c>
      <c r="AK269" s="202">
        <v>0</v>
      </c>
      <c r="AL269" s="202">
        <v>0</v>
      </c>
      <c r="AM269" s="202">
        <v>0</v>
      </c>
      <c r="AN269" s="202">
        <v>0</v>
      </c>
      <c r="AO269" s="202">
        <v>0</v>
      </c>
      <c r="AP269" s="202">
        <v>0</v>
      </c>
      <c r="AQ269" s="202" t="s">
        <v>2470</v>
      </c>
      <c r="AR269" s="202">
        <v>0</v>
      </c>
      <c r="AS269" s="202">
        <v>0</v>
      </c>
      <c r="AT269" s="202">
        <v>12.5</v>
      </c>
      <c r="AU269" s="202">
        <v>0</v>
      </c>
      <c r="AV269" s="202">
        <v>2.5</v>
      </c>
      <c r="AW269"/>
      <c r="AX269"/>
      <c r="AY269"/>
    </row>
    <row r="270" spans="1:51">
      <c r="A270" s="202" t="str">
        <f t="shared" si="19"/>
        <v>毕勇</v>
      </c>
      <c r="B270" s="202">
        <f>IF(C270&lt;&gt;"NA",C270,VLOOKUP(K270,Update_from_YIFIP!$X$2:$AD$174,7,FALSE))</f>
        <v>141</v>
      </c>
      <c r="C270" s="207">
        <f t="shared" si="16"/>
        <v>141</v>
      </c>
      <c r="D270" s="207">
        <f t="shared" si="17"/>
        <v>141</v>
      </c>
      <c r="E270" s="202" t="s">
        <v>2027</v>
      </c>
      <c r="F270" s="202" t="s">
        <v>2499</v>
      </c>
      <c r="G270" s="202" t="s">
        <v>2500</v>
      </c>
      <c r="H270" s="207" t="str">
        <f t="shared" si="18"/>
        <v>NA</v>
      </c>
      <c r="I270" s="202" t="s">
        <v>1929</v>
      </c>
      <c r="J270" s="202" t="s">
        <v>394</v>
      </c>
      <c r="K270" s="202" t="s">
        <v>2502</v>
      </c>
      <c r="L270" s="202" t="s">
        <v>1358</v>
      </c>
      <c r="M270" s="202">
        <v>5</v>
      </c>
      <c r="N270" s="202">
        <v>0</v>
      </c>
      <c r="O270" s="202">
        <v>67</v>
      </c>
      <c r="P270" s="202">
        <v>14</v>
      </c>
      <c r="Q270" s="202">
        <v>18</v>
      </c>
      <c r="R270" s="202">
        <v>8</v>
      </c>
      <c r="S270" s="202">
        <v>11</v>
      </c>
      <c r="T270" s="202">
        <v>16</v>
      </c>
      <c r="U270" s="202">
        <v>0</v>
      </c>
      <c r="V270" s="202">
        <v>0</v>
      </c>
      <c r="W270" s="202">
        <v>0</v>
      </c>
      <c r="X270" s="202">
        <v>0</v>
      </c>
      <c r="Y270" s="202">
        <v>0</v>
      </c>
      <c r="Z270" s="202">
        <v>0</v>
      </c>
      <c r="AA270" s="202">
        <v>0</v>
      </c>
      <c r="AB270" s="202">
        <v>0</v>
      </c>
      <c r="AC270" s="202">
        <v>0</v>
      </c>
      <c r="AD270" s="202">
        <v>0</v>
      </c>
      <c r="AE270" s="202">
        <v>0</v>
      </c>
      <c r="AF270" s="202">
        <v>0</v>
      </c>
      <c r="AG270" s="202">
        <v>0</v>
      </c>
      <c r="AH270" s="202">
        <v>0</v>
      </c>
      <c r="AI270" s="202">
        <v>0</v>
      </c>
      <c r="AJ270" s="202">
        <v>0</v>
      </c>
      <c r="AK270" s="202">
        <v>0</v>
      </c>
      <c r="AL270" s="202">
        <v>0</v>
      </c>
      <c r="AM270" s="202">
        <v>0</v>
      </c>
      <c r="AN270" s="202">
        <v>0</v>
      </c>
      <c r="AO270" s="202">
        <v>0</v>
      </c>
      <c r="AP270" s="202">
        <v>0</v>
      </c>
      <c r="AQ270" s="202" t="s">
        <v>2501</v>
      </c>
      <c r="AR270" s="202">
        <v>0</v>
      </c>
      <c r="AS270" s="202">
        <v>0</v>
      </c>
      <c r="AT270" s="202">
        <v>10</v>
      </c>
      <c r="AU270" s="202">
        <v>0</v>
      </c>
      <c r="AV270" s="202">
        <v>2</v>
      </c>
      <c r="AW270"/>
      <c r="AX270"/>
      <c r="AY270"/>
    </row>
    <row r="271" spans="1:51">
      <c r="A271" s="202" t="str">
        <f t="shared" si="19"/>
        <v>毕勇</v>
      </c>
      <c r="B271" s="202">
        <f>IF(C271&lt;&gt;"NA",C271,VLOOKUP(K271,Update_from_YIFIP!$X$2:$AD$174,7,FALSE))</f>
        <v>141</v>
      </c>
      <c r="C271" s="207">
        <f t="shared" si="16"/>
        <v>141</v>
      </c>
      <c r="D271" s="207">
        <f t="shared" si="17"/>
        <v>141</v>
      </c>
      <c r="E271" s="202" t="s">
        <v>2027</v>
      </c>
      <c r="F271" s="202" t="s">
        <v>2499</v>
      </c>
      <c r="G271" s="202" t="s">
        <v>2500</v>
      </c>
      <c r="H271" s="207" t="str">
        <f t="shared" si="18"/>
        <v>NA</v>
      </c>
      <c r="I271" s="202" t="s">
        <v>1929</v>
      </c>
      <c r="J271" s="202" t="s">
        <v>394</v>
      </c>
      <c r="K271" s="202" t="s">
        <v>2503</v>
      </c>
      <c r="L271" s="202" t="s">
        <v>1359</v>
      </c>
      <c r="M271" s="202">
        <v>4</v>
      </c>
      <c r="N271" s="202">
        <v>0</v>
      </c>
      <c r="O271" s="202">
        <v>57</v>
      </c>
      <c r="P271" s="202">
        <v>12</v>
      </c>
      <c r="Q271" s="202">
        <v>17</v>
      </c>
      <c r="R271" s="202">
        <v>13</v>
      </c>
      <c r="S271" s="202">
        <v>15</v>
      </c>
      <c r="T271" s="202">
        <v>0</v>
      </c>
      <c r="U271" s="202">
        <v>0</v>
      </c>
      <c r="V271" s="202">
        <v>0</v>
      </c>
      <c r="W271" s="202">
        <v>0</v>
      </c>
      <c r="X271" s="202">
        <v>0</v>
      </c>
      <c r="Y271" s="202">
        <v>0</v>
      </c>
      <c r="Z271" s="202">
        <v>0</v>
      </c>
      <c r="AA271" s="202">
        <v>0</v>
      </c>
      <c r="AB271" s="202">
        <v>0</v>
      </c>
      <c r="AC271" s="202">
        <v>0</v>
      </c>
      <c r="AD271" s="202">
        <v>0</v>
      </c>
      <c r="AE271" s="202">
        <v>0</v>
      </c>
      <c r="AF271" s="202">
        <v>0</v>
      </c>
      <c r="AG271" s="202">
        <v>0</v>
      </c>
      <c r="AH271" s="202">
        <v>0</v>
      </c>
      <c r="AI271" s="202">
        <v>0</v>
      </c>
      <c r="AJ271" s="202">
        <v>0</v>
      </c>
      <c r="AK271" s="202">
        <v>0</v>
      </c>
      <c r="AL271" s="202">
        <v>0</v>
      </c>
      <c r="AM271" s="202">
        <v>0</v>
      </c>
      <c r="AN271" s="202">
        <v>0</v>
      </c>
      <c r="AO271" s="202">
        <v>0</v>
      </c>
      <c r="AP271" s="202">
        <v>0</v>
      </c>
      <c r="AQ271" s="202" t="s">
        <v>2501</v>
      </c>
      <c r="AR271" s="202">
        <v>0</v>
      </c>
      <c r="AS271" s="202">
        <v>0</v>
      </c>
      <c r="AT271" s="202">
        <v>12.5</v>
      </c>
      <c r="AU271" s="202">
        <v>0</v>
      </c>
      <c r="AV271" s="202">
        <v>2.5</v>
      </c>
      <c r="AW271"/>
      <c r="AX271"/>
      <c r="AY271"/>
    </row>
    <row r="272" spans="1:51">
      <c r="A272" s="202" t="str">
        <f t="shared" si="19"/>
        <v>毕勇</v>
      </c>
      <c r="B272" s="202">
        <f>IF(C272&lt;&gt;"NA",C272,VLOOKUP(K272,Update_from_YIFIP!$X$2:$AD$174,7,FALSE))</f>
        <v>141</v>
      </c>
      <c r="C272" s="207">
        <f t="shared" si="16"/>
        <v>141</v>
      </c>
      <c r="D272" s="207">
        <f t="shared" si="17"/>
        <v>141</v>
      </c>
      <c r="E272" s="202" t="s">
        <v>2027</v>
      </c>
      <c r="F272" s="202" t="s">
        <v>2499</v>
      </c>
      <c r="G272" s="202" t="s">
        <v>2500</v>
      </c>
      <c r="H272" s="207" t="str">
        <f t="shared" si="18"/>
        <v>NA</v>
      </c>
      <c r="I272" s="202" t="s">
        <v>1929</v>
      </c>
      <c r="J272" s="202" t="s">
        <v>394</v>
      </c>
      <c r="K272" s="202" t="s">
        <v>2447</v>
      </c>
      <c r="L272" s="202" t="s">
        <v>1360</v>
      </c>
      <c r="M272" s="202">
        <v>2</v>
      </c>
      <c r="N272" s="202">
        <v>0</v>
      </c>
      <c r="O272" s="202">
        <v>43</v>
      </c>
      <c r="P272" s="202">
        <v>25</v>
      </c>
      <c r="Q272" s="202">
        <v>18</v>
      </c>
      <c r="R272" s="202">
        <v>0</v>
      </c>
      <c r="S272" s="202">
        <v>0</v>
      </c>
      <c r="T272" s="202">
        <v>0</v>
      </c>
      <c r="U272" s="202">
        <v>0</v>
      </c>
      <c r="V272" s="202">
        <v>0</v>
      </c>
      <c r="W272" s="202">
        <v>0</v>
      </c>
      <c r="X272" s="202">
        <v>0</v>
      </c>
      <c r="Y272" s="202">
        <v>0</v>
      </c>
      <c r="Z272" s="202">
        <v>0</v>
      </c>
      <c r="AA272" s="202">
        <v>0</v>
      </c>
      <c r="AB272" s="202">
        <v>0</v>
      </c>
      <c r="AC272" s="202">
        <v>0</v>
      </c>
      <c r="AD272" s="202">
        <v>0</v>
      </c>
      <c r="AE272" s="202">
        <v>0</v>
      </c>
      <c r="AF272" s="202">
        <v>0</v>
      </c>
      <c r="AG272" s="202">
        <v>0</v>
      </c>
      <c r="AH272" s="202">
        <v>0</v>
      </c>
      <c r="AI272" s="202">
        <v>0</v>
      </c>
      <c r="AJ272" s="202">
        <v>0</v>
      </c>
      <c r="AK272" s="202">
        <v>0</v>
      </c>
      <c r="AL272" s="202">
        <v>0</v>
      </c>
      <c r="AM272" s="202">
        <v>0</v>
      </c>
      <c r="AN272" s="202">
        <v>0</v>
      </c>
      <c r="AO272" s="202">
        <v>0</v>
      </c>
      <c r="AP272" s="202">
        <v>0</v>
      </c>
      <c r="AQ272" s="202" t="s">
        <v>2504</v>
      </c>
      <c r="AR272" s="202">
        <v>0</v>
      </c>
      <c r="AS272" s="202">
        <v>0</v>
      </c>
      <c r="AT272" s="202">
        <v>7.5</v>
      </c>
      <c r="AU272" s="202">
        <v>0</v>
      </c>
      <c r="AV272" s="202">
        <v>1.5</v>
      </c>
      <c r="AW272"/>
      <c r="AX272"/>
      <c r="AY272"/>
    </row>
    <row r="273" spans="1:51">
      <c r="A273" s="202" t="str">
        <f t="shared" si="19"/>
        <v>毕勇</v>
      </c>
      <c r="B273" s="202">
        <f>IF(C273&lt;&gt;"NA",C273,VLOOKUP(K273,Update_from_YIFIP!$X$2:$AD$174,7,FALSE))</f>
        <v>141</v>
      </c>
      <c r="C273" s="207">
        <f t="shared" si="16"/>
        <v>141</v>
      </c>
      <c r="D273" s="207">
        <f t="shared" si="17"/>
        <v>141</v>
      </c>
      <c r="E273" s="202" t="s">
        <v>2027</v>
      </c>
      <c r="F273" s="202" t="s">
        <v>2499</v>
      </c>
      <c r="G273" s="202" t="s">
        <v>2500</v>
      </c>
      <c r="H273" s="207" t="str">
        <f t="shared" si="18"/>
        <v>NA</v>
      </c>
      <c r="I273" s="202" t="s">
        <v>1929</v>
      </c>
      <c r="J273" s="202" t="s">
        <v>394</v>
      </c>
      <c r="K273" s="202" t="s">
        <v>2450</v>
      </c>
      <c r="L273" s="202" t="s">
        <v>1361</v>
      </c>
      <c r="M273" s="202">
        <v>2</v>
      </c>
      <c r="N273" s="202">
        <v>0</v>
      </c>
      <c r="O273" s="202">
        <v>34</v>
      </c>
      <c r="P273" s="202">
        <v>18</v>
      </c>
      <c r="Q273" s="202">
        <v>16</v>
      </c>
      <c r="R273" s="202">
        <v>0</v>
      </c>
      <c r="S273" s="202">
        <v>0</v>
      </c>
      <c r="T273" s="202">
        <v>0</v>
      </c>
      <c r="U273" s="202">
        <v>0</v>
      </c>
      <c r="V273" s="202">
        <v>0</v>
      </c>
      <c r="W273" s="202">
        <v>0</v>
      </c>
      <c r="X273" s="202">
        <v>0</v>
      </c>
      <c r="Y273" s="202">
        <v>0</v>
      </c>
      <c r="Z273" s="202">
        <v>0</v>
      </c>
      <c r="AA273" s="202">
        <v>0</v>
      </c>
      <c r="AB273" s="202">
        <v>0</v>
      </c>
      <c r="AC273" s="202">
        <v>0</v>
      </c>
      <c r="AD273" s="202">
        <v>0</v>
      </c>
      <c r="AE273" s="202">
        <v>0</v>
      </c>
      <c r="AF273" s="202">
        <v>0</v>
      </c>
      <c r="AG273" s="202">
        <v>0</v>
      </c>
      <c r="AH273" s="202">
        <v>0</v>
      </c>
      <c r="AI273" s="202">
        <v>0</v>
      </c>
      <c r="AJ273" s="202">
        <v>0</v>
      </c>
      <c r="AK273" s="202">
        <v>0</v>
      </c>
      <c r="AL273" s="202">
        <v>0</v>
      </c>
      <c r="AM273" s="202">
        <v>0</v>
      </c>
      <c r="AN273" s="202">
        <v>0</v>
      </c>
      <c r="AO273" s="202">
        <v>0</v>
      </c>
      <c r="AP273" s="202">
        <v>0</v>
      </c>
      <c r="AQ273" s="202" t="s">
        <v>2504</v>
      </c>
      <c r="AR273" s="202">
        <v>0</v>
      </c>
      <c r="AS273" s="202">
        <v>0</v>
      </c>
      <c r="AT273" s="202">
        <v>5</v>
      </c>
      <c r="AU273" s="202">
        <v>0</v>
      </c>
      <c r="AV273" s="202">
        <v>1</v>
      </c>
      <c r="AW273"/>
      <c r="AX273"/>
      <c r="AY273"/>
    </row>
    <row r="274" spans="1:51">
      <c r="A274" s="202" t="str">
        <f t="shared" si="19"/>
        <v>毕勇</v>
      </c>
      <c r="B274" s="202">
        <f>IF(C274&lt;&gt;"NA",C274,VLOOKUP(K274,Update_from_YIFIP!$X$2:$AD$174,7,FALSE))</f>
        <v>141</v>
      </c>
      <c r="C274" s="207">
        <f t="shared" si="16"/>
        <v>141</v>
      </c>
      <c r="D274" s="207">
        <f t="shared" si="17"/>
        <v>141</v>
      </c>
      <c r="E274" s="202" t="s">
        <v>2027</v>
      </c>
      <c r="F274" s="202" t="s">
        <v>2499</v>
      </c>
      <c r="G274" s="202" t="s">
        <v>2500</v>
      </c>
      <c r="H274" s="207" t="str">
        <f t="shared" si="18"/>
        <v>NA</v>
      </c>
      <c r="I274" s="202" t="s">
        <v>1929</v>
      </c>
      <c r="J274" s="202" t="s">
        <v>394</v>
      </c>
      <c r="K274" s="202" t="s">
        <v>2453</v>
      </c>
      <c r="L274" s="202" t="s">
        <v>1362</v>
      </c>
      <c r="M274" s="202">
        <v>5</v>
      </c>
      <c r="N274" s="202">
        <v>0</v>
      </c>
      <c r="O274" s="202">
        <v>102</v>
      </c>
      <c r="P274" s="202">
        <v>10</v>
      </c>
      <c r="Q274" s="202">
        <v>20</v>
      </c>
      <c r="R274" s="202">
        <v>28</v>
      </c>
      <c r="S274" s="202">
        <v>24</v>
      </c>
      <c r="T274" s="202">
        <v>20</v>
      </c>
      <c r="U274" s="202">
        <v>0</v>
      </c>
      <c r="V274" s="202">
        <v>0</v>
      </c>
      <c r="W274" s="202">
        <v>0</v>
      </c>
      <c r="X274" s="202">
        <v>0</v>
      </c>
      <c r="Y274" s="202">
        <v>0</v>
      </c>
      <c r="Z274" s="202">
        <v>0</v>
      </c>
      <c r="AA274" s="202">
        <v>0</v>
      </c>
      <c r="AB274" s="202">
        <v>0</v>
      </c>
      <c r="AC274" s="202">
        <v>0</v>
      </c>
      <c r="AD274" s="202">
        <v>0</v>
      </c>
      <c r="AE274" s="202">
        <v>0</v>
      </c>
      <c r="AF274" s="202">
        <v>0</v>
      </c>
      <c r="AG274" s="202">
        <v>0</v>
      </c>
      <c r="AH274" s="202">
        <v>0</v>
      </c>
      <c r="AI274" s="202">
        <v>0</v>
      </c>
      <c r="AJ274" s="202">
        <v>0</v>
      </c>
      <c r="AK274" s="202">
        <v>0</v>
      </c>
      <c r="AL274" s="202">
        <v>0</v>
      </c>
      <c r="AM274" s="202">
        <v>0</v>
      </c>
      <c r="AN274" s="202">
        <v>0</v>
      </c>
      <c r="AO274" s="202">
        <v>0</v>
      </c>
      <c r="AP274" s="202">
        <v>0</v>
      </c>
      <c r="AQ274" s="202" t="s">
        <v>2505</v>
      </c>
      <c r="AR274" s="202">
        <v>0</v>
      </c>
      <c r="AS274" s="202">
        <v>0</v>
      </c>
      <c r="AT274" s="202">
        <v>20.5</v>
      </c>
      <c r="AU274" s="202" t="s">
        <v>2506</v>
      </c>
      <c r="AV274" s="202">
        <v>4.0999999999999996</v>
      </c>
      <c r="AW274"/>
      <c r="AX274"/>
      <c r="AY274"/>
    </row>
    <row r="275" spans="1:51">
      <c r="A275" s="202" t="str">
        <f t="shared" si="19"/>
        <v>罗有明</v>
      </c>
      <c r="B275" s="202">
        <f>IF(C275&lt;&gt;"NA",C275,VLOOKUP(K275,Update_from_YIFIP!$X$2:$AD$174,7,FALSE))</f>
        <v>146</v>
      </c>
      <c r="C275" s="207">
        <f t="shared" si="16"/>
        <v>146</v>
      </c>
      <c r="D275" s="207">
        <f t="shared" si="17"/>
        <v>146</v>
      </c>
      <c r="E275" s="202" t="s">
        <v>2106</v>
      </c>
      <c r="F275" s="202" t="s">
        <v>2463</v>
      </c>
      <c r="G275" s="202" t="s">
        <v>2464</v>
      </c>
      <c r="H275" s="207" t="str">
        <f t="shared" si="18"/>
        <v>NA</v>
      </c>
      <c r="I275" s="202" t="s">
        <v>1929</v>
      </c>
      <c r="J275" s="202" t="s">
        <v>2460</v>
      </c>
      <c r="K275" s="202" t="s">
        <v>2462</v>
      </c>
      <c r="L275" s="202" t="s">
        <v>1337</v>
      </c>
      <c r="M275" s="202">
        <v>10</v>
      </c>
      <c r="N275" s="202">
        <v>0</v>
      </c>
      <c r="O275" s="202">
        <v>86</v>
      </c>
      <c r="P275" s="202">
        <v>2</v>
      </c>
      <c r="Q275" s="202">
        <v>6</v>
      </c>
      <c r="R275" s="202">
        <v>7</v>
      </c>
      <c r="S275" s="202">
        <v>8</v>
      </c>
      <c r="T275" s="202">
        <v>8</v>
      </c>
      <c r="U275" s="202">
        <v>9</v>
      </c>
      <c r="V275" s="202">
        <v>10</v>
      </c>
      <c r="W275" s="202">
        <v>11</v>
      </c>
      <c r="X275" s="202">
        <v>12</v>
      </c>
      <c r="Y275" s="202">
        <v>13</v>
      </c>
      <c r="Z275" s="202">
        <v>0</v>
      </c>
      <c r="AA275" s="202">
        <v>0</v>
      </c>
      <c r="AB275" s="202">
        <v>0</v>
      </c>
      <c r="AC275" s="202">
        <v>0</v>
      </c>
      <c r="AD275" s="202">
        <v>0</v>
      </c>
      <c r="AE275" s="202">
        <v>0</v>
      </c>
      <c r="AF275" s="202">
        <v>0</v>
      </c>
      <c r="AG275" s="202">
        <v>0</v>
      </c>
      <c r="AH275" s="202">
        <v>0</v>
      </c>
      <c r="AI275" s="202">
        <v>0</v>
      </c>
      <c r="AJ275" s="202">
        <v>0</v>
      </c>
      <c r="AK275" s="202">
        <v>0</v>
      </c>
      <c r="AL275" s="202">
        <v>0</v>
      </c>
      <c r="AM275" s="202">
        <v>0</v>
      </c>
      <c r="AN275" s="202">
        <v>0</v>
      </c>
      <c r="AO275" s="202">
        <v>0</v>
      </c>
      <c r="AP275" s="202">
        <v>0</v>
      </c>
      <c r="AQ275" s="202" t="s">
        <v>2461</v>
      </c>
      <c r="AR275" s="202">
        <v>0</v>
      </c>
      <c r="AS275" s="202">
        <v>0</v>
      </c>
      <c r="AT275" s="202">
        <v>10</v>
      </c>
      <c r="AU275" s="202">
        <v>0</v>
      </c>
      <c r="AV275" s="202">
        <v>2</v>
      </c>
      <c r="AW275"/>
      <c r="AX275"/>
      <c r="AY275"/>
    </row>
    <row r="276" spans="1:51">
      <c r="A276" s="202" t="str">
        <f t="shared" si="19"/>
        <v>罗有明</v>
      </c>
      <c r="B276" s="202">
        <f>IF(C276&lt;&gt;"NA",C276,VLOOKUP(K276,Update_from_YIFIP!$X$2:$AD$174,7,FALSE))</f>
        <v>146</v>
      </c>
      <c r="C276" s="207">
        <f t="shared" si="16"/>
        <v>146</v>
      </c>
      <c r="D276" s="207">
        <f t="shared" si="17"/>
        <v>146</v>
      </c>
      <c r="E276" s="202" t="s">
        <v>2106</v>
      </c>
      <c r="F276" s="202" t="s">
        <v>2463</v>
      </c>
      <c r="G276" s="202" t="s">
        <v>2464</v>
      </c>
      <c r="H276" s="207" t="str">
        <f t="shared" si="18"/>
        <v>NA</v>
      </c>
      <c r="I276" s="202" t="s">
        <v>1929</v>
      </c>
      <c r="J276" s="202" t="s">
        <v>2460</v>
      </c>
      <c r="K276" s="202" t="s">
        <v>2462</v>
      </c>
      <c r="L276" s="202" t="s">
        <v>1338</v>
      </c>
      <c r="M276" s="202">
        <v>10</v>
      </c>
      <c r="N276" s="202">
        <v>0</v>
      </c>
      <c r="O276" s="202">
        <v>94</v>
      </c>
      <c r="P276" s="202">
        <v>3</v>
      </c>
      <c r="Q276" s="202">
        <v>4</v>
      </c>
      <c r="R276" s="202">
        <v>7</v>
      </c>
      <c r="S276" s="202">
        <v>7</v>
      </c>
      <c r="T276" s="202">
        <v>8</v>
      </c>
      <c r="U276" s="202">
        <v>11</v>
      </c>
      <c r="V276" s="202">
        <v>11</v>
      </c>
      <c r="W276" s="202">
        <v>12</v>
      </c>
      <c r="X276" s="202">
        <v>14</v>
      </c>
      <c r="Y276" s="202">
        <v>17</v>
      </c>
      <c r="Z276" s="202">
        <v>0</v>
      </c>
      <c r="AA276" s="202">
        <v>0</v>
      </c>
      <c r="AB276" s="202">
        <v>0</v>
      </c>
      <c r="AC276" s="202">
        <v>0</v>
      </c>
      <c r="AD276" s="202">
        <v>0</v>
      </c>
      <c r="AE276" s="202">
        <v>0</v>
      </c>
      <c r="AF276" s="202">
        <v>0</v>
      </c>
      <c r="AG276" s="202">
        <v>0</v>
      </c>
      <c r="AH276" s="202">
        <v>0</v>
      </c>
      <c r="AI276" s="202">
        <v>0</v>
      </c>
      <c r="AJ276" s="202">
        <v>0</v>
      </c>
      <c r="AK276" s="202">
        <v>0</v>
      </c>
      <c r="AL276" s="202">
        <v>0</v>
      </c>
      <c r="AM276" s="202">
        <v>0</v>
      </c>
      <c r="AN276" s="202">
        <v>0</v>
      </c>
      <c r="AO276" s="202">
        <v>0</v>
      </c>
      <c r="AP276" s="202">
        <v>0</v>
      </c>
      <c r="AQ276" s="202" t="s">
        <v>2465</v>
      </c>
      <c r="AR276" s="202">
        <v>0</v>
      </c>
      <c r="AS276" s="202">
        <v>0</v>
      </c>
      <c r="AT276" s="202">
        <v>12.5</v>
      </c>
      <c r="AU276" s="202">
        <v>0</v>
      </c>
      <c r="AV276" s="202">
        <v>2.5</v>
      </c>
      <c r="AW276"/>
      <c r="AX276"/>
      <c r="AY276"/>
    </row>
    <row r="277" spans="1:51">
      <c r="A277" s="202" t="str">
        <f t="shared" si="19"/>
        <v>罗有明</v>
      </c>
      <c r="B277" s="202">
        <f>IF(C277&lt;&gt;"NA",C277,VLOOKUP(K277,Update_from_YIFIP!$X$2:$AD$174,7,FALSE))</f>
        <v>146</v>
      </c>
      <c r="C277" s="207">
        <f t="shared" si="16"/>
        <v>146</v>
      </c>
      <c r="D277" s="207">
        <f t="shared" si="17"/>
        <v>146</v>
      </c>
      <c r="E277" s="202" t="s">
        <v>2106</v>
      </c>
      <c r="F277" s="202" t="s">
        <v>2463</v>
      </c>
      <c r="G277" s="202" t="s">
        <v>2464</v>
      </c>
      <c r="H277" s="207" t="str">
        <f t="shared" si="18"/>
        <v>NA</v>
      </c>
      <c r="I277" s="202" t="s">
        <v>1929</v>
      </c>
      <c r="J277" s="202" t="s">
        <v>2466</v>
      </c>
      <c r="K277" s="202" t="s">
        <v>2468</v>
      </c>
      <c r="L277" s="202" t="s">
        <v>1339</v>
      </c>
      <c r="M277" s="202">
        <v>10</v>
      </c>
      <c r="N277" s="202">
        <v>0</v>
      </c>
      <c r="O277" s="202">
        <v>89</v>
      </c>
      <c r="P277" s="202">
        <v>7</v>
      </c>
      <c r="Q277" s="202">
        <v>7</v>
      </c>
      <c r="R277" s="202">
        <v>7</v>
      </c>
      <c r="S277" s="202">
        <v>7</v>
      </c>
      <c r="T277" s="202">
        <v>8</v>
      </c>
      <c r="U277" s="202">
        <v>8</v>
      </c>
      <c r="V277" s="202">
        <v>9</v>
      </c>
      <c r="W277" s="202">
        <v>9</v>
      </c>
      <c r="X277" s="202">
        <v>12</v>
      </c>
      <c r="Y277" s="202">
        <v>15</v>
      </c>
      <c r="Z277" s="202">
        <v>0</v>
      </c>
      <c r="AA277" s="202">
        <v>0</v>
      </c>
      <c r="AB277" s="202">
        <v>0</v>
      </c>
      <c r="AC277" s="202">
        <v>0</v>
      </c>
      <c r="AD277" s="202">
        <v>0</v>
      </c>
      <c r="AE277" s="202">
        <v>0</v>
      </c>
      <c r="AF277" s="202">
        <v>0</v>
      </c>
      <c r="AG277" s="202">
        <v>0</v>
      </c>
      <c r="AH277" s="202">
        <v>0</v>
      </c>
      <c r="AI277" s="202">
        <v>0</v>
      </c>
      <c r="AJ277" s="202">
        <v>0</v>
      </c>
      <c r="AK277" s="202">
        <v>0</v>
      </c>
      <c r="AL277" s="202">
        <v>0</v>
      </c>
      <c r="AM277" s="202">
        <v>0</v>
      </c>
      <c r="AN277" s="202">
        <v>0</v>
      </c>
      <c r="AO277" s="202">
        <v>0</v>
      </c>
      <c r="AP277" s="202">
        <v>0</v>
      </c>
      <c r="AQ277" s="202" t="s">
        <v>2467</v>
      </c>
      <c r="AR277" s="202">
        <v>0</v>
      </c>
      <c r="AS277" s="202">
        <v>0</v>
      </c>
      <c r="AT277" s="202">
        <v>6</v>
      </c>
      <c r="AU277" s="202">
        <v>0</v>
      </c>
      <c r="AV277" s="202">
        <v>1.2</v>
      </c>
      <c r="AW277"/>
      <c r="AX277"/>
      <c r="AY277"/>
    </row>
    <row r="278" spans="1:51">
      <c r="A278" s="202" t="str">
        <f t="shared" si="19"/>
        <v>罗有明</v>
      </c>
      <c r="B278" s="202">
        <f>IF(C278&lt;&gt;"NA",C278,VLOOKUP(K278,Update_from_YIFIP!$X$2:$AD$174,7,FALSE))</f>
        <v>146</v>
      </c>
      <c r="C278" s="207">
        <f t="shared" si="16"/>
        <v>146</v>
      </c>
      <c r="D278" s="207">
        <f t="shared" si="17"/>
        <v>146</v>
      </c>
      <c r="E278" s="202" t="s">
        <v>2106</v>
      </c>
      <c r="F278" s="202" t="s">
        <v>2463</v>
      </c>
      <c r="G278" s="202" t="s">
        <v>2464</v>
      </c>
      <c r="H278" s="207" t="str">
        <f t="shared" si="18"/>
        <v>NA</v>
      </c>
      <c r="I278" s="202" t="s">
        <v>1929</v>
      </c>
      <c r="J278" s="202" t="s">
        <v>2469</v>
      </c>
      <c r="K278" s="202" t="s">
        <v>2462</v>
      </c>
      <c r="L278" s="202" t="s">
        <v>1340</v>
      </c>
      <c r="M278" s="202">
        <v>10</v>
      </c>
      <c r="N278" s="202">
        <v>0</v>
      </c>
      <c r="O278" s="202">
        <v>75</v>
      </c>
      <c r="P278" s="202">
        <v>5</v>
      </c>
      <c r="Q278" s="202">
        <v>6</v>
      </c>
      <c r="R278" s="202">
        <v>6</v>
      </c>
      <c r="S278" s="202">
        <v>7</v>
      </c>
      <c r="T278" s="202">
        <v>8</v>
      </c>
      <c r="U278" s="202">
        <v>8</v>
      </c>
      <c r="V278" s="202">
        <v>8</v>
      </c>
      <c r="W278" s="202">
        <v>8</v>
      </c>
      <c r="X278" s="202">
        <v>9</v>
      </c>
      <c r="Y278" s="202">
        <v>10</v>
      </c>
      <c r="Z278" s="202">
        <v>0</v>
      </c>
      <c r="AA278" s="202">
        <v>0</v>
      </c>
      <c r="AB278" s="202">
        <v>0</v>
      </c>
      <c r="AC278" s="202">
        <v>0</v>
      </c>
      <c r="AD278" s="202">
        <v>0</v>
      </c>
      <c r="AE278" s="202">
        <v>0</v>
      </c>
      <c r="AF278" s="202">
        <v>0</v>
      </c>
      <c r="AG278" s="202">
        <v>0</v>
      </c>
      <c r="AH278" s="202">
        <v>0</v>
      </c>
      <c r="AI278" s="202">
        <v>0</v>
      </c>
      <c r="AJ278" s="202">
        <v>0</v>
      </c>
      <c r="AK278" s="202">
        <v>0</v>
      </c>
      <c r="AL278" s="202">
        <v>0</v>
      </c>
      <c r="AM278" s="202">
        <v>0</v>
      </c>
      <c r="AN278" s="202">
        <v>0</v>
      </c>
      <c r="AO278" s="202">
        <v>0</v>
      </c>
      <c r="AP278" s="202">
        <v>0</v>
      </c>
      <c r="AQ278" s="202" t="s">
        <v>2470</v>
      </c>
      <c r="AR278" s="202">
        <v>0</v>
      </c>
      <c r="AS278" s="202">
        <v>0</v>
      </c>
      <c r="AT278" s="202">
        <v>7.5</v>
      </c>
      <c r="AU278" s="202">
        <v>0</v>
      </c>
      <c r="AV278" s="202">
        <v>1.5</v>
      </c>
      <c r="AW278"/>
      <c r="AX278"/>
      <c r="AY278"/>
    </row>
    <row r="279" spans="1:51">
      <c r="A279" s="202" t="str">
        <f t="shared" si="19"/>
        <v>罗有明</v>
      </c>
      <c r="B279" s="202">
        <f>IF(C279&lt;&gt;"NA",C279,VLOOKUP(K279,Update_from_YIFIP!$X$2:$AD$174,7,FALSE))</f>
        <v>146</v>
      </c>
      <c r="C279" s="207">
        <f t="shared" si="16"/>
        <v>146</v>
      </c>
      <c r="D279" s="207">
        <f t="shared" si="17"/>
        <v>146</v>
      </c>
      <c r="E279" s="202" t="s">
        <v>2106</v>
      </c>
      <c r="F279" s="202" t="s">
        <v>2463</v>
      </c>
      <c r="G279" s="202" t="s">
        <v>2464</v>
      </c>
      <c r="H279" s="207" t="str">
        <f t="shared" si="18"/>
        <v>NA</v>
      </c>
      <c r="I279" s="202" t="s">
        <v>1929</v>
      </c>
      <c r="J279" s="202" t="s">
        <v>1929</v>
      </c>
      <c r="K279" s="206" t="s">
        <v>1929</v>
      </c>
      <c r="L279" s="202" t="s">
        <v>1341</v>
      </c>
      <c r="M279" s="202">
        <v>0</v>
      </c>
      <c r="N279" s="202">
        <v>20</v>
      </c>
      <c r="O279" s="202">
        <v>160</v>
      </c>
      <c r="P279" s="202">
        <v>4</v>
      </c>
      <c r="Q279" s="202">
        <v>6</v>
      </c>
      <c r="R279" s="202">
        <v>6</v>
      </c>
      <c r="S279" s="202">
        <v>6</v>
      </c>
      <c r="T279" s="202">
        <v>6</v>
      </c>
      <c r="U279" s="202">
        <v>7</v>
      </c>
      <c r="V279" s="202">
        <v>7</v>
      </c>
      <c r="W279" s="202">
        <v>8</v>
      </c>
      <c r="X279" s="202">
        <v>8</v>
      </c>
      <c r="Y279" s="202">
        <v>8</v>
      </c>
      <c r="Z279" s="202">
        <v>8</v>
      </c>
      <c r="AA279" s="202">
        <v>8</v>
      </c>
      <c r="AB279" s="202">
        <v>9</v>
      </c>
      <c r="AC279" s="202">
        <v>9</v>
      </c>
      <c r="AD279" s="202">
        <v>9</v>
      </c>
      <c r="AE279" s="202">
        <v>9</v>
      </c>
      <c r="AF279" s="202">
        <v>10</v>
      </c>
      <c r="AG279" s="202">
        <v>10</v>
      </c>
      <c r="AH279" s="202">
        <v>11</v>
      </c>
      <c r="AI279" s="202">
        <v>11</v>
      </c>
      <c r="AJ279" s="202">
        <v>0</v>
      </c>
      <c r="AK279" s="202">
        <v>0</v>
      </c>
      <c r="AL279" s="202">
        <v>0</v>
      </c>
      <c r="AM279" s="202">
        <v>0</v>
      </c>
      <c r="AN279" s="202">
        <v>0</v>
      </c>
      <c r="AO279" s="202">
        <v>0</v>
      </c>
      <c r="AP279" s="202">
        <v>0</v>
      </c>
      <c r="AQ279" s="202" t="s">
        <v>1929</v>
      </c>
      <c r="AR279" s="202">
        <v>0</v>
      </c>
      <c r="AS279" s="202">
        <v>0</v>
      </c>
      <c r="AT279" s="202">
        <v>14.499999999999996</v>
      </c>
      <c r="AU279" s="202" t="s">
        <v>2471</v>
      </c>
      <c r="AV279" s="202">
        <v>2.8999999999999995</v>
      </c>
      <c r="AW279"/>
      <c r="AX279"/>
      <c r="AY279"/>
    </row>
    <row r="280" spans="1:51">
      <c r="A280" s="202" t="str">
        <f t="shared" si="19"/>
        <v>罗有明</v>
      </c>
      <c r="B280" s="202">
        <f>IF(C280&lt;&gt;"NA",C280,VLOOKUP(K280,Update_from_YIFIP!$X$2:$AD$174,7,FALSE))</f>
        <v>146</v>
      </c>
      <c r="C280" s="207">
        <f t="shared" si="16"/>
        <v>146</v>
      </c>
      <c r="D280" s="207">
        <f t="shared" si="17"/>
        <v>146</v>
      </c>
      <c r="E280" s="202" t="s">
        <v>2106</v>
      </c>
      <c r="F280" s="202" t="s">
        <v>2463</v>
      </c>
      <c r="G280" s="202" t="s">
        <v>2464</v>
      </c>
      <c r="H280" s="207" t="str">
        <f t="shared" si="18"/>
        <v>NA</v>
      </c>
      <c r="I280" s="202" t="s">
        <v>1929</v>
      </c>
      <c r="J280" s="202" t="s">
        <v>2472</v>
      </c>
      <c r="K280" s="202" t="s">
        <v>2462</v>
      </c>
      <c r="L280" s="202" t="s">
        <v>1342</v>
      </c>
      <c r="M280" s="202">
        <v>10</v>
      </c>
      <c r="N280" s="202">
        <v>0</v>
      </c>
      <c r="O280" s="202">
        <v>96</v>
      </c>
      <c r="P280" s="202">
        <v>7</v>
      </c>
      <c r="Q280" s="202">
        <v>8</v>
      </c>
      <c r="R280" s="202">
        <v>8</v>
      </c>
      <c r="S280" s="202">
        <v>9</v>
      </c>
      <c r="T280" s="202">
        <v>10</v>
      </c>
      <c r="U280" s="202">
        <v>10</v>
      </c>
      <c r="V280" s="202">
        <v>11</v>
      </c>
      <c r="W280" s="202">
        <v>11</v>
      </c>
      <c r="X280" s="202">
        <v>11</v>
      </c>
      <c r="Y280" s="202">
        <v>11</v>
      </c>
      <c r="Z280" s="202">
        <v>0</v>
      </c>
      <c r="AA280" s="202">
        <v>0</v>
      </c>
      <c r="AB280" s="202">
        <v>0</v>
      </c>
      <c r="AC280" s="202">
        <v>0</v>
      </c>
      <c r="AD280" s="202">
        <v>0</v>
      </c>
      <c r="AE280" s="202">
        <v>0</v>
      </c>
      <c r="AF280" s="202">
        <v>0</v>
      </c>
      <c r="AG280" s="202">
        <v>0</v>
      </c>
      <c r="AH280" s="202">
        <v>0</v>
      </c>
      <c r="AI280" s="202">
        <v>0</v>
      </c>
      <c r="AJ280" s="202">
        <v>0</v>
      </c>
      <c r="AK280" s="202">
        <v>0</v>
      </c>
      <c r="AL280" s="202">
        <v>0</v>
      </c>
      <c r="AM280" s="202">
        <v>0</v>
      </c>
      <c r="AN280" s="202">
        <v>0</v>
      </c>
      <c r="AO280" s="202">
        <v>0</v>
      </c>
      <c r="AP280" s="202">
        <v>0</v>
      </c>
      <c r="AQ280" s="202" t="s">
        <v>2473</v>
      </c>
      <c r="AR280" s="202">
        <v>0</v>
      </c>
      <c r="AS280" s="202">
        <v>0</v>
      </c>
      <c r="AT280" s="202">
        <v>10</v>
      </c>
      <c r="AU280" s="202">
        <v>0</v>
      </c>
      <c r="AV280" s="202">
        <v>2</v>
      </c>
      <c r="AW280"/>
      <c r="AX280"/>
      <c r="AY280"/>
    </row>
    <row r="281" spans="1:51">
      <c r="A281" s="202" t="str">
        <f t="shared" si="19"/>
        <v>罗有明</v>
      </c>
      <c r="B281" s="202">
        <f>IF(C281&lt;&gt;"NA",C281,VLOOKUP(K281,Update_from_YIFIP!$X$2:$AD$174,7,FALSE))</f>
        <v>146</v>
      </c>
      <c r="C281" s="207">
        <f t="shared" si="16"/>
        <v>146</v>
      </c>
      <c r="D281" s="207">
        <f t="shared" si="17"/>
        <v>146</v>
      </c>
      <c r="E281" s="202" t="s">
        <v>2106</v>
      </c>
      <c r="F281" s="202" t="s">
        <v>2463</v>
      </c>
      <c r="G281" s="202" t="s">
        <v>2464</v>
      </c>
      <c r="H281" s="207" t="str">
        <f t="shared" si="18"/>
        <v>NA</v>
      </c>
      <c r="I281" s="202" t="s">
        <v>1929</v>
      </c>
      <c r="J281" s="202" t="s">
        <v>2474</v>
      </c>
      <c r="K281" s="202" t="s">
        <v>2476</v>
      </c>
      <c r="L281" s="202" t="s">
        <v>1343</v>
      </c>
      <c r="M281" s="202">
        <v>0</v>
      </c>
      <c r="N281" s="202">
        <v>19</v>
      </c>
      <c r="O281" s="202">
        <v>146</v>
      </c>
      <c r="P281" s="202">
        <v>2</v>
      </c>
      <c r="Q281" s="202">
        <v>3</v>
      </c>
      <c r="R281" s="202">
        <v>4</v>
      </c>
      <c r="S281" s="202">
        <v>5</v>
      </c>
      <c r="T281" s="202">
        <v>5</v>
      </c>
      <c r="U281" s="202">
        <v>6</v>
      </c>
      <c r="V281" s="202">
        <v>6</v>
      </c>
      <c r="W281" s="202">
        <v>7</v>
      </c>
      <c r="X281" s="202">
        <v>7</v>
      </c>
      <c r="Y281" s="202">
        <v>7</v>
      </c>
      <c r="Z281" s="202">
        <v>7</v>
      </c>
      <c r="AA281" s="202">
        <v>8</v>
      </c>
      <c r="AB281" s="202">
        <v>10</v>
      </c>
      <c r="AC281" s="202">
        <v>10</v>
      </c>
      <c r="AD281" s="202">
        <v>11</v>
      </c>
      <c r="AE281" s="202">
        <v>11</v>
      </c>
      <c r="AF281" s="202">
        <v>12</v>
      </c>
      <c r="AG281" s="202">
        <v>12</v>
      </c>
      <c r="AH281" s="202">
        <v>13</v>
      </c>
      <c r="AI281" s="202">
        <v>0</v>
      </c>
      <c r="AJ281" s="202">
        <v>0</v>
      </c>
      <c r="AK281" s="202">
        <v>0</v>
      </c>
      <c r="AL281" s="202">
        <v>0</v>
      </c>
      <c r="AM281" s="202">
        <v>0</v>
      </c>
      <c r="AN281" s="202">
        <v>0</v>
      </c>
      <c r="AO281" s="202">
        <v>0</v>
      </c>
      <c r="AP281" s="202">
        <v>0</v>
      </c>
      <c r="AQ281" s="202" t="s">
        <v>2475</v>
      </c>
      <c r="AR281" s="202">
        <v>0</v>
      </c>
      <c r="AS281" s="202">
        <v>0</v>
      </c>
      <c r="AT281" s="202">
        <v>16.5</v>
      </c>
      <c r="AU281" s="202" t="s">
        <v>2477</v>
      </c>
      <c r="AV281" s="202">
        <v>3.3</v>
      </c>
      <c r="AW281"/>
      <c r="AX281"/>
      <c r="AY281"/>
    </row>
    <row r="282" spans="1:51">
      <c r="A282" s="202" t="str">
        <f t="shared" si="19"/>
        <v>罗有明</v>
      </c>
      <c r="B282" s="202">
        <f>IF(C282&lt;&gt;"NA",C282,VLOOKUP(K282,Update_from_YIFIP!$X$2:$AD$174,7,FALSE))</f>
        <v>146</v>
      </c>
      <c r="C282" s="207">
        <f t="shared" si="16"/>
        <v>146</v>
      </c>
      <c r="D282" s="207">
        <f t="shared" si="17"/>
        <v>146</v>
      </c>
      <c r="E282" s="202" t="s">
        <v>2106</v>
      </c>
      <c r="F282" s="202" t="s">
        <v>2463</v>
      </c>
      <c r="G282" s="202" t="s">
        <v>2464</v>
      </c>
      <c r="H282" s="207" t="str">
        <f t="shared" si="18"/>
        <v>NA</v>
      </c>
      <c r="I282" s="202" t="s">
        <v>1929</v>
      </c>
      <c r="J282" s="202" t="s">
        <v>2478</v>
      </c>
      <c r="K282" s="202" t="s">
        <v>2462</v>
      </c>
      <c r="L282" s="202" t="s">
        <v>1344</v>
      </c>
      <c r="M282" s="202">
        <v>10</v>
      </c>
      <c r="N282" s="202">
        <v>0</v>
      </c>
      <c r="O282" s="202">
        <v>87</v>
      </c>
      <c r="P282" s="202">
        <v>7</v>
      </c>
      <c r="Q282" s="202">
        <v>8</v>
      </c>
      <c r="R282" s="202">
        <v>8</v>
      </c>
      <c r="S282" s="202">
        <v>8</v>
      </c>
      <c r="T282" s="202">
        <v>8</v>
      </c>
      <c r="U282" s="202">
        <v>9</v>
      </c>
      <c r="V282" s="202">
        <v>9</v>
      </c>
      <c r="W282" s="202">
        <v>9</v>
      </c>
      <c r="X282" s="202">
        <v>10</v>
      </c>
      <c r="Y282" s="202">
        <v>11</v>
      </c>
      <c r="Z282" s="202">
        <v>0</v>
      </c>
      <c r="AA282" s="202">
        <v>0</v>
      </c>
      <c r="AB282" s="202">
        <v>0</v>
      </c>
      <c r="AC282" s="202">
        <v>0</v>
      </c>
      <c r="AD282" s="202">
        <v>0</v>
      </c>
      <c r="AE282" s="202">
        <v>0</v>
      </c>
      <c r="AF282" s="202">
        <v>0</v>
      </c>
      <c r="AG282" s="202">
        <v>0</v>
      </c>
      <c r="AH282" s="202">
        <v>0</v>
      </c>
      <c r="AI282" s="202">
        <v>0</v>
      </c>
      <c r="AJ282" s="202">
        <v>0</v>
      </c>
      <c r="AK282" s="202">
        <v>0</v>
      </c>
      <c r="AL282" s="202">
        <v>0</v>
      </c>
      <c r="AM282" s="202">
        <v>0</v>
      </c>
      <c r="AN282" s="202">
        <v>0</v>
      </c>
      <c r="AO282" s="202">
        <v>0</v>
      </c>
      <c r="AP282" s="202">
        <v>0</v>
      </c>
      <c r="AQ282" s="202" t="s">
        <v>2479</v>
      </c>
      <c r="AR282" s="202">
        <v>0</v>
      </c>
      <c r="AS282" s="202">
        <v>0</v>
      </c>
      <c r="AT282" s="202">
        <v>10</v>
      </c>
      <c r="AU282" s="202">
        <v>0</v>
      </c>
      <c r="AV282" s="202">
        <v>2</v>
      </c>
      <c r="AW282"/>
      <c r="AX282"/>
      <c r="AY282"/>
    </row>
    <row r="283" spans="1:51">
      <c r="A283" s="202" t="str">
        <f t="shared" si="19"/>
        <v>罗有明</v>
      </c>
      <c r="B283" s="202">
        <f>IF(C283&lt;&gt;"NA",C283,VLOOKUP(K283,Update_from_YIFIP!$X$2:$AD$174,7,FALSE))</f>
        <v>146</v>
      </c>
      <c r="C283" s="207">
        <f t="shared" si="16"/>
        <v>146</v>
      </c>
      <c r="D283" s="207">
        <f t="shared" si="17"/>
        <v>146</v>
      </c>
      <c r="E283" s="202" t="s">
        <v>2106</v>
      </c>
      <c r="F283" s="202" t="s">
        <v>2463</v>
      </c>
      <c r="G283" s="202" t="s">
        <v>2464</v>
      </c>
      <c r="H283" s="207" t="str">
        <f t="shared" si="18"/>
        <v>NA</v>
      </c>
      <c r="I283" s="202" t="s">
        <v>1929</v>
      </c>
      <c r="J283" s="202" t="s">
        <v>2480</v>
      </c>
      <c r="K283" s="202" t="s">
        <v>2481</v>
      </c>
      <c r="L283" s="202" t="s">
        <v>1345</v>
      </c>
      <c r="M283" s="202">
        <v>10</v>
      </c>
      <c r="N283" s="202">
        <v>0</v>
      </c>
      <c r="O283" s="202">
        <v>67</v>
      </c>
      <c r="P283" s="202">
        <v>5</v>
      </c>
      <c r="Q283" s="202">
        <v>6</v>
      </c>
      <c r="R283" s="202">
        <v>6</v>
      </c>
      <c r="S283" s="202">
        <v>6</v>
      </c>
      <c r="T283" s="202">
        <v>6</v>
      </c>
      <c r="U283" s="202">
        <v>7</v>
      </c>
      <c r="V283" s="202">
        <v>7</v>
      </c>
      <c r="W283" s="202">
        <v>7</v>
      </c>
      <c r="X283" s="202">
        <v>8</v>
      </c>
      <c r="Y283" s="202">
        <v>9</v>
      </c>
      <c r="Z283" s="202">
        <v>0</v>
      </c>
      <c r="AA283" s="202">
        <v>0</v>
      </c>
      <c r="AB283" s="202">
        <v>0</v>
      </c>
      <c r="AC283" s="202">
        <v>0</v>
      </c>
      <c r="AD283" s="202">
        <v>0</v>
      </c>
      <c r="AE283" s="202">
        <v>0</v>
      </c>
      <c r="AF283" s="202">
        <v>0</v>
      </c>
      <c r="AG283" s="202">
        <v>0</v>
      </c>
      <c r="AH283" s="202">
        <v>0</v>
      </c>
      <c r="AI283" s="202">
        <v>0</v>
      </c>
      <c r="AJ283" s="202">
        <v>0</v>
      </c>
      <c r="AK283" s="202">
        <v>0</v>
      </c>
      <c r="AL283" s="202">
        <v>0</v>
      </c>
      <c r="AM283" s="202">
        <v>0</v>
      </c>
      <c r="AN283" s="202">
        <v>0</v>
      </c>
      <c r="AO283" s="202">
        <v>0</v>
      </c>
      <c r="AP283" s="202">
        <v>0</v>
      </c>
      <c r="AQ283" s="202" t="s">
        <v>2446</v>
      </c>
      <c r="AR283" s="202">
        <v>0</v>
      </c>
      <c r="AS283" s="202">
        <v>0</v>
      </c>
      <c r="AT283" s="202">
        <v>10</v>
      </c>
      <c r="AU283" s="202">
        <v>0</v>
      </c>
      <c r="AV283" s="202">
        <v>2</v>
      </c>
      <c r="AW283"/>
      <c r="AX283"/>
      <c r="AY283"/>
    </row>
    <row r="284" spans="1:51">
      <c r="A284" s="202" t="str">
        <f t="shared" si="19"/>
        <v>罗有明</v>
      </c>
      <c r="B284" s="202">
        <f>IF(C284&lt;&gt;"NA",C284,VLOOKUP(K284,Update_from_YIFIP!$X$2:$AD$174,7,FALSE))</f>
        <v>146</v>
      </c>
      <c r="C284" s="207">
        <f t="shared" si="16"/>
        <v>146</v>
      </c>
      <c r="D284" s="207">
        <f t="shared" si="17"/>
        <v>146</v>
      </c>
      <c r="E284" s="202" t="s">
        <v>2106</v>
      </c>
      <c r="F284" s="202" t="s">
        <v>2463</v>
      </c>
      <c r="G284" s="202" t="s">
        <v>2464</v>
      </c>
      <c r="H284" s="207" t="str">
        <f t="shared" si="18"/>
        <v>NA</v>
      </c>
      <c r="I284" s="202" t="s">
        <v>1929</v>
      </c>
      <c r="J284" s="202" t="s">
        <v>2482</v>
      </c>
      <c r="K284" s="202" t="s">
        <v>2484</v>
      </c>
      <c r="L284" s="202" t="s">
        <v>1346</v>
      </c>
      <c r="M284" s="202">
        <v>10</v>
      </c>
      <c r="N284" s="202">
        <v>0</v>
      </c>
      <c r="O284" s="202">
        <v>88</v>
      </c>
      <c r="P284" s="202">
        <v>3</v>
      </c>
      <c r="Q284" s="202">
        <v>7</v>
      </c>
      <c r="R284" s="202">
        <v>7</v>
      </c>
      <c r="S284" s="202">
        <v>8</v>
      </c>
      <c r="T284" s="202">
        <v>9</v>
      </c>
      <c r="U284" s="202">
        <v>10</v>
      </c>
      <c r="V284" s="202">
        <v>10</v>
      </c>
      <c r="W284" s="202">
        <v>10</v>
      </c>
      <c r="X284" s="202">
        <v>11</v>
      </c>
      <c r="Y284" s="202">
        <v>13</v>
      </c>
      <c r="Z284" s="202">
        <v>0</v>
      </c>
      <c r="AA284" s="202">
        <v>0</v>
      </c>
      <c r="AB284" s="202">
        <v>0</v>
      </c>
      <c r="AC284" s="202">
        <v>0</v>
      </c>
      <c r="AD284" s="202">
        <v>0</v>
      </c>
      <c r="AE284" s="202">
        <v>0</v>
      </c>
      <c r="AF284" s="202">
        <v>0</v>
      </c>
      <c r="AG284" s="202">
        <v>0</v>
      </c>
      <c r="AH284" s="202">
        <v>0</v>
      </c>
      <c r="AI284" s="202">
        <v>0</v>
      </c>
      <c r="AJ284" s="202">
        <v>0</v>
      </c>
      <c r="AK284" s="202">
        <v>0</v>
      </c>
      <c r="AL284" s="202">
        <v>0</v>
      </c>
      <c r="AM284" s="202">
        <v>0</v>
      </c>
      <c r="AN284" s="202">
        <v>0</v>
      </c>
      <c r="AO284" s="202">
        <v>0</v>
      </c>
      <c r="AP284" s="202">
        <v>0</v>
      </c>
      <c r="AQ284" s="202" t="s">
        <v>2483</v>
      </c>
      <c r="AR284" s="202">
        <v>0</v>
      </c>
      <c r="AS284" s="202">
        <v>0</v>
      </c>
      <c r="AT284" s="202">
        <v>10</v>
      </c>
      <c r="AU284" s="202">
        <v>0</v>
      </c>
      <c r="AV284" s="202">
        <v>2</v>
      </c>
      <c r="AW284"/>
      <c r="AX284"/>
      <c r="AY284"/>
    </row>
    <row r="285" spans="1:51">
      <c r="A285" s="202" t="str">
        <f t="shared" si="19"/>
        <v>李林东</v>
      </c>
      <c r="B285" s="202">
        <f>IF(C285&lt;&gt;"NA",C285,VLOOKUP(K285,Update_from_YIFIP!$X$2:$AD$174,7,FALSE))</f>
        <v>148</v>
      </c>
      <c r="C285" s="207">
        <f t="shared" si="16"/>
        <v>148</v>
      </c>
      <c r="D285" s="207">
        <f t="shared" si="17"/>
        <v>148</v>
      </c>
      <c r="E285" s="202" t="s">
        <v>2069</v>
      </c>
      <c r="F285" s="202" t="s">
        <v>2511</v>
      </c>
      <c r="G285" s="202" t="s">
        <v>2512</v>
      </c>
      <c r="H285" s="207" t="str">
        <f t="shared" si="18"/>
        <v>NA</v>
      </c>
      <c r="I285" s="202" t="s">
        <v>1929</v>
      </c>
      <c r="J285" s="202" t="s">
        <v>2507</v>
      </c>
      <c r="K285" s="202" t="s">
        <v>2509</v>
      </c>
      <c r="L285" s="202" t="s">
        <v>1363</v>
      </c>
      <c r="M285" s="202">
        <v>13</v>
      </c>
      <c r="N285" s="202">
        <v>1</v>
      </c>
      <c r="O285" s="202">
        <v>122</v>
      </c>
      <c r="P285" s="202">
        <v>12</v>
      </c>
      <c r="Q285" s="202">
        <v>16</v>
      </c>
      <c r="R285" s="202">
        <v>6</v>
      </c>
      <c r="S285" s="202">
        <v>8</v>
      </c>
      <c r="T285" s="202">
        <v>12</v>
      </c>
      <c r="U285" s="202">
        <v>10</v>
      </c>
      <c r="V285" s="202">
        <v>9</v>
      </c>
      <c r="W285" s="202">
        <v>10</v>
      </c>
      <c r="X285" s="202">
        <v>7</v>
      </c>
      <c r="Y285" s="202">
        <v>5</v>
      </c>
      <c r="Z285" s="202">
        <v>7</v>
      </c>
      <c r="AA285" s="202">
        <v>11</v>
      </c>
      <c r="AB285" s="202">
        <v>6</v>
      </c>
      <c r="AC285" s="202">
        <v>3</v>
      </c>
      <c r="AD285" s="202">
        <v>0</v>
      </c>
      <c r="AE285" s="202">
        <v>0</v>
      </c>
      <c r="AF285" s="202">
        <v>0</v>
      </c>
      <c r="AG285" s="202">
        <v>0</v>
      </c>
      <c r="AH285" s="202">
        <v>0</v>
      </c>
      <c r="AI285" s="202">
        <v>0</v>
      </c>
      <c r="AJ285" s="202">
        <v>0</v>
      </c>
      <c r="AK285" s="202">
        <v>0</v>
      </c>
      <c r="AL285" s="202">
        <v>0</v>
      </c>
      <c r="AM285" s="202">
        <v>0</v>
      </c>
      <c r="AN285" s="202">
        <v>0</v>
      </c>
      <c r="AO285" s="202">
        <v>0</v>
      </c>
      <c r="AP285" s="202">
        <v>0</v>
      </c>
      <c r="AQ285" s="202" t="s">
        <v>2508</v>
      </c>
      <c r="AR285" s="202">
        <v>0</v>
      </c>
      <c r="AS285" s="202">
        <v>0</v>
      </c>
      <c r="AT285" s="202">
        <v>40.5</v>
      </c>
      <c r="AU285" s="202" t="s">
        <v>2510</v>
      </c>
      <c r="AV285" s="202">
        <v>8.1</v>
      </c>
      <c r="AW285"/>
      <c r="AX285"/>
      <c r="AY285"/>
    </row>
    <row r="286" spans="1:51">
      <c r="A286" s="202" t="str">
        <f t="shared" si="19"/>
        <v>李林东</v>
      </c>
      <c r="B286" s="202">
        <f>IF(C286&lt;&gt;"NA",C286,VLOOKUP(K286,Update_from_YIFIP!$X$2:$AD$174,7,FALSE))</f>
        <v>148</v>
      </c>
      <c r="C286" s="207">
        <f t="shared" si="16"/>
        <v>148</v>
      </c>
      <c r="D286" s="207">
        <f t="shared" si="17"/>
        <v>148</v>
      </c>
      <c r="E286" s="202" t="s">
        <v>2069</v>
      </c>
      <c r="F286" s="202" t="s">
        <v>2511</v>
      </c>
      <c r="G286" s="202" t="s">
        <v>2512</v>
      </c>
      <c r="H286" s="207" t="str">
        <f t="shared" si="18"/>
        <v>NA</v>
      </c>
      <c r="I286" s="202" t="s">
        <v>1929</v>
      </c>
      <c r="J286" s="202" t="s">
        <v>2507</v>
      </c>
      <c r="K286" s="202" t="s">
        <v>2514</v>
      </c>
      <c r="L286" s="202" t="s">
        <v>1364</v>
      </c>
      <c r="M286" s="202">
        <v>9</v>
      </c>
      <c r="N286" s="202">
        <v>0</v>
      </c>
      <c r="O286" s="202">
        <v>71</v>
      </c>
      <c r="P286" s="202">
        <v>9</v>
      </c>
      <c r="Q286" s="202">
        <v>7</v>
      </c>
      <c r="R286" s="202">
        <v>6</v>
      </c>
      <c r="S286" s="202">
        <v>11</v>
      </c>
      <c r="T286" s="202">
        <v>12</v>
      </c>
      <c r="U286" s="202">
        <v>7</v>
      </c>
      <c r="V286" s="202">
        <v>8</v>
      </c>
      <c r="W286" s="202">
        <v>5</v>
      </c>
      <c r="X286" s="202">
        <v>6</v>
      </c>
      <c r="Y286" s="202">
        <v>0</v>
      </c>
      <c r="Z286" s="202">
        <v>0</v>
      </c>
      <c r="AA286" s="202">
        <v>0</v>
      </c>
      <c r="AB286" s="202">
        <v>0</v>
      </c>
      <c r="AC286" s="202">
        <v>0</v>
      </c>
      <c r="AD286" s="202">
        <v>0</v>
      </c>
      <c r="AE286" s="202">
        <v>0</v>
      </c>
      <c r="AF286" s="202">
        <v>0</v>
      </c>
      <c r="AG286" s="202">
        <v>0</v>
      </c>
      <c r="AH286" s="202">
        <v>0</v>
      </c>
      <c r="AI286" s="202">
        <v>0</v>
      </c>
      <c r="AJ286" s="202">
        <v>0</v>
      </c>
      <c r="AK286" s="202">
        <v>0</v>
      </c>
      <c r="AL286" s="202">
        <v>0</v>
      </c>
      <c r="AM286" s="202">
        <v>0</v>
      </c>
      <c r="AN286" s="202">
        <v>0</v>
      </c>
      <c r="AO286" s="202">
        <v>0</v>
      </c>
      <c r="AP286" s="202">
        <v>0</v>
      </c>
      <c r="AQ286" s="202" t="s">
        <v>2513</v>
      </c>
      <c r="AR286" s="202">
        <v>0</v>
      </c>
      <c r="AS286" s="202">
        <v>0</v>
      </c>
      <c r="AT286" s="202">
        <v>25</v>
      </c>
      <c r="AU286" s="202">
        <v>0</v>
      </c>
      <c r="AV286" s="202">
        <v>5</v>
      </c>
      <c r="AW286"/>
      <c r="AX286"/>
      <c r="AY286"/>
    </row>
    <row r="287" spans="1:51">
      <c r="A287" s="202" t="str">
        <f t="shared" si="19"/>
        <v>李林东</v>
      </c>
      <c r="B287" s="202">
        <f>IF(C287&lt;&gt;"NA",C287,VLOOKUP(K287,Update_from_YIFIP!$X$2:$AD$174,7,FALSE))</f>
        <v>148</v>
      </c>
      <c r="C287" s="207">
        <f t="shared" si="16"/>
        <v>148</v>
      </c>
      <c r="D287" s="207">
        <f t="shared" si="17"/>
        <v>148</v>
      </c>
      <c r="E287" s="202" t="s">
        <v>2069</v>
      </c>
      <c r="F287" s="202" t="s">
        <v>2511</v>
      </c>
      <c r="G287" s="202" t="s">
        <v>2512</v>
      </c>
      <c r="H287" s="207" t="str">
        <f t="shared" si="18"/>
        <v>NA</v>
      </c>
      <c r="I287" s="202" t="s">
        <v>1929</v>
      </c>
      <c r="J287" s="202" t="s">
        <v>2515</v>
      </c>
      <c r="K287" s="202" t="s">
        <v>2517</v>
      </c>
      <c r="L287" s="202" t="s">
        <v>1365</v>
      </c>
      <c r="M287" s="202">
        <v>9</v>
      </c>
      <c r="N287" s="202">
        <v>0</v>
      </c>
      <c r="O287" s="202">
        <v>93</v>
      </c>
      <c r="P287" s="202">
        <v>7</v>
      </c>
      <c r="Q287" s="202">
        <v>13</v>
      </c>
      <c r="R287" s="202">
        <v>9</v>
      </c>
      <c r="S287" s="202">
        <v>12</v>
      </c>
      <c r="T287" s="202">
        <v>14</v>
      </c>
      <c r="U287" s="202">
        <v>13</v>
      </c>
      <c r="V287" s="202">
        <v>7</v>
      </c>
      <c r="W287" s="202">
        <v>8</v>
      </c>
      <c r="X287" s="202">
        <v>10</v>
      </c>
      <c r="Y287" s="202">
        <v>0</v>
      </c>
      <c r="Z287" s="202">
        <v>0</v>
      </c>
      <c r="AA287" s="202">
        <v>0</v>
      </c>
      <c r="AB287" s="202">
        <v>0</v>
      </c>
      <c r="AC287" s="202">
        <v>0</v>
      </c>
      <c r="AD287" s="202">
        <v>0</v>
      </c>
      <c r="AE287" s="202">
        <v>0</v>
      </c>
      <c r="AF287" s="202">
        <v>0</v>
      </c>
      <c r="AG287" s="202">
        <v>0</v>
      </c>
      <c r="AH287" s="202">
        <v>0</v>
      </c>
      <c r="AI287" s="202">
        <v>0</v>
      </c>
      <c r="AJ287" s="202">
        <v>0</v>
      </c>
      <c r="AK287" s="202">
        <v>0</v>
      </c>
      <c r="AL287" s="202">
        <v>0</v>
      </c>
      <c r="AM287" s="202">
        <v>0</v>
      </c>
      <c r="AN287" s="202">
        <v>0</v>
      </c>
      <c r="AO287" s="202">
        <v>0</v>
      </c>
      <c r="AP287" s="202">
        <v>0</v>
      </c>
      <c r="AQ287" s="202" t="s">
        <v>2516</v>
      </c>
      <c r="AR287" s="202">
        <v>0</v>
      </c>
      <c r="AS287" s="202">
        <v>0</v>
      </c>
      <c r="AT287" s="202">
        <v>30</v>
      </c>
      <c r="AU287" s="202">
        <v>0</v>
      </c>
      <c r="AV287" s="202">
        <v>6</v>
      </c>
      <c r="AW287"/>
      <c r="AX287"/>
      <c r="AY287"/>
    </row>
    <row r="288" spans="1:51">
      <c r="A288" s="202" t="str">
        <f t="shared" si="19"/>
        <v>李林东</v>
      </c>
      <c r="B288" s="202">
        <f>IF(C288&lt;&gt;"NA",C288,VLOOKUP(K288,Update_from_YIFIP!$X$2:$AD$174,7,FALSE))</f>
        <v>148</v>
      </c>
      <c r="C288" s="207">
        <f t="shared" si="16"/>
        <v>148</v>
      </c>
      <c r="D288" s="207">
        <f t="shared" si="17"/>
        <v>148</v>
      </c>
      <c r="E288" s="202" t="s">
        <v>2069</v>
      </c>
      <c r="F288" s="202" t="s">
        <v>2511</v>
      </c>
      <c r="G288" s="202" t="s">
        <v>2512</v>
      </c>
      <c r="H288" s="207" t="str">
        <f t="shared" si="18"/>
        <v>NA</v>
      </c>
      <c r="I288" s="202" t="s">
        <v>1929</v>
      </c>
      <c r="J288" s="202" t="s">
        <v>2515</v>
      </c>
      <c r="K288" s="202" t="s">
        <v>2509</v>
      </c>
      <c r="L288" s="202" t="s">
        <v>1366</v>
      </c>
      <c r="M288" s="202">
        <v>8</v>
      </c>
      <c r="N288" s="202">
        <v>0</v>
      </c>
      <c r="O288" s="202">
        <v>92</v>
      </c>
      <c r="P288" s="202">
        <v>9</v>
      </c>
      <c r="Q288" s="202">
        <v>12</v>
      </c>
      <c r="R288" s="202">
        <v>9</v>
      </c>
      <c r="S288" s="202">
        <v>7</v>
      </c>
      <c r="T288" s="202">
        <v>6</v>
      </c>
      <c r="U288" s="202">
        <v>26</v>
      </c>
      <c r="V288" s="202">
        <v>12</v>
      </c>
      <c r="W288" s="202">
        <v>11</v>
      </c>
      <c r="X288" s="202">
        <v>0</v>
      </c>
      <c r="Y288" s="202">
        <v>0</v>
      </c>
      <c r="Z288" s="202">
        <v>0</v>
      </c>
      <c r="AA288" s="202">
        <v>0</v>
      </c>
      <c r="AB288" s="202">
        <v>0</v>
      </c>
      <c r="AC288" s="202">
        <v>0</v>
      </c>
      <c r="AD288" s="202">
        <v>0</v>
      </c>
      <c r="AE288" s="202">
        <v>0</v>
      </c>
      <c r="AF288" s="202">
        <v>0</v>
      </c>
      <c r="AG288" s="202">
        <v>0</v>
      </c>
      <c r="AH288" s="202">
        <v>0</v>
      </c>
      <c r="AI288" s="202">
        <v>0</v>
      </c>
      <c r="AJ288" s="202">
        <v>0</v>
      </c>
      <c r="AK288" s="202">
        <v>0</v>
      </c>
      <c r="AL288" s="202">
        <v>0</v>
      </c>
      <c r="AM288" s="202">
        <v>0</v>
      </c>
      <c r="AN288" s="202">
        <v>0</v>
      </c>
      <c r="AO288" s="202">
        <v>0</v>
      </c>
      <c r="AP288" s="202">
        <v>0</v>
      </c>
      <c r="AQ288" s="202" t="s">
        <v>2516</v>
      </c>
      <c r="AR288" s="202">
        <v>0</v>
      </c>
      <c r="AS288" s="202">
        <v>0</v>
      </c>
      <c r="AT288" s="202">
        <v>25</v>
      </c>
      <c r="AU288" s="202">
        <v>0</v>
      </c>
      <c r="AV288" s="202">
        <v>5</v>
      </c>
      <c r="AW288"/>
      <c r="AX288"/>
      <c r="AY288"/>
    </row>
    <row r="289" spans="1:51">
      <c r="A289" s="202" t="str">
        <f t="shared" si="19"/>
        <v>李林东</v>
      </c>
      <c r="B289" s="202">
        <f>IF(C289&lt;&gt;"NA",C289,VLOOKUP(K289,Update_from_YIFIP!$X$2:$AD$174,7,FALSE))</f>
        <v>148</v>
      </c>
      <c r="C289" s="207">
        <f t="shared" si="16"/>
        <v>148</v>
      </c>
      <c r="D289" s="207">
        <f t="shared" si="17"/>
        <v>148</v>
      </c>
      <c r="E289" s="202" t="s">
        <v>2069</v>
      </c>
      <c r="F289" s="202" t="s">
        <v>2511</v>
      </c>
      <c r="G289" s="202" t="s">
        <v>2512</v>
      </c>
      <c r="H289" s="207" t="str">
        <f t="shared" si="18"/>
        <v>NA</v>
      </c>
      <c r="I289" s="202" t="s">
        <v>1929</v>
      </c>
      <c r="J289" s="202" t="s">
        <v>2515</v>
      </c>
      <c r="K289" s="202" t="s">
        <v>2514</v>
      </c>
      <c r="L289" s="202" t="s">
        <v>1367</v>
      </c>
      <c r="M289" s="202">
        <v>0</v>
      </c>
      <c r="N289" s="202">
        <v>19</v>
      </c>
      <c r="O289" s="202">
        <v>72</v>
      </c>
      <c r="P289" s="202">
        <v>2</v>
      </c>
      <c r="Q289" s="202">
        <v>3</v>
      </c>
      <c r="R289" s="202">
        <v>3</v>
      </c>
      <c r="S289" s="202">
        <v>3</v>
      </c>
      <c r="T289" s="202">
        <v>3</v>
      </c>
      <c r="U289" s="202">
        <v>3</v>
      </c>
      <c r="V289" s="202">
        <v>3</v>
      </c>
      <c r="W289" s="202">
        <v>3</v>
      </c>
      <c r="X289" s="202">
        <v>3</v>
      </c>
      <c r="Y289" s="202">
        <v>4</v>
      </c>
      <c r="Z289" s="202">
        <v>4</v>
      </c>
      <c r="AA289" s="202">
        <v>4</v>
      </c>
      <c r="AB289" s="202">
        <v>4</v>
      </c>
      <c r="AC289" s="202">
        <v>4</v>
      </c>
      <c r="AD289" s="202">
        <v>4</v>
      </c>
      <c r="AE289" s="202">
        <v>5</v>
      </c>
      <c r="AF289" s="202">
        <v>5</v>
      </c>
      <c r="AG289" s="202">
        <v>6</v>
      </c>
      <c r="AH289" s="202">
        <v>6</v>
      </c>
      <c r="AI289" s="202">
        <v>0</v>
      </c>
      <c r="AJ289" s="202">
        <v>0</v>
      </c>
      <c r="AK289" s="202">
        <v>0</v>
      </c>
      <c r="AL289" s="202">
        <v>0</v>
      </c>
      <c r="AM289" s="202">
        <v>0</v>
      </c>
      <c r="AN289" s="202">
        <v>0</v>
      </c>
      <c r="AO289" s="202">
        <v>0</v>
      </c>
      <c r="AP289" s="202">
        <v>0</v>
      </c>
      <c r="AQ289" s="202" t="s">
        <v>2518</v>
      </c>
      <c r="AR289" s="202">
        <v>0</v>
      </c>
      <c r="AS289" s="202">
        <v>0</v>
      </c>
      <c r="AT289" s="202">
        <v>30</v>
      </c>
      <c r="AU289" s="202">
        <v>0</v>
      </c>
      <c r="AV289" s="202">
        <v>6</v>
      </c>
      <c r="AW289"/>
      <c r="AX289"/>
      <c r="AY289"/>
    </row>
    <row r="290" spans="1:51">
      <c r="A290" s="202" t="str">
        <f t="shared" si="19"/>
        <v>钟应兴</v>
      </c>
      <c r="B290" s="202">
        <f>IF(C290&lt;&gt;"NA",C290,VLOOKUP(K290,Update_from_YIFIP!$X$2:$AD$174,7,FALSE))</f>
        <v>151</v>
      </c>
      <c r="C290" s="207">
        <f t="shared" si="16"/>
        <v>151</v>
      </c>
      <c r="D290" s="207">
        <f t="shared" si="17"/>
        <v>151</v>
      </c>
      <c r="E290" s="202" t="s">
        <v>2159</v>
      </c>
      <c r="F290" s="202" t="s">
        <v>2546</v>
      </c>
      <c r="G290" s="202" t="s">
        <v>2547</v>
      </c>
      <c r="H290" s="207" t="str">
        <f t="shared" si="18"/>
        <v>NA</v>
      </c>
      <c r="I290" s="202" t="s">
        <v>1929</v>
      </c>
      <c r="J290" s="202" t="s">
        <v>386</v>
      </c>
      <c r="K290" s="202" t="s">
        <v>2495</v>
      </c>
      <c r="L290" s="202" t="s">
        <v>1380</v>
      </c>
      <c r="M290" s="202">
        <v>5</v>
      </c>
      <c r="N290" s="202">
        <v>0</v>
      </c>
      <c r="O290" s="202">
        <v>30</v>
      </c>
      <c r="P290" s="202">
        <v>10</v>
      </c>
      <c r="Q290" s="202">
        <v>7</v>
      </c>
      <c r="R290" s="202">
        <v>3</v>
      </c>
      <c r="S290" s="202">
        <v>5</v>
      </c>
      <c r="T290" s="202">
        <v>5</v>
      </c>
      <c r="U290" s="202">
        <v>0</v>
      </c>
      <c r="V290" s="202">
        <v>0</v>
      </c>
      <c r="W290" s="202">
        <v>0</v>
      </c>
      <c r="X290" s="202">
        <v>0</v>
      </c>
      <c r="Y290" s="202">
        <v>0</v>
      </c>
      <c r="Z290" s="202">
        <v>0</v>
      </c>
      <c r="AA290" s="202">
        <v>0</v>
      </c>
      <c r="AB290" s="202">
        <v>0</v>
      </c>
      <c r="AC290" s="202">
        <v>0</v>
      </c>
      <c r="AD290" s="202">
        <v>0</v>
      </c>
      <c r="AE290" s="202">
        <v>0</v>
      </c>
      <c r="AF290" s="202">
        <v>0</v>
      </c>
      <c r="AG290" s="202">
        <v>0</v>
      </c>
      <c r="AH290" s="202">
        <v>0</v>
      </c>
      <c r="AI290" s="202">
        <v>0</v>
      </c>
      <c r="AJ290" s="202">
        <v>0</v>
      </c>
      <c r="AK290" s="202">
        <v>0</v>
      </c>
      <c r="AL290" s="202">
        <v>0</v>
      </c>
      <c r="AM290" s="202">
        <v>0</v>
      </c>
      <c r="AN290" s="202">
        <v>0</v>
      </c>
      <c r="AO290" s="202">
        <v>0</v>
      </c>
      <c r="AP290" s="202">
        <v>0</v>
      </c>
      <c r="AQ290" s="202" t="s">
        <v>2501</v>
      </c>
      <c r="AR290" s="202">
        <v>0</v>
      </c>
      <c r="AS290" s="202">
        <v>0</v>
      </c>
      <c r="AT290" s="202">
        <v>10</v>
      </c>
      <c r="AU290" s="202">
        <v>0</v>
      </c>
      <c r="AV290" s="202">
        <v>2</v>
      </c>
      <c r="AW290"/>
      <c r="AX290"/>
      <c r="AY290"/>
    </row>
    <row r="291" spans="1:51">
      <c r="A291" s="202" t="str">
        <f t="shared" si="19"/>
        <v>钟应兴</v>
      </c>
      <c r="B291" s="202">
        <f>IF(C291&lt;&gt;"NA",C291,VLOOKUP(K291,Update_from_YIFIP!$X$2:$AD$174,7,FALSE))</f>
        <v>151</v>
      </c>
      <c r="C291" s="207">
        <f t="shared" si="16"/>
        <v>151</v>
      </c>
      <c r="D291" s="207">
        <f t="shared" si="17"/>
        <v>151</v>
      </c>
      <c r="E291" s="202" t="s">
        <v>2159</v>
      </c>
      <c r="F291" s="202" t="s">
        <v>2546</v>
      </c>
      <c r="G291" s="202" t="s">
        <v>2547</v>
      </c>
      <c r="H291" s="207" t="str">
        <f t="shared" si="18"/>
        <v>NA</v>
      </c>
      <c r="I291" s="202" t="s">
        <v>1929</v>
      </c>
      <c r="J291" s="202" t="s">
        <v>386</v>
      </c>
      <c r="K291" s="202" t="s">
        <v>2494</v>
      </c>
      <c r="L291" s="202" t="s">
        <v>1381</v>
      </c>
      <c r="M291" s="202">
        <v>5</v>
      </c>
      <c r="N291" s="202">
        <v>0</v>
      </c>
      <c r="O291" s="202">
        <v>24</v>
      </c>
      <c r="P291" s="202">
        <v>5</v>
      </c>
      <c r="Q291" s="202">
        <v>4</v>
      </c>
      <c r="R291" s="202">
        <v>6</v>
      </c>
      <c r="S291" s="202">
        <v>4</v>
      </c>
      <c r="T291" s="202">
        <v>5</v>
      </c>
      <c r="U291" s="202">
        <v>0</v>
      </c>
      <c r="V291" s="202">
        <v>0</v>
      </c>
      <c r="W291" s="202">
        <v>0</v>
      </c>
      <c r="X291" s="202">
        <v>0</v>
      </c>
      <c r="Y291" s="202">
        <v>0</v>
      </c>
      <c r="Z291" s="202">
        <v>0</v>
      </c>
      <c r="AA291" s="202">
        <v>0</v>
      </c>
      <c r="AB291" s="202">
        <v>0</v>
      </c>
      <c r="AC291" s="202">
        <v>0</v>
      </c>
      <c r="AD291" s="202">
        <v>0</v>
      </c>
      <c r="AE291" s="202">
        <v>0</v>
      </c>
      <c r="AF291" s="202">
        <v>0</v>
      </c>
      <c r="AG291" s="202">
        <v>0</v>
      </c>
      <c r="AH291" s="202">
        <v>0</v>
      </c>
      <c r="AI291" s="202">
        <v>0</v>
      </c>
      <c r="AJ291" s="202">
        <v>0</v>
      </c>
      <c r="AK291" s="202">
        <v>0</v>
      </c>
      <c r="AL291" s="202">
        <v>0</v>
      </c>
      <c r="AM291" s="202">
        <v>0</v>
      </c>
      <c r="AN291" s="202">
        <v>0</v>
      </c>
      <c r="AO291" s="202">
        <v>0</v>
      </c>
      <c r="AP291" s="202">
        <v>0</v>
      </c>
      <c r="AQ291" s="202" t="s">
        <v>2501</v>
      </c>
      <c r="AR291" s="202">
        <v>0</v>
      </c>
      <c r="AS291" s="202">
        <v>0</v>
      </c>
      <c r="AT291" s="202">
        <v>5</v>
      </c>
      <c r="AU291" s="202">
        <v>0</v>
      </c>
      <c r="AV291" s="202">
        <v>1</v>
      </c>
      <c r="AW291"/>
      <c r="AX291"/>
      <c r="AY291"/>
    </row>
    <row r="292" spans="1:51">
      <c r="A292" s="202" t="str">
        <f t="shared" si="19"/>
        <v>钟应兴</v>
      </c>
      <c r="B292" s="202">
        <f>IF(C292&lt;&gt;"NA",C292,VLOOKUP(K292,Update_from_YIFIP!$X$2:$AD$174,7,FALSE))</f>
        <v>151</v>
      </c>
      <c r="C292" s="207">
        <f t="shared" si="16"/>
        <v>151</v>
      </c>
      <c r="D292" s="207">
        <f t="shared" si="17"/>
        <v>151</v>
      </c>
      <c r="E292" s="202" t="s">
        <v>2159</v>
      </c>
      <c r="F292" s="202" t="s">
        <v>2546</v>
      </c>
      <c r="G292" s="202" t="s">
        <v>2547</v>
      </c>
      <c r="H292" s="207" t="str">
        <f t="shared" si="18"/>
        <v>NA</v>
      </c>
      <c r="I292" s="202" t="s">
        <v>1929</v>
      </c>
      <c r="J292" s="202" t="s">
        <v>386</v>
      </c>
      <c r="K292" s="202" t="s">
        <v>2548</v>
      </c>
      <c r="L292" s="202" t="s">
        <v>1382</v>
      </c>
      <c r="M292" s="202">
        <v>5</v>
      </c>
      <c r="N292" s="202">
        <v>0</v>
      </c>
      <c r="O292" s="202">
        <v>34</v>
      </c>
      <c r="P292" s="202">
        <v>10</v>
      </c>
      <c r="Q292" s="202">
        <v>7</v>
      </c>
      <c r="R292" s="202">
        <v>2</v>
      </c>
      <c r="S292" s="202">
        <v>12</v>
      </c>
      <c r="T292" s="202">
        <v>3</v>
      </c>
      <c r="U292" s="202">
        <v>0</v>
      </c>
      <c r="V292" s="202">
        <v>0</v>
      </c>
      <c r="W292" s="202">
        <v>0</v>
      </c>
      <c r="X292" s="202">
        <v>0</v>
      </c>
      <c r="Y292" s="202">
        <v>0</v>
      </c>
      <c r="Z292" s="202">
        <v>0</v>
      </c>
      <c r="AA292" s="202">
        <v>0</v>
      </c>
      <c r="AB292" s="202">
        <v>0</v>
      </c>
      <c r="AC292" s="202">
        <v>0</v>
      </c>
      <c r="AD292" s="202">
        <v>0</v>
      </c>
      <c r="AE292" s="202">
        <v>0</v>
      </c>
      <c r="AF292" s="202">
        <v>0</v>
      </c>
      <c r="AG292" s="202">
        <v>0</v>
      </c>
      <c r="AH292" s="202">
        <v>0</v>
      </c>
      <c r="AI292" s="202">
        <v>0</v>
      </c>
      <c r="AJ292" s="202">
        <v>0</v>
      </c>
      <c r="AK292" s="202">
        <v>0</v>
      </c>
      <c r="AL292" s="202">
        <v>0</v>
      </c>
      <c r="AM292" s="202">
        <v>0</v>
      </c>
      <c r="AN292" s="202">
        <v>0</v>
      </c>
      <c r="AO292" s="202">
        <v>0</v>
      </c>
      <c r="AP292" s="202">
        <v>0</v>
      </c>
      <c r="AQ292" s="202" t="s">
        <v>2446</v>
      </c>
      <c r="AR292" s="202">
        <v>0</v>
      </c>
      <c r="AS292" s="202">
        <v>0</v>
      </c>
      <c r="AT292" s="202">
        <v>6</v>
      </c>
      <c r="AU292" s="202">
        <v>0</v>
      </c>
      <c r="AV292" s="202">
        <v>1.2</v>
      </c>
      <c r="AW292"/>
      <c r="AX292"/>
      <c r="AY292"/>
    </row>
    <row r="293" spans="1:51">
      <c r="A293" s="202" t="str">
        <f t="shared" si="19"/>
        <v>钟应兴</v>
      </c>
      <c r="B293" s="202">
        <f>IF(C293&lt;&gt;"NA",C293,VLOOKUP(K293,Update_from_YIFIP!$X$2:$AD$174,7,FALSE))</f>
        <v>151</v>
      </c>
      <c r="C293" s="207">
        <f t="shared" si="16"/>
        <v>151</v>
      </c>
      <c r="D293" s="207">
        <f t="shared" si="17"/>
        <v>151</v>
      </c>
      <c r="E293" s="202" t="s">
        <v>2159</v>
      </c>
      <c r="F293" s="202" t="s">
        <v>2546</v>
      </c>
      <c r="G293" s="202" t="s">
        <v>2547</v>
      </c>
      <c r="H293" s="207" t="str">
        <f t="shared" si="18"/>
        <v>NA</v>
      </c>
      <c r="I293" s="202" t="s">
        <v>1929</v>
      </c>
      <c r="J293" s="202" t="s">
        <v>386</v>
      </c>
      <c r="K293" s="202" t="s">
        <v>2497</v>
      </c>
      <c r="L293" s="202" t="s">
        <v>1383</v>
      </c>
      <c r="M293" s="202">
        <v>5</v>
      </c>
      <c r="N293" s="202">
        <v>0</v>
      </c>
      <c r="O293" s="202">
        <v>31</v>
      </c>
      <c r="P293" s="202">
        <v>12</v>
      </c>
      <c r="Q293" s="202">
        <v>7</v>
      </c>
      <c r="R293" s="202">
        <v>2</v>
      </c>
      <c r="S293" s="202">
        <v>3</v>
      </c>
      <c r="T293" s="202">
        <v>7</v>
      </c>
      <c r="U293" s="202">
        <v>0</v>
      </c>
      <c r="V293" s="202">
        <v>0</v>
      </c>
      <c r="W293" s="202">
        <v>0</v>
      </c>
      <c r="X293" s="202">
        <v>0</v>
      </c>
      <c r="Y293" s="202">
        <v>0</v>
      </c>
      <c r="Z293" s="202">
        <v>0</v>
      </c>
      <c r="AA293" s="202">
        <v>0</v>
      </c>
      <c r="AB293" s="202">
        <v>0</v>
      </c>
      <c r="AC293" s="202">
        <v>0</v>
      </c>
      <c r="AD293" s="202">
        <v>0</v>
      </c>
      <c r="AE293" s="202">
        <v>0</v>
      </c>
      <c r="AF293" s="202">
        <v>0</v>
      </c>
      <c r="AG293" s="202">
        <v>0</v>
      </c>
      <c r="AH293" s="202">
        <v>0</v>
      </c>
      <c r="AI293" s="202">
        <v>0</v>
      </c>
      <c r="AJ293" s="202">
        <v>0</v>
      </c>
      <c r="AK293" s="202">
        <v>0</v>
      </c>
      <c r="AL293" s="202">
        <v>0</v>
      </c>
      <c r="AM293" s="202">
        <v>0</v>
      </c>
      <c r="AN293" s="202">
        <v>0</v>
      </c>
      <c r="AO293" s="202">
        <v>0</v>
      </c>
      <c r="AP293" s="202">
        <v>0</v>
      </c>
      <c r="AQ293" s="202" t="s">
        <v>2446</v>
      </c>
      <c r="AR293" s="202">
        <v>0</v>
      </c>
      <c r="AS293" s="202">
        <v>0</v>
      </c>
      <c r="AT293" s="202">
        <v>7.5</v>
      </c>
      <c r="AU293" s="202">
        <v>0</v>
      </c>
      <c r="AV293" s="202">
        <v>1.5</v>
      </c>
      <c r="AW293"/>
      <c r="AX293"/>
      <c r="AY293"/>
    </row>
    <row r="294" spans="1:51">
      <c r="A294" s="202" t="str">
        <f t="shared" si="19"/>
        <v>李家平</v>
      </c>
      <c r="B294" s="202">
        <f>IF(C294&lt;&gt;"NA",C294,VLOOKUP(K294,Update_from_YIFIP!$X$2:$AD$174,7,FALSE))</f>
        <v>152</v>
      </c>
      <c r="C294" s="207">
        <f t="shared" si="16"/>
        <v>152</v>
      </c>
      <c r="D294" s="207">
        <f t="shared" si="17"/>
        <v>152</v>
      </c>
      <c r="E294" s="202" t="s">
        <v>2065</v>
      </c>
      <c r="F294" s="202" t="s">
        <v>2488</v>
      </c>
      <c r="G294" s="202" t="s">
        <v>2489</v>
      </c>
      <c r="H294" s="207" t="str">
        <f t="shared" si="18"/>
        <v>NA</v>
      </c>
      <c r="I294" s="202" t="s">
        <v>1929</v>
      </c>
      <c r="J294" s="202" t="s">
        <v>2485</v>
      </c>
      <c r="K294" s="202" t="s">
        <v>2487</v>
      </c>
      <c r="L294" s="202" t="s">
        <v>1347</v>
      </c>
      <c r="M294" s="202">
        <v>5</v>
      </c>
      <c r="N294" s="202">
        <v>0</v>
      </c>
      <c r="O294" s="202">
        <v>13</v>
      </c>
      <c r="P294" s="202">
        <v>1</v>
      </c>
      <c r="Q294" s="202">
        <v>1</v>
      </c>
      <c r="R294" s="202">
        <v>4</v>
      </c>
      <c r="S294" s="202">
        <v>4</v>
      </c>
      <c r="T294" s="202">
        <v>3</v>
      </c>
      <c r="U294" s="202">
        <v>0</v>
      </c>
      <c r="V294" s="202">
        <v>0</v>
      </c>
      <c r="W294" s="202">
        <v>0</v>
      </c>
      <c r="X294" s="202">
        <v>0</v>
      </c>
      <c r="Y294" s="202">
        <v>0</v>
      </c>
      <c r="Z294" s="202">
        <v>0</v>
      </c>
      <c r="AA294" s="202">
        <v>0</v>
      </c>
      <c r="AB294" s="202">
        <v>0</v>
      </c>
      <c r="AC294" s="202">
        <v>0</v>
      </c>
      <c r="AD294" s="202">
        <v>0</v>
      </c>
      <c r="AE294" s="202">
        <v>0</v>
      </c>
      <c r="AF294" s="202">
        <v>0</v>
      </c>
      <c r="AG294" s="202">
        <v>0</v>
      </c>
      <c r="AH294" s="202">
        <v>0</v>
      </c>
      <c r="AI294" s="202">
        <v>0</v>
      </c>
      <c r="AJ294" s="202">
        <v>0</v>
      </c>
      <c r="AK294" s="202">
        <v>0</v>
      </c>
      <c r="AL294" s="202">
        <v>0</v>
      </c>
      <c r="AM294" s="202">
        <v>0</v>
      </c>
      <c r="AN294" s="202">
        <v>0</v>
      </c>
      <c r="AO294" s="202">
        <v>0</v>
      </c>
      <c r="AP294" s="202">
        <v>0</v>
      </c>
      <c r="AQ294" s="202" t="s">
        <v>2486</v>
      </c>
      <c r="AR294" s="202">
        <v>0</v>
      </c>
      <c r="AS294" s="202">
        <v>0</v>
      </c>
      <c r="AT294" s="202">
        <v>3</v>
      </c>
      <c r="AU294" s="202">
        <v>0</v>
      </c>
      <c r="AV294" s="202">
        <v>0.6</v>
      </c>
      <c r="AW294"/>
      <c r="AX294"/>
      <c r="AY294"/>
    </row>
    <row r="295" spans="1:51">
      <c r="A295" s="202" t="str">
        <f t="shared" si="19"/>
        <v>李家平</v>
      </c>
      <c r="B295" s="202">
        <f>IF(C295&lt;&gt;"NA",C295,VLOOKUP(K295,Update_from_YIFIP!$X$2:$AD$174,7,FALSE))</f>
        <v>152</v>
      </c>
      <c r="C295" s="207">
        <f t="shared" si="16"/>
        <v>152</v>
      </c>
      <c r="D295" s="207">
        <f t="shared" si="17"/>
        <v>152</v>
      </c>
      <c r="E295" s="202" t="s">
        <v>2065</v>
      </c>
      <c r="F295" s="202" t="s">
        <v>2488</v>
      </c>
      <c r="G295" s="202" t="s">
        <v>2489</v>
      </c>
      <c r="H295" s="207" t="str">
        <f t="shared" si="18"/>
        <v>NA</v>
      </c>
      <c r="I295" s="202" t="s">
        <v>1929</v>
      </c>
      <c r="J295" s="202" t="s">
        <v>2485</v>
      </c>
      <c r="K295" s="202" t="s">
        <v>2490</v>
      </c>
      <c r="L295" s="202" t="s">
        <v>1348</v>
      </c>
      <c r="M295" s="202">
        <v>5</v>
      </c>
      <c r="N295" s="202">
        <v>0</v>
      </c>
      <c r="O295" s="202">
        <v>10</v>
      </c>
      <c r="P295" s="202">
        <v>2</v>
      </c>
      <c r="Q295" s="202">
        <v>1</v>
      </c>
      <c r="R295" s="202">
        <v>1</v>
      </c>
      <c r="S295" s="202">
        <v>2</v>
      </c>
      <c r="T295" s="202">
        <v>4</v>
      </c>
      <c r="U295" s="202">
        <v>0</v>
      </c>
      <c r="V295" s="202">
        <v>0</v>
      </c>
      <c r="W295" s="202">
        <v>0</v>
      </c>
      <c r="X295" s="202">
        <v>0</v>
      </c>
      <c r="Y295" s="202">
        <v>0</v>
      </c>
      <c r="Z295" s="202">
        <v>0</v>
      </c>
      <c r="AA295" s="202">
        <v>0</v>
      </c>
      <c r="AB295" s="202">
        <v>0</v>
      </c>
      <c r="AC295" s="202">
        <v>0</v>
      </c>
      <c r="AD295" s="202">
        <v>0</v>
      </c>
      <c r="AE295" s="202">
        <v>0</v>
      </c>
      <c r="AF295" s="202">
        <v>0</v>
      </c>
      <c r="AG295" s="202">
        <v>0</v>
      </c>
      <c r="AH295" s="202">
        <v>0</v>
      </c>
      <c r="AI295" s="202">
        <v>0</v>
      </c>
      <c r="AJ295" s="202">
        <v>0</v>
      </c>
      <c r="AK295" s="202">
        <v>0</v>
      </c>
      <c r="AL295" s="202">
        <v>0</v>
      </c>
      <c r="AM295" s="202">
        <v>0</v>
      </c>
      <c r="AN295" s="202">
        <v>0</v>
      </c>
      <c r="AO295" s="202">
        <v>0</v>
      </c>
      <c r="AP295" s="202">
        <v>0</v>
      </c>
      <c r="AQ295" s="202" t="s">
        <v>2486</v>
      </c>
      <c r="AR295" s="202">
        <v>0</v>
      </c>
      <c r="AS295" s="202">
        <v>0</v>
      </c>
      <c r="AT295" s="202">
        <v>3</v>
      </c>
      <c r="AU295" s="202">
        <v>0</v>
      </c>
      <c r="AV295" s="202">
        <v>0.6</v>
      </c>
      <c r="AW295"/>
      <c r="AX295"/>
      <c r="AY295"/>
    </row>
    <row r="296" spans="1:51">
      <c r="A296" s="202" t="str">
        <f t="shared" si="19"/>
        <v>李家平</v>
      </c>
      <c r="B296" s="202">
        <f>IF(C296&lt;&gt;"NA",C296,VLOOKUP(K296,Update_from_YIFIP!$X$2:$AD$174,7,FALSE))</f>
        <v>152</v>
      </c>
      <c r="C296" s="207">
        <f t="shared" si="16"/>
        <v>152</v>
      </c>
      <c r="D296" s="207">
        <f t="shared" si="17"/>
        <v>152</v>
      </c>
      <c r="E296" s="202" t="s">
        <v>2065</v>
      </c>
      <c r="F296" s="202" t="s">
        <v>2488</v>
      </c>
      <c r="G296" s="202" t="s">
        <v>2489</v>
      </c>
      <c r="H296" s="207" t="str">
        <f t="shared" si="18"/>
        <v>NA</v>
      </c>
      <c r="I296" s="202" t="s">
        <v>1929</v>
      </c>
      <c r="J296" s="202" t="s">
        <v>2485</v>
      </c>
      <c r="K296" s="202" t="s">
        <v>2492</v>
      </c>
      <c r="L296" s="202" t="s">
        <v>1349</v>
      </c>
      <c r="M296" s="202">
        <v>5</v>
      </c>
      <c r="N296" s="202">
        <v>0</v>
      </c>
      <c r="O296" s="202">
        <v>16</v>
      </c>
      <c r="P296" s="202">
        <v>1</v>
      </c>
      <c r="Q296" s="202">
        <v>4</v>
      </c>
      <c r="R296" s="202">
        <v>5</v>
      </c>
      <c r="S296" s="202">
        <v>5</v>
      </c>
      <c r="T296" s="202">
        <v>1</v>
      </c>
      <c r="U296" s="202">
        <v>0</v>
      </c>
      <c r="V296" s="202">
        <v>0</v>
      </c>
      <c r="W296" s="202">
        <v>0</v>
      </c>
      <c r="X296" s="202">
        <v>0</v>
      </c>
      <c r="Y296" s="202">
        <v>0</v>
      </c>
      <c r="Z296" s="202">
        <v>0</v>
      </c>
      <c r="AA296" s="202">
        <v>0</v>
      </c>
      <c r="AB296" s="202">
        <v>0</v>
      </c>
      <c r="AC296" s="202">
        <v>0</v>
      </c>
      <c r="AD296" s="202">
        <v>0</v>
      </c>
      <c r="AE296" s="202">
        <v>0</v>
      </c>
      <c r="AF296" s="202">
        <v>0</v>
      </c>
      <c r="AG296" s="202">
        <v>0</v>
      </c>
      <c r="AH296" s="202">
        <v>0</v>
      </c>
      <c r="AI296" s="202">
        <v>0</v>
      </c>
      <c r="AJ296" s="202">
        <v>0</v>
      </c>
      <c r="AK296" s="202">
        <v>0</v>
      </c>
      <c r="AL296" s="202">
        <v>0</v>
      </c>
      <c r="AM296" s="202">
        <v>0</v>
      </c>
      <c r="AN296" s="202">
        <v>0</v>
      </c>
      <c r="AO296" s="202">
        <v>0</v>
      </c>
      <c r="AP296" s="202">
        <v>0</v>
      </c>
      <c r="AQ296" s="202" t="s">
        <v>2491</v>
      </c>
      <c r="AR296" s="202">
        <v>0</v>
      </c>
      <c r="AS296" s="202">
        <v>0</v>
      </c>
      <c r="AT296" s="202">
        <v>3</v>
      </c>
      <c r="AU296" s="202">
        <v>0</v>
      </c>
      <c r="AV296" s="202">
        <v>0.6</v>
      </c>
      <c r="AW296"/>
      <c r="AX296"/>
      <c r="AY296"/>
    </row>
    <row r="297" spans="1:51">
      <c r="A297" s="202" t="str">
        <f t="shared" si="19"/>
        <v>李家平</v>
      </c>
      <c r="B297" s="202">
        <f>IF(C297&lt;&gt;"NA",C297,VLOOKUP(K297,Update_from_YIFIP!$X$2:$AD$174,7,FALSE))</f>
        <v>152</v>
      </c>
      <c r="C297" s="207">
        <f t="shared" si="16"/>
        <v>152</v>
      </c>
      <c r="D297" s="207">
        <f t="shared" si="17"/>
        <v>152</v>
      </c>
      <c r="E297" s="202" t="s">
        <v>2065</v>
      </c>
      <c r="F297" s="202" t="s">
        <v>2488</v>
      </c>
      <c r="G297" s="202" t="s">
        <v>2489</v>
      </c>
      <c r="H297" s="207" t="str">
        <f t="shared" si="18"/>
        <v>NA</v>
      </c>
      <c r="I297" s="202" t="s">
        <v>1929</v>
      </c>
      <c r="J297" s="202" t="s">
        <v>2485</v>
      </c>
      <c r="K297" s="202" t="s">
        <v>2493</v>
      </c>
      <c r="L297" s="202" t="s">
        <v>1350</v>
      </c>
      <c r="M297" s="202">
        <v>5</v>
      </c>
      <c r="N297" s="202">
        <v>0</v>
      </c>
      <c r="O297" s="202">
        <v>25</v>
      </c>
      <c r="P297" s="202">
        <v>3</v>
      </c>
      <c r="Q297" s="202">
        <v>4</v>
      </c>
      <c r="R297" s="202">
        <v>8</v>
      </c>
      <c r="S297" s="202">
        <v>5</v>
      </c>
      <c r="T297" s="202">
        <v>5</v>
      </c>
      <c r="U297" s="202">
        <v>0</v>
      </c>
      <c r="V297" s="202">
        <v>0</v>
      </c>
      <c r="W297" s="202">
        <v>0</v>
      </c>
      <c r="X297" s="202">
        <v>0</v>
      </c>
      <c r="Y297" s="202">
        <v>0</v>
      </c>
      <c r="Z297" s="202">
        <v>0</v>
      </c>
      <c r="AA297" s="202">
        <v>0</v>
      </c>
      <c r="AB297" s="202">
        <v>0</v>
      </c>
      <c r="AC297" s="202">
        <v>0</v>
      </c>
      <c r="AD297" s="202">
        <v>0</v>
      </c>
      <c r="AE297" s="202">
        <v>0</v>
      </c>
      <c r="AF297" s="202">
        <v>0</v>
      </c>
      <c r="AG297" s="202">
        <v>0</v>
      </c>
      <c r="AH297" s="202">
        <v>0</v>
      </c>
      <c r="AI297" s="202">
        <v>0</v>
      </c>
      <c r="AJ297" s="202">
        <v>0</v>
      </c>
      <c r="AK297" s="202">
        <v>0</v>
      </c>
      <c r="AL297" s="202">
        <v>0</v>
      </c>
      <c r="AM297" s="202">
        <v>0</v>
      </c>
      <c r="AN297" s="202">
        <v>0</v>
      </c>
      <c r="AO297" s="202">
        <v>0</v>
      </c>
      <c r="AP297" s="202">
        <v>0</v>
      </c>
      <c r="AQ297" s="202" t="s">
        <v>2491</v>
      </c>
      <c r="AR297" s="202">
        <v>0</v>
      </c>
      <c r="AS297" s="202">
        <v>0</v>
      </c>
      <c r="AT297" s="202">
        <v>6</v>
      </c>
      <c r="AU297" s="202">
        <v>0</v>
      </c>
      <c r="AV297" s="202">
        <v>1.2</v>
      </c>
      <c r="AW297"/>
      <c r="AX297"/>
      <c r="AY297"/>
    </row>
    <row r="298" spans="1:51">
      <c r="A298" s="202" t="str">
        <f t="shared" si="19"/>
        <v>李家平</v>
      </c>
      <c r="B298" s="202">
        <f>IF(C298&lt;&gt;"NA",C298,VLOOKUP(K298,Update_from_YIFIP!$X$2:$AD$174,7,FALSE))</f>
        <v>152</v>
      </c>
      <c r="C298" s="207">
        <f t="shared" si="16"/>
        <v>152</v>
      </c>
      <c r="D298" s="207">
        <f t="shared" si="17"/>
        <v>152</v>
      </c>
      <c r="E298" s="202" t="s">
        <v>2065</v>
      </c>
      <c r="F298" s="202" t="s">
        <v>2488</v>
      </c>
      <c r="G298" s="202" t="s">
        <v>2489</v>
      </c>
      <c r="H298" s="207" t="str">
        <f t="shared" si="18"/>
        <v>NA</v>
      </c>
      <c r="I298" s="202" t="s">
        <v>1929</v>
      </c>
      <c r="J298" s="202" t="s">
        <v>1929</v>
      </c>
      <c r="K298" s="202">
        <v>0</v>
      </c>
      <c r="L298" s="202" t="s">
        <v>1351</v>
      </c>
      <c r="M298" s="202">
        <v>0</v>
      </c>
      <c r="N298" s="202">
        <v>7</v>
      </c>
      <c r="O298" s="202">
        <v>17</v>
      </c>
      <c r="P298" s="202">
        <v>1</v>
      </c>
      <c r="Q298" s="202">
        <v>1</v>
      </c>
      <c r="R298" s="202">
        <v>2</v>
      </c>
      <c r="S298" s="202">
        <v>2</v>
      </c>
      <c r="T298" s="202">
        <v>3</v>
      </c>
      <c r="U298" s="202">
        <v>4</v>
      </c>
      <c r="V298" s="202">
        <v>4</v>
      </c>
      <c r="W298" s="202">
        <v>0</v>
      </c>
      <c r="X298" s="202">
        <v>0</v>
      </c>
      <c r="Y298" s="202">
        <v>0</v>
      </c>
      <c r="Z298" s="202">
        <v>0</v>
      </c>
      <c r="AA298" s="202">
        <v>0</v>
      </c>
      <c r="AB298" s="202">
        <v>0</v>
      </c>
      <c r="AC298" s="202">
        <v>0</v>
      </c>
      <c r="AD298" s="202">
        <v>0</v>
      </c>
      <c r="AE298" s="202">
        <v>0</v>
      </c>
      <c r="AF298" s="202">
        <v>0</v>
      </c>
      <c r="AG298" s="202">
        <v>0</v>
      </c>
      <c r="AH298" s="202">
        <v>0</v>
      </c>
      <c r="AI298" s="202">
        <v>0</v>
      </c>
      <c r="AJ298" s="202">
        <v>0</v>
      </c>
      <c r="AK298" s="202">
        <v>0</v>
      </c>
      <c r="AL298" s="202">
        <v>0</v>
      </c>
      <c r="AM298" s="202">
        <v>0</v>
      </c>
      <c r="AN298" s="202">
        <v>0</v>
      </c>
      <c r="AO298" s="202">
        <v>0</v>
      </c>
      <c r="AP298" s="202">
        <v>0</v>
      </c>
      <c r="AQ298" s="202" t="s">
        <v>1929</v>
      </c>
      <c r="AR298" s="202">
        <v>0</v>
      </c>
      <c r="AS298" s="202">
        <v>0</v>
      </c>
      <c r="AT298" s="202">
        <v>3</v>
      </c>
      <c r="AU298" s="202">
        <v>0</v>
      </c>
      <c r="AV298" s="202">
        <v>0.6</v>
      </c>
      <c r="AW298"/>
      <c r="AX298"/>
      <c r="AY298"/>
    </row>
    <row r="299" spans="1:51">
      <c r="A299" s="202" t="str">
        <f t="shared" si="19"/>
        <v>李家平</v>
      </c>
      <c r="B299" s="202">
        <f>IF(C299&lt;&gt;"NA",C299,VLOOKUP(K299,Update_from_YIFIP!$X$2:$AD$174,7,FALSE))</f>
        <v>152</v>
      </c>
      <c r="C299" s="207">
        <f t="shared" si="16"/>
        <v>152</v>
      </c>
      <c r="D299" s="207">
        <f t="shared" si="17"/>
        <v>152</v>
      </c>
      <c r="E299" s="202" t="s">
        <v>2065</v>
      </c>
      <c r="F299" s="202" t="s">
        <v>2488</v>
      </c>
      <c r="G299" s="202" t="s">
        <v>2489</v>
      </c>
      <c r="H299" s="207" t="str">
        <f t="shared" si="18"/>
        <v>NA</v>
      </c>
      <c r="I299" s="202" t="s">
        <v>1929</v>
      </c>
      <c r="J299" s="202" t="s">
        <v>2485</v>
      </c>
      <c r="K299" s="202" t="s">
        <v>2494</v>
      </c>
      <c r="L299" s="202" t="s">
        <v>1352</v>
      </c>
      <c r="M299" s="202">
        <v>4</v>
      </c>
      <c r="N299" s="202">
        <v>0</v>
      </c>
      <c r="O299" s="202">
        <v>16</v>
      </c>
      <c r="P299" s="202">
        <v>3</v>
      </c>
      <c r="Q299" s="202">
        <v>5</v>
      </c>
      <c r="R299" s="202">
        <v>4</v>
      </c>
      <c r="S299" s="202">
        <v>4</v>
      </c>
      <c r="T299" s="202">
        <v>0</v>
      </c>
      <c r="U299" s="202">
        <v>0</v>
      </c>
      <c r="V299" s="202">
        <v>0</v>
      </c>
      <c r="W299" s="202">
        <v>0</v>
      </c>
      <c r="X299" s="202">
        <v>0</v>
      </c>
      <c r="Y299" s="202">
        <v>0</v>
      </c>
      <c r="Z299" s="202">
        <v>0</v>
      </c>
      <c r="AA299" s="202">
        <v>0</v>
      </c>
      <c r="AB299" s="202">
        <v>0</v>
      </c>
      <c r="AC299" s="202">
        <v>0</v>
      </c>
      <c r="AD299" s="202">
        <v>0</v>
      </c>
      <c r="AE299" s="202">
        <v>0</v>
      </c>
      <c r="AF299" s="202">
        <v>0</v>
      </c>
      <c r="AG299" s="202">
        <v>0</v>
      </c>
      <c r="AH299" s="202">
        <v>0</v>
      </c>
      <c r="AI299" s="202">
        <v>0</v>
      </c>
      <c r="AJ299" s="202">
        <v>0</v>
      </c>
      <c r="AK299" s="202">
        <v>0</v>
      </c>
      <c r="AL299" s="202">
        <v>0</v>
      </c>
      <c r="AM299" s="202">
        <v>0</v>
      </c>
      <c r="AN299" s="202">
        <v>0</v>
      </c>
      <c r="AO299" s="202">
        <v>0</v>
      </c>
      <c r="AP299" s="202">
        <v>0</v>
      </c>
      <c r="AQ299" s="202" t="s">
        <v>2454</v>
      </c>
      <c r="AR299" s="202">
        <v>0</v>
      </c>
      <c r="AS299" s="202">
        <v>0</v>
      </c>
      <c r="AT299" s="202">
        <v>3</v>
      </c>
      <c r="AU299" s="202">
        <v>0</v>
      </c>
      <c r="AV299" s="202">
        <v>0.6</v>
      </c>
      <c r="AW299"/>
      <c r="AX299"/>
      <c r="AY299"/>
    </row>
    <row r="300" spans="1:51">
      <c r="A300" s="202" t="str">
        <f t="shared" si="19"/>
        <v>李家平</v>
      </c>
      <c r="B300" s="202">
        <f>IF(C300&lt;&gt;"NA",C300,VLOOKUP(K300,Update_from_YIFIP!$X$2:$AD$174,7,FALSE))</f>
        <v>152</v>
      </c>
      <c r="C300" s="207">
        <f t="shared" si="16"/>
        <v>152</v>
      </c>
      <c r="D300" s="207">
        <f t="shared" si="17"/>
        <v>152</v>
      </c>
      <c r="E300" s="202" t="s">
        <v>2065</v>
      </c>
      <c r="F300" s="202" t="s">
        <v>2488</v>
      </c>
      <c r="G300" s="202" t="s">
        <v>2489</v>
      </c>
      <c r="H300" s="207" t="str">
        <f t="shared" si="18"/>
        <v>NA</v>
      </c>
      <c r="I300" s="202" t="s">
        <v>1929</v>
      </c>
      <c r="J300" s="202" t="s">
        <v>2485</v>
      </c>
      <c r="K300" s="202" t="s">
        <v>2495</v>
      </c>
      <c r="L300" s="202" t="s">
        <v>1353</v>
      </c>
      <c r="M300" s="202">
        <v>4</v>
      </c>
      <c r="N300" s="202">
        <v>0</v>
      </c>
      <c r="O300" s="202">
        <v>37</v>
      </c>
      <c r="P300" s="202">
        <v>11</v>
      </c>
      <c r="Q300" s="202">
        <v>5</v>
      </c>
      <c r="R300" s="202">
        <v>9</v>
      </c>
      <c r="S300" s="202">
        <v>12</v>
      </c>
      <c r="T300" s="202">
        <v>0</v>
      </c>
      <c r="U300" s="202">
        <v>0</v>
      </c>
      <c r="V300" s="202">
        <v>0</v>
      </c>
      <c r="W300" s="202">
        <v>0</v>
      </c>
      <c r="X300" s="202">
        <v>0</v>
      </c>
      <c r="Y300" s="202">
        <v>0</v>
      </c>
      <c r="Z300" s="202">
        <v>0</v>
      </c>
      <c r="AA300" s="202">
        <v>0</v>
      </c>
      <c r="AB300" s="202">
        <v>0</v>
      </c>
      <c r="AC300" s="202">
        <v>0</v>
      </c>
      <c r="AD300" s="202">
        <v>0</v>
      </c>
      <c r="AE300" s="202">
        <v>0</v>
      </c>
      <c r="AF300" s="202">
        <v>0</v>
      </c>
      <c r="AG300" s="202">
        <v>0</v>
      </c>
      <c r="AH300" s="202">
        <v>0</v>
      </c>
      <c r="AI300" s="202">
        <v>0</v>
      </c>
      <c r="AJ300" s="202">
        <v>0</v>
      </c>
      <c r="AK300" s="202">
        <v>0</v>
      </c>
      <c r="AL300" s="202">
        <v>0</v>
      </c>
      <c r="AM300" s="202">
        <v>0</v>
      </c>
      <c r="AN300" s="202">
        <v>0</v>
      </c>
      <c r="AO300" s="202">
        <v>0</v>
      </c>
      <c r="AP300" s="202">
        <v>0</v>
      </c>
      <c r="AQ300" s="202" t="s">
        <v>2454</v>
      </c>
      <c r="AR300" s="202">
        <v>0</v>
      </c>
      <c r="AS300" s="202">
        <v>0</v>
      </c>
      <c r="AT300" s="202">
        <v>5</v>
      </c>
      <c r="AU300" s="202">
        <v>0</v>
      </c>
      <c r="AV300" s="202">
        <v>1</v>
      </c>
      <c r="AW300"/>
      <c r="AX300"/>
      <c r="AY300"/>
    </row>
    <row r="301" spans="1:51">
      <c r="A301" s="202" t="str">
        <f t="shared" si="19"/>
        <v>李家平</v>
      </c>
      <c r="B301" s="202">
        <f>IF(C301&lt;&gt;"NA",C301,VLOOKUP(K301,Update_from_YIFIP!$X$2:$AD$174,7,FALSE))</f>
        <v>152</v>
      </c>
      <c r="C301" s="207">
        <f t="shared" si="16"/>
        <v>152</v>
      </c>
      <c r="D301" s="207">
        <f t="shared" si="17"/>
        <v>152</v>
      </c>
      <c r="E301" s="202" t="s">
        <v>2065</v>
      </c>
      <c r="F301" s="202" t="s">
        <v>2488</v>
      </c>
      <c r="G301" s="202" t="s">
        <v>2489</v>
      </c>
      <c r="H301" s="207" t="str">
        <f t="shared" si="18"/>
        <v>NA</v>
      </c>
      <c r="I301" s="202" t="s">
        <v>1929</v>
      </c>
      <c r="J301" s="202" t="s">
        <v>2485</v>
      </c>
      <c r="K301" s="202" t="s">
        <v>2496</v>
      </c>
      <c r="L301" s="202" t="s">
        <v>1354</v>
      </c>
      <c r="M301" s="202">
        <v>6</v>
      </c>
      <c r="N301" s="202">
        <v>0</v>
      </c>
      <c r="O301" s="202">
        <v>49</v>
      </c>
      <c r="P301" s="202">
        <v>7</v>
      </c>
      <c r="Q301" s="202">
        <v>12</v>
      </c>
      <c r="R301" s="202">
        <v>7</v>
      </c>
      <c r="S301" s="202">
        <v>10</v>
      </c>
      <c r="T301" s="202">
        <v>7</v>
      </c>
      <c r="U301" s="202">
        <v>6</v>
      </c>
      <c r="V301" s="202">
        <v>0</v>
      </c>
      <c r="W301" s="202">
        <v>0</v>
      </c>
      <c r="X301" s="202">
        <v>0</v>
      </c>
      <c r="Y301" s="202">
        <v>0</v>
      </c>
      <c r="Z301" s="202">
        <v>0</v>
      </c>
      <c r="AA301" s="202">
        <v>0</v>
      </c>
      <c r="AB301" s="202">
        <v>0</v>
      </c>
      <c r="AC301" s="202">
        <v>0</v>
      </c>
      <c r="AD301" s="202">
        <v>0</v>
      </c>
      <c r="AE301" s="202">
        <v>0</v>
      </c>
      <c r="AF301" s="202">
        <v>0</v>
      </c>
      <c r="AG301" s="202">
        <v>0</v>
      </c>
      <c r="AH301" s="202">
        <v>0</v>
      </c>
      <c r="AI301" s="202">
        <v>0</v>
      </c>
      <c r="AJ301" s="202">
        <v>0</v>
      </c>
      <c r="AK301" s="202">
        <v>0</v>
      </c>
      <c r="AL301" s="202">
        <v>0</v>
      </c>
      <c r="AM301" s="202">
        <v>0</v>
      </c>
      <c r="AN301" s="202">
        <v>0</v>
      </c>
      <c r="AO301" s="202">
        <v>0</v>
      </c>
      <c r="AP301" s="202">
        <v>0</v>
      </c>
      <c r="AQ301" s="202" t="s">
        <v>2456</v>
      </c>
      <c r="AR301" s="202">
        <v>0</v>
      </c>
      <c r="AS301" s="202">
        <v>0</v>
      </c>
      <c r="AT301" s="202">
        <v>7.5</v>
      </c>
      <c r="AU301" s="202">
        <v>0</v>
      </c>
      <c r="AV301" s="202">
        <v>1.5</v>
      </c>
      <c r="AW301"/>
      <c r="AX301"/>
      <c r="AY301"/>
    </row>
    <row r="302" spans="1:51">
      <c r="A302" s="202" t="str">
        <f t="shared" si="19"/>
        <v>李家平</v>
      </c>
      <c r="B302" s="202">
        <f>IF(C302&lt;&gt;"NA",C302,VLOOKUP(K302,Update_from_YIFIP!$X$2:$AD$174,7,FALSE))</f>
        <v>152</v>
      </c>
      <c r="C302" s="207">
        <f t="shared" si="16"/>
        <v>152</v>
      </c>
      <c r="D302" s="207">
        <f t="shared" si="17"/>
        <v>152</v>
      </c>
      <c r="E302" s="202" t="s">
        <v>2065</v>
      </c>
      <c r="F302" s="202" t="s">
        <v>2488</v>
      </c>
      <c r="G302" s="202" t="s">
        <v>2489</v>
      </c>
      <c r="H302" s="207" t="str">
        <f t="shared" si="18"/>
        <v>NA</v>
      </c>
      <c r="I302" s="202" t="s">
        <v>1929</v>
      </c>
      <c r="J302" s="202" t="s">
        <v>2485</v>
      </c>
      <c r="K302" s="202" t="s">
        <v>2497</v>
      </c>
      <c r="L302" s="202" t="s">
        <v>1355</v>
      </c>
      <c r="M302" s="202">
        <v>6</v>
      </c>
      <c r="N302" s="202">
        <v>0</v>
      </c>
      <c r="O302" s="202">
        <v>45</v>
      </c>
      <c r="P302" s="202">
        <v>8</v>
      </c>
      <c r="Q302" s="202">
        <v>7</v>
      </c>
      <c r="R302" s="202">
        <v>8</v>
      </c>
      <c r="S302" s="202">
        <v>8</v>
      </c>
      <c r="T302" s="202">
        <v>10</v>
      </c>
      <c r="U302" s="202">
        <v>4</v>
      </c>
      <c r="V302" s="202">
        <v>0</v>
      </c>
      <c r="W302" s="202">
        <v>0</v>
      </c>
      <c r="X302" s="202">
        <v>0</v>
      </c>
      <c r="Y302" s="202">
        <v>0</v>
      </c>
      <c r="Z302" s="202">
        <v>0</v>
      </c>
      <c r="AA302" s="202">
        <v>0</v>
      </c>
      <c r="AB302" s="202">
        <v>0</v>
      </c>
      <c r="AC302" s="202">
        <v>0</v>
      </c>
      <c r="AD302" s="202">
        <v>0</v>
      </c>
      <c r="AE302" s="202">
        <v>0</v>
      </c>
      <c r="AF302" s="202">
        <v>0</v>
      </c>
      <c r="AG302" s="202">
        <v>0</v>
      </c>
      <c r="AH302" s="202">
        <v>0</v>
      </c>
      <c r="AI302" s="202">
        <v>0</v>
      </c>
      <c r="AJ302" s="202">
        <v>0</v>
      </c>
      <c r="AK302" s="202">
        <v>0</v>
      </c>
      <c r="AL302" s="202">
        <v>0</v>
      </c>
      <c r="AM302" s="202">
        <v>0</v>
      </c>
      <c r="AN302" s="202">
        <v>0</v>
      </c>
      <c r="AO302" s="202">
        <v>0</v>
      </c>
      <c r="AP302" s="202">
        <v>0</v>
      </c>
      <c r="AQ302" s="202" t="s">
        <v>2456</v>
      </c>
      <c r="AR302" s="202">
        <v>0</v>
      </c>
      <c r="AS302" s="202">
        <v>0</v>
      </c>
      <c r="AT302" s="202">
        <v>6</v>
      </c>
      <c r="AU302" s="202">
        <v>0</v>
      </c>
      <c r="AV302" s="202">
        <v>1.2</v>
      </c>
      <c r="AW302"/>
      <c r="AX302"/>
      <c r="AY302"/>
    </row>
    <row r="303" spans="1:51">
      <c r="A303" s="202" t="str">
        <f t="shared" si="19"/>
        <v>李文顺</v>
      </c>
      <c r="B303" s="202">
        <f>IF(C303&lt;&gt;"NA",C303,VLOOKUP(K303,Update_from_YIFIP!$X$2:$AD$174,7,FALSE))</f>
        <v>153</v>
      </c>
      <c r="C303" s="207">
        <f t="shared" si="16"/>
        <v>153</v>
      </c>
      <c r="D303" s="207">
        <f t="shared" si="17"/>
        <v>153</v>
      </c>
      <c r="E303" s="202" t="s">
        <v>2081</v>
      </c>
      <c r="F303" s="202" t="s">
        <v>2559</v>
      </c>
      <c r="G303" s="202" t="s">
        <v>2560</v>
      </c>
      <c r="H303" s="207" t="str">
        <f t="shared" si="18"/>
        <v>NA</v>
      </c>
      <c r="I303" s="202" t="s">
        <v>1929</v>
      </c>
      <c r="J303" s="202" t="s">
        <v>427</v>
      </c>
      <c r="K303" s="202" t="s">
        <v>2558</v>
      </c>
      <c r="L303" s="202" t="s">
        <v>1388</v>
      </c>
      <c r="M303" s="202">
        <v>2</v>
      </c>
      <c r="N303" s="202">
        <v>0</v>
      </c>
      <c r="O303" s="202">
        <v>25</v>
      </c>
      <c r="P303" s="202">
        <v>12</v>
      </c>
      <c r="Q303" s="202">
        <v>13</v>
      </c>
      <c r="R303" s="202">
        <v>0</v>
      </c>
      <c r="S303" s="202">
        <v>0</v>
      </c>
      <c r="T303" s="202">
        <v>0</v>
      </c>
      <c r="U303" s="202">
        <v>0</v>
      </c>
      <c r="V303" s="202">
        <v>0</v>
      </c>
      <c r="W303" s="202">
        <v>0</v>
      </c>
      <c r="X303" s="202">
        <v>0</v>
      </c>
      <c r="Y303" s="202">
        <v>0</v>
      </c>
      <c r="Z303" s="202">
        <v>0</v>
      </c>
      <c r="AA303" s="202">
        <v>0</v>
      </c>
      <c r="AB303" s="202">
        <v>0</v>
      </c>
      <c r="AC303" s="202">
        <v>0</v>
      </c>
      <c r="AD303" s="202">
        <v>0</v>
      </c>
      <c r="AE303" s="202">
        <v>0</v>
      </c>
      <c r="AF303" s="202">
        <v>0</v>
      </c>
      <c r="AG303" s="202">
        <v>0</v>
      </c>
      <c r="AH303" s="202">
        <v>0</v>
      </c>
      <c r="AI303" s="202">
        <v>0</v>
      </c>
      <c r="AJ303" s="202">
        <v>0</v>
      </c>
      <c r="AK303" s="202">
        <v>0</v>
      </c>
      <c r="AL303" s="202">
        <v>0</v>
      </c>
      <c r="AM303" s="202">
        <v>0</v>
      </c>
      <c r="AN303" s="202">
        <v>0</v>
      </c>
      <c r="AO303" s="202">
        <v>0</v>
      </c>
      <c r="AP303" s="202">
        <v>0</v>
      </c>
      <c r="AQ303" s="202" t="s">
        <v>2557</v>
      </c>
      <c r="AR303" s="202">
        <v>0</v>
      </c>
      <c r="AS303" s="202">
        <v>0</v>
      </c>
      <c r="AT303" s="202">
        <v>6</v>
      </c>
      <c r="AU303" s="202">
        <v>0</v>
      </c>
      <c r="AV303" s="202">
        <v>1.2</v>
      </c>
      <c r="AW303"/>
      <c r="AX303"/>
      <c r="AY303"/>
    </row>
    <row r="304" spans="1:51">
      <c r="A304" s="202" t="str">
        <f t="shared" si="19"/>
        <v>李文顺</v>
      </c>
      <c r="B304" s="202">
        <f>IF(C304&lt;&gt;"NA",C304,VLOOKUP(K304,Update_from_YIFIP!$X$2:$AD$174,7,FALSE))</f>
        <v>153</v>
      </c>
      <c r="C304" s="207">
        <f t="shared" si="16"/>
        <v>153</v>
      </c>
      <c r="D304" s="207">
        <f t="shared" si="17"/>
        <v>153</v>
      </c>
      <c r="E304" s="202" t="s">
        <v>2081</v>
      </c>
      <c r="F304" s="202" t="s">
        <v>2559</v>
      </c>
      <c r="G304" s="202" t="s">
        <v>2560</v>
      </c>
      <c r="H304" s="207" t="str">
        <f t="shared" si="18"/>
        <v>NA</v>
      </c>
      <c r="I304" s="202" t="s">
        <v>1929</v>
      </c>
      <c r="J304" s="202" t="s">
        <v>427</v>
      </c>
      <c r="K304" s="202" t="s">
        <v>2561</v>
      </c>
      <c r="L304" s="202" t="s">
        <v>1389</v>
      </c>
      <c r="M304" s="202">
        <v>3</v>
      </c>
      <c r="N304" s="202">
        <v>0</v>
      </c>
      <c r="O304" s="202">
        <v>29</v>
      </c>
      <c r="P304" s="202">
        <v>8</v>
      </c>
      <c r="Q304" s="202">
        <v>9</v>
      </c>
      <c r="R304" s="202">
        <v>12</v>
      </c>
      <c r="S304" s="202">
        <v>0</v>
      </c>
      <c r="T304" s="202">
        <v>0</v>
      </c>
      <c r="U304" s="202">
        <v>0</v>
      </c>
      <c r="V304" s="202">
        <v>0</v>
      </c>
      <c r="W304" s="202">
        <v>0</v>
      </c>
      <c r="X304" s="202">
        <v>0</v>
      </c>
      <c r="Y304" s="202">
        <v>0</v>
      </c>
      <c r="Z304" s="202">
        <v>0</v>
      </c>
      <c r="AA304" s="202">
        <v>0</v>
      </c>
      <c r="AB304" s="202">
        <v>0</v>
      </c>
      <c r="AC304" s="202">
        <v>0</v>
      </c>
      <c r="AD304" s="202">
        <v>0</v>
      </c>
      <c r="AE304" s="202">
        <v>0</v>
      </c>
      <c r="AF304" s="202">
        <v>0</v>
      </c>
      <c r="AG304" s="202">
        <v>0</v>
      </c>
      <c r="AH304" s="202">
        <v>0</v>
      </c>
      <c r="AI304" s="202">
        <v>0</v>
      </c>
      <c r="AJ304" s="202">
        <v>0</v>
      </c>
      <c r="AK304" s="202">
        <v>0</v>
      </c>
      <c r="AL304" s="202">
        <v>0</v>
      </c>
      <c r="AM304" s="202">
        <v>0</v>
      </c>
      <c r="AN304" s="202">
        <v>0</v>
      </c>
      <c r="AO304" s="202">
        <v>0</v>
      </c>
      <c r="AP304" s="202">
        <v>0</v>
      </c>
      <c r="AQ304" s="202" t="s">
        <v>2557</v>
      </c>
      <c r="AR304" s="202">
        <v>0</v>
      </c>
      <c r="AS304" s="202">
        <v>0</v>
      </c>
      <c r="AT304" s="202">
        <v>6</v>
      </c>
      <c r="AU304" s="202">
        <v>0</v>
      </c>
      <c r="AV304" s="202">
        <v>1.2</v>
      </c>
      <c r="AW304"/>
      <c r="AX304"/>
      <c r="AY304"/>
    </row>
    <row r="305" spans="1:51">
      <c r="A305" s="202" t="str">
        <f t="shared" si="19"/>
        <v>李文顺</v>
      </c>
      <c r="B305" s="202">
        <f>IF(C305&lt;&gt;"NA",C305,VLOOKUP(K305,Update_from_YIFIP!$X$2:$AD$174,7,FALSE))</f>
        <v>153</v>
      </c>
      <c r="C305" s="207">
        <f t="shared" si="16"/>
        <v>153</v>
      </c>
      <c r="D305" s="207">
        <f t="shared" si="17"/>
        <v>153</v>
      </c>
      <c r="E305" s="202" t="s">
        <v>2081</v>
      </c>
      <c r="F305" s="202" t="s">
        <v>2559</v>
      </c>
      <c r="G305" s="202" t="s">
        <v>2560</v>
      </c>
      <c r="H305" s="207" t="str">
        <f t="shared" si="18"/>
        <v>NA</v>
      </c>
      <c r="I305" s="202" t="s">
        <v>1929</v>
      </c>
      <c r="J305" s="202" t="s">
        <v>427</v>
      </c>
      <c r="K305" s="202" t="s">
        <v>2553</v>
      </c>
      <c r="L305" s="202" t="s">
        <v>1390</v>
      </c>
      <c r="M305" s="202">
        <v>2</v>
      </c>
      <c r="N305" s="202">
        <v>0</v>
      </c>
      <c r="O305" s="202">
        <v>39</v>
      </c>
      <c r="P305" s="202">
        <v>26</v>
      </c>
      <c r="Q305" s="202">
        <v>13</v>
      </c>
      <c r="R305" s="202">
        <v>0</v>
      </c>
      <c r="S305" s="202">
        <v>0</v>
      </c>
      <c r="T305" s="202">
        <v>0</v>
      </c>
      <c r="U305" s="202">
        <v>0</v>
      </c>
      <c r="V305" s="202">
        <v>0</v>
      </c>
      <c r="W305" s="202">
        <v>0</v>
      </c>
      <c r="X305" s="202">
        <v>0</v>
      </c>
      <c r="Y305" s="202">
        <v>0</v>
      </c>
      <c r="Z305" s="202">
        <v>0</v>
      </c>
      <c r="AA305" s="202">
        <v>0</v>
      </c>
      <c r="AB305" s="202">
        <v>0</v>
      </c>
      <c r="AC305" s="202">
        <v>0</v>
      </c>
      <c r="AD305" s="202">
        <v>0</v>
      </c>
      <c r="AE305" s="202">
        <v>0</v>
      </c>
      <c r="AF305" s="202">
        <v>0</v>
      </c>
      <c r="AG305" s="202">
        <v>0</v>
      </c>
      <c r="AH305" s="202">
        <v>0</v>
      </c>
      <c r="AI305" s="202">
        <v>0</v>
      </c>
      <c r="AJ305" s="202">
        <v>0</v>
      </c>
      <c r="AK305" s="202">
        <v>0</v>
      </c>
      <c r="AL305" s="202">
        <v>0</v>
      </c>
      <c r="AM305" s="202">
        <v>0</v>
      </c>
      <c r="AN305" s="202">
        <v>0</v>
      </c>
      <c r="AO305" s="202">
        <v>0</v>
      </c>
      <c r="AP305" s="202">
        <v>0</v>
      </c>
      <c r="AQ305" s="202" t="s">
        <v>2562</v>
      </c>
      <c r="AR305" s="202">
        <v>0</v>
      </c>
      <c r="AS305" s="202">
        <v>0</v>
      </c>
      <c r="AT305" s="202">
        <v>7.5</v>
      </c>
      <c r="AU305" s="202">
        <v>0</v>
      </c>
      <c r="AV305" s="202">
        <v>1.5</v>
      </c>
      <c r="AW305"/>
      <c r="AX305"/>
      <c r="AY305"/>
    </row>
    <row r="306" spans="1:51">
      <c r="A306" s="202" t="str">
        <f t="shared" si="19"/>
        <v>李文顺</v>
      </c>
      <c r="B306" s="202">
        <f>IF(C306&lt;&gt;"NA",C306,VLOOKUP(K306,Update_from_YIFIP!$X$2:$AD$174,7,FALSE))</f>
        <v>153</v>
      </c>
      <c r="C306" s="207">
        <f t="shared" si="16"/>
        <v>153</v>
      </c>
      <c r="D306" s="207">
        <f t="shared" si="17"/>
        <v>153</v>
      </c>
      <c r="E306" s="202" t="s">
        <v>2081</v>
      </c>
      <c r="F306" s="202" t="s">
        <v>2559</v>
      </c>
      <c r="G306" s="202" t="s">
        <v>2560</v>
      </c>
      <c r="H306" s="207" t="str">
        <f t="shared" si="18"/>
        <v>NA</v>
      </c>
      <c r="I306" s="202" t="s">
        <v>1929</v>
      </c>
      <c r="J306" s="202" t="s">
        <v>427</v>
      </c>
      <c r="K306" s="202" t="s">
        <v>2563</v>
      </c>
      <c r="L306" s="202" t="s">
        <v>1391</v>
      </c>
      <c r="M306" s="202">
        <v>3</v>
      </c>
      <c r="N306" s="202">
        <v>0</v>
      </c>
      <c r="O306" s="202">
        <v>43</v>
      </c>
      <c r="P306" s="202">
        <v>12</v>
      </c>
      <c r="Q306" s="202">
        <v>12</v>
      </c>
      <c r="R306" s="202">
        <v>19</v>
      </c>
      <c r="S306" s="202">
        <v>0</v>
      </c>
      <c r="T306" s="202">
        <v>0</v>
      </c>
      <c r="U306" s="202">
        <v>0</v>
      </c>
      <c r="V306" s="202">
        <v>0</v>
      </c>
      <c r="W306" s="202">
        <v>0</v>
      </c>
      <c r="X306" s="202">
        <v>0</v>
      </c>
      <c r="Y306" s="202">
        <v>0</v>
      </c>
      <c r="Z306" s="202">
        <v>0</v>
      </c>
      <c r="AA306" s="202">
        <v>0</v>
      </c>
      <c r="AB306" s="202">
        <v>0</v>
      </c>
      <c r="AC306" s="202">
        <v>0</v>
      </c>
      <c r="AD306" s="202">
        <v>0</v>
      </c>
      <c r="AE306" s="202">
        <v>0</v>
      </c>
      <c r="AF306" s="202">
        <v>0</v>
      </c>
      <c r="AG306" s="202">
        <v>0</v>
      </c>
      <c r="AH306" s="202">
        <v>0</v>
      </c>
      <c r="AI306" s="202">
        <v>0</v>
      </c>
      <c r="AJ306" s="202">
        <v>0</v>
      </c>
      <c r="AK306" s="202">
        <v>0</v>
      </c>
      <c r="AL306" s="202">
        <v>0</v>
      </c>
      <c r="AM306" s="202">
        <v>0</v>
      </c>
      <c r="AN306" s="202">
        <v>0</v>
      </c>
      <c r="AO306" s="202">
        <v>0</v>
      </c>
      <c r="AP306" s="202">
        <v>0</v>
      </c>
      <c r="AQ306" s="202" t="s">
        <v>2562</v>
      </c>
      <c r="AR306" s="202">
        <v>0</v>
      </c>
      <c r="AS306" s="202">
        <v>0</v>
      </c>
      <c r="AT306" s="202">
        <v>10</v>
      </c>
      <c r="AU306" s="202">
        <v>0</v>
      </c>
      <c r="AV306" s="202">
        <v>2</v>
      </c>
      <c r="AW306"/>
      <c r="AX306"/>
      <c r="AY306"/>
    </row>
    <row r="307" spans="1:51">
      <c r="A307" s="202" t="str">
        <f t="shared" si="19"/>
        <v>张贵昌</v>
      </c>
      <c r="B307" s="202">
        <f>IF(C307&lt;&gt;"NA",C307,VLOOKUP(K307,Update_from_YIFIP!$X$2:$AD$174,7,FALSE))</f>
        <v>156</v>
      </c>
      <c r="C307" s="207">
        <f t="shared" si="16"/>
        <v>156</v>
      </c>
      <c r="D307" s="207">
        <f t="shared" si="17"/>
        <v>156</v>
      </c>
      <c r="E307" s="202" t="s">
        <v>2149</v>
      </c>
      <c r="F307" s="202" t="s">
        <v>2541</v>
      </c>
      <c r="G307" s="202" t="s">
        <v>2542</v>
      </c>
      <c r="H307" s="207" t="str">
        <f t="shared" si="18"/>
        <v>NA</v>
      </c>
      <c r="I307" s="202" t="s">
        <v>1929</v>
      </c>
      <c r="J307" s="202" t="s">
        <v>386</v>
      </c>
      <c r="K307" s="202" t="s">
        <v>2540</v>
      </c>
      <c r="L307" s="202" t="s">
        <v>1376</v>
      </c>
      <c r="M307" s="202">
        <v>5</v>
      </c>
      <c r="N307" s="202">
        <v>0</v>
      </c>
      <c r="O307" s="202">
        <v>27</v>
      </c>
      <c r="P307" s="202">
        <v>5</v>
      </c>
      <c r="Q307" s="202">
        <v>5</v>
      </c>
      <c r="R307" s="202">
        <v>8</v>
      </c>
      <c r="S307" s="202">
        <v>4</v>
      </c>
      <c r="T307" s="202">
        <v>5</v>
      </c>
      <c r="U307" s="202">
        <v>0</v>
      </c>
      <c r="V307" s="202">
        <v>0</v>
      </c>
      <c r="W307" s="202">
        <v>0</v>
      </c>
      <c r="X307" s="202">
        <v>0</v>
      </c>
      <c r="Y307" s="202">
        <v>0</v>
      </c>
      <c r="Z307" s="202">
        <v>0</v>
      </c>
      <c r="AA307" s="202">
        <v>0</v>
      </c>
      <c r="AB307" s="202">
        <v>0</v>
      </c>
      <c r="AC307" s="202">
        <v>0</v>
      </c>
      <c r="AD307" s="202">
        <v>0</v>
      </c>
      <c r="AE307" s="202">
        <v>0</v>
      </c>
      <c r="AF307" s="202">
        <v>0</v>
      </c>
      <c r="AG307" s="202">
        <v>0</v>
      </c>
      <c r="AH307" s="202">
        <v>0</v>
      </c>
      <c r="AI307" s="202">
        <v>0</v>
      </c>
      <c r="AJ307" s="202">
        <v>0</v>
      </c>
      <c r="AK307" s="202">
        <v>0</v>
      </c>
      <c r="AL307" s="202">
        <v>0</v>
      </c>
      <c r="AM307" s="202">
        <v>0</v>
      </c>
      <c r="AN307" s="202">
        <v>0</v>
      </c>
      <c r="AO307" s="202">
        <v>0</v>
      </c>
      <c r="AP307" s="202">
        <v>0</v>
      </c>
      <c r="AQ307" s="202" t="s">
        <v>2539</v>
      </c>
      <c r="AR307" s="202">
        <v>0</v>
      </c>
      <c r="AS307" s="202">
        <v>0</v>
      </c>
      <c r="AT307" s="202">
        <v>5</v>
      </c>
      <c r="AU307" s="202">
        <v>0</v>
      </c>
      <c r="AV307" s="202">
        <v>1</v>
      </c>
      <c r="AW307"/>
      <c r="AX307"/>
      <c r="AY307"/>
    </row>
    <row r="308" spans="1:51">
      <c r="A308" s="202" t="str">
        <f t="shared" si="19"/>
        <v>张贵昌</v>
      </c>
      <c r="B308" s="202">
        <f>IF(C308&lt;&gt;"NA",C308,VLOOKUP(K308,Update_from_YIFIP!$X$2:$AD$174,7,FALSE))</f>
        <v>156</v>
      </c>
      <c r="C308" s="207">
        <f t="shared" si="16"/>
        <v>156</v>
      </c>
      <c r="D308" s="207">
        <f t="shared" si="17"/>
        <v>156</v>
      </c>
      <c r="E308" s="202" t="s">
        <v>2149</v>
      </c>
      <c r="F308" s="202" t="s">
        <v>2541</v>
      </c>
      <c r="G308" s="202" t="s">
        <v>2542</v>
      </c>
      <c r="H308" s="207" t="str">
        <f t="shared" si="18"/>
        <v>NA</v>
      </c>
      <c r="I308" s="202" t="s">
        <v>1929</v>
      </c>
      <c r="J308" s="202" t="s">
        <v>386</v>
      </c>
      <c r="K308" s="202" t="s">
        <v>2543</v>
      </c>
      <c r="L308" s="202" t="s">
        <v>1377</v>
      </c>
      <c r="M308" s="202">
        <v>5</v>
      </c>
      <c r="N308" s="202">
        <v>0</v>
      </c>
      <c r="O308" s="202">
        <v>33</v>
      </c>
      <c r="P308" s="202">
        <v>5</v>
      </c>
      <c r="Q308" s="202">
        <v>10</v>
      </c>
      <c r="R308" s="202">
        <v>8</v>
      </c>
      <c r="S308" s="202">
        <v>4</v>
      </c>
      <c r="T308" s="202">
        <v>6</v>
      </c>
      <c r="U308" s="202">
        <v>0</v>
      </c>
      <c r="V308" s="202">
        <v>0</v>
      </c>
      <c r="W308" s="202">
        <v>0</v>
      </c>
      <c r="X308" s="202">
        <v>0</v>
      </c>
      <c r="Y308" s="202">
        <v>0</v>
      </c>
      <c r="Z308" s="202">
        <v>0</v>
      </c>
      <c r="AA308" s="202">
        <v>0</v>
      </c>
      <c r="AB308" s="202">
        <v>0</v>
      </c>
      <c r="AC308" s="202">
        <v>0</v>
      </c>
      <c r="AD308" s="202">
        <v>0</v>
      </c>
      <c r="AE308" s="202">
        <v>0</v>
      </c>
      <c r="AF308" s="202">
        <v>0</v>
      </c>
      <c r="AG308" s="202">
        <v>0</v>
      </c>
      <c r="AH308" s="202">
        <v>0</v>
      </c>
      <c r="AI308" s="202">
        <v>0</v>
      </c>
      <c r="AJ308" s="202">
        <v>0</v>
      </c>
      <c r="AK308" s="202">
        <v>0</v>
      </c>
      <c r="AL308" s="202">
        <v>0</v>
      </c>
      <c r="AM308" s="202">
        <v>0</v>
      </c>
      <c r="AN308" s="202">
        <v>0</v>
      </c>
      <c r="AO308" s="202">
        <v>0</v>
      </c>
      <c r="AP308" s="202">
        <v>0</v>
      </c>
      <c r="AQ308" s="202" t="s">
        <v>2539</v>
      </c>
      <c r="AR308" s="202">
        <v>0</v>
      </c>
      <c r="AS308" s="202">
        <v>0</v>
      </c>
      <c r="AT308" s="202">
        <v>6</v>
      </c>
      <c r="AU308" s="202">
        <v>0</v>
      </c>
      <c r="AV308" s="202">
        <v>1.2</v>
      </c>
      <c r="AW308"/>
      <c r="AX308"/>
      <c r="AY308"/>
    </row>
    <row r="309" spans="1:51">
      <c r="A309" s="202" t="str">
        <f t="shared" si="19"/>
        <v>张贵昌</v>
      </c>
      <c r="B309" s="202">
        <f>IF(C309&lt;&gt;"NA",C309,VLOOKUP(K309,Update_from_YIFIP!$X$2:$AD$174,7,FALSE))</f>
        <v>156</v>
      </c>
      <c r="C309" s="207">
        <f t="shared" si="16"/>
        <v>156</v>
      </c>
      <c r="D309" s="207">
        <f t="shared" si="17"/>
        <v>156</v>
      </c>
      <c r="E309" s="202" t="s">
        <v>2149</v>
      </c>
      <c r="F309" s="202" t="s">
        <v>2541</v>
      </c>
      <c r="G309" s="202" t="s">
        <v>2542</v>
      </c>
      <c r="H309" s="207" t="str">
        <f t="shared" si="18"/>
        <v>NA</v>
      </c>
      <c r="I309" s="202" t="s">
        <v>1929</v>
      </c>
      <c r="J309" s="202" t="s">
        <v>386</v>
      </c>
      <c r="K309" s="202" t="s">
        <v>2544</v>
      </c>
      <c r="L309" s="202" t="s">
        <v>1378</v>
      </c>
      <c r="M309" s="202">
        <v>5</v>
      </c>
      <c r="N309" s="202">
        <v>0</v>
      </c>
      <c r="O309" s="202">
        <v>23</v>
      </c>
      <c r="P309" s="202">
        <v>3</v>
      </c>
      <c r="Q309" s="202">
        <v>4</v>
      </c>
      <c r="R309" s="202">
        <v>6</v>
      </c>
      <c r="S309" s="202">
        <v>5</v>
      </c>
      <c r="T309" s="202">
        <v>5</v>
      </c>
      <c r="U309" s="202">
        <v>0</v>
      </c>
      <c r="V309" s="202">
        <v>0</v>
      </c>
      <c r="W309" s="202">
        <v>0</v>
      </c>
      <c r="X309" s="202">
        <v>0</v>
      </c>
      <c r="Y309" s="202">
        <v>0</v>
      </c>
      <c r="Z309" s="202">
        <v>0</v>
      </c>
      <c r="AA309" s="202">
        <v>0</v>
      </c>
      <c r="AB309" s="202">
        <v>0</v>
      </c>
      <c r="AC309" s="202">
        <v>0</v>
      </c>
      <c r="AD309" s="202">
        <v>0</v>
      </c>
      <c r="AE309" s="202">
        <v>0</v>
      </c>
      <c r="AF309" s="202">
        <v>0</v>
      </c>
      <c r="AG309" s="202">
        <v>0</v>
      </c>
      <c r="AH309" s="202">
        <v>0</v>
      </c>
      <c r="AI309" s="202">
        <v>0</v>
      </c>
      <c r="AJ309" s="202">
        <v>0</v>
      </c>
      <c r="AK309" s="202">
        <v>0</v>
      </c>
      <c r="AL309" s="202">
        <v>0</v>
      </c>
      <c r="AM309" s="202">
        <v>0</v>
      </c>
      <c r="AN309" s="202">
        <v>0</v>
      </c>
      <c r="AO309" s="202">
        <v>0</v>
      </c>
      <c r="AP309" s="202">
        <v>0</v>
      </c>
      <c r="AQ309" s="202" t="s">
        <v>2470</v>
      </c>
      <c r="AR309" s="202">
        <v>0</v>
      </c>
      <c r="AS309" s="202">
        <v>0</v>
      </c>
      <c r="AT309" s="202">
        <v>6</v>
      </c>
      <c r="AU309" s="202">
        <v>0</v>
      </c>
      <c r="AV309" s="202">
        <v>1.2</v>
      </c>
      <c r="AW309"/>
      <c r="AX309"/>
      <c r="AY309"/>
    </row>
    <row r="310" spans="1:51">
      <c r="A310" s="202" t="str">
        <f t="shared" si="19"/>
        <v>张贵昌</v>
      </c>
      <c r="B310" s="202">
        <f>IF(C310&lt;&gt;"NA",C310,VLOOKUP(K310,Update_from_YIFIP!$X$2:$AD$174,7,FALSE))</f>
        <v>156</v>
      </c>
      <c r="C310" s="207">
        <f t="shared" si="16"/>
        <v>156</v>
      </c>
      <c r="D310" s="207">
        <f t="shared" si="17"/>
        <v>156</v>
      </c>
      <c r="E310" s="202" t="s">
        <v>2149</v>
      </c>
      <c r="F310" s="202" t="s">
        <v>2541</v>
      </c>
      <c r="G310" s="202" t="s">
        <v>2542</v>
      </c>
      <c r="H310" s="207" t="str">
        <f t="shared" si="18"/>
        <v>NA</v>
      </c>
      <c r="I310" s="202" t="s">
        <v>1929</v>
      </c>
      <c r="J310" s="202" t="s">
        <v>386</v>
      </c>
      <c r="K310" s="202" t="s">
        <v>2545</v>
      </c>
      <c r="L310" s="202" t="s">
        <v>1379</v>
      </c>
      <c r="M310" s="202">
        <v>5</v>
      </c>
      <c r="N310" s="202">
        <v>0</v>
      </c>
      <c r="O310" s="202">
        <v>33</v>
      </c>
      <c r="P310" s="202">
        <v>4</v>
      </c>
      <c r="Q310" s="202">
        <v>7</v>
      </c>
      <c r="R310" s="202">
        <v>8</v>
      </c>
      <c r="S310" s="202">
        <v>8</v>
      </c>
      <c r="T310" s="202">
        <v>6</v>
      </c>
      <c r="U310" s="202">
        <v>0</v>
      </c>
      <c r="V310" s="202">
        <v>0</v>
      </c>
      <c r="W310" s="202">
        <v>0</v>
      </c>
      <c r="X310" s="202">
        <v>0</v>
      </c>
      <c r="Y310" s="202">
        <v>0</v>
      </c>
      <c r="Z310" s="202">
        <v>0</v>
      </c>
      <c r="AA310" s="202">
        <v>0</v>
      </c>
      <c r="AB310" s="202">
        <v>0</v>
      </c>
      <c r="AC310" s="202">
        <v>0</v>
      </c>
      <c r="AD310" s="202">
        <v>0</v>
      </c>
      <c r="AE310" s="202">
        <v>0</v>
      </c>
      <c r="AF310" s="202">
        <v>0</v>
      </c>
      <c r="AG310" s="202">
        <v>0</v>
      </c>
      <c r="AH310" s="202">
        <v>0</v>
      </c>
      <c r="AI310" s="202">
        <v>0</v>
      </c>
      <c r="AJ310" s="202">
        <v>0</v>
      </c>
      <c r="AK310" s="202">
        <v>0</v>
      </c>
      <c r="AL310" s="202">
        <v>0</v>
      </c>
      <c r="AM310" s="202">
        <v>0</v>
      </c>
      <c r="AN310" s="202">
        <v>0</v>
      </c>
      <c r="AO310" s="202">
        <v>0</v>
      </c>
      <c r="AP310" s="202">
        <v>0</v>
      </c>
      <c r="AQ310" s="202" t="s">
        <v>2470</v>
      </c>
      <c r="AR310" s="202">
        <v>0</v>
      </c>
      <c r="AS310" s="202">
        <v>0</v>
      </c>
      <c r="AT310" s="202">
        <v>7.5</v>
      </c>
      <c r="AU310" s="202">
        <v>0</v>
      </c>
      <c r="AV310" s="202">
        <v>1.5</v>
      </c>
      <c r="AW310"/>
      <c r="AX310"/>
      <c r="AY310"/>
    </row>
    <row r="311" spans="1:51">
      <c r="A311" s="202" t="str">
        <f t="shared" si="19"/>
        <v>钟其德</v>
      </c>
      <c r="B311" s="202">
        <f>IF(C311&lt;&gt;"NA",C311,VLOOKUP(K311,Update_from_YIFIP!$X$2:$AD$174,7,FALSE))</f>
        <v>169</v>
      </c>
      <c r="C311" s="207">
        <f t="shared" si="16"/>
        <v>169</v>
      </c>
      <c r="D311" s="207">
        <f t="shared" si="17"/>
        <v>169</v>
      </c>
      <c r="E311" s="202" t="s">
        <v>2158</v>
      </c>
      <c r="F311" s="202" t="s">
        <v>2899</v>
      </c>
      <c r="G311" s="202" t="s">
        <v>2900</v>
      </c>
      <c r="H311" s="207" t="str">
        <f t="shared" si="18"/>
        <v>NA</v>
      </c>
      <c r="I311" s="202" t="s">
        <v>1929</v>
      </c>
      <c r="J311" s="202" t="s">
        <v>2895</v>
      </c>
      <c r="K311" s="202" t="s">
        <v>2897</v>
      </c>
      <c r="L311" s="202" t="s">
        <v>1520</v>
      </c>
      <c r="M311" s="202">
        <v>10</v>
      </c>
      <c r="N311" s="202">
        <v>0</v>
      </c>
      <c r="O311" s="202">
        <v>124</v>
      </c>
      <c r="P311" s="202">
        <v>17</v>
      </c>
      <c r="Q311" s="202">
        <v>11</v>
      </c>
      <c r="R311" s="202">
        <v>12</v>
      </c>
      <c r="S311" s="202">
        <v>18</v>
      </c>
      <c r="T311" s="202">
        <v>10</v>
      </c>
      <c r="U311" s="202">
        <v>12</v>
      </c>
      <c r="V311" s="202">
        <v>10</v>
      </c>
      <c r="W311" s="202">
        <v>15</v>
      </c>
      <c r="X311" s="202">
        <v>10</v>
      </c>
      <c r="Y311" s="202">
        <v>9</v>
      </c>
      <c r="Z311" s="202">
        <v>0</v>
      </c>
      <c r="AA311" s="202">
        <v>0</v>
      </c>
      <c r="AB311" s="202">
        <v>0</v>
      </c>
      <c r="AC311" s="202">
        <v>0</v>
      </c>
      <c r="AD311" s="202">
        <v>0</v>
      </c>
      <c r="AE311" s="202">
        <v>0</v>
      </c>
      <c r="AF311" s="202">
        <v>0</v>
      </c>
      <c r="AG311" s="202">
        <v>0</v>
      </c>
      <c r="AH311" s="202">
        <v>0</v>
      </c>
      <c r="AI311" s="202">
        <v>0</v>
      </c>
      <c r="AJ311" s="202">
        <v>0</v>
      </c>
      <c r="AK311" s="202">
        <v>0</v>
      </c>
      <c r="AL311" s="202">
        <v>0</v>
      </c>
      <c r="AM311" s="202">
        <v>0</v>
      </c>
      <c r="AN311" s="202">
        <v>0</v>
      </c>
      <c r="AO311" s="202">
        <v>0</v>
      </c>
      <c r="AP311" s="202">
        <v>0</v>
      </c>
      <c r="AQ311" s="202" t="s">
        <v>2896</v>
      </c>
      <c r="AR311" s="202">
        <v>0</v>
      </c>
      <c r="AS311" s="202">
        <v>0</v>
      </c>
      <c r="AT311" s="202">
        <v>45</v>
      </c>
      <c r="AU311" s="202" t="s">
        <v>2898</v>
      </c>
      <c r="AV311" s="202">
        <v>9</v>
      </c>
      <c r="AW311"/>
      <c r="AX311"/>
      <c r="AY311"/>
    </row>
    <row r="312" spans="1:51">
      <c r="A312" s="202" t="str">
        <f t="shared" si="19"/>
        <v>钟其德</v>
      </c>
      <c r="B312" s="202">
        <f>IF(C312&lt;&gt;"NA",C312,VLOOKUP(K312,Update_from_YIFIP!$X$2:$AD$174,7,FALSE))</f>
        <v>169</v>
      </c>
      <c r="C312" s="207">
        <f t="shared" si="16"/>
        <v>169</v>
      </c>
      <c r="D312" s="207">
        <f t="shared" si="17"/>
        <v>169</v>
      </c>
      <c r="E312" s="202" t="s">
        <v>2158</v>
      </c>
      <c r="F312" s="202" t="s">
        <v>2899</v>
      </c>
      <c r="G312" s="202" t="s">
        <v>2900</v>
      </c>
      <c r="H312" s="207" t="str">
        <f t="shared" si="18"/>
        <v>NA</v>
      </c>
      <c r="I312" s="202" t="s">
        <v>1929</v>
      </c>
      <c r="J312" s="202" t="s">
        <v>2895</v>
      </c>
      <c r="K312" s="202" t="s">
        <v>2902</v>
      </c>
      <c r="L312" s="202" t="s">
        <v>1521</v>
      </c>
      <c r="M312" s="202">
        <v>10</v>
      </c>
      <c r="N312" s="202">
        <v>0</v>
      </c>
      <c r="O312" s="202">
        <v>105</v>
      </c>
      <c r="P312" s="202">
        <v>15</v>
      </c>
      <c r="Q312" s="202">
        <v>10</v>
      </c>
      <c r="R312" s="202">
        <v>14</v>
      </c>
      <c r="S312" s="202">
        <v>13</v>
      </c>
      <c r="T312" s="202">
        <v>12</v>
      </c>
      <c r="U312" s="202">
        <v>10</v>
      </c>
      <c r="V312" s="202">
        <v>10</v>
      </c>
      <c r="W312" s="202">
        <v>9</v>
      </c>
      <c r="X312" s="202">
        <v>7</v>
      </c>
      <c r="Y312" s="202">
        <v>5</v>
      </c>
      <c r="Z312" s="202">
        <v>0</v>
      </c>
      <c r="AA312" s="202">
        <v>0</v>
      </c>
      <c r="AB312" s="202">
        <v>0</v>
      </c>
      <c r="AC312" s="202">
        <v>0</v>
      </c>
      <c r="AD312" s="202">
        <v>0</v>
      </c>
      <c r="AE312" s="202">
        <v>0</v>
      </c>
      <c r="AF312" s="202">
        <v>0</v>
      </c>
      <c r="AG312" s="202">
        <v>0</v>
      </c>
      <c r="AH312" s="202">
        <v>0</v>
      </c>
      <c r="AI312" s="202">
        <v>0</v>
      </c>
      <c r="AJ312" s="202">
        <v>0</v>
      </c>
      <c r="AK312" s="202">
        <v>0</v>
      </c>
      <c r="AL312" s="202">
        <v>0</v>
      </c>
      <c r="AM312" s="202">
        <v>0</v>
      </c>
      <c r="AN312" s="202">
        <v>0</v>
      </c>
      <c r="AO312" s="202">
        <v>0</v>
      </c>
      <c r="AP312" s="202">
        <v>0</v>
      </c>
      <c r="AQ312" s="202" t="s">
        <v>2901</v>
      </c>
      <c r="AR312" s="202">
        <v>0</v>
      </c>
      <c r="AS312" s="202">
        <v>0</v>
      </c>
      <c r="AT312" s="202">
        <v>33.999999999999993</v>
      </c>
      <c r="AU312" s="202" t="s">
        <v>2903</v>
      </c>
      <c r="AV312" s="202">
        <v>6.7999999999999989</v>
      </c>
      <c r="AW312"/>
      <c r="AX312"/>
      <c r="AY312"/>
    </row>
    <row r="313" spans="1:51">
      <c r="A313" s="202" t="str">
        <f t="shared" si="19"/>
        <v>钟其德</v>
      </c>
      <c r="B313" s="202">
        <f>IF(C313&lt;&gt;"NA",C313,VLOOKUP(K313,Update_from_YIFIP!$X$2:$AD$174,7,FALSE))</f>
        <v>169</v>
      </c>
      <c r="C313" s="207">
        <f t="shared" si="16"/>
        <v>169</v>
      </c>
      <c r="D313" s="207">
        <f t="shared" si="17"/>
        <v>169</v>
      </c>
      <c r="E313" s="202" t="s">
        <v>2158</v>
      </c>
      <c r="F313" s="202" t="s">
        <v>2899</v>
      </c>
      <c r="G313" s="202" t="s">
        <v>2900</v>
      </c>
      <c r="H313" s="207" t="str">
        <f t="shared" si="18"/>
        <v>NA</v>
      </c>
      <c r="I313" s="202" t="s">
        <v>1929</v>
      </c>
      <c r="J313" s="202" t="s">
        <v>2895</v>
      </c>
      <c r="K313" s="202" t="s">
        <v>2904</v>
      </c>
      <c r="L313" s="202" t="s">
        <v>1522</v>
      </c>
      <c r="M313" s="202">
        <v>0</v>
      </c>
      <c r="N313" s="202">
        <v>8</v>
      </c>
      <c r="O313" s="202">
        <v>42</v>
      </c>
      <c r="P313" s="202">
        <v>9</v>
      </c>
      <c r="Q313" s="202">
        <v>5</v>
      </c>
      <c r="R313" s="202">
        <v>7</v>
      </c>
      <c r="S313" s="202">
        <v>4</v>
      </c>
      <c r="T313" s="202">
        <v>7</v>
      </c>
      <c r="U313" s="202">
        <v>2</v>
      </c>
      <c r="V313" s="202">
        <v>6</v>
      </c>
      <c r="W313" s="202">
        <v>2</v>
      </c>
      <c r="X313" s="202">
        <v>0</v>
      </c>
      <c r="Y313" s="202">
        <v>0</v>
      </c>
      <c r="Z313" s="202">
        <v>0</v>
      </c>
      <c r="AA313" s="202">
        <v>0</v>
      </c>
      <c r="AB313" s="202">
        <v>0</v>
      </c>
      <c r="AC313" s="202">
        <v>0</v>
      </c>
      <c r="AD313" s="202">
        <v>0</v>
      </c>
      <c r="AE313" s="202">
        <v>0</v>
      </c>
      <c r="AF313" s="202">
        <v>0</v>
      </c>
      <c r="AG313" s="202">
        <v>0</v>
      </c>
      <c r="AH313" s="202">
        <v>0</v>
      </c>
      <c r="AI313" s="202">
        <v>0</v>
      </c>
      <c r="AJ313" s="202">
        <v>0</v>
      </c>
      <c r="AK313" s="202">
        <v>0</v>
      </c>
      <c r="AL313" s="202">
        <v>0</v>
      </c>
      <c r="AM313" s="202">
        <v>0</v>
      </c>
      <c r="AN313" s="202">
        <v>0</v>
      </c>
      <c r="AO313" s="202">
        <v>0</v>
      </c>
      <c r="AP313" s="202">
        <v>0</v>
      </c>
      <c r="AQ313" s="202" t="s">
        <v>2901</v>
      </c>
      <c r="AR313" s="202">
        <v>0</v>
      </c>
      <c r="AS313" s="202">
        <v>0</v>
      </c>
      <c r="AT313" s="202">
        <v>15</v>
      </c>
      <c r="AU313" s="202">
        <v>0</v>
      </c>
      <c r="AV313" s="202">
        <v>3</v>
      </c>
      <c r="AW313"/>
      <c r="AX313"/>
      <c r="AY313"/>
    </row>
    <row r="314" spans="1:51">
      <c r="A314" s="202" t="str">
        <f t="shared" si="19"/>
        <v>钟其德</v>
      </c>
      <c r="B314" s="202">
        <f>IF(C314&lt;&gt;"NA",C314,VLOOKUP(K314,Update_from_YIFIP!$X$2:$AD$174,7,FALSE))</f>
        <v>169</v>
      </c>
      <c r="C314" s="207">
        <f t="shared" si="16"/>
        <v>169</v>
      </c>
      <c r="D314" s="207">
        <f t="shared" si="17"/>
        <v>169</v>
      </c>
      <c r="E314" s="202" t="s">
        <v>2158</v>
      </c>
      <c r="F314" s="202" t="s">
        <v>2899</v>
      </c>
      <c r="G314" s="202" t="s">
        <v>2900</v>
      </c>
      <c r="H314" s="207" t="str">
        <f t="shared" si="18"/>
        <v>NA</v>
      </c>
      <c r="I314" s="202" t="s">
        <v>1929</v>
      </c>
      <c r="J314" s="202" t="s">
        <v>2895</v>
      </c>
      <c r="K314" s="202" t="s">
        <v>2906</v>
      </c>
      <c r="L314" s="202" t="s">
        <v>1523</v>
      </c>
      <c r="M314" s="202">
        <v>1</v>
      </c>
      <c r="N314" s="202">
        <v>0</v>
      </c>
      <c r="O314" s="202">
        <v>9</v>
      </c>
      <c r="P314" s="202">
        <v>9</v>
      </c>
      <c r="Q314" s="202">
        <v>0</v>
      </c>
      <c r="R314" s="202">
        <v>0</v>
      </c>
      <c r="S314" s="202">
        <v>0</v>
      </c>
      <c r="T314" s="202">
        <v>0</v>
      </c>
      <c r="U314" s="202">
        <v>0</v>
      </c>
      <c r="V314" s="202">
        <v>0</v>
      </c>
      <c r="W314" s="202">
        <v>0</v>
      </c>
      <c r="X314" s="202">
        <v>0</v>
      </c>
      <c r="Y314" s="202">
        <v>0</v>
      </c>
      <c r="Z314" s="202">
        <v>0</v>
      </c>
      <c r="AA314" s="202">
        <v>0</v>
      </c>
      <c r="AB314" s="202">
        <v>0</v>
      </c>
      <c r="AC314" s="202">
        <v>0</v>
      </c>
      <c r="AD314" s="202">
        <v>0</v>
      </c>
      <c r="AE314" s="202">
        <v>0</v>
      </c>
      <c r="AF314" s="202">
        <v>0</v>
      </c>
      <c r="AG314" s="202">
        <v>0</v>
      </c>
      <c r="AH314" s="202">
        <v>0</v>
      </c>
      <c r="AI314" s="202">
        <v>0</v>
      </c>
      <c r="AJ314" s="202">
        <v>0</v>
      </c>
      <c r="AK314" s="202">
        <v>0</v>
      </c>
      <c r="AL314" s="202">
        <v>0</v>
      </c>
      <c r="AM314" s="202">
        <v>0</v>
      </c>
      <c r="AN314" s="202">
        <v>0</v>
      </c>
      <c r="AO314" s="202">
        <v>0</v>
      </c>
      <c r="AP314" s="202">
        <v>0</v>
      </c>
      <c r="AQ314" s="202" t="s">
        <v>2905</v>
      </c>
      <c r="AR314" s="202">
        <v>0</v>
      </c>
      <c r="AS314" s="202">
        <v>0</v>
      </c>
      <c r="AT314" s="202">
        <v>4</v>
      </c>
      <c r="AU314" s="202">
        <v>0</v>
      </c>
      <c r="AV314" s="202">
        <v>0.8</v>
      </c>
      <c r="AW314"/>
      <c r="AX314"/>
      <c r="AY314"/>
    </row>
    <row r="315" spans="1:51">
      <c r="A315" s="202" t="str">
        <f t="shared" si="19"/>
        <v>鲁成荣</v>
      </c>
      <c r="B315" s="202">
        <f>IF(C315&lt;&gt;"NA",C315,VLOOKUP(K315,Update_from_YIFIP!$X$2:$AD$174,7,FALSE))</f>
        <v>170</v>
      </c>
      <c r="C315" s="207">
        <f t="shared" si="16"/>
        <v>170</v>
      </c>
      <c r="D315" s="207">
        <f t="shared" si="17"/>
        <v>170</v>
      </c>
      <c r="E315" s="202" t="s">
        <v>2092</v>
      </c>
      <c r="F315" s="202" t="s">
        <v>1929</v>
      </c>
      <c r="G315" s="202" t="s">
        <v>2796</v>
      </c>
      <c r="H315" s="207" t="str">
        <f t="shared" si="18"/>
        <v>NA</v>
      </c>
      <c r="I315" s="202" t="s">
        <v>1929</v>
      </c>
      <c r="J315" s="202" t="s">
        <v>2794</v>
      </c>
      <c r="K315" s="202">
        <v>0</v>
      </c>
      <c r="L315" s="202" t="s">
        <v>1474</v>
      </c>
      <c r="M315" s="202">
        <v>7</v>
      </c>
      <c r="N315" s="202">
        <v>0</v>
      </c>
      <c r="O315" s="202">
        <v>30</v>
      </c>
      <c r="P315" s="202">
        <v>4</v>
      </c>
      <c r="Q315" s="202">
        <v>6</v>
      </c>
      <c r="R315" s="202">
        <v>4</v>
      </c>
      <c r="S315" s="202">
        <v>4</v>
      </c>
      <c r="T315" s="202">
        <v>3</v>
      </c>
      <c r="U315" s="202">
        <v>3</v>
      </c>
      <c r="V315" s="202">
        <v>6</v>
      </c>
      <c r="W315" s="202">
        <v>0</v>
      </c>
      <c r="X315" s="202">
        <v>0</v>
      </c>
      <c r="Y315" s="202">
        <v>0</v>
      </c>
      <c r="Z315" s="202">
        <v>0</v>
      </c>
      <c r="AA315" s="202">
        <v>0</v>
      </c>
      <c r="AB315" s="202">
        <v>0</v>
      </c>
      <c r="AC315" s="202">
        <v>0</v>
      </c>
      <c r="AD315" s="202">
        <v>0</v>
      </c>
      <c r="AE315" s="202">
        <v>0</v>
      </c>
      <c r="AF315" s="202">
        <v>0</v>
      </c>
      <c r="AG315" s="202">
        <v>0</v>
      </c>
      <c r="AH315" s="202">
        <v>0</v>
      </c>
      <c r="AI315" s="202">
        <v>0</v>
      </c>
      <c r="AJ315" s="202">
        <v>0</v>
      </c>
      <c r="AK315" s="202">
        <v>0</v>
      </c>
      <c r="AL315" s="202">
        <v>0</v>
      </c>
      <c r="AM315" s="202">
        <v>0</v>
      </c>
      <c r="AN315" s="202">
        <v>0</v>
      </c>
      <c r="AO315" s="202">
        <v>0</v>
      </c>
      <c r="AP315" s="202">
        <v>0</v>
      </c>
      <c r="AQ315" s="202" t="s">
        <v>2451</v>
      </c>
      <c r="AR315" s="202">
        <v>0</v>
      </c>
      <c r="AS315" s="202">
        <v>0</v>
      </c>
      <c r="AT315" s="202">
        <v>40</v>
      </c>
      <c r="AU315" s="202">
        <v>0</v>
      </c>
      <c r="AV315" s="202">
        <v>8</v>
      </c>
      <c r="AW315"/>
      <c r="AX315"/>
      <c r="AY315"/>
    </row>
    <row r="316" spans="1:51">
      <c r="A316" s="202" t="str">
        <f t="shared" si="19"/>
        <v>鲁成荣</v>
      </c>
      <c r="B316" s="202">
        <f>IF(C316&lt;&gt;"NA",C316,VLOOKUP(K316,Update_from_YIFIP!$X$2:$AD$174,7,FALSE))</f>
        <v>170</v>
      </c>
      <c r="C316" s="207">
        <f t="shared" si="16"/>
        <v>170</v>
      </c>
      <c r="D316" s="207">
        <f t="shared" si="17"/>
        <v>170</v>
      </c>
      <c r="E316" s="202" t="s">
        <v>2092</v>
      </c>
      <c r="F316" s="202" t="s">
        <v>1929</v>
      </c>
      <c r="G316" s="202" t="s">
        <v>2796</v>
      </c>
      <c r="H316" s="207" t="str">
        <f t="shared" si="18"/>
        <v>NA</v>
      </c>
      <c r="I316" s="202" t="s">
        <v>1929</v>
      </c>
      <c r="J316" s="202" t="s">
        <v>2794</v>
      </c>
      <c r="K316" s="202">
        <v>0</v>
      </c>
      <c r="L316" s="202" t="s">
        <v>1475</v>
      </c>
      <c r="M316" s="202">
        <v>0</v>
      </c>
      <c r="N316" s="202">
        <v>6</v>
      </c>
      <c r="O316" s="202">
        <v>8</v>
      </c>
      <c r="P316" s="202">
        <v>1</v>
      </c>
      <c r="Q316" s="202">
        <v>1</v>
      </c>
      <c r="R316" s="202">
        <v>1</v>
      </c>
      <c r="S316" s="202">
        <v>1</v>
      </c>
      <c r="T316" s="202">
        <v>2</v>
      </c>
      <c r="U316" s="202">
        <v>2</v>
      </c>
      <c r="V316" s="202">
        <v>0</v>
      </c>
      <c r="W316" s="202">
        <v>0</v>
      </c>
      <c r="X316" s="202">
        <v>0</v>
      </c>
      <c r="Y316" s="202">
        <v>0</v>
      </c>
      <c r="Z316" s="202">
        <v>0</v>
      </c>
      <c r="AA316" s="202">
        <v>0</v>
      </c>
      <c r="AB316" s="202">
        <v>0</v>
      </c>
      <c r="AC316" s="202">
        <v>0</v>
      </c>
      <c r="AD316" s="202">
        <v>0</v>
      </c>
      <c r="AE316" s="202">
        <v>0</v>
      </c>
      <c r="AF316" s="202">
        <v>0</v>
      </c>
      <c r="AG316" s="202">
        <v>0</v>
      </c>
      <c r="AH316" s="202">
        <v>0</v>
      </c>
      <c r="AI316" s="202">
        <v>0</v>
      </c>
      <c r="AJ316" s="202">
        <v>0</v>
      </c>
      <c r="AK316" s="202">
        <v>0</v>
      </c>
      <c r="AL316" s="202">
        <v>0</v>
      </c>
      <c r="AM316" s="202">
        <v>0</v>
      </c>
      <c r="AN316" s="202">
        <v>0</v>
      </c>
      <c r="AO316" s="202">
        <v>0</v>
      </c>
      <c r="AP316" s="202">
        <v>0</v>
      </c>
      <c r="AQ316" s="202" t="s">
        <v>2451</v>
      </c>
      <c r="AR316" s="202">
        <v>0</v>
      </c>
      <c r="AS316" s="202">
        <v>0</v>
      </c>
      <c r="AT316" s="202">
        <v>1.5</v>
      </c>
      <c r="AU316" s="202">
        <v>0</v>
      </c>
      <c r="AV316" s="202">
        <v>0.3</v>
      </c>
      <c r="AW316"/>
      <c r="AX316"/>
      <c r="AY316"/>
    </row>
    <row r="317" spans="1:51">
      <c r="A317" s="202" t="str">
        <f t="shared" si="19"/>
        <v>李富平</v>
      </c>
      <c r="B317" s="202">
        <f>IF(C317&lt;&gt;"NA",C317,VLOOKUP(K317,Update_from_YIFIP!$X$2:$AD$174,7,FALSE))</f>
        <v>171</v>
      </c>
      <c r="C317" s="207">
        <f t="shared" si="16"/>
        <v>171</v>
      </c>
      <c r="D317" s="207">
        <f t="shared" si="17"/>
        <v>171</v>
      </c>
      <c r="E317" s="202" t="s">
        <v>2057</v>
      </c>
      <c r="F317" s="202" t="s">
        <v>2716</v>
      </c>
      <c r="G317" s="202" t="s">
        <v>2717</v>
      </c>
      <c r="H317" s="207" t="str">
        <f t="shared" si="18"/>
        <v>NA</v>
      </c>
      <c r="I317" s="202" t="s">
        <v>1929</v>
      </c>
      <c r="J317" s="202" t="s">
        <v>2712</v>
      </c>
      <c r="K317" s="202" t="s">
        <v>2714</v>
      </c>
      <c r="L317" s="202" t="s">
        <v>1438</v>
      </c>
      <c r="M317" s="202">
        <v>10</v>
      </c>
      <c r="N317" s="202">
        <v>0</v>
      </c>
      <c r="O317" s="202">
        <v>111</v>
      </c>
      <c r="P317" s="202">
        <v>11</v>
      </c>
      <c r="Q317" s="202">
        <v>8</v>
      </c>
      <c r="R317" s="202">
        <v>8</v>
      </c>
      <c r="S317" s="202">
        <v>8</v>
      </c>
      <c r="T317" s="202">
        <v>8</v>
      </c>
      <c r="U317" s="202">
        <v>13</v>
      </c>
      <c r="V317" s="202">
        <v>10</v>
      </c>
      <c r="W317" s="202">
        <v>12</v>
      </c>
      <c r="X317" s="202">
        <v>18</v>
      </c>
      <c r="Y317" s="202">
        <v>15</v>
      </c>
      <c r="Z317" s="202">
        <v>0</v>
      </c>
      <c r="AA317" s="202">
        <v>0</v>
      </c>
      <c r="AB317" s="202">
        <v>0</v>
      </c>
      <c r="AC317" s="202">
        <v>0</v>
      </c>
      <c r="AD317" s="202">
        <v>0</v>
      </c>
      <c r="AE317" s="202">
        <v>0</v>
      </c>
      <c r="AF317" s="202">
        <v>0</v>
      </c>
      <c r="AG317" s="202">
        <v>0</v>
      </c>
      <c r="AH317" s="202">
        <v>0</v>
      </c>
      <c r="AI317" s="202">
        <v>0</v>
      </c>
      <c r="AJ317" s="202">
        <v>0</v>
      </c>
      <c r="AK317" s="202">
        <v>0</v>
      </c>
      <c r="AL317" s="202">
        <v>0</v>
      </c>
      <c r="AM317" s="202">
        <v>0</v>
      </c>
      <c r="AN317" s="202">
        <v>0</v>
      </c>
      <c r="AO317" s="202">
        <v>0</v>
      </c>
      <c r="AP317" s="202">
        <v>0</v>
      </c>
      <c r="AQ317" s="202" t="s">
        <v>2713</v>
      </c>
      <c r="AR317" s="202">
        <v>0</v>
      </c>
      <c r="AS317" s="202">
        <v>0</v>
      </c>
      <c r="AT317" s="202">
        <v>21.5</v>
      </c>
      <c r="AU317" s="202" t="s">
        <v>2715</v>
      </c>
      <c r="AV317" s="202">
        <v>4.3</v>
      </c>
      <c r="AW317"/>
      <c r="AX317"/>
      <c r="AY317"/>
    </row>
    <row r="318" spans="1:51">
      <c r="A318" s="202" t="str">
        <f t="shared" si="19"/>
        <v>李富平</v>
      </c>
      <c r="B318" s="202">
        <f>IF(C318&lt;&gt;"NA",C318,VLOOKUP(K318,Update_from_YIFIP!$X$2:$AD$174,7,FALSE))</f>
        <v>171</v>
      </c>
      <c r="C318" s="207">
        <f t="shared" si="16"/>
        <v>171</v>
      </c>
      <c r="D318" s="207">
        <f t="shared" si="17"/>
        <v>171</v>
      </c>
      <c r="E318" s="202" t="s">
        <v>2057</v>
      </c>
      <c r="F318" s="202" t="s">
        <v>2716</v>
      </c>
      <c r="G318" s="202" t="s">
        <v>2717</v>
      </c>
      <c r="H318" s="207" t="str">
        <f t="shared" si="18"/>
        <v>NA</v>
      </c>
      <c r="I318" s="202" t="s">
        <v>1929</v>
      </c>
      <c r="J318" s="202" t="s">
        <v>2712</v>
      </c>
      <c r="K318" s="202" t="s">
        <v>2718</v>
      </c>
      <c r="L318" s="202" t="s">
        <v>1439</v>
      </c>
      <c r="M318" s="202">
        <v>10</v>
      </c>
      <c r="N318" s="202">
        <v>0</v>
      </c>
      <c r="O318" s="202">
        <v>90</v>
      </c>
      <c r="P318" s="202">
        <v>7</v>
      </c>
      <c r="Q318" s="202">
        <v>5</v>
      </c>
      <c r="R318" s="202">
        <v>3</v>
      </c>
      <c r="S318" s="202">
        <v>11</v>
      </c>
      <c r="T318" s="202">
        <v>9</v>
      </c>
      <c r="U318" s="202">
        <v>9</v>
      </c>
      <c r="V318" s="202">
        <v>9</v>
      </c>
      <c r="W318" s="202">
        <v>8</v>
      </c>
      <c r="X318" s="202">
        <v>18</v>
      </c>
      <c r="Y318" s="202">
        <v>11</v>
      </c>
      <c r="Z318" s="202">
        <v>0</v>
      </c>
      <c r="AA318" s="202">
        <v>0</v>
      </c>
      <c r="AB318" s="202">
        <v>0</v>
      </c>
      <c r="AC318" s="202">
        <v>0</v>
      </c>
      <c r="AD318" s="202">
        <v>0</v>
      </c>
      <c r="AE318" s="202">
        <v>0</v>
      </c>
      <c r="AF318" s="202">
        <v>0</v>
      </c>
      <c r="AG318" s="202">
        <v>0</v>
      </c>
      <c r="AH318" s="202">
        <v>0</v>
      </c>
      <c r="AI318" s="202">
        <v>0</v>
      </c>
      <c r="AJ318" s="202">
        <v>0</v>
      </c>
      <c r="AK318" s="202">
        <v>0</v>
      </c>
      <c r="AL318" s="202">
        <v>0</v>
      </c>
      <c r="AM318" s="202">
        <v>0</v>
      </c>
      <c r="AN318" s="202">
        <v>0</v>
      </c>
      <c r="AO318" s="202">
        <v>0</v>
      </c>
      <c r="AP318" s="202">
        <v>0</v>
      </c>
      <c r="AQ318" s="202" t="s">
        <v>2590</v>
      </c>
      <c r="AR318" s="202">
        <v>0</v>
      </c>
      <c r="AS318" s="202">
        <v>0</v>
      </c>
      <c r="AT318" s="202">
        <v>17.5</v>
      </c>
      <c r="AU318" s="202">
        <v>0</v>
      </c>
      <c r="AV318" s="202">
        <v>3.5</v>
      </c>
      <c r="AW318"/>
      <c r="AX318"/>
      <c r="AY318"/>
    </row>
    <row r="319" spans="1:51">
      <c r="A319" s="202" t="str">
        <f t="shared" si="19"/>
        <v>李富平</v>
      </c>
      <c r="B319" s="202">
        <f>IF(C319&lt;&gt;"NA",C319,VLOOKUP(K319,Update_from_YIFIP!$X$2:$AD$174,7,FALSE))</f>
        <v>171</v>
      </c>
      <c r="C319" s="207">
        <f t="shared" si="16"/>
        <v>171</v>
      </c>
      <c r="D319" s="207">
        <f t="shared" si="17"/>
        <v>171</v>
      </c>
      <c r="E319" s="202" t="s">
        <v>2057</v>
      </c>
      <c r="F319" s="202" t="s">
        <v>2716</v>
      </c>
      <c r="G319" s="202" t="s">
        <v>2717</v>
      </c>
      <c r="H319" s="207" t="str">
        <f t="shared" si="18"/>
        <v>NA</v>
      </c>
      <c r="I319" s="202" t="s">
        <v>1929</v>
      </c>
      <c r="J319" s="202" t="s">
        <v>2712</v>
      </c>
      <c r="K319" s="202" t="s">
        <v>2719</v>
      </c>
      <c r="L319" s="202" t="s">
        <v>1440</v>
      </c>
      <c r="M319" s="202">
        <v>5</v>
      </c>
      <c r="N319" s="202">
        <v>0</v>
      </c>
      <c r="O319" s="202">
        <v>66</v>
      </c>
      <c r="P319" s="202">
        <v>15</v>
      </c>
      <c r="Q319" s="202">
        <v>13</v>
      </c>
      <c r="R319" s="202">
        <v>17</v>
      </c>
      <c r="S319" s="202">
        <v>12</v>
      </c>
      <c r="T319" s="202">
        <v>9</v>
      </c>
      <c r="U319" s="202">
        <v>0</v>
      </c>
      <c r="V319" s="202">
        <v>0</v>
      </c>
      <c r="W319" s="202">
        <v>0</v>
      </c>
      <c r="X319" s="202">
        <v>0</v>
      </c>
      <c r="Y319" s="202">
        <v>0</v>
      </c>
      <c r="Z319" s="202">
        <v>0</v>
      </c>
      <c r="AA319" s="202">
        <v>0</v>
      </c>
      <c r="AB319" s="202">
        <v>0</v>
      </c>
      <c r="AC319" s="202">
        <v>0</v>
      </c>
      <c r="AD319" s="202">
        <v>0</v>
      </c>
      <c r="AE319" s="202">
        <v>0</v>
      </c>
      <c r="AF319" s="202">
        <v>0</v>
      </c>
      <c r="AG319" s="202">
        <v>0</v>
      </c>
      <c r="AH319" s="202">
        <v>0</v>
      </c>
      <c r="AI319" s="202">
        <v>0</v>
      </c>
      <c r="AJ319" s="202">
        <v>0</v>
      </c>
      <c r="AK319" s="202">
        <v>0</v>
      </c>
      <c r="AL319" s="202">
        <v>0</v>
      </c>
      <c r="AM319" s="202">
        <v>0</v>
      </c>
      <c r="AN319" s="202">
        <v>0</v>
      </c>
      <c r="AO319" s="202">
        <v>0</v>
      </c>
      <c r="AP319" s="202">
        <v>0</v>
      </c>
      <c r="AQ319" s="202" t="s">
        <v>2456</v>
      </c>
      <c r="AR319" s="202">
        <v>0</v>
      </c>
      <c r="AS319" s="202">
        <v>0</v>
      </c>
      <c r="AT319" s="202">
        <v>10</v>
      </c>
      <c r="AU319" s="202">
        <v>0</v>
      </c>
      <c r="AV319" s="202">
        <v>2</v>
      </c>
      <c r="AW319"/>
      <c r="AX319"/>
      <c r="AY319"/>
    </row>
    <row r="320" spans="1:51">
      <c r="A320" s="202" t="str">
        <f t="shared" si="19"/>
        <v>李富平</v>
      </c>
      <c r="B320" s="202">
        <f>IF(C320&lt;&gt;"NA",C320,VLOOKUP(K320,Update_from_YIFIP!$X$2:$AD$174,7,FALSE))</f>
        <v>171</v>
      </c>
      <c r="C320" s="207">
        <f t="shared" si="16"/>
        <v>171</v>
      </c>
      <c r="D320" s="207">
        <f t="shared" si="17"/>
        <v>171</v>
      </c>
      <c r="E320" s="202" t="s">
        <v>2057</v>
      </c>
      <c r="F320" s="202" t="s">
        <v>2716</v>
      </c>
      <c r="G320" s="202" t="s">
        <v>2717</v>
      </c>
      <c r="H320" s="207" t="str">
        <f t="shared" si="18"/>
        <v>NA</v>
      </c>
      <c r="I320" s="202" t="s">
        <v>1929</v>
      </c>
      <c r="J320" s="202" t="s">
        <v>2712</v>
      </c>
      <c r="K320" s="202" t="s">
        <v>2721</v>
      </c>
      <c r="L320" s="202" t="s">
        <v>1441</v>
      </c>
      <c r="M320" s="202">
        <v>10</v>
      </c>
      <c r="N320" s="202">
        <v>0</v>
      </c>
      <c r="O320" s="202">
        <v>122</v>
      </c>
      <c r="P320" s="202">
        <v>12</v>
      </c>
      <c r="Q320" s="202">
        <v>22</v>
      </c>
      <c r="R320" s="202">
        <v>15</v>
      </c>
      <c r="S320" s="202">
        <v>17</v>
      </c>
      <c r="T320" s="202">
        <v>9</v>
      </c>
      <c r="U320" s="202">
        <v>10</v>
      </c>
      <c r="V320" s="202">
        <v>16</v>
      </c>
      <c r="W320" s="202">
        <v>7</v>
      </c>
      <c r="X320" s="202">
        <v>7</v>
      </c>
      <c r="Y320" s="202">
        <v>7</v>
      </c>
      <c r="Z320" s="202">
        <v>0</v>
      </c>
      <c r="AA320" s="202">
        <v>0</v>
      </c>
      <c r="AB320" s="202">
        <v>0</v>
      </c>
      <c r="AC320" s="202">
        <v>0</v>
      </c>
      <c r="AD320" s="202">
        <v>0</v>
      </c>
      <c r="AE320" s="202">
        <v>0</v>
      </c>
      <c r="AF320" s="202">
        <v>0</v>
      </c>
      <c r="AG320" s="202">
        <v>0</v>
      </c>
      <c r="AH320" s="202">
        <v>0</v>
      </c>
      <c r="AI320" s="202">
        <v>0</v>
      </c>
      <c r="AJ320" s="202">
        <v>0</v>
      </c>
      <c r="AK320" s="202">
        <v>0</v>
      </c>
      <c r="AL320" s="202">
        <v>0</v>
      </c>
      <c r="AM320" s="202">
        <v>0</v>
      </c>
      <c r="AN320" s="202">
        <v>0</v>
      </c>
      <c r="AO320" s="202">
        <v>0</v>
      </c>
      <c r="AP320" s="202">
        <v>0</v>
      </c>
      <c r="AQ320" s="202" t="s">
        <v>2720</v>
      </c>
      <c r="AR320" s="202">
        <v>0</v>
      </c>
      <c r="AS320" s="202">
        <v>0</v>
      </c>
      <c r="AT320" s="202">
        <v>23.5</v>
      </c>
      <c r="AU320" s="202" t="s">
        <v>2722</v>
      </c>
      <c r="AV320" s="202">
        <v>4.7</v>
      </c>
      <c r="AW320"/>
      <c r="AX320"/>
      <c r="AY320"/>
    </row>
    <row r="321" spans="1:51">
      <c r="A321" s="202" t="str">
        <f t="shared" si="19"/>
        <v>李富平</v>
      </c>
      <c r="B321" s="202">
        <f>IF(C321&lt;&gt;"NA",C321,VLOOKUP(K321,Update_from_YIFIP!$X$2:$AD$174,7,FALSE))</f>
        <v>171</v>
      </c>
      <c r="C321" s="207">
        <f t="shared" si="16"/>
        <v>171</v>
      </c>
      <c r="D321" s="207">
        <f t="shared" si="17"/>
        <v>171</v>
      </c>
      <c r="E321" s="202" t="s">
        <v>2057</v>
      </c>
      <c r="F321" s="202" t="s">
        <v>2716</v>
      </c>
      <c r="G321" s="202" t="s">
        <v>2717</v>
      </c>
      <c r="H321" s="207" t="str">
        <f t="shared" si="18"/>
        <v>NA</v>
      </c>
      <c r="I321" s="202" t="s">
        <v>1929</v>
      </c>
      <c r="J321" s="202" t="s">
        <v>2712</v>
      </c>
      <c r="K321" s="202" t="s">
        <v>2723</v>
      </c>
      <c r="L321" s="202" t="s">
        <v>1442</v>
      </c>
      <c r="M321" s="202">
        <v>5</v>
      </c>
      <c r="N321" s="202">
        <v>0</v>
      </c>
      <c r="O321" s="202">
        <v>20</v>
      </c>
      <c r="P321" s="202">
        <v>5</v>
      </c>
      <c r="Q321" s="202">
        <v>8</v>
      </c>
      <c r="R321" s="202">
        <v>2</v>
      </c>
      <c r="S321" s="202">
        <v>5</v>
      </c>
      <c r="T321" s="202">
        <v>0</v>
      </c>
      <c r="U321" s="202">
        <v>0</v>
      </c>
      <c r="V321" s="202">
        <v>0</v>
      </c>
      <c r="W321" s="202">
        <v>0</v>
      </c>
      <c r="X321" s="202">
        <v>0</v>
      </c>
      <c r="Y321" s="202">
        <v>0</v>
      </c>
      <c r="Z321" s="202">
        <v>0</v>
      </c>
      <c r="AA321" s="202">
        <v>0</v>
      </c>
      <c r="AB321" s="202">
        <v>0</v>
      </c>
      <c r="AC321" s="202">
        <v>0</v>
      </c>
      <c r="AD321" s="202">
        <v>0</v>
      </c>
      <c r="AE321" s="202">
        <v>0</v>
      </c>
      <c r="AF321" s="202">
        <v>0</v>
      </c>
      <c r="AG321" s="202">
        <v>0</v>
      </c>
      <c r="AH321" s="202">
        <v>0</v>
      </c>
      <c r="AI321" s="202">
        <v>0</v>
      </c>
      <c r="AJ321" s="202">
        <v>0</v>
      </c>
      <c r="AK321" s="202">
        <v>0</v>
      </c>
      <c r="AL321" s="202">
        <v>0</v>
      </c>
      <c r="AM321" s="202">
        <v>0</v>
      </c>
      <c r="AN321" s="202">
        <v>0</v>
      </c>
      <c r="AO321" s="202">
        <v>0</v>
      </c>
      <c r="AP321" s="202">
        <v>0</v>
      </c>
      <c r="AQ321" s="202" t="s">
        <v>2720</v>
      </c>
      <c r="AR321" s="202">
        <v>0</v>
      </c>
      <c r="AS321" s="202">
        <v>0</v>
      </c>
      <c r="AT321" s="202">
        <v>5</v>
      </c>
      <c r="AU321" s="202">
        <v>0</v>
      </c>
      <c r="AV321" s="202">
        <v>1</v>
      </c>
      <c r="AW321"/>
      <c r="AX321"/>
      <c r="AY321"/>
    </row>
    <row r="322" spans="1:51">
      <c r="A322" s="202" t="str">
        <f t="shared" si="19"/>
        <v>李富平</v>
      </c>
      <c r="B322" s="202">
        <f>IF(C322&lt;&gt;"NA",C322,VLOOKUP(K322,Update_from_YIFIP!$X$2:$AD$174,7,FALSE))</f>
        <v>171</v>
      </c>
      <c r="C322" s="207">
        <f t="shared" ref="C322:C385" si="20">IF(H322=D322,H322,IF(ISNUMBER(H322-D322),CONCATENATE(H322," or ",D322),IF(ISNUMBER(H322),H322,D322)))</f>
        <v>171</v>
      </c>
      <c r="D322" s="207">
        <f t="shared" ref="D322:D353" si="21">IF(ISNA(VLOOKUP(E322,$AX$2:$AY$173,2,FALSE)) = TRUE, "NA", VLOOKUP(E322,$AX$2:$AY$173,2,FALSE))</f>
        <v>171</v>
      </c>
      <c r="E322" s="202" t="s">
        <v>2057</v>
      </c>
      <c r="F322" s="202" t="s">
        <v>2716</v>
      </c>
      <c r="G322" s="202" t="s">
        <v>2717</v>
      </c>
      <c r="H322" s="207" t="str">
        <f t="shared" ref="H322:H385" si="22">IF(ISNA(VLOOKUP(I322,$AX$2:$AY$173,2,FALSE)) = TRUE, "NA", VLOOKUP(I322,$AX$2:$AY$173,2,FALSE))</f>
        <v>NA</v>
      </c>
      <c r="I322" s="202" t="s">
        <v>1929</v>
      </c>
      <c r="J322" s="202" t="s">
        <v>2712</v>
      </c>
      <c r="K322" s="202" t="s">
        <v>2724</v>
      </c>
      <c r="L322" s="202" t="s">
        <v>1443</v>
      </c>
      <c r="M322" s="202">
        <v>0</v>
      </c>
      <c r="N322" s="202">
        <v>8</v>
      </c>
      <c r="O322" s="202">
        <v>50</v>
      </c>
      <c r="P322" s="202">
        <v>6</v>
      </c>
      <c r="Q322" s="202">
        <v>2</v>
      </c>
      <c r="R322" s="202">
        <v>5</v>
      </c>
      <c r="S322" s="202">
        <v>7</v>
      </c>
      <c r="T322" s="202">
        <v>7</v>
      </c>
      <c r="U322" s="202">
        <v>7</v>
      </c>
      <c r="V322" s="202">
        <v>7</v>
      </c>
      <c r="W322" s="202">
        <v>9</v>
      </c>
      <c r="X322" s="202">
        <v>0</v>
      </c>
      <c r="Y322" s="202">
        <v>0</v>
      </c>
      <c r="Z322" s="202">
        <v>0</v>
      </c>
      <c r="AA322" s="202">
        <v>0</v>
      </c>
      <c r="AB322" s="202">
        <v>0</v>
      </c>
      <c r="AC322" s="202">
        <v>0</v>
      </c>
      <c r="AD322" s="202">
        <v>0</v>
      </c>
      <c r="AE322" s="202">
        <v>0</v>
      </c>
      <c r="AF322" s="202">
        <v>0</v>
      </c>
      <c r="AG322" s="202">
        <v>0</v>
      </c>
      <c r="AH322" s="202">
        <v>0</v>
      </c>
      <c r="AI322" s="202">
        <v>0</v>
      </c>
      <c r="AJ322" s="202">
        <v>0</v>
      </c>
      <c r="AK322" s="202">
        <v>0</v>
      </c>
      <c r="AL322" s="202">
        <v>0</v>
      </c>
      <c r="AM322" s="202">
        <v>0</v>
      </c>
      <c r="AN322" s="202">
        <v>0</v>
      </c>
      <c r="AO322" s="202">
        <v>0</v>
      </c>
      <c r="AP322" s="202">
        <v>0</v>
      </c>
      <c r="AQ322" s="202" t="s">
        <v>2588</v>
      </c>
      <c r="AR322" s="202">
        <v>0</v>
      </c>
      <c r="AS322" s="202">
        <v>0</v>
      </c>
      <c r="AT322" s="202">
        <v>12.5</v>
      </c>
      <c r="AU322" s="202">
        <v>0</v>
      </c>
      <c r="AV322" s="202">
        <v>2.5</v>
      </c>
      <c r="AW322"/>
      <c r="AX322"/>
      <c r="AY322"/>
    </row>
    <row r="323" spans="1:51">
      <c r="A323" s="202" t="str">
        <f t="shared" ref="A323:A386" si="23">IF(I323="NA",E323,CONCATENATE(E323,"&amp;",I323))</f>
        <v>李富平</v>
      </c>
      <c r="B323" s="202">
        <f>IF(C323&lt;&gt;"NA",C323,VLOOKUP(K323,Update_from_YIFIP!$X$2:$AD$174,7,FALSE))</f>
        <v>171</v>
      </c>
      <c r="C323" s="207">
        <f t="shared" si="20"/>
        <v>171</v>
      </c>
      <c r="D323" s="207">
        <f t="shared" si="21"/>
        <v>171</v>
      </c>
      <c r="E323" s="202" t="s">
        <v>2057</v>
      </c>
      <c r="F323" s="202" t="s">
        <v>2716</v>
      </c>
      <c r="G323" s="202" t="s">
        <v>2717</v>
      </c>
      <c r="H323" s="207" t="str">
        <f t="shared" si="22"/>
        <v>NA</v>
      </c>
      <c r="I323" s="202" t="s">
        <v>1929</v>
      </c>
      <c r="J323" s="202" t="s">
        <v>2712</v>
      </c>
      <c r="K323" s="202" t="s">
        <v>2726</v>
      </c>
      <c r="L323" s="202" t="s">
        <v>1444</v>
      </c>
      <c r="M323" s="202">
        <v>0</v>
      </c>
      <c r="N323" s="202">
        <v>4</v>
      </c>
      <c r="O323" s="202">
        <v>14</v>
      </c>
      <c r="P323" s="202">
        <v>2</v>
      </c>
      <c r="Q323" s="202">
        <v>4</v>
      </c>
      <c r="R323" s="202">
        <v>4</v>
      </c>
      <c r="S323" s="202">
        <v>4</v>
      </c>
      <c r="T323" s="202">
        <v>0</v>
      </c>
      <c r="U323" s="202">
        <v>0</v>
      </c>
      <c r="V323" s="202">
        <v>0</v>
      </c>
      <c r="W323" s="202">
        <v>0</v>
      </c>
      <c r="X323" s="202">
        <v>0</v>
      </c>
      <c r="Y323" s="202">
        <v>0</v>
      </c>
      <c r="Z323" s="202">
        <v>0</v>
      </c>
      <c r="AA323" s="202">
        <v>0</v>
      </c>
      <c r="AB323" s="202">
        <v>0</v>
      </c>
      <c r="AC323" s="202">
        <v>0</v>
      </c>
      <c r="AD323" s="202">
        <v>0</v>
      </c>
      <c r="AE323" s="202">
        <v>0</v>
      </c>
      <c r="AF323" s="202">
        <v>0</v>
      </c>
      <c r="AG323" s="202">
        <v>0</v>
      </c>
      <c r="AH323" s="202">
        <v>0</v>
      </c>
      <c r="AI323" s="202">
        <v>0</v>
      </c>
      <c r="AJ323" s="202">
        <v>0</v>
      </c>
      <c r="AK323" s="202">
        <v>0</v>
      </c>
      <c r="AL323" s="202">
        <v>0</v>
      </c>
      <c r="AM323" s="202">
        <v>0</v>
      </c>
      <c r="AN323" s="202">
        <v>0</v>
      </c>
      <c r="AO323" s="202">
        <v>0</v>
      </c>
      <c r="AP323" s="202">
        <v>0</v>
      </c>
      <c r="AQ323" s="202" t="s">
        <v>2725</v>
      </c>
      <c r="AR323" s="202">
        <v>0</v>
      </c>
      <c r="AS323" s="202">
        <v>0</v>
      </c>
      <c r="AT323" s="202">
        <v>5</v>
      </c>
      <c r="AU323" s="202">
        <v>0</v>
      </c>
      <c r="AV323" s="202">
        <v>1</v>
      </c>
      <c r="AW323"/>
      <c r="AX323"/>
      <c r="AY323"/>
    </row>
    <row r="324" spans="1:51">
      <c r="A324" s="202" t="str">
        <f t="shared" si="23"/>
        <v>李富平</v>
      </c>
      <c r="B324" s="202">
        <f>IF(C324&lt;&gt;"NA",C324,VLOOKUP(K324,Update_from_YIFIP!$X$2:$AD$174,7,FALSE))</f>
        <v>171</v>
      </c>
      <c r="C324" s="207">
        <f t="shared" si="20"/>
        <v>171</v>
      </c>
      <c r="D324" s="207">
        <f t="shared" si="21"/>
        <v>171</v>
      </c>
      <c r="E324" s="202" t="s">
        <v>2057</v>
      </c>
      <c r="F324" s="202" t="s">
        <v>2716</v>
      </c>
      <c r="G324" s="202" t="s">
        <v>2717</v>
      </c>
      <c r="H324" s="207" t="str">
        <f t="shared" si="22"/>
        <v>NA</v>
      </c>
      <c r="I324" s="202" t="s">
        <v>1929</v>
      </c>
      <c r="J324" s="202" t="s">
        <v>2712</v>
      </c>
      <c r="K324" s="202" t="s">
        <v>2727</v>
      </c>
      <c r="L324" s="202" t="s">
        <v>1445</v>
      </c>
      <c r="M324" s="202">
        <v>0</v>
      </c>
      <c r="N324" s="202">
        <v>6</v>
      </c>
      <c r="O324" s="202">
        <v>32</v>
      </c>
      <c r="P324" s="202">
        <v>2</v>
      </c>
      <c r="Q324" s="202">
        <v>6</v>
      </c>
      <c r="R324" s="202">
        <v>4</v>
      </c>
      <c r="S324" s="202">
        <v>5</v>
      </c>
      <c r="T324" s="202">
        <v>6</v>
      </c>
      <c r="U324" s="202">
        <v>9</v>
      </c>
      <c r="V324" s="202">
        <v>0</v>
      </c>
      <c r="W324" s="202">
        <v>0</v>
      </c>
      <c r="X324" s="202">
        <v>0</v>
      </c>
      <c r="Y324" s="202">
        <v>0</v>
      </c>
      <c r="Z324" s="202">
        <v>0</v>
      </c>
      <c r="AA324" s="202">
        <v>0</v>
      </c>
      <c r="AB324" s="202">
        <v>0</v>
      </c>
      <c r="AC324" s="202">
        <v>0</v>
      </c>
      <c r="AD324" s="202">
        <v>0</v>
      </c>
      <c r="AE324" s="202">
        <v>0</v>
      </c>
      <c r="AF324" s="202">
        <v>0</v>
      </c>
      <c r="AG324" s="202">
        <v>0</v>
      </c>
      <c r="AH324" s="202">
        <v>0</v>
      </c>
      <c r="AI324" s="202">
        <v>0</v>
      </c>
      <c r="AJ324" s="202">
        <v>0</v>
      </c>
      <c r="AK324" s="202">
        <v>0</v>
      </c>
      <c r="AL324" s="202">
        <v>0</v>
      </c>
      <c r="AM324" s="202">
        <v>0</v>
      </c>
      <c r="AN324" s="202">
        <v>0</v>
      </c>
      <c r="AO324" s="202">
        <v>0</v>
      </c>
      <c r="AP324" s="202">
        <v>0</v>
      </c>
      <c r="AQ324" s="202" t="s">
        <v>343</v>
      </c>
      <c r="AR324" s="202">
        <v>0</v>
      </c>
      <c r="AS324" s="202">
        <v>0</v>
      </c>
      <c r="AT324" s="202">
        <v>7.5</v>
      </c>
      <c r="AU324" s="202">
        <v>0</v>
      </c>
      <c r="AV324" s="202">
        <v>1.5</v>
      </c>
      <c r="AW324"/>
      <c r="AX324"/>
      <c r="AY324"/>
    </row>
    <row r="325" spans="1:51">
      <c r="A325" s="202" t="str">
        <f t="shared" si="23"/>
        <v>周强&amp;李有国</v>
      </c>
      <c r="B325" s="202" t="str">
        <f>IF(C325&lt;&gt;"NA",C325,VLOOKUP(K325,Update_from_YIFIP!$X$2:$AD$174,7,FALSE))</f>
        <v>25 or 24</v>
      </c>
      <c r="C325" s="207" t="str">
        <f t="shared" si="20"/>
        <v>25 or 24</v>
      </c>
      <c r="D325" s="207">
        <f t="shared" si="21"/>
        <v>24</v>
      </c>
      <c r="E325" s="202" t="s">
        <v>2162</v>
      </c>
      <c r="F325" s="202" t="s">
        <v>2207</v>
      </c>
      <c r="G325" s="202" t="s">
        <v>2208</v>
      </c>
      <c r="H325" s="207">
        <f t="shared" si="22"/>
        <v>25</v>
      </c>
      <c r="I325" s="202" t="s">
        <v>2085</v>
      </c>
      <c r="J325" s="202" t="s">
        <v>7</v>
      </c>
      <c r="K325" s="202" t="s">
        <v>2206</v>
      </c>
      <c r="L325" s="202" t="s">
        <v>1167</v>
      </c>
      <c r="M325" s="202">
        <v>10</v>
      </c>
      <c r="N325" s="202">
        <v>0</v>
      </c>
      <c r="O325" s="202">
        <v>54</v>
      </c>
      <c r="P325" s="202">
        <v>6</v>
      </c>
      <c r="Q325" s="202">
        <v>12</v>
      </c>
      <c r="R325" s="202">
        <v>6</v>
      </c>
      <c r="S325" s="202">
        <v>3</v>
      </c>
      <c r="T325" s="202">
        <v>3</v>
      </c>
      <c r="U325" s="202">
        <v>4</v>
      </c>
      <c r="V325" s="202">
        <v>7</v>
      </c>
      <c r="W325" s="202">
        <v>6</v>
      </c>
      <c r="X325" s="202">
        <v>2</v>
      </c>
      <c r="Y325" s="202">
        <v>5</v>
      </c>
      <c r="Z325" s="202">
        <v>0</v>
      </c>
      <c r="AA325" s="202">
        <v>0</v>
      </c>
      <c r="AB325" s="202">
        <v>0</v>
      </c>
      <c r="AC325" s="202">
        <v>0</v>
      </c>
      <c r="AD325" s="202">
        <v>0</v>
      </c>
      <c r="AE325" s="202">
        <v>0</v>
      </c>
      <c r="AF325" s="202">
        <v>0</v>
      </c>
      <c r="AG325" s="202">
        <v>0</v>
      </c>
      <c r="AH325" s="202">
        <v>0</v>
      </c>
      <c r="AI325" s="202">
        <v>0</v>
      </c>
      <c r="AJ325" s="202">
        <v>0</v>
      </c>
      <c r="AK325" s="202">
        <v>0</v>
      </c>
      <c r="AL325" s="202">
        <v>0</v>
      </c>
      <c r="AM325" s="202">
        <v>0</v>
      </c>
      <c r="AN325" s="202">
        <v>0</v>
      </c>
      <c r="AO325" s="202">
        <v>0</v>
      </c>
      <c r="AP325" s="202">
        <v>0</v>
      </c>
      <c r="AQ325" s="202" t="s">
        <v>1942</v>
      </c>
      <c r="AR325" s="202" t="s">
        <v>1942</v>
      </c>
      <c r="AS325" s="202">
        <v>0</v>
      </c>
      <c r="AT325" s="202">
        <v>6</v>
      </c>
      <c r="AU325" s="202">
        <v>0</v>
      </c>
      <c r="AV325" s="202">
        <v>1.2</v>
      </c>
      <c r="AW325"/>
      <c r="AX325"/>
      <c r="AY325"/>
    </row>
    <row r="326" spans="1:51">
      <c r="A326" s="202" t="str">
        <f t="shared" si="23"/>
        <v>周强&amp;李有国</v>
      </c>
      <c r="B326" s="202" t="str">
        <f>IF(C326&lt;&gt;"NA",C326,VLOOKUP(K326,Update_from_YIFIP!$X$2:$AD$174,7,FALSE))</f>
        <v>25 or 24</v>
      </c>
      <c r="C326" s="207" t="str">
        <f t="shared" si="20"/>
        <v>25 or 24</v>
      </c>
      <c r="D326" s="207">
        <f t="shared" si="21"/>
        <v>24</v>
      </c>
      <c r="E326" s="202" t="s">
        <v>2162</v>
      </c>
      <c r="F326" s="202" t="s">
        <v>2207</v>
      </c>
      <c r="G326" s="202" t="s">
        <v>2208</v>
      </c>
      <c r="H326" s="207">
        <f t="shared" si="22"/>
        <v>25</v>
      </c>
      <c r="I326" s="202" t="s">
        <v>2085</v>
      </c>
      <c r="J326" s="202" t="s">
        <v>7</v>
      </c>
      <c r="K326" s="202" t="s">
        <v>2209</v>
      </c>
      <c r="L326" s="202" t="s">
        <v>1168</v>
      </c>
      <c r="M326" s="202">
        <v>10</v>
      </c>
      <c r="N326" s="202">
        <v>0</v>
      </c>
      <c r="O326" s="202">
        <v>39</v>
      </c>
      <c r="P326" s="202">
        <v>5</v>
      </c>
      <c r="Q326" s="202">
        <v>3</v>
      </c>
      <c r="R326" s="202">
        <v>5</v>
      </c>
      <c r="S326" s="202">
        <v>5</v>
      </c>
      <c r="T326" s="202">
        <v>4</v>
      </c>
      <c r="U326" s="202">
        <v>3</v>
      </c>
      <c r="V326" s="202">
        <v>3</v>
      </c>
      <c r="W326" s="202">
        <v>3</v>
      </c>
      <c r="X326" s="202">
        <v>4</v>
      </c>
      <c r="Y326" s="202">
        <v>4</v>
      </c>
      <c r="Z326" s="202">
        <v>0</v>
      </c>
      <c r="AA326" s="202">
        <v>0</v>
      </c>
      <c r="AB326" s="202">
        <v>0</v>
      </c>
      <c r="AC326" s="202">
        <v>0</v>
      </c>
      <c r="AD326" s="202">
        <v>0</v>
      </c>
      <c r="AE326" s="202">
        <v>0</v>
      </c>
      <c r="AF326" s="202">
        <v>0</v>
      </c>
      <c r="AG326" s="202">
        <v>0</v>
      </c>
      <c r="AH326" s="202">
        <v>0</v>
      </c>
      <c r="AI326" s="202">
        <v>0</v>
      </c>
      <c r="AJ326" s="202">
        <v>0</v>
      </c>
      <c r="AK326" s="202">
        <v>0</v>
      </c>
      <c r="AL326" s="202">
        <v>0</v>
      </c>
      <c r="AM326" s="202">
        <v>0</v>
      </c>
      <c r="AN326" s="202">
        <v>0</v>
      </c>
      <c r="AO326" s="202">
        <v>0</v>
      </c>
      <c r="AP326" s="202">
        <v>0</v>
      </c>
      <c r="AQ326" s="202" t="s">
        <v>1943</v>
      </c>
      <c r="AR326" s="202" t="s">
        <v>1943</v>
      </c>
      <c r="AS326" s="202">
        <v>0</v>
      </c>
      <c r="AT326" s="202">
        <v>6</v>
      </c>
      <c r="AU326" s="202">
        <v>0</v>
      </c>
      <c r="AV326" s="202">
        <v>1.2</v>
      </c>
      <c r="AW326"/>
      <c r="AX326"/>
      <c r="AY326"/>
    </row>
    <row r="327" spans="1:51">
      <c r="A327" s="202" t="str">
        <f t="shared" si="23"/>
        <v>周强&amp;李有国</v>
      </c>
      <c r="B327" s="202" t="str">
        <f>IF(C327&lt;&gt;"NA",C327,VLOOKUP(K327,Update_from_YIFIP!$X$2:$AD$174,7,FALSE))</f>
        <v>25 or 24</v>
      </c>
      <c r="C327" s="207" t="str">
        <f t="shared" si="20"/>
        <v>25 or 24</v>
      </c>
      <c r="D327" s="207">
        <f t="shared" si="21"/>
        <v>24</v>
      </c>
      <c r="E327" s="202" t="s">
        <v>2162</v>
      </c>
      <c r="F327" s="202" t="s">
        <v>2207</v>
      </c>
      <c r="G327" s="202" t="s">
        <v>2208</v>
      </c>
      <c r="H327" s="207">
        <f t="shared" si="22"/>
        <v>25</v>
      </c>
      <c r="I327" s="202" t="s">
        <v>2085</v>
      </c>
      <c r="J327" s="202" t="s">
        <v>7</v>
      </c>
      <c r="K327" s="202" t="s">
        <v>2206</v>
      </c>
      <c r="L327" s="202" t="s">
        <v>1169</v>
      </c>
      <c r="M327" s="202">
        <v>10</v>
      </c>
      <c r="N327" s="202">
        <v>0</v>
      </c>
      <c r="O327" s="202">
        <v>40</v>
      </c>
      <c r="P327" s="202">
        <v>4</v>
      </c>
      <c r="Q327" s="202">
        <v>3</v>
      </c>
      <c r="R327" s="202">
        <v>2</v>
      </c>
      <c r="S327" s="202">
        <v>5</v>
      </c>
      <c r="T327" s="202">
        <v>2</v>
      </c>
      <c r="U327" s="202">
        <v>4</v>
      </c>
      <c r="V327" s="202">
        <v>5</v>
      </c>
      <c r="W327" s="202">
        <v>3</v>
      </c>
      <c r="X327" s="202">
        <v>6</v>
      </c>
      <c r="Y327" s="202">
        <v>6</v>
      </c>
      <c r="Z327" s="202">
        <v>0</v>
      </c>
      <c r="AA327" s="202">
        <v>0</v>
      </c>
      <c r="AB327" s="202">
        <v>0</v>
      </c>
      <c r="AC327" s="202">
        <v>0</v>
      </c>
      <c r="AD327" s="202">
        <v>0</v>
      </c>
      <c r="AE327" s="202">
        <v>0</v>
      </c>
      <c r="AF327" s="202">
        <v>0</v>
      </c>
      <c r="AG327" s="202">
        <v>0</v>
      </c>
      <c r="AH327" s="202">
        <v>0</v>
      </c>
      <c r="AI327" s="202">
        <v>0</v>
      </c>
      <c r="AJ327" s="202">
        <v>0</v>
      </c>
      <c r="AK327" s="202">
        <v>0</v>
      </c>
      <c r="AL327" s="202">
        <v>0</v>
      </c>
      <c r="AM327" s="202">
        <v>0</v>
      </c>
      <c r="AN327" s="202">
        <v>0</v>
      </c>
      <c r="AO327" s="202">
        <v>0</v>
      </c>
      <c r="AP327" s="202">
        <v>0</v>
      </c>
      <c r="AQ327" s="202" t="s">
        <v>1944</v>
      </c>
      <c r="AR327" s="202" t="s">
        <v>1944</v>
      </c>
      <c r="AS327" s="202">
        <v>0</v>
      </c>
      <c r="AT327" s="202">
        <v>6</v>
      </c>
      <c r="AU327" s="202">
        <v>0</v>
      </c>
      <c r="AV327" s="202">
        <v>1.2</v>
      </c>
      <c r="AW327"/>
      <c r="AX327"/>
      <c r="AY327"/>
    </row>
    <row r="328" spans="1:51">
      <c r="A328" s="202" t="str">
        <f t="shared" si="23"/>
        <v>周强&amp;李有国</v>
      </c>
      <c r="B328" s="202" t="str">
        <f>IF(C328&lt;&gt;"NA",C328,VLOOKUP(K328,Update_from_YIFIP!$X$2:$AD$174,7,FALSE))</f>
        <v>25 or 24</v>
      </c>
      <c r="C328" s="207" t="str">
        <f t="shared" si="20"/>
        <v>25 or 24</v>
      </c>
      <c r="D328" s="207">
        <f t="shared" si="21"/>
        <v>24</v>
      </c>
      <c r="E328" s="202" t="s">
        <v>2162</v>
      </c>
      <c r="F328" s="202" t="s">
        <v>2207</v>
      </c>
      <c r="G328" s="202" t="s">
        <v>2208</v>
      </c>
      <c r="H328" s="207">
        <f t="shared" si="22"/>
        <v>25</v>
      </c>
      <c r="I328" s="202" t="s">
        <v>2085</v>
      </c>
      <c r="J328" s="202" t="s">
        <v>7</v>
      </c>
      <c r="K328" s="202" t="s">
        <v>2206</v>
      </c>
      <c r="L328" s="202" t="s">
        <v>1170</v>
      </c>
      <c r="M328" s="202">
        <v>10</v>
      </c>
      <c r="N328" s="202">
        <v>0</v>
      </c>
      <c r="O328" s="202">
        <v>39</v>
      </c>
      <c r="P328" s="202">
        <v>3</v>
      </c>
      <c r="Q328" s="202">
        <v>4</v>
      </c>
      <c r="R328" s="202">
        <v>4</v>
      </c>
      <c r="S328" s="202">
        <v>2</v>
      </c>
      <c r="T328" s="202">
        <v>5</v>
      </c>
      <c r="U328" s="202">
        <v>4</v>
      </c>
      <c r="V328" s="202">
        <v>3</v>
      </c>
      <c r="W328" s="202">
        <v>5</v>
      </c>
      <c r="X328" s="202">
        <v>5</v>
      </c>
      <c r="Y328" s="202">
        <v>4</v>
      </c>
      <c r="Z328" s="202">
        <v>0</v>
      </c>
      <c r="AA328" s="202">
        <v>0</v>
      </c>
      <c r="AB328" s="202">
        <v>0</v>
      </c>
      <c r="AC328" s="202">
        <v>0</v>
      </c>
      <c r="AD328" s="202">
        <v>0</v>
      </c>
      <c r="AE328" s="202">
        <v>0</v>
      </c>
      <c r="AF328" s="202">
        <v>0</v>
      </c>
      <c r="AG328" s="202">
        <v>0</v>
      </c>
      <c r="AH328" s="202">
        <v>0</v>
      </c>
      <c r="AI328" s="202">
        <v>0</v>
      </c>
      <c r="AJ328" s="202">
        <v>0</v>
      </c>
      <c r="AK328" s="202">
        <v>0</v>
      </c>
      <c r="AL328" s="202">
        <v>0</v>
      </c>
      <c r="AM328" s="202">
        <v>0</v>
      </c>
      <c r="AN328" s="202">
        <v>0</v>
      </c>
      <c r="AO328" s="202">
        <v>0</v>
      </c>
      <c r="AP328" s="202">
        <v>0</v>
      </c>
      <c r="AQ328" s="202" t="s">
        <v>1945</v>
      </c>
      <c r="AR328" s="202" t="s">
        <v>1945</v>
      </c>
      <c r="AS328" s="202">
        <v>0</v>
      </c>
      <c r="AT328" s="202">
        <v>6</v>
      </c>
      <c r="AU328" s="202">
        <v>0</v>
      </c>
      <c r="AV328" s="202">
        <v>1.2</v>
      </c>
      <c r="AW328"/>
      <c r="AX328"/>
      <c r="AY328"/>
    </row>
    <row r="329" spans="1:51">
      <c r="A329" s="202" t="str">
        <f t="shared" si="23"/>
        <v>王炳富&amp;李开华</v>
      </c>
      <c r="B329" s="202" t="str">
        <f>IF(C329&lt;&gt;"NA",C329,VLOOKUP(K329,Update_from_YIFIP!$X$2:$AD$174,7,FALSE))</f>
        <v>28 or 27</v>
      </c>
      <c r="C329" s="207" t="str">
        <f t="shared" si="20"/>
        <v>28 or 27</v>
      </c>
      <c r="D329" s="207">
        <f t="shared" si="21"/>
        <v>27</v>
      </c>
      <c r="E329" s="202" t="s">
        <v>2118</v>
      </c>
      <c r="F329" s="202" t="s">
        <v>2393</v>
      </c>
      <c r="G329" s="202" t="s">
        <v>2394</v>
      </c>
      <c r="H329" s="207">
        <f t="shared" si="22"/>
        <v>28</v>
      </c>
      <c r="I329" s="202" t="s">
        <v>2066</v>
      </c>
      <c r="J329" s="202" t="s">
        <v>2391</v>
      </c>
      <c r="K329" s="202" t="s">
        <v>2392</v>
      </c>
      <c r="L329" s="202" t="s">
        <v>1275</v>
      </c>
      <c r="M329" s="202">
        <v>10</v>
      </c>
      <c r="N329" s="202">
        <v>0</v>
      </c>
      <c r="O329" s="202">
        <v>66</v>
      </c>
      <c r="P329" s="202">
        <v>8</v>
      </c>
      <c r="Q329" s="202">
        <v>8</v>
      </c>
      <c r="R329" s="202">
        <v>5</v>
      </c>
      <c r="S329" s="202">
        <v>6</v>
      </c>
      <c r="T329" s="202">
        <v>6</v>
      </c>
      <c r="U329" s="202">
        <v>4</v>
      </c>
      <c r="V329" s="202">
        <v>7</v>
      </c>
      <c r="W329" s="202">
        <v>8</v>
      </c>
      <c r="X329" s="202">
        <v>8</v>
      </c>
      <c r="Y329" s="202">
        <v>6</v>
      </c>
      <c r="Z329" s="202">
        <v>0</v>
      </c>
      <c r="AA329" s="202">
        <v>0</v>
      </c>
      <c r="AB329" s="202">
        <v>0</v>
      </c>
      <c r="AC329" s="202">
        <v>0</v>
      </c>
      <c r="AD329" s="202">
        <v>0</v>
      </c>
      <c r="AE329" s="202">
        <v>0</v>
      </c>
      <c r="AF329" s="202">
        <v>0</v>
      </c>
      <c r="AG329" s="202">
        <v>0</v>
      </c>
      <c r="AH329" s="202">
        <v>0</v>
      </c>
      <c r="AI329" s="202">
        <v>0</v>
      </c>
      <c r="AJ329" s="202">
        <v>0</v>
      </c>
      <c r="AK329" s="202">
        <v>0</v>
      </c>
      <c r="AL329" s="202">
        <v>0</v>
      </c>
      <c r="AM329" s="202">
        <v>0</v>
      </c>
      <c r="AN329" s="202">
        <v>0</v>
      </c>
      <c r="AO329" s="202">
        <v>0</v>
      </c>
      <c r="AP329" s="202">
        <v>0</v>
      </c>
      <c r="AQ329" s="202" t="s">
        <v>1942</v>
      </c>
      <c r="AR329" s="202" t="s">
        <v>1942</v>
      </c>
      <c r="AS329" s="202">
        <v>0</v>
      </c>
      <c r="AT329" s="202">
        <v>7.5</v>
      </c>
      <c r="AU329" s="202">
        <v>0</v>
      </c>
      <c r="AV329" s="202">
        <v>1.5</v>
      </c>
      <c r="AW329"/>
      <c r="AX329"/>
      <c r="AY329"/>
    </row>
    <row r="330" spans="1:51">
      <c r="A330" s="202" t="str">
        <f t="shared" si="23"/>
        <v>王炳富&amp;李开华</v>
      </c>
      <c r="B330" s="202" t="str">
        <f>IF(C330&lt;&gt;"NA",C330,VLOOKUP(K330,Update_from_YIFIP!$X$2:$AD$174,7,FALSE))</f>
        <v>28 or 27</v>
      </c>
      <c r="C330" s="207" t="str">
        <f t="shared" si="20"/>
        <v>28 or 27</v>
      </c>
      <c r="D330" s="207">
        <f t="shared" si="21"/>
        <v>27</v>
      </c>
      <c r="E330" s="202" t="s">
        <v>2118</v>
      </c>
      <c r="F330" s="202" t="s">
        <v>2393</v>
      </c>
      <c r="G330" s="202" t="s">
        <v>2394</v>
      </c>
      <c r="H330" s="207">
        <f t="shared" si="22"/>
        <v>28</v>
      </c>
      <c r="I330" s="202" t="s">
        <v>2066</v>
      </c>
      <c r="J330" s="202" t="s">
        <v>7</v>
      </c>
      <c r="K330" s="202" t="s">
        <v>2395</v>
      </c>
      <c r="L330" s="202" t="s">
        <v>1276</v>
      </c>
      <c r="M330" s="202">
        <v>10</v>
      </c>
      <c r="N330" s="202">
        <v>0</v>
      </c>
      <c r="O330" s="202">
        <v>79</v>
      </c>
      <c r="P330" s="202">
        <v>8</v>
      </c>
      <c r="Q330" s="202">
        <v>2</v>
      </c>
      <c r="R330" s="202">
        <v>10</v>
      </c>
      <c r="S330" s="202">
        <v>4</v>
      </c>
      <c r="T330" s="202">
        <v>8</v>
      </c>
      <c r="U330" s="202">
        <v>9</v>
      </c>
      <c r="V330" s="202">
        <v>8</v>
      </c>
      <c r="W330" s="202">
        <v>12</v>
      </c>
      <c r="X330" s="202">
        <v>3</v>
      </c>
      <c r="Y330" s="202">
        <v>15</v>
      </c>
      <c r="Z330" s="202">
        <v>0</v>
      </c>
      <c r="AA330" s="202">
        <v>0</v>
      </c>
      <c r="AB330" s="202">
        <v>0</v>
      </c>
      <c r="AC330" s="202">
        <v>0</v>
      </c>
      <c r="AD330" s="202">
        <v>0</v>
      </c>
      <c r="AE330" s="202">
        <v>0</v>
      </c>
      <c r="AF330" s="202">
        <v>0</v>
      </c>
      <c r="AG330" s="202">
        <v>0</v>
      </c>
      <c r="AH330" s="202">
        <v>0</v>
      </c>
      <c r="AI330" s="202">
        <v>0</v>
      </c>
      <c r="AJ330" s="202">
        <v>0</v>
      </c>
      <c r="AK330" s="202">
        <v>0</v>
      </c>
      <c r="AL330" s="202">
        <v>0</v>
      </c>
      <c r="AM330" s="202">
        <v>0</v>
      </c>
      <c r="AN330" s="202">
        <v>0</v>
      </c>
      <c r="AO330" s="202">
        <v>0</v>
      </c>
      <c r="AP330" s="202">
        <v>0</v>
      </c>
      <c r="AQ330" s="202" t="s">
        <v>1976</v>
      </c>
      <c r="AR330" s="202" t="s">
        <v>1976</v>
      </c>
      <c r="AS330" s="202">
        <v>0</v>
      </c>
      <c r="AT330" s="202">
        <v>10</v>
      </c>
      <c r="AU330" s="202">
        <v>0</v>
      </c>
      <c r="AV330" s="202">
        <v>2</v>
      </c>
      <c r="AW330"/>
      <c r="AX330"/>
      <c r="AY330"/>
    </row>
    <row r="331" spans="1:51">
      <c r="A331" s="202" t="str">
        <f t="shared" si="23"/>
        <v>王炳富&amp;李开华</v>
      </c>
      <c r="B331" s="202" t="str">
        <f>IF(C331&lt;&gt;"NA",C331,VLOOKUP(K331,Update_from_YIFIP!$X$2:$AD$174,7,FALSE))</f>
        <v>28 or 27</v>
      </c>
      <c r="C331" s="207" t="str">
        <f t="shared" si="20"/>
        <v>28 or 27</v>
      </c>
      <c r="D331" s="207">
        <f t="shared" si="21"/>
        <v>27</v>
      </c>
      <c r="E331" s="202" t="s">
        <v>2118</v>
      </c>
      <c r="F331" s="202" t="s">
        <v>2393</v>
      </c>
      <c r="G331" s="202" t="s">
        <v>2394</v>
      </c>
      <c r="H331" s="207">
        <f t="shared" si="22"/>
        <v>28</v>
      </c>
      <c r="I331" s="202" t="s">
        <v>2066</v>
      </c>
      <c r="J331" s="202" t="s">
        <v>7</v>
      </c>
      <c r="K331" s="202" t="s">
        <v>2396</v>
      </c>
      <c r="L331" s="202" t="s">
        <v>1277</v>
      </c>
      <c r="M331" s="202">
        <v>10</v>
      </c>
      <c r="N331" s="202">
        <v>0</v>
      </c>
      <c r="O331" s="202">
        <v>77</v>
      </c>
      <c r="P331" s="202">
        <v>5</v>
      </c>
      <c r="Q331" s="202">
        <v>7</v>
      </c>
      <c r="R331" s="202">
        <v>8</v>
      </c>
      <c r="S331" s="202">
        <v>8</v>
      </c>
      <c r="T331" s="202">
        <v>9</v>
      </c>
      <c r="U331" s="202">
        <v>9</v>
      </c>
      <c r="V331" s="202">
        <v>7</v>
      </c>
      <c r="W331" s="202">
        <v>8</v>
      </c>
      <c r="X331" s="202">
        <v>8</v>
      </c>
      <c r="Y331" s="202">
        <v>8</v>
      </c>
      <c r="Z331" s="202">
        <v>0</v>
      </c>
      <c r="AA331" s="202">
        <v>0</v>
      </c>
      <c r="AB331" s="202">
        <v>0</v>
      </c>
      <c r="AC331" s="202">
        <v>0</v>
      </c>
      <c r="AD331" s="202">
        <v>0</v>
      </c>
      <c r="AE331" s="202">
        <v>0</v>
      </c>
      <c r="AF331" s="202">
        <v>0</v>
      </c>
      <c r="AG331" s="202">
        <v>0</v>
      </c>
      <c r="AH331" s="202">
        <v>0</v>
      </c>
      <c r="AI331" s="202">
        <v>0</v>
      </c>
      <c r="AJ331" s="202">
        <v>0</v>
      </c>
      <c r="AK331" s="202">
        <v>0</v>
      </c>
      <c r="AL331" s="202">
        <v>0</v>
      </c>
      <c r="AM331" s="202">
        <v>0</v>
      </c>
      <c r="AN331" s="202">
        <v>0</v>
      </c>
      <c r="AO331" s="202">
        <v>0</v>
      </c>
      <c r="AP331" s="202">
        <v>0</v>
      </c>
      <c r="AQ331" s="202" t="s">
        <v>1935</v>
      </c>
      <c r="AR331" s="202" t="s">
        <v>1935</v>
      </c>
      <c r="AS331" s="202">
        <v>0</v>
      </c>
      <c r="AT331" s="202">
        <v>10</v>
      </c>
      <c r="AU331" s="202">
        <v>0</v>
      </c>
      <c r="AV331" s="202">
        <v>2</v>
      </c>
      <c r="AW331"/>
      <c r="AX331"/>
      <c r="AY331"/>
    </row>
    <row r="332" spans="1:51">
      <c r="A332" s="202" t="str">
        <f t="shared" si="23"/>
        <v>王炳富&amp;李开华</v>
      </c>
      <c r="B332" s="202" t="str">
        <f>IF(C332&lt;&gt;"NA",C332,VLOOKUP(K332,Update_from_YIFIP!$X$2:$AD$174,7,FALSE))</f>
        <v>28 or 27</v>
      </c>
      <c r="C332" s="207" t="str">
        <f t="shared" si="20"/>
        <v>28 or 27</v>
      </c>
      <c r="D332" s="207">
        <f t="shared" si="21"/>
        <v>27</v>
      </c>
      <c r="E332" s="202" t="s">
        <v>2118</v>
      </c>
      <c r="F332" s="202" t="s">
        <v>2393</v>
      </c>
      <c r="G332" s="202" t="s">
        <v>2394</v>
      </c>
      <c r="H332" s="207">
        <f t="shared" si="22"/>
        <v>28</v>
      </c>
      <c r="I332" s="202" t="s">
        <v>2066</v>
      </c>
      <c r="J332" s="202" t="s">
        <v>7</v>
      </c>
      <c r="K332" s="202" t="s">
        <v>2397</v>
      </c>
      <c r="L332" s="202" t="s">
        <v>1278</v>
      </c>
      <c r="M332" s="202">
        <v>10</v>
      </c>
      <c r="N332" s="202">
        <v>0</v>
      </c>
      <c r="O332" s="202">
        <v>84</v>
      </c>
      <c r="P332" s="202">
        <v>6</v>
      </c>
      <c r="Q332" s="202">
        <v>5</v>
      </c>
      <c r="R332" s="202">
        <v>5</v>
      </c>
      <c r="S332" s="202">
        <v>10</v>
      </c>
      <c r="T332" s="202">
        <v>9</v>
      </c>
      <c r="U332" s="202">
        <v>7</v>
      </c>
      <c r="V332" s="202">
        <v>8</v>
      </c>
      <c r="W332" s="202">
        <v>12</v>
      </c>
      <c r="X332" s="202">
        <v>10</v>
      </c>
      <c r="Y332" s="202">
        <v>12</v>
      </c>
      <c r="Z332" s="202">
        <v>0</v>
      </c>
      <c r="AA332" s="202">
        <v>0</v>
      </c>
      <c r="AB332" s="202">
        <v>0</v>
      </c>
      <c r="AC332" s="202">
        <v>0</v>
      </c>
      <c r="AD332" s="202">
        <v>0</v>
      </c>
      <c r="AE332" s="202">
        <v>0</v>
      </c>
      <c r="AF332" s="202">
        <v>0</v>
      </c>
      <c r="AG332" s="202">
        <v>0</v>
      </c>
      <c r="AH332" s="202">
        <v>0</v>
      </c>
      <c r="AI332" s="202">
        <v>0</v>
      </c>
      <c r="AJ332" s="202">
        <v>0</v>
      </c>
      <c r="AK332" s="202">
        <v>0</v>
      </c>
      <c r="AL332" s="202">
        <v>0</v>
      </c>
      <c r="AM332" s="202">
        <v>0</v>
      </c>
      <c r="AN332" s="202">
        <v>0</v>
      </c>
      <c r="AO332" s="202">
        <v>0</v>
      </c>
      <c r="AP332" s="202">
        <v>0</v>
      </c>
      <c r="AQ332" s="202" t="s">
        <v>1936</v>
      </c>
      <c r="AR332" s="202" t="s">
        <v>1936</v>
      </c>
      <c r="AS332" s="202">
        <v>0</v>
      </c>
      <c r="AT332" s="202">
        <v>15</v>
      </c>
      <c r="AU332" s="202">
        <v>0</v>
      </c>
      <c r="AV332" s="202">
        <v>3</v>
      </c>
      <c r="AW332"/>
      <c r="AX332"/>
      <c r="AY332"/>
    </row>
    <row r="333" spans="1:51">
      <c r="A333" s="202" t="str">
        <f t="shared" si="23"/>
        <v>王炳富&amp;李开华</v>
      </c>
      <c r="B333" s="202" t="str">
        <f>IF(C333&lt;&gt;"NA",C333,VLOOKUP(K333,Update_from_YIFIP!$X$2:$AD$174,7,FALSE))</f>
        <v>28 or 27</v>
      </c>
      <c r="C333" s="207" t="str">
        <f t="shared" si="20"/>
        <v>28 or 27</v>
      </c>
      <c r="D333" s="207">
        <f t="shared" si="21"/>
        <v>27</v>
      </c>
      <c r="E333" s="202" t="s">
        <v>2118</v>
      </c>
      <c r="F333" s="202" t="s">
        <v>2393</v>
      </c>
      <c r="G333" s="202" t="s">
        <v>2394</v>
      </c>
      <c r="H333" s="207">
        <f t="shared" si="22"/>
        <v>28</v>
      </c>
      <c r="I333" s="202" t="s">
        <v>2066</v>
      </c>
      <c r="J333" s="202">
        <v>0</v>
      </c>
      <c r="K333" s="202">
        <v>0</v>
      </c>
      <c r="L333" s="202" t="s">
        <v>1279</v>
      </c>
      <c r="M333" s="202">
        <v>0</v>
      </c>
      <c r="N333" s="202">
        <v>4</v>
      </c>
      <c r="O333" s="202">
        <v>20</v>
      </c>
      <c r="P333" s="202">
        <v>6</v>
      </c>
      <c r="Q333" s="202">
        <v>7</v>
      </c>
      <c r="R333" s="202">
        <v>4</v>
      </c>
      <c r="S333" s="202">
        <v>3</v>
      </c>
      <c r="T333" s="202">
        <v>0</v>
      </c>
      <c r="U333" s="202">
        <v>0</v>
      </c>
      <c r="V333" s="202">
        <v>0</v>
      </c>
      <c r="W333" s="202">
        <v>0</v>
      </c>
      <c r="X333" s="202">
        <v>0</v>
      </c>
      <c r="Y333" s="202">
        <v>0</v>
      </c>
      <c r="Z333" s="202">
        <v>0</v>
      </c>
      <c r="AA333" s="202">
        <v>0</v>
      </c>
      <c r="AB333" s="202">
        <v>0</v>
      </c>
      <c r="AC333" s="202">
        <v>0</v>
      </c>
      <c r="AD333" s="202">
        <v>0</v>
      </c>
      <c r="AE333" s="202">
        <v>0</v>
      </c>
      <c r="AF333" s="202">
        <v>0</v>
      </c>
      <c r="AG333" s="202">
        <v>0</v>
      </c>
      <c r="AH333" s="202">
        <v>0</v>
      </c>
      <c r="AI333" s="202">
        <v>0</v>
      </c>
      <c r="AJ333" s="202">
        <v>0</v>
      </c>
      <c r="AK333" s="202">
        <v>0</v>
      </c>
      <c r="AL333" s="202">
        <v>0</v>
      </c>
      <c r="AM333" s="202">
        <v>0</v>
      </c>
      <c r="AN333" s="202">
        <v>0</v>
      </c>
      <c r="AO333" s="202">
        <v>0</v>
      </c>
      <c r="AP333" s="202">
        <v>0</v>
      </c>
      <c r="AQ333" s="202">
        <v>0</v>
      </c>
      <c r="AR333" s="202">
        <v>0</v>
      </c>
      <c r="AS333" s="202">
        <v>0</v>
      </c>
      <c r="AT333" s="202">
        <v>2.5</v>
      </c>
      <c r="AU333" s="202">
        <v>0</v>
      </c>
      <c r="AV333" s="202">
        <v>0.5</v>
      </c>
      <c r="AW333"/>
      <c r="AX333"/>
      <c r="AY333"/>
    </row>
    <row r="334" spans="1:51">
      <c r="A334" s="202" t="str">
        <f t="shared" si="23"/>
        <v>王景法&amp;刘文明</v>
      </c>
      <c r="B334" s="202" t="str">
        <f>IF(C334&lt;&gt;"NA",C334,VLOOKUP(K334,Update_from_YIFIP!$X$2:$AD$174,7,FALSE))</f>
        <v>NA</v>
      </c>
      <c r="C334" s="207" t="str">
        <f t="shared" si="20"/>
        <v>NA</v>
      </c>
      <c r="D334" s="207" t="str">
        <f t="shared" si="21"/>
        <v>NA</v>
      </c>
      <c r="E334" s="202" t="s">
        <v>3154</v>
      </c>
      <c r="F334" s="202" t="s">
        <v>2224</v>
      </c>
      <c r="G334" s="202" t="s">
        <v>2225</v>
      </c>
      <c r="H334" s="207" t="str">
        <f t="shared" si="22"/>
        <v>NA</v>
      </c>
      <c r="I334" s="202" t="s">
        <v>3155</v>
      </c>
      <c r="J334" s="202" t="s">
        <v>2223</v>
      </c>
      <c r="K334" s="202" t="s">
        <v>3347</v>
      </c>
      <c r="L334" s="202" t="s">
        <v>1175</v>
      </c>
      <c r="M334" s="202">
        <v>2</v>
      </c>
      <c r="N334" s="202">
        <v>0</v>
      </c>
      <c r="O334" s="202">
        <v>6</v>
      </c>
      <c r="P334" s="202">
        <v>4</v>
      </c>
      <c r="Q334" s="202">
        <v>2</v>
      </c>
      <c r="R334" s="202">
        <v>0</v>
      </c>
      <c r="S334" s="202">
        <v>0</v>
      </c>
      <c r="T334" s="202">
        <v>0</v>
      </c>
      <c r="U334" s="202">
        <v>0</v>
      </c>
      <c r="V334" s="202">
        <v>0</v>
      </c>
      <c r="W334" s="202">
        <v>0</v>
      </c>
      <c r="X334" s="202">
        <v>0</v>
      </c>
      <c r="Y334" s="202">
        <v>0</v>
      </c>
      <c r="Z334" s="202">
        <v>0</v>
      </c>
      <c r="AA334" s="202">
        <v>0</v>
      </c>
      <c r="AB334" s="202">
        <v>0</v>
      </c>
      <c r="AC334" s="202">
        <v>0</v>
      </c>
      <c r="AD334" s="202">
        <v>0</v>
      </c>
      <c r="AE334" s="202">
        <v>0</v>
      </c>
      <c r="AF334" s="202">
        <v>0</v>
      </c>
      <c r="AG334" s="202">
        <v>0</v>
      </c>
      <c r="AH334" s="202">
        <v>0</v>
      </c>
      <c r="AI334" s="202">
        <v>0</v>
      </c>
      <c r="AJ334" s="202">
        <v>0</v>
      </c>
      <c r="AK334" s="202">
        <v>0</v>
      </c>
      <c r="AL334" s="202">
        <v>0</v>
      </c>
      <c r="AM334" s="202">
        <v>0</v>
      </c>
      <c r="AN334" s="202">
        <v>0</v>
      </c>
      <c r="AO334" s="202">
        <v>0</v>
      </c>
      <c r="AP334" s="202">
        <v>0</v>
      </c>
      <c r="AQ334" s="202" t="s">
        <v>1950</v>
      </c>
      <c r="AR334" s="202" t="s">
        <v>1950</v>
      </c>
      <c r="AS334" s="202">
        <v>0</v>
      </c>
      <c r="AT334" s="202">
        <v>2</v>
      </c>
      <c r="AU334" s="202">
        <v>0</v>
      </c>
      <c r="AV334" s="202">
        <v>0.4</v>
      </c>
      <c r="AW334"/>
      <c r="AX334"/>
      <c r="AY334"/>
    </row>
    <row r="335" spans="1:51">
      <c r="A335" s="202" t="str">
        <f t="shared" si="23"/>
        <v>王景法&amp;刘文明</v>
      </c>
      <c r="B335" s="202" t="str">
        <f>IF(C335&lt;&gt;"NA",C335,VLOOKUP(K335,Update_from_YIFIP!$X$2:$AD$174,7,FALSE))</f>
        <v>NA</v>
      </c>
      <c r="C335" s="207" t="str">
        <f t="shared" si="20"/>
        <v>NA</v>
      </c>
      <c r="D335" s="207" t="str">
        <f t="shared" si="21"/>
        <v>NA</v>
      </c>
      <c r="E335" s="202" t="s">
        <v>3154</v>
      </c>
      <c r="F335" s="202" t="s">
        <v>2224</v>
      </c>
      <c r="G335" s="202" t="s">
        <v>2225</v>
      </c>
      <c r="H335" s="207" t="str">
        <f t="shared" si="22"/>
        <v>NA</v>
      </c>
      <c r="I335" s="202" t="s">
        <v>3155</v>
      </c>
      <c r="J335" s="202" t="s">
        <v>2226</v>
      </c>
      <c r="K335" s="202" t="s">
        <v>2227</v>
      </c>
      <c r="L335" s="202" t="s">
        <v>1176</v>
      </c>
      <c r="M335" s="202">
        <v>3</v>
      </c>
      <c r="N335" s="202">
        <v>0</v>
      </c>
      <c r="O335" s="202">
        <v>36</v>
      </c>
      <c r="P335" s="202">
        <v>14</v>
      </c>
      <c r="Q335" s="202">
        <v>15</v>
      </c>
      <c r="R335" s="202">
        <v>7</v>
      </c>
      <c r="S335" s="202">
        <v>0</v>
      </c>
      <c r="T335" s="202">
        <v>0</v>
      </c>
      <c r="U335" s="202">
        <v>0</v>
      </c>
      <c r="V335" s="202">
        <v>0</v>
      </c>
      <c r="W335" s="202">
        <v>0</v>
      </c>
      <c r="X335" s="202">
        <v>0</v>
      </c>
      <c r="Y335" s="202">
        <v>0</v>
      </c>
      <c r="Z335" s="202">
        <v>0</v>
      </c>
      <c r="AA335" s="202">
        <v>0</v>
      </c>
      <c r="AB335" s="202">
        <v>0</v>
      </c>
      <c r="AC335" s="202">
        <v>0</v>
      </c>
      <c r="AD335" s="202">
        <v>0</v>
      </c>
      <c r="AE335" s="202">
        <v>0</v>
      </c>
      <c r="AF335" s="202">
        <v>0</v>
      </c>
      <c r="AG335" s="202">
        <v>0</v>
      </c>
      <c r="AH335" s="202">
        <v>0</v>
      </c>
      <c r="AI335" s="202">
        <v>0</v>
      </c>
      <c r="AJ335" s="202">
        <v>0</v>
      </c>
      <c r="AK335" s="202">
        <v>0</v>
      </c>
      <c r="AL335" s="202">
        <v>0</v>
      </c>
      <c r="AM335" s="202">
        <v>0</v>
      </c>
      <c r="AN335" s="202">
        <v>0</v>
      </c>
      <c r="AO335" s="202">
        <v>0</v>
      </c>
      <c r="AP335" s="202">
        <v>0</v>
      </c>
      <c r="AQ335" s="202" t="s">
        <v>1951</v>
      </c>
      <c r="AR335" s="202" t="s">
        <v>1951</v>
      </c>
      <c r="AS335" s="202">
        <v>0</v>
      </c>
      <c r="AT335" s="202">
        <v>10</v>
      </c>
      <c r="AU335" s="202">
        <v>0</v>
      </c>
      <c r="AV335" s="202">
        <v>2</v>
      </c>
      <c r="AW335"/>
      <c r="AX335"/>
      <c r="AY335"/>
    </row>
    <row r="336" spans="1:51">
      <c r="A336" s="202" t="str">
        <f t="shared" si="23"/>
        <v>王景法&amp;刘文明</v>
      </c>
      <c r="B336" s="202" t="str">
        <f>IF(C336&lt;&gt;"NA",C336,VLOOKUP(K336,Update_from_YIFIP!$X$2:$AD$174,7,FALSE))</f>
        <v>NA</v>
      </c>
      <c r="C336" s="207" t="str">
        <f t="shared" si="20"/>
        <v>NA</v>
      </c>
      <c r="D336" s="207" t="str">
        <f t="shared" si="21"/>
        <v>NA</v>
      </c>
      <c r="E336" s="202" t="s">
        <v>3154</v>
      </c>
      <c r="F336" s="202" t="s">
        <v>2224</v>
      </c>
      <c r="G336" s="202" t="s">
        <v>2225</v>
      </c>
      <c r="H336" s="207" t="str">
        <f t="shared" si="22"/>
        <v>NA</v>
      </c>
      <c r="I336" s="202" t="s">
        <v>3155</v>
      </c>
      <c r="J336" s="202" t="s">
        <v>2226</v>
      </c>
      <c r="K336" s="202" t="s">
        <v>2228</v>
      </c>
      <c r="L336" s="202" t="s">
        <v>1177</v>
      </c>
      <c r="M336" s="202">
        <v>4</v>
      </c>
      <c r="N336" s="202">
        <v>0</v>
      </c>
      <c r="O336" s="202">
        <v>15</v>
      </c>
      <c r="P336" s="202">
        <v>4</v>
      </c>
      <c r="Q336" s="202">
        <v>1</v>
      </c>
      <c r="R336" s="202">
        <v>5</v>
      </c>
      <c r="S336" s="202">
        <v>5</v>
      </c>
      <c r="T336" s="202">
        <v>0</v>
      </c>
      <c r="U336" s="202">
        <v>0</v>
      </c>
      <c r="V336" s="202">
        <v>0</v>
      </c>
      <c r="W336" s="202">
        <v>0</v>
      </c>
      <c r="X336" s="202">
        <v>0</v>
      </c>
      <c r="Y336" s="202">
        <v>0</v>
      </c>
      <c r="Z336" s="202">
        <v>0</v>
      </c>
      <c r="AA336" s="202">
        <v>0</v>
      </c>
      <c r="AB336" s="202">
        <v>0</v>
      </c>
      <c r="AC336" s="202">
        <v>0</v>
      </c>
      <c r="AD336" s="202">
        <v>0</v>
      </c>
      <c r="AE336" s="202">
        <v>0</v>
      </c>
      <c r="AF336" s="202">
        <v>0</v>
      </c>
      <c r="AG336" s="202">
        <v>0</v>
      </c>
      <c r="AH336" s="202">
        <v>0</v>
      </c>
      <c r="AI336" s="202">
        <v>0</v>
      </c>
      <c r="AJ336" s="202">
        <v>0</v>
      </c>
      <c r="AK336" s="202">
        <v>0</v>
      </c>
      <c r="AL336" s="202">
        <v>0</v>
      </c>
      <c r="AM336" s="202">
        <v>0</v>
      </c>
      <c r="AN336" s="202">
        <v>0</v>
      </c>
      <c r="AO336" s="202">
        <v>0</v>
      </c>
      <c r="AP336" s="202">
        <v>0</v>
      </c>
      <c r="AQ336" s="202" t="s">
        <v>1952</v>
      </c>
      <c r="AR336" s="202" t="s">
        <v>1952</v>
      </c>
      <c r="AS336" s="202">
        <v>0</v>
      </c>
      <c r="AT336" s="202">
        <v>5</v>
      </c>
      <c r="AU336" s="202">
        <v>0</v>
      </c>
      <c r="AV336" s="202">
        <v>1</v>
      </c>
      <c r="AW336"/>
      <c r="AX336"/>
      <c r="AY336"/>
    </row>
    <row r="337" spans="1:51">
      <c r="A337" s="202" t="str">
        <f t="shared" si="23"/>
        <v>王景法&amp;刘文明</v>
      </c>
      <c r="B337" s="202" t="str">
        <f>IF(C337&lt;&gt;"NA",C337,VLOOKUP(K337,Update_from_YIFIP!$X$2:$AD$174,7,FALSE))</f>
        <v>NA</v>
      </c>
      <c r="C337" s="207" t="str">
        <f t="shared" si="20"/>
        <v>NA</v>
      </c>
      <c r="D337" s="207" t="str">
        <f t="shared" si="21"/>
        <v>NA</v>
      </c>
      <c r="E337" s="202" t="s">
        <v>3154</v>
      </c>
      <c r="F337" s="202" t="s">
        <v>2224</v>
      </c>
      <c r="G337" s="202" t="s">
        <v>2225</v>
      </c>
      <c r="H337" s="207" t="str">
        <f t="shared" si="22"/>
        <v>NA</v>
      </c>
      <c r="I337" s="202" t="s">
        <v>3155</v>
      </c>
      <c r="J337" s="202" t="s">
        <v>2226</v>
      </c>
      <c r="K337" s="202" t="s">
        <v>2229</v>
      </c>
      <c r="L337" s="202" t="s">
        <v>1178</v>
      </c>
      <c r="M337" s="202">
        <v>2</v>
      </c>
      <c r="N337" s="202">
        <v>0</v>
      </c>
      <c r="O337" s="202">
        <v>5</v>
      </c>
      <c r="P337" s="202">
        <v>2</v>
      </c>
      <c r="Q337" s="202">
        <v>3</v>
      </c>
      <c r="R337" s="202">
        <v>0</v>
      </c>
      <c r="S337" s="202">
        <v>0</v>
      </c>
      <c r="T337" s="202">
        <v>0</v>
      </c>
      <c r="U337" s="202">
        <v>0</v>
      </c>
      <c r="V337" s="202">
        <v>0</v>
      </c>
      <c r="W337" s="202">
        <v>0</v>
      </c>
      <c r="X337" s="202">
        <v>0</v>
      </c>
      <c r="Y337" s="202">
        <v>0</v>
      </c>
      <c r="Z337" s="202">
        <v>0</v>
      </c>
      <c r="AA337" s="202">
        <v>0</v>
      </c>
      <c r="AB337" s="202">
        <v>0</v>
      </c>
      <c r="AC337" s="202">
        <v>0</v>
      </c>
      <c r="AD337" s="202">
        <v>0</v>
      </c>
      <c r="AE337" s="202">
        <v>0</v>
      </c>
      <c r="AF337" s="202">
        <v>0</v>
      </c>
      <c r="AG337" s="202">
        <v>0</v>
      </c>
      <c r="AH337" s="202">
        <v>0</v>
      </c>
      <c r="AI337" s="202">
        <v>0</v>
      </c>
      <c r="AJ337" s="202">
        <v>0</v>
      </c>
      <c r="AK337" s="202">
        <v>0</v>
      </c>
      <c r="AL337" s="202">
        <v>0</v>
      </c>
      <c r="AM337" s="202">
        <v>0</v>
      </c>
      <c r="AN337" s="202">
        <v>0</v>
      </c>
      <c r="AO337" s="202">
        <v>0</v>
      </c>
      <c r="AP337" s="202">
        <v>0</v>
      </c>
      <c r="AQ337" s="202" t="s">
        <v>1953</v>
      </c>
      <c r="AR337" s="202" t="s">
        <v>1953</v>
      </c>
      <c r="AS337" s="202">
        <v>0</v>
      </c>
      <c r="AT337" s="202">
        <v>1.5</v>
      </c>
      <c r="AU337" s="202">
        <v>0</v>
      </c>
      <c r="AV337" s="202">
        <v>0.3</v>
      </c>
      <c r="AW337"/>
      <c r="AX337"/>
      <c r="AY337"/>
    </row>
    <row r="338" spans="1:51">
      <c r="A338" s="202" t="str">
        <f t="shared" si="23"/>
        <v>李有华&amp;李廷梅</v>
      </c>
      <c r="B338" s="202">
        <f>IF(C338&lt;&gt;"NA",C338,VLOOKUP(K338,Update_from_YIFIP!$X$2:$AD$174,7,FALSE))</f>
        <v>141</v>
      </c>
      <c r="C338" s="207" t="str">
        <f t="shared" si="20"/>
        <v>NA</v>
      </c>
      <c r="D338" s="207" t="str">
        <f t="shared" si="21"/>
        <v>NA</v>
      </c>
      <c r="E338" s="202" t="s">
        <v>3156</v>
      </c>
      <c r="F338" s="202" t="s">
        <v>2231</v>
      </c>
      <c r="G338" s="202" t="s">
        <v>2232</v>
      </c>
      <c r="H338" s="207" t="str">
        <f t="shared" si="22"/>
        <v>NA</v>
      </c>
      <c r="I338" s="202" t="s">
        <v>3157</v>
      </c>
      <c r="J338" s="202" t="s">
        <v>7</v>
      </c>
      <c r="K338" s="202" t="s">
        <v>2230</v>
      </c>
      <c r="L338" s="202" t="s">
        <v>1179</v>
      </c>
      <c r="M338" s="202">
        <v>10</v>
      </c>
      <c r="N338" s="202">
        <v>0</v>
      </c>
      <c r="O338" s="202">
        <v>83</v>
      </c>
      <c r="P338" s="202">
        <v>10</v>
      </c>
      <c r="Q338" s="202">
        <v>9</v>
      </c>
      <c r="R338" s="202">
        <v>7</v>
      </c>
      <c r="S338" s="202">
        <v>9</v>
      </c>
      <c r="T338" s="202">
        <v>9</v>
      </c>
      <c r="U338" s="202">
        <v>9</v>
      </c>
      <c r="V338" s="202">
        <v>8</v>
      </c>
      <c r="W338" s="202">
        <v>7</v>
      </c>
      <c r="X338" s="202">
        <v>5</v>
      </c>
      <c r="Y338" s="202">
        <v>10</v>
      </c>
      <c r="Z338" s="202">
        <v>0</v>
      </c>
      <c r="AA338" s="202">
        <v>0</v>
      </c>
      <c r="AB338" s="202">
        <v>0</v>
      </c>
      <c r="AC338" s="202">
        <v>0</v>
      </c>
      <c r="AD338" s="202">
        <v>0</v>
      </c>
      <c r="AE338" s="202">
        <v>0</v>
      </c>
      <c r="AF338" s="202">
        <v>0</v>
      </c>
      <c r="AG338" s="202">
        <v>0</v>
      </c>
      <c r="AH338" s="202">
        <v>0</v>
      </c>
      <c r="AI338" s="202">
        <v>0</v>
      </c>
      <c r="AJ338" s="202">
        <v>0</v>
      </c>
      <c r="AK338" s="202">
        <v>0</v>
      </c>
      <c r="AL338" s="202">
        <v>0</v>
      </c>
      <c r="AM338" s="202">
        <v>0</v>
      </c>
      <c r="AN338" s="202">
        <v>0</v>
      </c>
      <c r="AO338" s="202">
        <v>0</v>
      </c>
      <c r="AP338" s="202">
        <v>0</v>
      </c>
      <c r="AQ338" s="202" t="s">
        <v>1954</v>
      </c>
      <c r="AR338" s="202" t="s">
        <v>1954</v>
      </c>
      <c r="AS338" s="202">
        <v>0</v>
      </c>
      <c r="AT338" s="202">
        <v>10</v>
      </c>
      <c r="AU338" s="202">
        <v>0</v>
      </c>
      <c r="AV338" s="202">
        <v>2</v>
      </c>
      <c r="AW338"/>
      <c r="AX338"/>
      <c r="AY338"/>
    </row>
    <row r="339" spans="1:51">
      <c r="A339" s="202" t="str">
        <f t="shared" si="23"/>
        <v>李有华&amp;李廷梅</v>
      </c>
      <c r="B339" s="202">
        <f>IF(C339&lt;&gt;"NA",C339,VLOOKUP(K339,Update_from_YIFIP!$X$2:$AD$174,7,FALSE))</f>
        <v>141</v>
      </c>
      <c r="C339" s="207" t="str">
        <f t="shared" si="20"/>
        <v>NA</v>
      </c>
      <c r="D339" s="207" t="str">
        <f t="shared" si="21"/>
        <v>NA</v>
      </c>
      <c r="E339" s="202" t="s">
        <v>3156</v>
      </c>
      <c r="F339" s="202" t="s">
        <v>2231</v>
      </c>
      <c r="G339" s="202" t="s">
        <v>2232</v>
      </c>
      <c r="H339" s="207" t="str">
        <f t="shared" si="22"/>
        <v>NA</v>
      </c>
      <c r="I339" s="202" t="s">
        <v>3157</v>
      </c>
      <c r="J339" s="202" t="s">
        <v>7</v>
      </c>
      <c r="K339" s="202" t="s">
        <v>2230</v>
      </c>
      <c r="L339" s="202" t="s">
        <v>1180</v>
      </c>
      <c r="M339" s="202">
        <v>9</v>
      </c>
      <c r="N339" s="202">
        <v>0</v>
      </c>
      <c r="O339" s="202">
        <v>95</v>
      </c>
      <c r="P339" s="202">
        <v>13</v>
      </c>
      <c r="Q339" s="202">
        <v>10</v>
      </c>
      <c r="R339" s="202">
        <v>13</v>
      </c>
      <c r="S339" s="202">
        <v>8</v>
      </c>
      <c r="T339" s="202">
        <v>6</v>
      </c>
      <c r="U339" s="202">
        <v>8</v>
      </c>
      <c r="V339" s="202">
        <v>12</v>
      </c>
      <c r="W339" s="202">
        <v>12</v>
      </c>
      <c r="X339" s="202">
        <v>13</v>
      </c>
      <c r="Y339" s="202">
        <v>0</v>
      </c>
      <c r="Z339" s="202">
        <v>0</v>
      </c>
      <c r="AA339" s="202">
        <v>0</v>
      </c>
      <c r="AB339" s="202">
        <v>0</v>
      </c>
      <c r="AC339" s="202">
        <v>0</v>
      </c>
      <c r="AD339" s="202">
        <v>0</v>
      </c>
      <c r="AE339" s="202">
        <v>0</v>
      </c>
      <c r="AF339" s="202">
        <v>0</v>
      </c>
      <c r="AG339" s="202">
        <v>0</v>
      </c>
      <c r="AH339" s="202">
        <v>0</v>
      </c>
      <c r="AI339" s="202">
        <v>0</v>
      </c>
      <c r="AJ339" s="202">
        <v>0</v>
      </c>
      <c r="AK339" s="202">
        <v>0</v>
      </c>
      <c r="AL339" s="202">
        <v>0</v>
      </c>
      <c r="AM339" s="202">
        <v>0</v>
      </c>
      <c r="AN339" s="202">
        <v>0</v>
      </c>
      <c r="AO339" s="202">
        <v>0</v>
      </c>
      <c r="AP339" s="202">
        <v>0</v>
      </c>
      <c r="AQ339" s="202" t="s">
        <v>1955</v>
      </c>
      <c r="AR339" s="202" t="s">
        <v>1955</v>
      </c>
      <c r="AS339" s="202">
        <v>0</v>
      </c>
      <c r="AT339" s="202">
        <v>10</v>
      </c>
      <c r="AU339" s="202">
        <v>0</v>
      </c>
      <c r="AV339" s="202">
        <v>2</v>
      </c>
      <c r="AW339"/>
      <c r="AX339"/>
      <c r="AY339"/>
    </row>
    <row r="340" spans="1:51">
      <c r="A340" s="202" t="str">
        <f t="shared" si="23"/>
        <v>李有华&amp;李廷梅</v>
      </c>
      <c r="B340" s="202">
        <f>IF(C340&lt;&gt;"NA",C340,VLOOKUP(K340,Update_from_YIFIP!$X$2:$AD$174,7,FALSE))</f>
        <v>141</v>
      </c>
      <c r="C340" s="207" t="str">
        <f t="shared" si="20"/>
        <v>NA</v>
      </c>
      <c r="D340" s="207" t="str">
        <f t="shared" si="21"/>
        <v>NA</v>
      </c>
      <c r="E340" s="202" t="s">
        <v>3156</v>
      </c>
      <c r="F340" s="202" t="s">
        <v>2231</v>
      </c>
      <c r="G340" s="202" t="s">
        <v>2232</v>
      </c>
      <c r="H340" s="207" t="str">
        <f t="shared" si="22"/>
        <v>NA</v>
      </c>
      <c r="I340" s="202" t="s">
        <v>3157</v>
      </c>
      <c r="J340" s="202" t="s">
        <v>7</v>
      </c>
      <c r="K340" s="202" t="s">
        <v>2230</v>
      </c>
      <c r="L340" s="202" t="s">
        <v>1181</v>
      </c>
      <c r="M340" s="202">
        <v>10</v>
      </c>
      <c r="N340" s="202">
        <v>0</v>
      </c>
      <c r="O340" s="202">
        <v>89</v>
      </c>
      <c r="P340" s="202">
        <v>6</v>
      </c>
      <c r="Q340" s="202">
        <v>9</v>
      </c>
      <c r="R340" s="202">
        <v>10</v>
      </c>
      <c r="S340" s="202">
        <v>9</v>
      </c>
      <c r="T340" s="202">
        <v>10</v>
      </c>
      <c r="U340" s="202">
        <v>9</v>
      </c>
      <c r="V340" s="202">
        <v>6</v>
      </c>
      <c r="W340" s="202">
        <v>11</v>
      </c>
      <c r="X340" s="202">
        <v>10</v>
      </c>
      <c r="Y340" s="202">
        <v>9</v>
      </c>
      <c r="Z340" s="202">
        <v>0</v>
      </c>
      <c r="AA340" s="202">
        <v>0</v>
      </c>
      <c r="AB340" s="202">
        <v>0</v>
      </c>
      <c r="AC340" s="202">
        <v>0</v>
      </c>
      <c r="AD340" s="202">
        <v>0</v>
      </c>
      <c r="AE340" s="202">
        <v>0</v>
      </c>
      <c r="AF340" s="202">
        <v>0</v>
      </c>
      <c r="AG340" s="202">
        <v>0</v>
      </c>
      <c r="AH340" s="202">
        <v>0</v>
      </c>
      <c r="AI340" s="202">
        <v>0</v>
      </c>
      <c r="AJ340" s="202">
        <v>0</v>
      </c>
      <c r="AK340" s="202">
        <v>0</v>
      </c>
      <c r="AL340" s="202">
        <v>0</v>
      </c>
      <c r="AM340" s="202">
        <v>0</v>
      </c>
      <c r="AN340" s="202">
        <v>0</v>
      </c>
      <c r="AO340" s="202">
        <v>0</v>
      </c>
      <c r="AP340" s="202">
        <v>0</v>
      </c>
      <c r="AQ340" s="202" t="s">
        <v>1956</v>
      </c>
      <c r="AR340" s="202" t="s">
        <v>1956</v>
      </c>
      <c r="AS340" s="202">
        <v>0</v>
      </c>
      <c r="AT340" s="202">
        <v>15</v>
      </c>
      <c r="AU340" s="202">
        <v>0</v>
      </c>
      <c r="AV340" s="202">
        <v>3</v>
      </c>
      <c r="AW340"/>
      <c r="AX340"/>
      <c r="AY340"/>
    </row>
    <row r="341" spans="1:51">
      <c r="A341" s="202" t="str">
        <f t="shared" si="23"/>
        <v>李有华&amp;李廷梅</v>
      </c>
      <c r="B341" s="202">
        <f>IF(C341&lt;&gt;"NA",C341,VLOOKUP(K341,Update_from_YIFIP!$X$2:$AD$174,7,FALSE))</f>
        <v>141</v>
      </c>
      <c r="C341" s="207" t="str">
        <f t="shared" si="20"/>
        <v>NA</v>
      </c>
      <c r="D341" s="207" t="str">
        <f t="shared" si="21"/>
        <v>NA</v>
      </c>
      <c r="E341" s="202" t="s">
        <v>3156</v>
      </c>
      <c r="F341" s="202" t="s">
        <v>2231</v>
      </c>
      <c r="G341" s="202" t="s">
        <v>2232</v>
      </c>
      <c r="H341" s="207" t="str">
        <f t="shared" si="22"/>
        <v>NA</v>
      </c>
      <c r="I341" s="202" t="s">
        <v>3157</v>
      </c>
      <c r="J341" s="202" t="s">
        <v>7</v>
      </c>
      <c r="K341" s="202" t="s">
        <v>2230</v>
      </c>
      <c r="L341" s="202" t="s">
        <v>1182</v>
      </c>
      <c r="M341" s="202">
        <v>10</v>
      </c>
      <c r="N341" s="202">
        <v>0</v>
      </c>
      <c r="O341" s="202">
        <v>65</v>
      </c>
      <c r="P341" s="202">
        <v>13</v>
      </c>
      <c r="Q341" s="202">
        <v>4</v>
      </c>
      <c r="R341" s="202">
        <v>5</v>
      </c>
      <c r="S341" s="202">
        <v>6</v>
      </c>
      <c r="T341" s="202">
        <v>7</v>
      </c>
      <c r="U341" s="202">
        <v>5</v>
      </c>
      <c r="V341" s="202">
        <v>5</v>
      </c>
      <c r="W341" s="202">
        <v>5</v>
      </c>
      <c r="X341" s="202">
        <v>9</v>
      </c>
      <c r="Y341" s="202">
        <v>6</v>
      </c>
      <c r="Z341" s="202">
        <v>0</v>
      </c>
      <c r="AA341" s="202">
        <v>0</v>
      </c>
      <c r="AB341" s="202">
        <v>0</v>
      </c>
      <c r="AC341" s="202">
        <v>0</v>
      </c>
      <c r="AD341" s="202">
        <v>0</v>
      </c>
      <c r="AE341" s="202">
        <v>0</v>
      </c>
      <c r="AF341" s="202">
        <v>0</v>
      </c>
      <c r="AG341" s="202">
        <v>0</v>
      </c>
      <c r="AH341" s="202">
        <v>0</v>
      </c>
      <c r="AI341" s="202">
        <v>0</v>
      </c>
      <c r="AJ341" s="202">
        <v>0</v>
      </c>
      <c r="AK341" s="202">
        <v>0</v>
      </c>
      <c r="AL341" s="202">
        <v>0</v>
      </c>
      <c r="AM341" s="202">
        <v>0</v>
      </c>
      <c r="AN341" s="202">
        <v>0</v>
      </c>
      <c r="AO341" s="202">
        <v>0</v>
      </c>
      <c r="AP341" s="202">
        <v>0</v>
      </c>
      <c r="AQ341" s="202" t="s">
        <v>1957</v>
      </c>
      <c r="AR341" s="202" t="s">
        <v>1957</v>
      </c>
      <c r="AS341" s="202">
        <v>0</v>
      </c>
      <c r="AT341" s="202">
        <v>12.5</v>
      </c>
      <c r="AU341" s="202">
        <v>0</v>
      </c>
      <c r="AV341" s="202">
        <v>2.5</v>
      </c>
      <c r="AW341"/>
      <c r="AX341"/>
      <c r="AY341"/>
    </row>
    <row r="342" spans="1:51">
      <c r="A342" s="202" t="str">
        <f t="shared" si="23"/>
        <v>杨荣高&amp;李波</v>
      </c>
      <c r="B342" s="202" t="str">
        <f>IF(C342&lt;&gt;"NA",C342,VLOOKUP(K342,Update_from_YIFIP!$X$2:$AD$174,7,FALSE))</f>
        <v>NA</v>
      </c>
      <c r="C342" s="207" t="str">
        <f t="shared" si="20"/>
        <v>NA</v>
      </c>
      <c r="D342" s="207" t="str">
        <f t="shared" si="21"/>
        <v>NA</v>
      </c>
      <c r="E342" s="202" t="s">
        <v>3158</v>
      </c>
      <c r="F342" s="202" t="s">
        <v>2235</v>
      </c>
      <c r="G342" s="202" t="s">
        <v>2236</v>
      </c>
      <c r="H342" s="207" t="str">
        <f t="shared" si="22"/>
        <v>NA</v>
      </c>
      <c r="I342" s="202" t="s">
        <v>3159</v>
      </c>
      <c r="J342" s="202" t="s">
        <v>2233</v>
      </c>
      <c r="K342" s="202" t="s">
        <v>2234</v>
      </c>
      <c r="L342" s="202" t="s">
        <v>1183</v>
      </c>
      <c r="M342" s="202">
        <v>8</v>
      </c>
      <c r="N342" s="202">
        <v>0</v>
      </c>
      <c r="O342" s="202">
        <v>31</v>
      </c>
      <c r="P342" s="202">
        <v>3</v>
      </c>
      <c r="Q342" s="202">
        <v>4</v>
      </c>
      <c r="R342" s="202">
        <v>3</v>
      </c>
      <c r="S342" s="202">
        <v>4</v>
      </c>
      <c r="T342" s="202">
        <v>4</v>
      </c>
      <c r="U342" s="202">
        <v>5</v>
      </c>
      <c r="V342" s="202">
        <v>4</v>
      </c>
      <c r="W342" s="202">
        <v>4</v>
      </c>
      <c r="X342" s="202">
        <v>0</v>
      </c>
      <c r="Y342" s="202">
        <v>0</v>
      </c>
      <c r="Z342" s="202">
        <v>0</v>
      </c>
      <c r="AA342" s="202">
        <v>0</v>
      </c>
      <c r="AB342" s="202">
        <v>0</v>
      </c>
      <c r="AC342" s="202">
        <v>0</v>
      </c>
      <c r="AD342" s="202">
        <v>0</v>
      </c>
      <c r="AE342" s="202">
        <v>0</v>
      </c>
      <c r="AF342" s="202">
        <v>0</v>
      </c>
      <c r="AG342" s="202">
        <v>0</v>
      </c>
      <c r="AH342" s="202">
        <v>0</v>
      </c>
      <c r="AI342" s="202">
        <v>0</v>
      </c>
      <c r="AJ342" s="202">
        <v>0</v>
      </c>
      <c r="AK342" s="202">
        <v>0</v>
      </c>
      <c r="AL342" s="202">
        <v>0</v>
      </c>
      <c r="AM342" s="202">
        <v>0</v>
      </c>
      <c r="AN342" s="202">
        <v>0</v>
      </c>
      <c r="AO342" s="202">
        <v>0</v>
      </c>
      <c r="AP342" s="202">
        <v>0</v>
      </c>
      <c r="AQ342" s="202" t="s">
        <v>1958</v>
      </c>
      <c r="AR342" s="202" t="s">
        <v>1958</v>
      </c>
      <c r="AS342" s="202">
        <v>0</v>
      </c>
      <c r="AT342" s="202">
        <v>5</v>
      </c>
      <c r="AU342" s="202">
        <v>0</v>
      </c>
      <c r="AV342" s="202">
        <v>1</v>
      </c>
      <c r="AW342"/>
      <c r="AX342"/>
      <c r="AY342"/>
    </row>
    <row r="343" spans="1:51">
      <c r="A343" s="202" t="str">
        <f t="shared" si="23"/>
        <v>杨荣高&amp;李波</v>
      </c>
      <c r="B343" s="202" t="str">
        <f>IF(C343&lt;&gt;"NA",C343,VLOOKUP(K343,Update_from_YIFIP!$X$2:$AD$174,7,FALSE))</f>
        <v>NA</v>
      </c>
      <c r="C343" s="207" t="str">
        <f t="shared" si="20"/>
        <v>NA</v>
      </c>
      <c r="D343" s="207" t="str">
        <f t="shared" si="21"/>
        <v>NA</v>
      </c>
      <c r="E343" s="202" t="s">
        <v>3158</v>
      </c>
      <c r="F343" s="202" t="s">
        <v>2235</v>
      </c>
      <c r="G343" s="202" t="s">
        <v>2236</v>
      </c>
      <c r="H343" s="207" t="str">
        <f t="shared" si="22"/>
        <v>NA</v>
      </c>
      <c r="I343" s="202" t="s">
        <v>3159</v>
      </c>
      <c r="J343" s="202" t="s">
        <v>2233</v>
      </c>
      <c r="K343" s="202" t="s">
        <v>2237</v>
      </c>
      <c r="L343" s="202" t="s">
        <v>1184</v>
      </c>
      <c r="M343" s="202">
        <v>10</v>
      </c>
      <c r="N343" s="202">
        <v>0</v>
      </c>
      <c r="O343" s="202">
        <v>32</v>
      </c>
      <c r="P343" s="202">
        <v>1</v>
      </c>
      <c r="Q343" s="202">
        <v>4</v>
      </c>
      <c r="R343" s="202">
        <v>3</v>
      </c>
      <c r="S343" s="202">
        <v>4</v>
      </c>
      <c r="T343" s="202">
        <v>3</v>
      </c>
      <c r="U343" s="202">
        <v>4</v>
      </c>
      <c r="V343" s="202">
        <v>3</v>
      </c>
      <c r="W343" s="202">
        <v>4</v>
      </c>
      <c r="X343" s="202">
        <v>3</v>
      </c>
      <c r="Y343" s="202">
        <v>3</v>
      </c>
      <c r="Z343" s="202">
        <v>0</v>
      </c>
      <c r="AA343" s="202">
        <v>0</v>
      </c>
      <c r="AB343" s="202">
        <v>0</v>
      </c>
      <c r="AC343" s="202">
        <v>0</v>
      </c>
      <c r="AD343" s="202">
        <v>0</v>
      </c>
      <c r="AE343" s="202">
        <v>0</v>
      </c>
      <c r="AF343" s="202">
        <v>0</v>
      </c>
      <c r="AG343" s="202">
        <v>0</v>
      </c>
      <c r="AH343" s="202">
        <v>0</v>
      </c>
      <c r="AI343" s="202">
        <v>0</v>
      </c>
      <c r="AJ343" s="202">
        <v>0</v>
      </c>
      <c r="AK343" s="202">
        <v>0</v>
      </c>
      <c r="AL343" s="202">
        <v>0</v>
      </c>
      <c r="AM343" s="202">
        <v>0</v>
      </c>
      <c r="AN343" s="202">
        <v>0</v>
      </c>
      <c r="AO343" s="202">
        <v>0</v>
      </c>
      <c r="AP343" s="202">
        <v>0</v>
      </c>
      <c r="AQ343" s="202" t="s">
        <v>1959</v>
      </c>
      <c r="AR343" s="202" t="s">
        <v>1959</v>
      </c>
      <c r="AS343" s="202">
        <v>0</v>
      </c>
      <c r="AT343" s="202">
        <v>10</v>
      </c>
      <c r="AU343" s="202">
        <v>0</v>
      </c>
      <c r="AV343" s="202">
        <v>2</v>
      </c>
      <c r="AW343"/>
      <c r="AX343"/>
      <c r="AY343"/>
    </row>
    <row r="344" spans="1:51">
      <c r="A344" s="202" t="str">
        <f t="shared" si="23"/>
        <v>杨荣高&amp;李波</v>
      </c>
      <c r="B344" s="202" t="str">
        <f>IF(C344&lt;&gt;"NA",C344,VLOOKUP(K344,Update_from_YIFIP!$X$2:$AD$174,7,FALSE))</f>
        <v>NA</v>
      </c>
      <c r="C344" s="207" t="str">
        <f t="shared" si="20"/>
        <v>NA</v>
      </c>
      <c r="D344" s="207" t="str">
        <f t="shared" si="21"/>
        <v>NA</v>
      </c>
      <c r="E344" s="202" t="s">
        <v>3158</v>
      </c>
      <c r="F344" s="202" t="s">
        <v>2235</v>
      </c>
      <c r="G344" s="202" t="s">
        <v>2236</v>
      </c>
      <c r="H344" s="207" t="str">
        <f t="shared" si="22"/>
        <v>NA</v>
      </c>
      <c r="I344" s="202" t="s">
        <v>3159</v>
      </c>
      <c r="J344" s="202" t="s">
        <v>2233</v>
      </c>
      <c r="K344" s="202" t="s">
        <v>2237</v>
      </c>
      <c r="L344" s="202" t="s">
        <v>1185</v>
      </c>
      <c r="M344" s="202">
        <v>10</v>
      </c>
      <c r="N344" s="202">
        <v>0</v>
      </c>
      <c r="O344" s="202">
        <v>33</v>
      </c>
      <c r="P344" s="202">
        <v>1</v>
      </c>
      <c r="Q344" s="202">
        <v>3</v>
      </c>
      <c r="R344" s="202">
        <v>5</v>
      </c>
      <c r="S344" s="202">
        <v>3</v>
      </c>
      <c r="T344" s="202">
        <v>2</v>
      </c>
      <c r="U344" s="202">
        <v>2</v>
      </c>
      <c r="V344" s="202">
        <v>2</v>
      </c>
      <c r="W344" s="202">
        <v>4</v>
      </c>
      <c r="X344" s="202">
        <v>6</v>
      </c>
      <c r="Y344" s="202">
        <v>5</v>
      </c>
      <c r="Z344" s="202">
        <v>0</v>
      </c>
      <c r="AA344" s="202">
        <v>0</v>
      </c>
      <c r="AB344" s="202">
        <v>0</v>
      </c>
      <c r="AC344" s="202">
        <v>0</v>
      </c>
      <c r="AD344" s="202">
        <v>0</v>
      </c>
      <c r="AE344" s="202">
        <v>0</v>
      </c>
      <c r="AF344" s="202">
        <v>0</v>
      </c>
      <c r="AG344" s="202">
        <v>0</v>
      </c>
      <c r="AH344" s="202">
        <v>0</v>
      </c>
      <c r="AI344" s="202">
        <v>0</v>
      </c>
      <c r="AJ344" s="202">
        <v>0</v>
      </c>
      <c r="AK344" s="202">
        <v>0</v>
      </c>
      <c r="AL344" s="202">
        <v>0</v>
      </c>
      <c r="AM344" s="202">
        <v>0</v>
      </c>
      <c r="AN344" s="202">
        <v>0</v>
      </c>
      <c r="AO344" s="202">
        <v>0</v>
      </c>
      <c r="AP344" s="202">
        <v>0</v>
      </c>
      <c r="AQ344" s="202" t="s">
        <v>1960</v>
      </c>
      <c r="AR344" s="202" t="s">
        <v>1960</v>
      </c>
      <c r="AS344" s="202">
        <v>0</v>
      </c>
      <c r="AT344" s="202">
        <v>10</v>
      </c>
      <c r="AU344" s="202">
        <v>0</v>
      </c>
      <c r="AV344" s="202">
        <v>2</v>
      </c>
      <c r="AW344"/>
      <c r="AX344"/>
      <c r="AY344"/>
    </row>
    <row r="345" spans="1:51">
      <c r="A345" s="202" t="str">
        <f t="shared" si="23"/>
        <v>杨荣高&amp;李波</v>
      </c>
      <c r="B345" s="202" t="str">
        <f>IF(C345&lt;&gt;"NA",C345,VLOOKUP(K345,Update_from_YIFIP!$X$2:$AD$174,7,FALSE))</f>
        <v>NA</v>
      </c>
      <c r="C345" s="207" t="str">
        <f t="shared" si="20"/>
        <v>NA</v>
      </c>
      <c r="D345" s="207" t="str">
        <f t="shared" si="21"/>
        <v>NA</v>
      </c>
      <c r="E345" s="202" t="s">
        <v>3158</v>
      </c>
      <c r="F345" s="202" t="s">
        <v>2235</v>
      </c>
      <c r="G345" s="202" t="s">
        <v>2236</v>
      </c>
      <c r="H345" s="207" t="str">
        <f t="shared" si="22"/>
        <v>NA</v>
      </c>
      <c r="I345" s="202" t="s">
        <v>3159</v>
      </c>
      <c r="J345" s="202" t="s">
        <v>2233</v>
      </c>
      <c r="K345" s="202" t="s">
        <v>2238</v>
      </c>
      <c r="L345" s="202" t="s">
        <v>1186</v>
      </c>
      <c r="M345" s="202">
        <v>10</v>
      </c>
      <c r="N345" s="202">
        <v>0</v>
      </c>
      <c r="O345" s="202">
        <v>41</v>
      </c>
      <c r="P345" s="202">
        <v>6</v>
      </c>
      <c r="Q345" s="202">
        <v>5</v>
      </c>
      <c r="R345" s="202">
        <v>3</v>
      </c>
      <c r="S345" s="202">
        <v>4</v>
      </c>
      <c r="T345" s="202">
        <v>3</v>
      </c>
      <c r="U345" s="202">
        <v>3</v>
      </c>
      <c r="V345" s="202">
        <v>5</v>
      </c>
      <c r="W345" s="202">
        <v>3</v>
      </c>
      <c r="X345" s="202">
        <v>4</v>
      </c>
      <c r="Y345" s="202">
        <v>5</v>
      </c>
      <c r="Z345" s="202">
        <v>0</v>
      </c>
      <c r="AA345" s="202">
        <v>0</v>
      </c>
      <c r="AB345" s="202">
        <v>0</v>
      </c>
      <c r="AC345" s="202">
        <v>0</v>
      </c>
      <c r="AD345" s="202">
        <v>0</v>
      </c>
      <c r="AE345" s="202">
        <v>0</v>
      </c>
      <c r="AF345" s="202">
        <v>0</v>
      </c>
      <c r="AG345" s="202">
        <v>0</v>
      </c>
      <c r="AH345" s="202">
        <v>0</v>
      </c>
      <c r="AI345" s="202">
        <v>0</v>
      </c>
      <c r="AJ345" s="202">
        <v>0</v>
      </c>
      <c r="AK345" s="202">
        <v>0</v>
      </c>
      <c r="AL345" s="202">
        <v>0</v>
      </c>
      <c r="AM345" s="202">
        <v>0</v>
      </c>
      <c r="AN345" s="202">
        <v>0</v>
      </c>
      <c r="AO345" s="202">
        <v>0</v>
      </c>
      <c r="AP345" s="202">
        <v>0</v>
      </c>
      <c r="AQ345" s="202" t="s">
        <v>1961</v>
      </c>
      <c r="AR345" s="202" t="s">
        <v>1961</v>
      </c>
      <c r="AS345" s="202">
        <v>0</v>
      </c>
      <c r="AT345" s="202">
        <v>5</v>
      </c>
      <c r="AU345" s="202">
        <v>0</v>
      </c>
      <c r="AV345" s="202">
        <v>1</v>
      </c>
      <c r="AW345"/>
      <c r="AX345"/>
      <c r="AY345"/>
    </row>
    <row r="346" spans="1:51">
      <c r="A346" s="202" t="str">
        <f t="shared" si="23"/>
        <v>杨荣高&amp;李波</v>
      </c>
      <c r="B346" s="202" t="str">
        <f>IF(C346&lt;&gt;"NA",C346,VLOOKUP(K346,Update_from_YIFIP!$X$2:$AD$174,7,FALSE))</f>
        <v>NA</v>
      </c>
      <c r="C346" s="207" t="str">
        <f t="shared" si="20"/>
        <v>NA</v>
      </c>
      <c r="D346" s="207" t="str">
        <f t="shared" si="21"/>
        <v>NA</v>
      </c>
      <c r="E346" s="202" t="s">
        <v>3158</v>
      </c>
      <c r="F346" s="202" t="s">
        <v>2235</v>
      </c>
      <c r="G346" s="202" t="s">
        <v>2236</v>
      </c>
      <c r="H346" s="207" t="str">
        <f t="shared" si="22"/>
        <v>NA</v>
      </c>
      <c r="I346" s="202" t="s">
        <v>3159</v>
      </c>
      <c r="J346" s="202" t="s">
        <v>2233</v>
      </c>
      <c r="K346" s="202" t="s">
        <v>2239</v>
      </c>
      <c r="L346" s="202" t="s">
        <v>1187</v>
      </c>
      <c r="M346" s="202">
        <v>0</v>
      </c>
      <c r="N346" s="202">
        <v>14</v>
      </c>
      <c r="O346" s="202">
        <v>44</v>
      </c>
      <c r="P346" s="202">
        <v>1</v>
      </c>
      <c r="Q346" s="202">
        <v>2</v>
      </c>
      <c r="R346" s="202">
        <v>2</v>
      </c>
      <c r="S346" s="202">
        <v>2</v>
      </c>
      <c r="T346" s="202">
        <v>3</v>
      </c>
      <c r="U346" s="202">
        <v>3</v>
      </c>
      <c r="V346" s="202">
        <v>3</v>
      </c>
      <c r="W346" s="202">
        <v>4</v>
      </c>
      <c r="X346" s="202">
        <v>4</v>
      </c>
      <c r="Y346" s="202">
        <v>4</v>
      </c>
      <c r="Z346" s="202">
        <v>4</v>
      </c>
      <c r="AA346" s="202">
        <v>4</v>
      </c>
      <c r="AB346" s="202">
        <v>4</v>
      </c>
      <c r="AC346" s="202">
        <v>4</v>
      </c>
      <c r="AD346" s="202">
        <v>0</v>
      </c>
      <c r="AE346" s="202">
        <v>0</v>
      </c>
      <c r="AF346" s="202">
        <v>0</v>
      </c>
      <c r="AG346" s="202">
        <v>0</v>
      </c>
      <c r="AH346" s="202">
        <v>0</v>
      </c>
      <c r="AI346" s="202">
        <v>0</v>
      </c>
      <c r="AJ346" s="202">
        <v>0</v>
      </c>
      <c r="AK346" s="202">
        <v>0</v>
      </c>
      <c r="AL346" s="202">
        <v>0</v>
      </c>
      <c r="AM346" s="202">
        <v>0</v>
      </c>
      <c r="AN346" s="202">
        <v>0</v>
      </c>
      <c r="AO346" s="202">
        <v>0</v>
      </c>
      <c r="AP346" s="202">
        <v>0</v>
      </c>
      <c r="AQ346" s="202" t="s">
        <v>1962</v>
      </c>
      <c r="AR346" s="202" t="s">
        <v>1962</v>
      </c>
      <c r="AS346" s="202">
        <v>0</v>
      </c>
      <c r="AT346" s="202">
        <v>10</v>
      </c>
      <c r="AU346" s="202">
        <v>0</v>
      </c>
      <c r="AV346" s="202">
        <v>2</v>
      </c>
      <c r="AW346"/>
      <c r="AX346"/>
      <c r="AY346"/>
    </row>
    <row r="347" spans="1:51">
      <c r="A347" s="202" t="str">
        <f t="shared" si="23"/>
        <v>郭存祥</v>
      </c>
      <c r="B347" s="202" t="str">
        <f>IF(C347&lt;&gt;"NA",C347,VLOOKUP(K347,Update_from_YIFIP!$X$2:$AD$174,7,FALSE))</f>
        <v>NA</v>
      </c>
      <c r="C347" s="207" t="str">
        <f t="shared" si="20"/>
        <v>NA</v>
      </c>
      <c r="D347" s="207" t="str">
        <f t="shared" si="21"/>
        <v>NA</v>
      </c>
      <c r="E347" s="202" t="s">
        <v>2244</v>
      </c>
      <c r="F347" s="202" t="s">
        <v>2245</v>
      </c>
      <c r="G347" s="202" t="s">
        <v>876</v>
      </c>
      <c r="H347" s="207" t="str">
        <f t="shared" si="22"/>
        <v>NA</v>
      </c>
      <c r="I347" s="202" t="s">
        <v>1929</v>
      </c>
      <c r="J347" s="202" t="s">
        <v>2240</v>
      </c>
      <c r="K347" s="202">
        <v>0</v>
      </c>
      <c r="L347" s="202" t="s">
        <v>1190</v>
      </c>
      <c r="M347" s="202">
        <v>7</v>
      </c>
      <c r="N347" s="202">
        <v>0</v>
      </c>
      <c r="O347" s="202">
        <v>37</v>
      </c>
      <c r="P347" s="202">
        <v>1</v>
      </c>
      <c r="Q347" s="202">
        <v>2</v>
      </c>
      <c r="R347" s="202">
        <v>3</v>
      </c>
      <c r="S347" s="202">
        <v>4</v>
      </c>
      <c r="T347" s="202">
        <v>7</v>
      </c>
      <c r="U347" s="202">
        <v>8</v>
      </c>
      <c r="V347" s="202">
        <v>12</v>
      </c>
      <c r="W347" s="202">
        <v>0</v>
      </c>
      <c r="X347" s="202">
        <v>0</v>
      </c>
      <c r="Y347" s="202">
        <v>0</v>
      </c>
      <c r="Z347" s="202">
        <v>0</v>
      </c>
      <c r="AA347" s="202">
        <v>0</v>
      </c>
      <c r="AB347" s="202">
        <v>0</v>
      </c>
      <c r="AC347" s="202">
        <v>0</v>
      </c>
      <c r="AD347" s="202">
        <v>0</v>
      </c>
      <c r="AE347" s="202">
        <v>0</v>
      </c>
      <c r="AF347" s="202">
        <v>0</v>
      </c>
      <c r="AG347" s="202">
        <v>0</v>
      </c>
      <c r="AH347" s="202">
        <v>0</v>
      </c>
      <c r="AI347" s="202">
        <v>0</v>
      </c>
      <c r="AJ347" s="202">
        <v>0</v>
      </c>
      <c r="AK347" s="202">
        <v>0</v>
      </c>
      <c r="AL347" s="202">
        <v>0</v>
      </c>
      <c r="AM347" s="202">
        <v>0</v>
      </c>
      <c r="AN347" s="202">
        <v>0</v>
      </c>
      <c r="AO347" s="202">
        <v>0</v>
      </c>
      <c r="AP347" s="202">
        <v>0</v>
      </c>
      <c r="AQ347" s="202" t="s">
        <v>1964</v>
      </c>
      <c r="AR347" s="202" t="s">
        <v>1964</v>
      </c>
      <c r="AS347" s="202">
        <v>0</v>
      </c>
      <c r="AT347" s="202">
        <v>7.5</v>
      </c>
      <c r="AU347" s="202">
        <v>0</v>
      </c>
      <c r="AV347" s="202">
        <v>1.5</v>
      </c>
      <c r="AW347"/>
      <c r="AX347"/>
      <c r="AY347"/>
    </row>
    <row r="348" spans="1:51">
      <c r="A348" s="202" t="str">
        <f t="shared" si="23"/>
        <v>郭存祥</v>
      </c>
      <c r="B348" s="202" t="str">
        <f>IF(C348&lt;&gt;"NA",C348,VLOOKUP(K348,Update_from_YIFIP!$X$2:$AD$174,7,FALSE))</f>
        <v>NA</v>
      </c>
      <c r="C348" s="207" t="str">
        <f t="shared" si="20"/>
        <v>NA</v>
      </c>
      <c r="D348" s="207" t="str">
        <f t="shared" si="21"/>
        <v>NA</v>
      </c>
      <c r="E348" s="202" t="s">
        <v>2244</v>
      </c>
      <c r="F348" s="202" t="s">
        <v>2245</v>
      </c>
      <c r="G348" s="202" t="s">
        <v>876</v>
      </c>
      <c r="H348" s="207" t="str">
        <f t="shared" si="22"/>
        <v>NA</v>
      </c>
      <c r="I348" s="202" t="s">
        <v>1929</v>
      </c>
      <c r="J348" s="202" t="s">
        <v>2240</v>
      </c>
      <c r="K348" s="202">
        <v>0</v>
      </c>
      <c r="L348" s="202" t="s">
        <v>1191</v>
      </c>
      <c r="M348" s="202">
        <v>0</v>
      </c>
      <c r="N348" s="202">
        <v>15</v>
      </c>
      <c r="O348" s="202">
        <v>84</v>
      </c>
      <c r="P348" s="202">
        <v>1</v>
      </c>
      <c r="Q348" s="202">
        <v>1</v>
      </c>
      <c r="R348" s="202">
        <v>1</v>
      </c>
      <c r="S348" s="202">
        <v>2</v>
      </c>
      <c r="T348" s="202">
        <v>2</v>
      </c>
      <c r="U348" s="202">
        <v>4</v>
      </c>
      <c r="V348" s="202">
        <v>4</v>
      </c>
      <c r="W348" s="202">
        <v>4</v>
      </c>
      <c r="X348" s="202">
        <v>5</v>
      </c>
      <c r="Y348" s="202">
        <v>6</v>
      </c>
      <c r="Z348" s="202">
        <v>8</v>
      </c>
      <c r="AA348" s="202">
        <v>16</v>
      </c>
      <c r="AB348" s="202">
        <v>10</v>
      </c>
      <c r="AC348" s="202">
        <v>6</v>
      </c>
      <c r="AD348" s="202">
        <v>14</v>
      </c>
      <c r="AE348" s="202">
        <v>0</v>
      </c>
      <c r="AF348" s="202">
        <v>0</v>
      </c>
      <c r="AG348" s="202">
        <v>0</v>
      </c>
      <c r="AH348" s="202">
        <v>0</v>
      </c>
      <c r="AI348" s="202">
        <v>0</v>
      </c>
      <c r="AJ348" s="202">
        <v>0</v>
      </c>
      <c r="AK348" s="202">
        <v>0</v>
      </c>
      <c r="AL348" s="202">
        <v>0</v>
      </c>
      <c r="AM348" s="202">
        <v>0</v>
      </c>
      <c r="AN348" s="202">
        <v>0</v>
      </c>
      <c r="AO348" s="202">
        <v>0</v>
      </c>
      <c r="AP348" s="202">
        <v>0</v>
      </c>
      <c r="AQ348" s="202" t="s">
        <v>1964</v>
      </c>
      <c r="AR348" s="202" t="s">
        <v>1964</v>
      </c>
      <c r="AS348" s="202">
        <v>0</v>
      </c>
      <c r="AT348" s="202">
        <v>12.5</v>
      </c>
      <c r="AU348" s="202">
        <v>0</v>
      </c>
      <c r="AV348" s="202">
        <v>2.5</v>
      </c>
      <c r="AW348"/>
      <c r="AX348"/>
      <c r="AY348"/>
    </row>
    <row r="349" spans="1:51">
      <c r="A349" s="202" t="str">
        <f t="shared" si="23"/>
        <v>王贵学</v>
      </c>
      <c r="B349" s="202" t="str">
        <f>IF(C349&lt;&gt;"NA",C349,VLOOKUP(K349,Update_from_YIFIP!$X$2:$AD$174,7,FALSE))</f>
        <v>NA</v>
      </c>
      <c r="C349" s="207" t="str">
        <f t="shared" si="20"/>
        <v>NA</v>
      </c>
      <c r="D349" s="207" t="str">
        <f t="shared" si="21"/>
        <v>NA</v>
      </c>
      <c r="E349" s="202" t="s">
        <v>2249</v>
      </c>
      <c r="F349" s="202" t="s">
        <v>2252</v>
      </c>
      <c r="G349" s="202" t="s">
        <v>2253</v>
      </c>
      <c r="H349" s="207" t="str">
        <f t="shared" si="22"/>
        <v>NA</v>
      </c>
      <c r="I349" s="202" t="s">
        <v>1929</v>
      </c>
      <c r="J349" s="202" t="s">
        <v>2250</v>
      </c>
      <c r="K349" s="202" t="s">
        <v>2251</v>
      </c>
      <c r="L349" s="202" t="s">
        <v>1197</v>
      </c>
      <c r="M349" s="202">
        <v>10</v>
      </c>
      <c r="N349" s="202">
        <v>0</v>
      </c>
      <c r="O349" s="202">
        <v>48</v>
      </c>
      <c r="P349" s="202">
        <v>4</v>
      </c>
      <c r="Q349" s="202">
        <v>3</v>
      </c>
      <c r="R349" s="202">
        <v>2</v>
      </c>
      <c r="S349" s="202">
        <v>4</v>
      </c>
      <c r="T349" s="202">
        <v>8</v>
      </c>
      <c r="U349" s="202">
        <v>13</v>
      </c>
      <c r="V349" s="202">
        <v>3</v>
      </c>
      <c r="W349" s="202">
        <v>6</v>
      </c>
      <c r="X349" s="202">
        <v>4</v>
      </c>
      <c r="Y349" s="202">
        <v>1</v>
      </c>
      <c r="Z349" s="202">
        <v>0</v>
      </c>
      <c r="AA349" s="202">
        <v>0</v>
      </c>
      <c r="AB349" s="202">
        <v>0</v>
      </c>
      <c r="AC349" s="202">
        <v>0</v>
      </c>
      <c r="AD349" s="202">
        <v>0</v>
      </c>
      <c r="AE349" s="202">
        <v>0</v>
      </c>
      <c r="AF349" s="202">
        <v>0</v>
      </c>
      <c r="AG349" s="202">
        <v>0</v>
      </c>
      <c r="AH349" s="202">
        <v>0</v>
      </c>
      <c r="AI349" s="202">
        <v>0</v>
      </c>
      <c r="AJ349" s="202">
        <v>0</v>
      </c>
      <c r="AK349" s="202">
        <v>0</v>
      </c>
      <c r="AL349" s="202">
        <v>0</v>
      </c>
      <c r="AM349" s="202">
        <v>0</v>
      </c>
      <c r="AN349" s="202">
        <v>0</v>
      </c>
      <c r="AO349" s="202">
        <v>0</v>
      </c>
      <c r="AP349" s="202">
        <v>0</v>
      </c>
      <c r="AQ349" s="202" t="s">
        <v>1970</v>
      </c>
      <c r="AR349" s="202" t="s">
        <v>1970</v>
      </c>
      <c r="AS349" s="202">
        <v>0</v>
      </c>
      <c r="AT349" s="202">
        <v>5</v>
      </c>
      <c r="AU349" s="202">
        <v>0</v>
      </c>
      <c r="AV349" s="202">
        <v>1</v>
      </c>
      <c r="AW349"/>
      <c r="AX349"/>
      <c r="AY349"/>
    </row>
    <row r="350" spans="1:51">
      <c r="A350" s="202" t="str">
        <f t="shared" si="23"/>
        <v>王贵学</v>
      </c>
      <c r="B350" s="202" t="str">
        <f>IF(C350&lt;&gt;"NA",C350,VLOOKUP(K350,Update_from_YIFIP!$X$2:$AD$174,7,FALSE))</f>
        <v>NA</v>
      </c>
      <c r="C350" s="207" t="str">
        <f t="shared" si="20"/>
        <v>NA</v>
      </c>
      <c r="D350" s="207" t="str">
        <f t="shared" si="21"/>
        <v>NA</v>
      </c>
      <c r="E350" s="202" t="s">
        <v>2249</v>
      </c>
      <c r="F350" s="202" t="s">
        <v>2252</v>
      </c>
      <c r="G350" s="202" t="s">
        <v>2253</v>
      </c>
      <c r="H350" s="207" t="str">
        <f t="shared" si="22"/>
        <v>NA</v>
      </c>
      <c r="I350" s="202" t="s">
        <v>1929</v>
      </c>
      <c r="J350" s="202" t="s">
        <v>2250</v>
      </c>
      <c r="K350" s="202" t="s">
        <v>2254</v>
      </c>
      <c r="L350" s="202" t="s">
        <v>1198</v>
      </c>
      <c r="M350" s="202">
        <v>10</v>
      </c>
      <c r="N350" s="202">
        <v>0</v>
      </c>
      <c r="O350" s="202">
        <v>71</v>
      </c>
      <c r="P350" s="202">
        <v>7</v>
      </c>
      <c r="Q350" s="202">
        <v>10</v>
      </c>
      <c r="R350" s="202">
        <v>2</v>
      </c>
      <c r="S350" s="202">
        <v>5</v>
      </c>
      <c r="T350" s="202">
        <v>5</v>
      </c>
      <c r="U350" s="202">
        <v>5</v>
      </c>
      <c r="V350" s="202">
        <v>5</v>
      </c>
      <c r="W350" s="202">
        <v>7</v>
      </c>
      <c r="X350" s="202">
        <v>8</v>
      </c>
      <c r="Y350" s="202">
        <v>17</v>
      </c>
      <c r="Z350" s="202">
        <v>0</v>
      </c>
      <c r="AA350" s="202">
        <v>0</v>
      </c>
      <c r="AB350" s="202">
        <v>0</v>
      </c>
      <c r="AC350" s="202">
        <v>0</v>
      </c>
      <c r="AD350" s="202">
        <v>0</v>
      </c>
      <c r="AE350" s="202">
        <v>0</v>
      </c>
      <c r="AF350" s="202">
        <v>0</v>
      </c>
      <c r="AG350" s="202">
        <v>0</v>
      </c>
      <c r="AH350" s="202">
        <v>0</v>
      </c>
      <c r="AI350" s="202">
        <v>0</v>
      </c>
      <c r="AJ350" s="202">
        <v>0</v>
      </c>
      <c r="AK350" s="202">
        <v>0</v>
      </c>
      <c r="AL350" s="202">
        <v>0</v>
      </c>
      <c r="AM350" s="202">
        <v>0</v>
      </c>
      <c r="AN350" s="202">
        <v>0</v>
      </c>
      <c r="AO350" s="202">
        <v>0</v>
      </c>
      <c r="AP350" s="202">
        <v>0</v>
      </c>
      <c r="AQ350" s="202" t="s">
        <v>1971</v>
      </c>
      <c r="AR350" s="202" t="s">
        <v>1971</v>
      </c>
      <c r="AS350" s="202">
        <v>0</v>
      </c>
      <c r="AT350" s="202">
        <v>12.5</v>
      </c>
      <c r="AU350" s="202">
        <v>0</v>
      </c>
      <c r="AV350" s="202">
        <v>2.5</v>
      </c>
      <c r="AW350"/>
      <c r="AX350"/>
      <c r="AY350"/>
    </row>
    <row r="351" spans="1:51">
      <c r="A351" s="202" t="str">
        <f t="shared" si="23"/>
        <v>王贵学</v>
      </c>
      <c r="B351" s="202">
        <f>IF(C351&lt;&gt;"NA",C351,VLOOKUP(K351,Update_from_YIFIP!$X$2:$AD$174,7,FALSE))</f>
        <v>17</v>
      </c>
      <c r="C351" s="207" t="str">
        <f t="shared" si="20"/>
        <v>NA</v>
      </c>
      <c r="D351" s="207" t="str">
        <f t="shared" si="21"/>
        <v>NA</v>
      </c>
      <c r="E351" s="202" t="s">
        <v>2249</v>
      </c>
      <c r="F351" s="202" t="s">
        <v>2252</v>
      </c>
      <c r="G351" s="202" t="s">
        <v>2253</v>
      </c>
      <c r="H351" s="207" t="str">
        <f t="shared" si="22"/>
        <v>NA</v>
      </c>
      <c r="I351" s="202" t="s">
        <v>1929</v>
      </c>
      <c r="J351" s="202" t="s">
        <v>2250</v>
      </c>
      <c r="K351" s="202" t="s">
        <v>2255</v>
      </c>
      <c r="L351" s="202" t="s">
        <v>1199</v>
      </c>
      <c r="M351" s="202">
        <v>10</v>
      </c>
      <c r="N351" s="202">
        <v>0</v>
      </c>
      <c r="O351" s="202">
        <v>45</v>
      </c>
      <c r="P351" s="202">
        <v>2</v>
      </c>
      <c r="Q351" s="202">
        <v>7</v>
      </c>
      <c r="R351" s="202">
        <v>7</v>
      </c>
      <c r="S351" s="202">
        <v>8</v>
      </c>
      <c r="T351" s="202">
        <v>2</v>
      </c>
      <c r="U351" s="202">
        <v>3</v>
      </c>
      <c r="V351" s="202">
        <v>5</v>
      </c>
      <c r="W351" s="202">
        <v>4</v>
      </c>
      <c r="X351" s="202">
        <v>1</v>
      </c>
      <c r="Y351" s="202">
        <v>6</v>
      </c>
      <c r="Z351" s="202">
        <v>0</v>
      </c>
      <c r="AA351" s="202">
        <v>0</v>
      </c>
      <c r="AB351" s="202">
        <v>0</v>
      </c>
      <c r="AC351" s="202">
        <v>0</v>
      </c>
      <c r="AD351" s="202">
        <v>0</v>
      </c>
      <c r="AE351" s="202">
        <v>0</v>
      </c>
      <c r="AF351" s="202">
        <v>0</v>
      </c>
      <c r="AG351" s="202">
        <v>0</v>
      </c>
      <c r="AH351" s="202">
        <v>0</v>
      </c>
      <c r="AI351" s="202">
        <v>0</v>
      </c>
      <c r="AJ351" s="202">
        <v>0</v>
      </c>
      <c r="AK351" s="202">
        <v>0</v>
      </c>
      <c r="AL351" s="202">
        <v>0</v>
      </c>
      <c r="AM351" s="202">
        <v>0</v>
      </c>
      <c r="AN351" s="202">
        <v>0</v>
      </c>
      <c r="AO351" s="202">
        <v>0</v>
      </c>
      <c r="AP351" s="202">
        <v>0</v>
      </c>
      <c r="AQ351" s="202" t="s">
        <v>1972</v>
      </c>
      <c r="AR351" s="202" t="s">
        <v>1972</v>
      </c>
      <c r="AS351" s="202">
        <v>0</v>
      </c>
      <c r="AT351" s="202">
        <v>7.5</v>
      </c>
      <c r="AU351" s="202">
        <v>0</v>
      </c>
      <c r="AV351" s="202">
        <v>1.5</v>
      </c>
      <c r="AW351"/>
      <c r="AX351"/>
      <c r="AY351"/>
    </row>
    <row r="352" spans="1:51">
      <c r="A352" s="202" t="str">
        <f t="shared" si="23"/>
        <v>王贵学</v>
      </c>
      <c r="B352" s="202">
        <f>IF(C352&lt;&gt;"NA",C352,VLOOKUP(K352,Update_from_YIFIP!$X$2:$AD$174,7,FALSE))</f>
        <v>17</v>
      </c>
      <c r="C352" s="207" t="str">
        <f t="shared" si="20"/>
        <v>NA</v>
      </c>
      <c r="D352" s="207" t="str">
        <f t="shared" si="21"/>
        <v>NA</v>
      </c>
      <c r="E352" s="202" t="s">
        <v>2249</v>
      </c>
      <c r="F352" s="202" t="s">
        <v>2252</v>
      </c>
      <c r="G352" s="202" t="s">
        <v>2253</v>
      </c>
      <c r="H352" s="207" t="str">
        <f t="shared" si="22"/>
        <v>NA</v>
      </c>
      <c r="I352" s="202" t="s">
        <v>1929</v>
      </c>
      <c r="J352" s="202" t="s">
        <v>2250</v>
      </c>
      <c r="K352" s="202" t="s">
        <v>2256</v>
      </c>
      <c r="L352" s="202" t="s">
        <v>1200</v>
      </c>
      <c r="M352" s="202">
        <v>10</v>
      </c>
      <c r="N352" s="202">
        <v>0</v>
      </c>
      <c r="O352" s="202">
        <v>58</v>
      </c>
      <c r="P352" s="202">
        <v>5</v>
      </c>
      <c r="Q352" s="202">
        <v>4</v>
      </c>
      <c r="R352" s="202">
        <v>3</v>
      </c>
      <c r="S352" s="202">
        <v>10</v>
      </c>
      <c r="T352" s="202">
        <v>13</v>
      </c>
      <c r="U352" s="202">
        <v>6</v>
      </c>
      <c r="V352" s="202">
        <v>2</v>
      </c>
      <c r="W352" s="202">
        <v>3</v>
      </c>
      <c r="X352" s="202">
        <v>6</v>
      </c>
      <c r="Y352" s="202">
        <v>6</v>
      </c>
      <c r="Z352" s="202">
        <v>0</v>
      </c>
      <c r="AA352" s="202">
        <v>0</v>
      </c>
      <c r="AB352" s="202">
        <v>0</v>
      </c>
      <c r="AC352" s="202">
        <v>0</v>
      </c>
      <c r="AD352" s="202">
        <v>0</v>
      </c>
      <c r="AE352" s="202">
        <v>0</v>
      </c>
      <c r="AF352" s="202">
        <v>0</v>
      </c>
      <c r="AG352" s="202">
        <v>0</v>
      </c>
      <c r="AH352" s="202">
        <v>0</v>
      </c>
      <c r="AI352" s="202">
        <v>0</v>
      </c>
      <c r="AJ352" s="202">
        <v>0</v>
      </c>
      <c r="AK352" s="202">
        <v>0</v>
      </c>
      <c r="AL352" s="202">
        <v>0</v>
      </c>
      <c r="AM352" s="202">
        <v>0</v>
      </c>
      <c r="AN352" s="202">
        <v>0</v>
      </c>
      <c r="AO352" s="202">
        <v>0</v>
      </c>
      <c r="AP352" s="202">
        <v>0</v>
      </c>
      <c r="AQ352" s="202" t="s">
        <v>1933</v>
      </c>
      <c r="AR352" s="202" t="s">
        <v>1933</v>
      </c>
      <c r="AS352" s="202">
        <v>0</v>
      </c>
      <c r="AT352" s="202">
        <v>7.5</v>
      </c>
      <c r="AU352" s="202">
        <v>0</v>
      </c>
      <c r="AV352" s="202">
        <v>1.5</v>
      </c>
      <c r="AW352"/>
      <c r="AX352"/>
      <c r="AY352"/>
    </row>
    <row r="353" spans="1:51">
      <c r="A353" s="202" t="str">
        <f t="shared" si="23"/>
        <v>王贵学</v>
      </c>
      <c r="B353" s="202" t="str">
        <f>IF(C353&lt;&gt;"NA",C353,VLOOKUP(K353,Update_from_YIFIP!$X$2:$AD$174,7,FALSE))</f>
        <v>NA</v>
      </c>
      <c r="C353" s="207" t="str">
        <f t="shared" si="20"/>
        <v>NA</v>
      </c>
      <c r="D353" s="207" t="str">
        <f t="shared" si="21"/>
        <v>NA</v>
      </c>
      <c r="E353" s="202" t="s">
        <v>2249</v>
      </c>
      <c r="F353" s="202" t="s">
        <v>2252</v>
      </c>
      <c r="G353" s="202" t="s">
        <v>2253</v>
      </c>
      <c r="H353" s="207" t="str">
        <f t="shared" si="22"/>
        <v>NA</v>
      </c>
      <c r="I353" s="202" t="s">
        <v>1929</v>
      </c>
      <c r="J353" s="202" t="s">
        <v>2250</v>
      </c>
      <c r="K353" s="202">
        <v>0</v>
      </c>
      <c r="L353" s="202" t="s">
        <v>1201</v>
      </c>
      <c r="M353" s="202">
        <v>0</v>
      </c>
      <c r="N353" s="202">
        <v>21</v>
      </c>
      <c r="O353" s="202">
        <v>70</v>
      </c>
      <c r="P353" s="202">
        <v>2</v>
      </c>
      <c r="Q353" s="202">
        <v>2</v>
      </c>
      <c r="R353" s="202">
        <v>8</v>
      </c>
      <c r="S353" s="202">
        <v>3</v>
      </c>
      <c r="T353" s="202">
        <v>1</v>
      </c>
      <c r="U353" s="202">
        <v>2</v>
      </c>
      <c r="V353" s="202">
        <v>8</v>
      </c>
      <c r="W353" s="202">
        <v>6</v>
      </c>
      <c r="X353" s="202">
        <v>4</v>
      </c>
      <c r="Y353" s="202">
        <v>4</v>
      </c>
      <c r="Z353" s="202">
        <v>1</v>
      </c>
      <c r="AA353" s="202">
        <v>7</v>
      </c>
      <c r="AB353" s="202">
        <v>7</v>
      </c>
      <c r="AC353" s="202">
        <v>2</v>
      </c>
      <c r="AD353" s="202">
        <v>1</v>
      </c>
      <c r="AE353" s="202">
        <v>2</v>
      </c>
      <c r="AF353" s="202">
        <v>1</v>
      </c>
      <c r="AG353" s="202">
        <v>1</v>
      </c>
      <c r="AH353" s="202">
        <v>2</v>
      </c>
      <c r="AI353" s="202">
        <v>2</v>
      </c>
      <c r="AJ353" s="202">
        <v>4</v>
      </c>
      <c r="AK353" s="202">
        <v>0</v>
      </c>
      <c r="AL353" s="202">
        <v>0</v>
      </c>
      <c r="AM353" s="202">
        <v>0</v>
      </c>
      <c r="AN353" s="202">
        <v>0</v>
      </c>
      <c r="AO353" s="202">
        <v>0</v>
      </c>
      <c r="AP353" s="202">
        <v>0</v>
      </c>
      <c r="AQ353" s="202">
        <v>0</v>
      </c>
      <c r="AR353" s="202">
        <v>0</v>
      </c>
      <c r="AS353" s="202">
        <v>0</v>
      </c>
      <c r="AT353" s="202">
        <v>10</v>
      </c>
      <c r="AU353" s="202">
        <v>0</v>
      </c>
      <c r="AV353" s="202">
        <v>2</v>
      </c>
      <c r="AW353"/>
      <c r="AX353"/>
      <c r="AY353"/>
    </row>
    <row r="354" spans="1:51">
      <c r="A354" s="202" t="str">
        <f t="shared" si="23"/>
        <v>李先富&amp;何学会</v>
      </c>
      <c r="B354" s="202">
        <f>IF(C354&lt;&gt;"NA",C354,VLOOKUP(K354,Update_from_YIFIP!$X$2:$AD$174,7,FALSE))</f>
        <v>30</v>
      </c>
      <c r="C354" s="207" t="str">
        <f t="shared" si="20"/>
        <v>NA</v>
      </c>
      <c r="D354" s="207" t="str">
        <f t="shared" ref="D354:D385" si="24">IF(ISNA(VLOOKUP(E354,$AX$2:$AY$173,2,FALSE)) = TRUE, "NA", VLOOKUP(E354,$AX$2:$AY$173,2,FALSE))</f>
        <v>NA</v>
      </c>
      <c r="E354" s="202" t="s">
        <v>3160</v>
      </c>
      <c r="F354" s="202" t="s">
        <v>2259</v>
      </c>
      <c r="G354" s="202" t="s">
        <v>2260</v>
      </c>
      <c r="H354" s="207" t="str">
        <f t="shared" si="22"/>
        <v>NA</v>
      </c>
      <c r="I354" s="202" t="s">
        <v>3161</v>
      </c>
      <c r="J354" s="202" t="s">
        <v>2257</v>
      </c>
      <c r="K354" s="202" t="s">
        <v>2258</v>
      </c>
      <c r="L354" s="202" t="s">
        <v>1202</v>
      </c>
      <c r="M354" s="202">
        <v>8</v>
      </c>
      <c r="N354" s="202">
        <v>0</v>
      </c>
      <c r="O354" s="202">
        <v>17</v>
      </c>
      <c r="P354" s="202">
        <v>1</v>
      </c>
      <c r="Q354" s="202">
        <v>1</v>
      </c>
      <c r="R354" s="202">
        <v>2</v>
      </c>
      <c r="S354" s="202">
        <v>2</v>
      </c>
      <c r="T354" s="202">
        <v>2</v>
      </c>
      <c r="U354" s="202">
        <v>3</v>
      </c>
      <c r="V354" s="202">
        <v>3</v>
      </c>
      <c r="W354" s="202">
        <v>3</v>
      </c>
      <c r="X354" s="202">
        <v>0</v>
      </c>
      <c r="Y354" s="202">
        <v>0</v>
      </c>
      <c r="Z354" s="202">
        <v>0</v>
      </c>
      <c r="AA354" s="202">
        <v>0</v>
      </c>
      <c r="AB354" s="202">
        <v>0</v>
      </c>
      <c r="AC354" s="202">
        <v>0</v>
      </c>
      <c r="AD354" s="202">
        <v>0</v>
      </c>
      <c r="AE354" s="202">
        <v>0</v>
      </c>
      <c r="AF354" s="202">
        <v>0</v>
      </c>
      <c r="AG354" s="202">
        <v>0</v>
      </c>
      <c r="AH354" s="202">
        <v>0</v>
      </c>
      <c r="AI354" s="202">
        <v>0</v>
      </c>
      <c r="AJ354" s="202">
        <v>0</v>
      </c>
      <c r="AK354" s="202">
        <v>0</v>
      </c>
      <c r="AL354" s="202">
        <v>0</v>
      </c>
      <c r="AM354" s="202">
        <v>0</v>
      </c>
      <c r="AN354" s="202">
        <v>0</v>
      </c>
      <c r="AO354" s="202">
        <v>0</v>
      </c>
      <c r="AP354" s="202">
        <v>0</v>
      </c>
      <c r="AQ354" s="202" t="s">
        <v>1958</v>
      </c>
      <c r="AR354" s="202" t="s">
        <v>1958</v>
      </c>
      <c r="AS354" s="202">
        <v>0</v>
      </c>
      <c r="AT354" s="202">
        <v>4</v>
      </c>
      <c r="AU354" s="202">
        <v>0</v>
      </c>
      <c r="AV354" s="202">
        <v>0.8</v>
      </c>
      <c r="AW354"/>
      <c r="AX354"/>
      <c r="AY354"/>
    </row>
    <row r="355" spans="1:51">
      <c r="A355" s="202" t="str">
        <f t="shared" si="23"/>
        <v>李先富&amp;何学会</v>
      </c>
      <c r="B355" s="202" t="str">
        <f>IF(C355&lt;&gt;"NA",C355,VLOOKUP(K355,Update_from_YIFIP!$X$2:$AD$174,7,FALSE))</f>
        <v>NA</v>
      </c>
      <c r="C355" s="207" t="str">
        <f t="shared" si="20"/>
        <v>NA</v>
      </c>
      <c r="D355" s="207" t="str">
        <f t="shared" si="24"/>
        <v>NA</v>
      </c>
      <c r="E355" s="202" t="s">
        <v>3160</v>
      </c>
      <c r="F355" s="202" t="s">
        <v>2259</v>
      </c>
      <c r="G355" s="202" t="s">
        <v>2260</v>
      </c>
      <c r="H355" s="207" t="str">
        <f t="shared" si="22"/>
        <v>NA</v>
      </c>
      <c r="I355" s="202" t="s">
        <v>3161</v>
      </c>
      <c r="J355" s="202" t="s">
        <v>2257</v>
      </c>
      <c r="K355" s="202" t="s">
        <v>2261</v>
      </c>
      <c r="L355" s="202" t="s">
        <v>1203</v>
      </c>
      <c r="M355" s="202">
        <v>10</v>
      </c>
      <c r="N355" s="202">
        <v>0</v>
      </c>
      <c r="O355" s="202">
        <v>63</v>
      </c>
      <c r="P355" s="202">
        <v>2</v>
      </c>
      <c r="Q355" s="202">
        <v>5</v>
      </c>
      <c r="R355" s="202">
        <v>3</v>
      </c>
      <c r="S355" s="202">
        <v>4</v>
      </c>
      <c r="T355" s="202">
        <v>5</v>
      </c>
      <c r="U355" s="202">
        <v>7</v>
      </c>
      <c r="V355" s="202">
        <v>5</v>
      </c>
      <c r="W355" s="202">
        <v>8</v>
      </c>
      <c r="X355" s="202">
        <v>15</v>
      </c>
      <c r="Y355" s="202">
        <v>9</v>
      </c>
      <c r="Z355" s="202">
        <v>0</v>
      </c>
      <c r="AA355" s="202">
        <v>0</v>
      </c>
      <c r="AB355" s="202">
        <v>0</v>
      </c>
      <c r="AC355" s="202">
        <v>0</v>
      </c>
      <c r="AD355" s="202">
        <v>0</v>
      </c>
      <c r="AE355" s="202">
        <v>0</v>
      </c>
      <c r="AF355" s="202">
        <v>0</v>
      </c>
      <c r="AG355" s="202">
        <v>0</v>
      </c>
      <c r="AH355" s="202">
        <v>0</v>
      </c>
      <c r="AI355" s="202">
        <v>0</v>
      </c>
      <c r="AJ355" s="202">
        <v>0</v>
      </c>
      <c r="AK355" s="202">
        <v>0</v>
      </c>
      <c r="AL355" s="202">
        <v>0</v>
      </c>
      <c r="AM355" s="202">
        <v>0</v>
      </c>
      <c r="AN355" s="202">
        <v>0</v>
      </c>
      <c r="AO355" s="202">
        <v>0</v>
      </c>
      <c r="AP355" s="202">
        <v>0</v>
      </c>
      <c r="AQ355" s="202" t="s">
        <v>1959</v>
      </c>
      <c r="AR355" s="202" t="s">
        <v>1959</v>
      </c>
      <c r="AS355" s="202">
        <v>0</v>
      </c>
      <c r="AT355" s="202">
        <v>12.5</v>
      </c>
      <c r="AU355" s="202">
        <v>0</v>
      </c>
      <c r="AV355" s="202">
        <v>2.5</v>
      </c>
      <c r="AW355"/>
      <c r="AX355"/>
      <c r="AY355"/>
    </row>
    <row r="356" spans="1:51">
      <c r="A356" s="202" t="str">
        <f t="shared" si="23"/>
        <v>李先富&amp;何学会</v>
      </c>
      <c r="B356" s="202" t="str">
        <f>IF(C356&lt;&gt;"NA",C356,VLOOKUP(K356,Update_from_YIFIP!$X$2:$AD$174,7,FALSE))</f>
        <v>NA</v>
      </c>
      <c r="C356" s="207" t="str">
        <f t="shared" si="20"/>
        <v>NA</v>
      </c>
      <c r="D356" s="207" t="str">
        <f t="shared" si="24"/>
        <v>NA</v>
      </c>
      <c r="E356" s="202" t="s">
        <v>3160</v>
      </c>
      <c r="F356" s="202" t="s">
        <v>2259</v>
      </c>
      <c r="G356" s="202" t="s">
        <v>2260</v>
      </c>
      <c r="H356" s="207" t="str">
        <f t="shared" si="22"/>
        <v>NA</v>
      </c>
      <c r="I356" s="202" t="s">
        <v>3161</v>
      </c>
      <c r="J356" s="202" t="s">
        <v>2257</v>
      </c>
      <c r="K356" s="202" t="s">
        <v>2262</v>
      </c>
      <c r="L356" s="202" t="s">
        <v>1204</v>
      </c>
      <c r="M356" s="202">
        <v>10</v>
      </c>
      <c r="N356" s="202">
        <v>0</v>
      </c>
      <c r="O356" s="202">
        <v>53</v>
      </c>
      <c r="P356" s="202">
        <v>3</v>
      </c>
      <c r="Q356" s="202">
        <v>4</v>
      </c>
      <c r="R356" s="202">
        <v>5</v>
      </c>
      <c r="S356" s="202">
        <v>3</v>
      </c>
      <c r="T356" s="202">
        <v>4</v>
      </c>
      <c r="U356" s="202">
        <v>8</v>
      </c>
      <c r="V356" s="202">
        <v>6</v>
      </c>
      <c r="W356" s="202">
        <v>5</v>
      </c>
      <c r="X356" s="202">
        <v>4</v>
      </c>
      <c r="Y356" s="202">
        <v>11</v>
      </c>
      <c r="Z356" s="202">
        <v>0</v>
      </c>
      <c r="AA356" s="202">
        <v>0</v>
      </c>
      <c r="AB356" s="202">
        <v>0</v>
      </c>
      <c r="AC356" s="202">
        <v>0</v>
      </c>
      <c r="AD356" s="202">
        <v>0</v>
      </c>
      <c r="AE356" s="202">
        <v>0</v>
      </c>
      <c r="AF356" s="202">
        <v>0</v>
      </c>
      <c r="AG356" s="202">
        <v>0</v>
      </c>
      <c r="AH356" s="202">
        <v>0</v>
      </c>
      <c r="AI356" s="202">
        <v>0</v>
      </c>
      <c r="AJ356" s="202">
        <v>0</v>
      </c>
      <c r="AK356" s="202">
        <v>0</v>
      </c>
      <c r="AL356" s="202">
        <v>0</v>
      </c>
      <c r="AM356" s="202">
        <v>0</v>
      </c>
      <c r="AN356" s="202">
        <v>0</v>
      </c>
      <c r="AO356" s="202">
        <v>0</v>
      </c>
      <c r="AP356" s="202">
        <v>0</v>
      </c>
      <c r="AQ356" s="202" t="s">
        <v>1960</v>
      </c>
      <c r="AR356" s="202" t="s">
        <v>1960</v>
      </c>
      <c r="AS356" s="202">
        <v>0</v>
      </c>
      <c r="AT356" s="202">
        <v>12.5</v>
      </c>
      <c r="AU356" s="202">
        <v>0</v>
      </c>
      <c r="AV356" s="202">
        <v>2.5</v>
      </c>
      <c r="AW356"/>
      <c r="AX356"/>
      <c r="AY356"/>
    </row>
    <row r="357" spans="1:51">
      <c r="A357" s="202" t="str">
        <f t="shared" si="23"/>
        <v>李先富&amp;何学会</v>
      </c>
      <c r="B357" s="202" t="str">
        <f>IF(C357&lt;&gt;"NA",C357,VLOOKUP(K357,Update_from_YIFIP!$X$2:$AD$174,7,FALSE))</f>
        <v>NA</v>
      </c>
      <c r="C357" s="207" t="str">
        <f t="shared" si="20"/>
        <v>NA</v>
      </c>
      <c r="D357" s="207" t="str">
        <f t="shared" si="24"/>
        <v>NA</v>
      </c>
      <c r="E357" s="202" t="s">
        <v>3160</v>
      </c>
      <c r="F357" s="202" t="s">
        <v>2259</v>
      </c>
      <c r="G357" s="202" t="s">
        <v>2260</v>
      </c>
      <c r="H357" s="207" t="str">
        <f t="shared" si="22"/>
        <v>NA</v>
      </c>
      <c r="I357" s="202" t="s">
        <v>3161</v>
      </c>
      <c r="J357" s="202" t="s">
        <v>2257</v>
      </c>
      <c r="K357" s="202" t="s">
        <v>2263</v>
      </c>
      <c r="L357" s="202" t="s">
        <v>1205</v>
      </c>
      <c r="M357" s="202">
        <v>9</v>
      </c>
      <c r="N357" s="202">
        <v>0</v>
      </c>
      <c r="O357" s="202">
        <v>29</v>
      </c>
      <c r="P357" s="202">
        <v>5</v>
      </c>
      <c r="Q357" s="202">
        <v>2</v>
      </c>
      <c r="R357" s="202">
        <v>3</v>
      </c>
      <c r="S357" s="202">
        <v>4</v>
      </c>
      <c r="T357" s="202">
        <v>2</v>
      </c>
      <c r="U357" s="202">
        <v>2</v>
      </c>
      <c r="V357" s="202">
        <v>3</v>
      </c>
      <c r="W357" s="202">
        <v>4</v>
      </c>
      <c r="X357" s="202">
        <v>4</v>
      </c>
      <c r="Y357" s="202">
        <v>0</v>
      </c>
      <c r="Z357" s="202">
        <v>0</v>
      </c>
      <c r="AA357" s="202">
        <v>0</v>
      </c>
      <c r="AB357" s="202">
        <v>0</v>
      </c>
      <c r="AC357" s="202">
        <v>0</v>
      </c>
      <c r="AD357" s="202">
        <v>0</v>
      </c>
      <c r="AE357" s="202">
        <v>0</v>
      </c>
      <c r="AF357" s="202">
        <v>0</v>
      </c>
      <c r="AG357" s="202">
        <v>0</v>
      </c>
      <c r="AH357" s="202">
        <v>0</v>
      </c>
      <c r="AI357" s="202">
        <v>0</v>
      </c>
      <c r="AJ357" s="202">
        <v>0</v>
      </c>
      <c r="AK357" s="202">
        <v>0</v>
      </c>
      <c r="AL357" s="202">
        <v>0</v>
      </c>
      <c r="AM357" s="202">
        <v>0</v>
      </c>
      <c r="AN357" s="202">
        <v>0</v>
      </c>
      <c r="AO357" s="202">
        <v>0</v>
      </c>
      <c r="AP357" s="202">
        <v>0</v>
      </c>
      <c r="AQ357" s="202" t="s">
        <v>1961</v>
      </c>
      <c r="AR357" s="202" t="s">
        <v>1961</v>
      </c>
      <c r="AS357" s="202">
        <v>0</v>
      </c>
      <c r="AT357" s="202">
        <v>10</v>
      </c>
      <c r="AU357" s="202">
        <v>0</v>
      </c>
      <c r="AV357" s="202">
        <v>2</v>
      </c>
      <c r="AW357"/>
      <c r="AX357"/>
      <c r="AY357"/>
    </row>
    <row r="358" spans="1:51">
      <c r="A358" s="202" t="str">
        <f t="shared" si="23"/>
        <v>李先富&amp;何学会</v>
      </c>
      <c r="B358" s="202" t="str">
        <f>IF(C358&lt;&gt;"NA",C358,VLOOKUP(K358,Update_from_YIFIP!$X$2:$AD$174,7,FALSE))</f>
        <v>NA</v>
      </c>
      <c r="C358" s="207" t="str">
        <f t="shared" si="20"/>
        <v>NA</v>
      </c>
      <c r="D358" s="207" t="str">
        <f t="shared" si="24"/>
        <v>NA</v>
      </c>
      <c r="E358" s="202" t="s">
        <v>3160</v>
      </c>
      <c r="F358" s="202" t="s">
        <v>2259</v>
      </c>
      <c r="G358" s="202" t="s">
        <v>2260</v>
      </c>
      <c r="H358" s="207" t="str">
        <f t="shared" si="22"/>
        <v>NA</v>
      </c>
      <c r="I358" s="202" t="s">
        <v>3161</v>
      </c>
      <c r="J358" s="202" t="s">
        <v>2257</v>
      </c>
      <c r="K358" s="202" t="s">
        <v>2264</v>
      </c>
      <c r="L358" s="202" t="s">
        <v>1206</v>
      </c>
      <c r="M358" s="202">
        <v>0</v>
      </c>
      <c r="N358" s="202">
        <v>16</v>
      </c>
      <c r="O358" s="202">
        <v>52</v>
      </c>
      <c r="P358" s="202">
        <v>1</v>
      </c>
      <c r="Q358" s="202">
        <v>1</v>
      </c>
      <c r="R358" s="202">
        <v>1</v>
      </c>
      <c r="S358" s="202">
        <v>2</v>
      </c>
      <c r="T358" s="202">
        <v>2</v>
      </c>
      <c r="U358" s="202">
        <v>2</v>
      </c>
      <c r="V358" s="202">
        <v>3</v>
      </c>
      <c r="W358" s="202">
        <v>3</v>
      </c>
      <c r="X358" s="202">
        <v>4</v>
      </c>
      <c r="Y358" s="202">
        <v>4</v>
      </c>
      <c r="Z358" s="202">
        <v>4</v>
      </c>
      <c r="AA358" s="202">
        <v>4</v>
      </c>
      <c r="AB358" s="202">
        <v>4</v>
      </c>
      <c r="AC358" s="202">
        <v>4</v>
      </c>
      <c r="AD358" s="202">
        <v>5</v>
      </c>
      <c r="AE358" s="202">
        <v>8</v>
      </c>
      <c r="AF358" s="202">
        <v>0</v>
      </c>
      <c r="AG358" s="202">
        <v>0</v>
      </c>
      <c r="AH358" s="202">
        <v>0</v>
      </c>
      <c r="AI358" s="202">
        <v>0</v>
      </c>
      <c r="AJ358" s="202">
        <v>0</v>
      </c>
      <c r="AK358" s="202">
        <v>0</v>
      </c>
      <c r="AL358" s="202">
        <v>0</v>
      </c>
      <c r="AM358" s="202">
        <v>0</v>
      </c>
      <c r="AN358" s="202">
        <v>0</v>
      </c>
      <c r="AO358" s="202">
        <v>0</v>
      </c>
      <c r="AP358" s="202">
        <v>0</v>
      </c>
      <c r="AQ358" s="202" t="s">
        <v>1962</v>
      </c>
      <c r="AR358" s="202" t="s">
        <v>1962</v>
      </c>
      <c r="AS358" s="202">
        <v>0</v>
      </c>
      <c r="AT358" s="202">
        <v>10</v>
      </c>
      <c r="AU358" s="202">
        <v>0</v>
      </c>
      <c r="AV358" s="202">
        <v>2</v>
      </c>
      <c r="AW358"/>
      <c r="AX358"/>
      <c r="AY358"/>
    </row>
    <row r="359" spans="1:51">
      <c r="A359" s="202" t="str">
        <f t="shared" si="23"/>
        <v>李进才</v>
      </c>
      <c r="B359" s="202" t="str">
        <f>IF(C359&lt;&gt;"NA",C359,VLOOKUP(K359,Update_from_YIFIP!$X$2:$AD$174,7,FALSE))</f>
        <v>NA</v>
      </c>
      <c r="C359" s="207" t="str">
        <f t="shared" si="20"/>
        <v>NA</v>
      </c>
      <c r="D359" s="207" t="str">
        <f t="shared" si="24"/>
        <v>NA</v>
      </c>
      <c r="E359" s="202" t="s">
        <v>2282</v>
      </c>
      <c r="F359" s="202" t="s">
        <v>2283</v>
      </c>
      <c r="G359" s="202" t="s">
        <v>2284</v>
      </c>
      <c r="H359" s="207" t="str">
        <f t="shared" si="22"/>
        <v>NA</v>
      </c>
      <c r="I359" s="202" t="s">
        <v>1929</v>
      </c>
      <c r="J359" s="202" t="s">
        <v>2233</v>
      </c>
      <c r="K359" s="202" t="s">
        <v>3346</v>
      </c>
      <c r="L359" s="202" t="s">
        <v>1215</v>
      </c>
      <c r="M359" s="202">
        <v>10</v>
      </c>
      <c r="N359" s="202">
        <v>0</v>
      </c>
      <c r="O359" s="202">
        <v>11</v>
      </c>
      <c r="P359" s="202">
        <v>1</v>
      </c>
      <c r="Q359" s="202">
        <v>1</v>
      </c>
      <c r="R359" s="202">
        <v>1</v>
      </c>
      <c r="S359" s="202">
        <v>1</v>
      </c>
      <c r="T359" s="202">
        <v>1</v>
      </c>
      <c r="U359" s="202">
        <v>1</v>
      </c>
      <c r="V359" s="202">
        <v>1</v>
      </c>
      <c r="W359" s="202">
        <v>1</v>
      </c>
      <c r="X359" s="202">
        <v>1</v>
      </c>
      <c r="Y359" s="202">
        <v>2</v>
      </c>
      <c r="Z359" s="202">
        <v>0</v>
      </c>
      <c r="AA359" s="202">
        <v>0</v>
      </c>
      <c r="AB359" s="202">
        <v>0</v>
      </c>
      <c r="AC359" s="202">
        <v>0</v>
      </c>
      <c r="AD359" s="202">
        <v>0</v>
      </c>
      <c r="AE359" s="202">
        <v>0</v>
      </c>
      <c r="AF359" s="202">
        <v>0</v>
      </c>
      <c r="AG359" s="202">
        <v>0</v>
      </c>
      <c r="AH359" s="202">
        <v>0</v>
      </c>
      <c r="AI359" s="202">
        <v>0</v>
      </c>
      <c r="AJ359" s="202">
        <v>0</v>
      </c>
      <c r="AK359" s="202">
        <v>0</v>
      </c>
      <c r="AL359" s="202">
        <v>0</v>
      </c>
      <c r="AM359" s="202">
        <v>0</v>
      </c>
      <c r="AN359" s="202">
        <v>0</v>
      </c>
      <c r="AO359" s="202">
        <v>0</v>
      </c>
      <c r="AP359" s="202">
        <v>0</v>
      </c>
      <c r="AQ359" s="202" t="s">
        <v>1934</v>
      </c>
      <c r="AR359" s="202" t="s">
        <v>1934</v>
      </c>
      <c r="AS359" s="202">
        <v>0</v>
      </c>
      <c r="AT359" s="202">
        <v>3</v>
      </c>
      <c r="AU359" s="202">
        <v>0</v>
      </c>
      <c r="AV359" s="202">
        <v>0.6</v>
      </c>
      <c r="AW359"/>
      <c r="AX359"/>
      <c r="AY359"/>
    </row>
    <row r="360" spans="1:51">
      <c r="A360" s="202" t="str">
        <f t="shared" si="23"/>
        <v>李进才</v>
      </c>
      <c r="B360" s="202">
        <f>IF(C360&lt;&gt;"NA",C360,VLOOKUP(K360,Update_from_YIFIP!$X$2:$AD$174,7,FALSE))</f>
        <v>30</v>
      </c>
      <c r="C360" s="207" t="str">
        <f t="shared" si="20"/>
        <v>NA</v>
      </c>
      <c r="D360" s="207" t="str">
        <f t="shared" si="24"/>
        <v>NA</v>
      </c>
      <c r="E360" s="202" t="s">
        <v>2282</v>
      </c>
      <c r="F360" s="202" t="s">
        <v>2283</v>
      </c>
      <c r="G360" s="202" t="s">
        <v>2284</v>
      </c>
      <c r="H360" s="207" t="str">
        <f t="shared" si="22"/>
        <v>NA</v>
      </c>
      <c r="I360" s="202" t="s">
        <v>1929</v>
      </c>
      <c r="J360" s="202" t="s">
        <v>2233</v>
      </c>
      <c r="K360" s="202" t="s">
        <v>2285</v>
      </c>
      <c r="L360" s="202" t="s">
        <v>1216</v>
      </c>
      <c r="M360" s="202">
        <v>10</v>
      </c>
      <c r="N360" s="202">
        <v>0</v>
      </c>
      <c r="O360" s="202">
        <v>15</v>
      </c>
      <c r="P360" s="202">
        <v>1</v>
      </c>
      <c r="Q360" s="202">
        <v>1</v>
      </c>
      <c r="R360" s="202">
        <v>1</v>
      </c>
      <c r="S360" s="202">
        <v>1</v>
      </c>
      <c r="T360" s="202">
        <v>1</v>
      </c>
      <c r="U360" s="202">
        <v>1</v>
      </c>
      <c r="V360" s="202">
        <v>1</v>
      </c>
      <c r="W360" s="202">
        <v>2</v>
      </c>
      <c r="X360" s="202">
        <v>3</v>
      </c>
      <c r="Y360" s="202">
        <v>3</v>
      </c>
      <c r="Z360" s="202">
        <v>0</v>
      </c>
      <c r="AA360" s="202">
        <v>0</v>
      </c>
      <c r="AB360" s="202">
        <v>0</v>
      </c>
      <c r="AC360" s="202">
        <v>0</v>
      </c>
      <c r="AD360" s="202">
        <v>0</v>
      </c>
      <c r="AE360" s="202">
        <v>0</v>
      </c>
      <c r="AF360" s="202">
        <v>0</v>
      </c>
      <c r="AG360" s="202">
        <v>0</v>
      </c>
      <c r="AH360" s="202">
        <v>0</v>
      </c>
      <c r="AI360" s="202">
        <v>0</v>
      </c>
      <c r="AJ360" s="202">
        <v>0</v>
      </c>
      <c r="AK360" s="202">
        <v>0</v>
      </c>
      <c r="AL360" s="202">
        <v>0</v>
      </c>
      <c r="AM360" s="202">
        <v>0</v>
      </c>
      <c r="AN360" s="202">
        <v>0</v>
      </c>
      <c r="AO360" s="202">
        <v>0</v>
      </c>
      <c r="AP360" s="202">
        <v>0</v>
      </c>
      <c r="AQ360" s="202" t="s">
        <v>1974</v>
      </c>
      <c r="AR360" s="202" t="s">
        <v>1974</v>
      </c>
      <c r="AS360" s="202">
        <v>0</v>
      </c>
      <c r="AT360" s="202">
        <v>3</v>
      </c>
      <c r="AU360" s="202">
        <v>0</v>
      </c>
      <c r="AV360" s="202">
        <v>0.6</v>
      </c>
      <c r="AW360"/>
      <c r="AX360"/>
      <c r="AY360"/>
    </row>
    <row r="361" spans="1:51">
      <c r="A361" s="202" t="str">
        <f t="shared" si="23"/>
        <v>李进才</v>
      </c>
      <c r="B361" s="202" t="str">
        <f>IF(C361&lt;&gt;"NA",C361,VLOOKUP(K361,Update_from_YIFIP!$X$2:$AD$174,7,FALSE))</f>
        <v>NA</v>
      </c>
      <c r="C361" s="207" t="str">
        <f t="shared" si="20"/>
        <v>NA</v>
      </c>
      <c r="D361" s="207" t="str">
        <f t="shared" si="24"/>
        <v>NA</v>
      </c>
      <c r="E361" s="202" t="s">
        <v>2282</v>
      </c>
      <c r="F361" s="202" t="s">
        <v>2283</v>
      </c>
      <c r="G361" s="202" t="s">
        <v>2284</v>
      </c>
      <c r="H361" s="207" t="str">
        <f t="shared" si="22"/>
        <v>NA</v>
      </c>
      <c r="I361" s="202" t="s">
        <v>1929</v>
      </c>
      <c r="J361" s="202" t="s">
        <v>2233</v>
      </c>
      <c r="K361" s="202" t="s">
        <v>2286</v>
      </c>
      <c r="L361" s="202" t="s">
        <v>1217</v>
      </c>
      <c r="M361" s="202">
        <v>10</v>
      </c>
      <c r="N361" s="202">
        <v>0</v>
      </c>
      <c r="O361" s="202">
        <v>11</v>
      </c>
      <c r="P361" s="202">
        <v>1</v>
      </c>
      <c r="Q361" s="202">
        <v>1</v>
      </c>
      <c r="R361" s="202">
        <v>1</v>
      </c>
      <c r="S361" s="202">
        <v>1</v>
      </c>
      <c r="T361" s="202">
        <v>1</v>
      </c>
      <c r="U361" s="202">
        <v>1</v>
      </c>
      <c r="V361" s="202">
        <v>1</v>
      </c>
      <c r="W361" s="202">
        <v>1</v>
      </c>
      <c r="X361" s="202">
        <v>1</v>
      </c>
      <c r="Y361" s="202">
        <v>2</v>
      </c>
      <c r="Z361" s="202">
        <v>0</v>
      </c>
      <c r="AA361" s="202">
        <v>0</v>
      </c>
      <c r="AB361" s="202">
        <v>0</v>
      </c>
      <c r="AC361" s="202">
        <v>0</v>
      </c>
      <c r="AD361" s="202">
        <v>0</v>
      </c>
      <c r="AE361" s="202">
        <v>0</v>
      </c>
      <c r="AF361" s="202">
        <v>0</v>
      </c>
      <c r="AG361" s="202">
        <v>0</v>
      </c>
      <c r="AH361" s="202">
        <v>0</v>
      </c>
      <c r="AI361" s="202">
        <v>0</v>
      </c>
      <c r="AJ361" s="202">
        <v>0</v>
      </c>
      <c r="AK361" s="202">
        <v>0</v>
      </c>
      <c r="AL361" s="202">
        <v>0</v>
      </c>
      <c r="AM361" s="202">
        <v>0</v>
      </c>
      <c r="AN361" s="202">
        <v>0</v>
      </c>
      <c r="AO361" s="202">
        <v>0</v>
      </c>
      <c r="AP361" s="202">
        <v>0</v>
      </c>
      <c r="AQ361" s="202" t="s">
        <v>1936</v>
      </c>
      <c r="AR361" s="202" t="s">
        <v>1936</v>
      </c>
      <c r="AS361" s="202">
        <v>0</v>
      </c>
      <c r="AT361" s="202">
        <v>3</v>
      </c>
      <c r="AU361" s="202">
        <v>0</v>
      </c>
      <c r="AV361" s="202">
        <v>0.6</v>
      </c>
      <c r="AW361"/>
      <c r="AX361"/>
      <c r="AY361"/>
    </row>
    <row r="362" spans="1:51">
      <c r="A362" s="202" t="str">
        <f t="shared" si="23"/>
        <v>李进才</v>
      </c>
      <c r="B362" s="202" t="str">
        <f>IF(C362&lt;&gt;"NA",C362,VLOOKUP(K362,Update_from_YIFIP!$X$2:$AD$174,7,FALSE))</f>
        <v>NA</v>
      </c>
      <c r="C362" s="207" t="str">
        <f t="shared" si="20"/>
        <v>NA</v>
      </c>
      <c r="D362" s="207" t="str">
        <f t="shared" si="24"/>
        <v>NA</v>
      </c>
      <c r="E362" s="202" t="s">
        <v>2282</v>
      </c>
      <c r="F362" s="202" t="s">
        <v>2283</v>
      </c>
      <c r="G362" s="202" t="s">
        <v>2284</v>
      </c>
      <c r="H362" s="207" t="str">
        <f t="shared" si="22"/>
        <v>NA</v>
      </c>
      <c r="I362" s="202" t="s">
        <v>1929</v>
      </c>
      <c r="J362" s="202" t="s">
        <v>2233</v>
      </c>
      <c r="K362" s="202" t="s">
        <v>2287</v>
      </c>
      <c r="L362" s="202" t="s">
        <v>1218</v>
      </c>
      <c r="M362" s="202">
        <v>6</v>
      </c>
      <c r="N362" s="202">
        <v>0</v>
      </c>
      <c r="O362" s="202">
        <v>6</v>
      </c>
      <c r="P362" s="202">
        <v>1</v>
      </c>
      <c r="Q362" s="202">
        <v>1</v>
      </c>
      <c r="R362" s="202">
        <v>1</v>
      </c>
      <c r="S362" s="202">
        <v>1</v>
      </c>
      <c r="T362" s="202">
        <v>1</v>
      </c>
      <c r="U362" s="202">
        <v>1</v>
      </c>
      <c r="V362" s="202">
        <v>0</v>
      </c>
      <c r="W362" s="202">
        <v>0</v>
      </c>
      <c r="X362" s="202">
        <v>0</v>
      </c>
      <c r="Y362" s="202">
        <v>0</v>
      </c>
      <c r="Z362" s="202">
        <v>0</v>
      </c>
      <c r="AA362" s="202">
        <v>0</v>
      </c>
      <c r="AB362" s="202">
        <v>0</v>
      </c>
      <c r="AC362" s="202">
        <v>0</v>
      </c>
      <c r="AD362" s="202">
        <v>0</v>
      </c>
      <c r="AE362" s="202">
        <v>0</v>
      </c>
      <c r="AF362" s="202">
        <v>0</v>
      </c>
      <c r="AG362" s="202">
        <v>0</v>
      </c>
      <c r="AH362" s="202">
        <v>0</v>
      </c>
      <c r="AI362" s="202">
        <v>0</v>
      </c>
      <c r="AJ362" s="202">
        <v>0</v>
      </c>
      <c r="AK362" s="202">
        <v>0</v>
      </c>
      <c r="AL362" s="202">
        <v>0</v>
      </c>
      <c r="AM362" s="202">
        <v>0</v>
      </c>
      <c r="AN362" s="202">
        <v>0</v>
      </c>
      <c r="AO362" s="202">
        <v>0</v>
      </c>
      <c r="AP362" s="202">
        <v>0</v>
      </c>
      <c r="AQ362" s="202" t="s">
        <v>1937</v>
      </c>
      <c r="AR362" s="202" t="s">
        <v>1937</v>
      </c>
      <c r="AS362" s="202">
        <v>0</v>
      </c>
      <c r="AT362" s="202">
        <v>2</v>
      </c>
      <c r="AU362" s="202">
        <v>0</v>
      </c>
      <c r="AV362" s="202">
        <v>0.4</v>
      </c>
      <c r="AW362"/>
      <c r="AX362"/>
      <c r="AY362"/>
    </row>
    <row r="363" spans="1:51">
      <c r="A363" s="202" t="str">
        <f t="shared" si="23"/>
        <v>李进才</v>
      </c>
      <c r="B363" s="202">
        <f>IF(C363&lt;&gt;"NA",C363,VLOOKUP(K363,Update_from_YIFIP!$X$2:$AD$174,7,FALSE))</f>
        <v>19</v>
      </c>
      <c r="C363" s="207" t="str">
        <f t="shared" si="20"/>
        <v>NA</v>
      </c>
      <c r="D363" s="207" t="str">
        <f t="shared" si="24"/>
        <v>NA</v>
      </c>
      <c r="E363" s="202" t="s">
        <v>2282</v>
      </c>
      <c r="F363" s="202" t="s">
        <v>2283</v>
      </c>
      <c r="G363" s="202" t="s">
        <v>2284</v>
      </c>
      <c r="H363" s="207" t="str">
        <f t="shared" si="22"/>
        <v>NA</v>
      </c>
      <c r="I363" s="202" t="s">
        <v>1929</v>
      </c>
      <c r="J363" s="202" t="s">
        <v>2233</v>
      </c>
      <c r="K363" s="202" t="s">
        <v>2288</v>
      </c>
      <c r="L363" s="202" t="s">
        <v>1219</v>
      </c>
      <c r="M363" s="202">
        <v>0</v>
      </c>
      <c r="N363" s="202">
        <v>7</v>
      </c>
      <c r="O363" s="202">
        <v>7</v>
      </c>
      <c r="P363" s="202">
        <v>1</v>
      </c>
      <c r="Q363" s="202">
        <v>1</v>
      </c>
      <c r="R363" s="202">
        <v>1</v>
      </c>
      <c r="S363" s="202">
        <v>1</v>
      </c>
      <c r="T363" s="202">
        <v>1</v>
      </c>
      <c r="U363" s="202">
        <v>1</v>
      </c>
      <c r="V363" s="202">
        <v>1</v>
      </c>
      <c r="W363" s="202">
        <v>0</v>
      </c>
      <c r="X363" s="202">
        <v>0</v>
      </c>
      <c r="Y363" s="202">
        <v>0</v>
      </c>
      <c r="Z363" s="202">
        <v>0</v>
      </c>
      <c r="AA363" s="202">
        <v>0</v>
      </c>
      <c r="AB363" s="202">
        <v>0</v>
      </c>
      <c r="AC363" s="202">
        <v>0</v>
      </c>
      <c r="AD363" s="202">
        <v>0</v>
      </c>
      <c r="AE363" s="202">
        <v>0</v>
      </c>
      <c r="AF363" s="202">
        <v>0</v>
      </c>
      <c r="AG363" s="202">
        <v>0</v>
      </c>
      <c r="AH363" s="202">
        <v>0</v>
      </c>
      <c r="AI363" s="202">
        <v>0</v>
      </c>
      <c r="AJ363" s="202">
        <v>0</v>
      </c>
      <c r="AK363" s="202">
        <v>0</v>
      </c>
      <c r="AL363" s="202">
        <v>0</v>
      </c>
      <c r="AM363" s="202">
        <v>0</v>
      </c>
      <c r="AN363" s="202">
        <v>0</v>
      </c>
      <c r="AO363" s="202">
        <v>0</v>
      </c>
      <c r="AP363" s="202">
        <v>0</v>
      </c>
      <c r="AQ363" s="202" t="s">
        <v>1977</v>
      </c>
      <c r="AR363" s="202" t="s">
        <v>1977</v>
      </c>
      <c r="AS363" s="202">
        <v>0</v>
      </c>
      <c r="AT363" s="202">
        <v>1.5</v>
      </c>
      <c r="AU363" s="202">
        <v>0</v>
      </c>
      <c r="AV363" s="202">
        <v>0.3</v>
      </c>
      <c r="AW363"/>
      <c r="AX363"/>
      <c r="AY363"/>
    </row>
    <row r="364" spans="1:51">
      <c r="A364" s="202" t="str">
        <f t="shared" si="23"/>
        <v>李荣</v>
      </c>
      <c r="B364" s="202" t="str">
        <f>IF(C364&lt;&gt;"NA",C364,VLOOKUP(K364,Update_from_YIFIP!$X$2:$AD$174,7,FALSE))</f>
        <v>NA</v>
      </c>
      <c r="C364" s="207" t="str">
        <f t="shared" si="20"/>
        <v>NA</v>
      </c>
      <c r="D364" s="207" t="str">
        <f t="shared" si="24"/>
        <v>NA</v>
      </c>
      <c r="E364" s="202" t="s">
        <v>2289</v>
      </c>
      <c r="F364" s="202" t="s">
        <v>2292</v>
      </c>
      <c r="G364" s="202" t="s">
        <v>2293</v>
      </c>
      <c r="H364" s="207" t="str">
        <f t="shared" si="22"/>
        <v>NA</v>
      </c>
      <c r="I364" s="202" t="s">
        <v>1929</v>
      </c>
      <c r="J364" s="202" t="s">
        <v>2290</v>
      </c>
      <c r="K364" s="202" t="s">
        <v>2291</v>
      </c>
      <c r="L364" s="202" t="s">
        <v>1220</v>
      </c>
      <c r="M364" s="202">
        <v>4</v>
      </c>
      <c r="N364" s="202">
        <v>0</v>
      </c>
      <c r="O364" s="202">
        <v>20</v>
      </c>
      <c r="P364" s="202">
        <v>7</v>
      </c>
      <c r="Q364" s="202">
        <v>6</v>
      </c>
      <c r="R364" s="202">
        <v>2</v>
      </c>
      <c r="S364" s="202">
        <v>5</v>
      </c>
      <c r="T364" s="202">
        <v>0</v>
      </c>
      <c r="U364" s="202">
        <v>0</v>
      </c>
      <c r="V364" s="202">
        <v>0</v>
      </c>
      <c r="W364" s="202">
        <v>0</v>
      </c>
      <c r="X364" s="202">
        <v>0</v>
      </c>
      <c r="Y364" s="202">
        <v>0</v>
      </c>
      <c r="Z364" s="202">
        <v>0</v>
      </c>
      <c r="AA364" s="202">
        <v>0</v>
      </c>
      <c r="AB364" s="202">
        <v>0</v>
      </c>
      <c r="AC364" s="202">
        <v>0</v>
      </c>
      <c r="AD364" s="202">
        <v>0</v>
      </c>
      <c r="AE364" s="202">
        <v>0</v>
      </c>
      <c r="AF364" s="202">
        <v>0</v>
      </c>
      <c r="AG364" s="202">
        <v>0</v>
      </c>
      <c r="AH364" s="202">
        <v>0</v>
      </c>
      <c r="AI364" s="202">
        <v>0</v>
      </c>
      <c r="AJ364" s="202">
        <v>0</v>
      </c>
      <c r="AK364" s="202">
        <v>0</v>
      </c>
      <c r="AL364" s="202">
        <v>0</v>
      </c>
      <c r="AM364" s="202">
        <v>0</v>
      </c>
      <c r="AN364" s="202">
        <v>0</v>
      </c>
      <c r="AO364" s="202">
        <v>0</v>
      </c>
      <c r="AP364" s="202">
        <v>0</v>
      </c>
      <c r="AQ364" s="202" t="s">
        <v>1978</v>
      </c>
      <c r="AR364" s="202" t="s">
        <v>1978</v>
      </c>
      <c r="AS364" s="202">
        <v>0</v>
      </c>
      <c r="AT364" s="202">
        <v>4</v>
      </c>
      <c r="AU364" s="202">
        <v>0</v>
      </c>
      <c r="AV364" s="202">
        <v>0.8</v>
      </c>
      <c r="AW364"/>
      <c r="AX364"/>
      <c r="AY364"/>
    </row>
    <row r="365" spans="1:51">
      <c r="A365" s="202" t="str">
        <f t="shared" si="23"/>
        <v>李荣</v>
      </c>
      <c r="B365" s="202" t="str">
        <f>IF(C365&lt;&gt;"NA",C365,VLOOKUP(K365,Update_from_YIFIP!$X$2:$AD$174,7,FALSE))</f>
        <v>NA</v>
      </c>
      <c r="C365" s="207" t="str">
        <f t="shared" si="20"/>
        <v>NA</v>
      </c>
      <c r="D365" s="207" t="str">
        <f t="shared" si="24"/>
        <v>NA</v>
      </c>
      <c r="E365" s="202" t="s">
        <v>2289</v>
      </c>
      <c r="F365" s="202" t="s">
        <v>2292</v>
      </c>
      <c r="G365" s="202" t="s">
        <v>2293</v>
      </c>
      <c r="H365" s="207" t="str">
        <f t="shared" si="22"/>
        <v>NA</v>
      </c>
      <c r="I365" s="202" t="s">
        <v>1929</v>
      </c>
      <c r="J365" s="202" t="s">
        <v>2290</v>
      </c>
      <c r="K365" s="202" t="s">
        <v>2294</v>
      </c>
      <c r="L365" s="202" t="s">
        <v>1221</v>
      </c>
      <c r="M365" s="202">
        <v>4</v>
      </c>
      <c r="N365" s="202">
        <v>0</v>
      </c>
      <c r="O365" s="202">
        <v>19</v>
      </c>
      <c r="P365" s="202">
        <v>7</v>
      </c>
      <c r="Q365" s="202">
        <v>2</v>
      </c>
      <c r="R365" s="202">
        <v>5</v>
      </c>
      <c r="S365" s="202">
        <v>5</v>
      </c>
      <c r="T365" s="202">
        <v>0</v>
      </c>
      <c r="U365" s="202">
        <v>0</v>
      </c>
      <c r="V365" s="202">
        <v>0</v>
      </c>
      <c r="W365" s="202">
        <v>0</v>
      </c>
      <c r="X365" s="202">
        <v>0</v>
      </c>
      <c r="Y365" s="202">
        <v>0</v>
      </c>
      <c r="Z365" s="202">
        <v>0</v>
      </c>
      <c r="AA365" s="202">
        <v>0</v>
      </c>
      <c r="AB365" s="202">
        <v>0</v>
      </c>
      <c r="AC365" s="202">
        <v>0</v>
      </c>
      <c r="AD365" s="202">
        <v>0</v>
      </c>
      <c r="AE365" s="202">
        <v>0</v>
      </c>
      <c r="AF365" s="202">
        <v>0</v>
      </c>
      <c r="AG365" s="202">
        <v>0</v>
      </c>
      <c r="AH365" s="202">
        <v>0</v>
      </c>
      <c r="AI365" s="202">
        <v>0</v>
      </c>
      <c r="AJ365" s="202">
        <v>0</v>
      </c>
      <c r="AK365" s="202">
        <v>0</v>
      </c>
      <c r="AL365" s="202">
        <v>0</v>
      </c>
      <c r="AM365" s="202">
        <v>0</v>
      </c>
      <c r="AN365" s="202">
        <v>0</v>
      </c>
      <c r="AO365" s="202">
        <v>0</v>
      </c>
      <c r="AP365" s="202">
        <v>0</v>
      </c>
      <c r="AQ365" s="202" t="s">
        <v>1979</v>
      </c>
      <c r="AR365" s="202" t="s">
        <v>1979</v>
      </c>
      <c r="AS365" s="202">
        <v>0</v>
      </c>
      <c r="AT365" s="202">
        <v>3</v>
      </c>
      <c r="AU365" s="202">
        <v>0</v>
      </c>
      <c r="AV365" s="202">
        <v>0.6</v>
      </c>
      <c r="AW365"/>
      <c r="AX365"/>
      <c r="AY365"/>
    </row>
    <row r="366" spans="1:51">
      <c r="A366" s="202" t="str">
        <f t="shared" si="23"/>
        <v>李荣</v>
      </c>
      <c r="B366" s="202" t="str">
        <f>IF(C366&lt;&gt;"NA",C366,VLOOKUP(K366,Update_from_YIFIP!$X$2:$AD$174,7,FALSE))</f>
        <v>NA</v>
      </c>
      <c r="C366" s="207" t="str">
        <f t="shared" si="20"/>
        <v>NA</v>
      </c>
      <c r="D366" s="207" t="str">
        <f t="shared" si="24"/>
        <v>NA</v>
      </c>
      <c r="E366" s="202" t="s">
        <v>2289</v>
      </c>
      <c r="F366" s="202" t="s">
        <v>2292</v>
      </c>
      <c r="G366" s="202" t="s">
        <v>2293</v>
      </c>
      <c r="H366" s="207" t="str">
        <f t="shared" si="22"/>
        <v>NA</v>
      </c>
      <c r="I366" s="202" t="s">
        <v>1929</v>
      </c>
      <c r="J366" s="202" t="s">
        <v>2290</v>
      </c>
      <c r="K366" s="202" t="s">
        <v>2295</v>
      </c>
      <c r="L366" s="202" t="s">
        <v>1222</v>
      </c>
      <c r="M366" s="202">
        <v>2</v>
      </c>
      <c r="N366" s="202">
        <v>0</v>
      </c>
      <c r="O366" s="202">
        <v>15</v>
      </c>
      <c r="P366" s="202">
        <v>5</v>
      </c>
      <c r="Q366" s="202">
        <v>10</v>
      </c>
      <c r="R366" s="202">
        <v>0</v>
      </c>
      <c r="S366" s="202">
        <v>0</v>
      </c>
      <c r="T366" s="202">
        <v>0</v>
      </c>
      <c r="U366" s="202">
        <v>0</v>
      </c>
      <c r="V366" s="202">
        <v>0</v>
      </c>
      <c r="W366" s="202">
        <v>0</v>
      </c>
      <c r="X366" s="202">
        <v>0</v>
      </c>
      <c r="Y366" s="202">
        <v>0</v>
      </c>
      <c r="Z366" s="202">
        <v>0</v>
      </c>
      <c r="AA366" s="202">
        <v>0</v>
      </c>
      <c r="AB366" s="202">
        <v>0</v>
      </c>
      <c r="AC366" s="202">
        <v>0</v>
      </c>
      <c r="AD366" s="202">
        <v>0</v>
      </c>
      <c r="AE366" s="202">
        <v>0</v>
      </c>
      <c r="AF366" s="202">
        <v>0</v>
      </c>
      <c r="AG366" s="202">
        <v>0</v>
      </c>
      <c r="AH366" s="202">
        <v>0</v>
      </c>
      <c r="AI366" s="202">
        <v>0</v>
      </c>
      <c r="AJ366" s="202">
        <v>0</v>
      </c>
      <c r="AK366" s="202">
        <v>0</v>
      </c>
      <c r="AL366" s="202">
        <v>0</v>
      </c>
      <c r="AM366" s="202">
        <v>0</v>
      </c>
      <c r="AN366" s="202">
        <v>0</v>
      </c>
      <c r="AO366" s="202">
        <v>0</v>
      </c>
      <c r="AP366" s="202">
        <v>0</v>
      </c>
      <c r="AQ366" s="202" t="s">
        <v>1980</v>
      </c>
      <c r="AR366" s="202" t="s">
        <v>1980</v>
      </c>
      <c r="AS366" s="202">
        <v>0</v>
      </c>
      <c r="AT366" s="202">
        <v>4</v>
      </c>
      <c r="AU366" s="202">
        <v>0</v>
      </c>
      <c r="AV366" s="202">
        <v>0.8</v>
      </c>
      <c r="AW366"/>
      <c r="AX366"/>
      <c r="AY366"/>
    </row>
    <row r="367" spans="1:51">
      <c r="A367" s="202" t="str">
        <f t="shared" si="23"/>
        <v>李荣</v>
      </c>
      <c r="B367" s="202" t="str">
        <f>IF(C367&lt;&gt;"NA",C367,VLOOKUP(K367,Update_from_YIFIP!$X$2:$AD$174,7,FALSE))</f>
        <v>NA</v>
      </c>
      <c r="C367" s="207" t="str">
        <f t="shared" si="20"/>
        <v>NA</v>
      </c>
      <c r="D367" s="207" t="str">
        <f t="shared" si="24"/>
        <v>NA</v>
      </c>
      <c r="E367" s="202" t="s">
        <v>2289</v>
      </c>
      <c r="F367" s="202" t="s">
        <v>2292</v>
      </c>
      <c r="G367" s="202" t="s">
        <v>2293</v>
      </c>
      <c r="H367" s="207" t="str">
        <f t="shared" si="22"/>
        <v>NA</v>
      </c>
      <c r="I367" s="202" t="s">
        <v>1929</v>
      </c>
      <c r="J367" s="202" t="s">
        <v>2290</v>
      </c>
      <c r="K367" s="202" t="s">
        <v>2296</v>
      </c>
      <c r="L367" s="202" t="s">
        <v>1223</v>
      </c>
      <c r="M367" s="202">
        <v>4</v>
      </c>
      <c r="N367" s="202">
        <v>0</v>
      </c>
      <c r="O367" s="202">
        <v>15</v>
      </c>
      <c r="P367" s="202">
        <v>2</v>
      </c>
      <c r="Q367" s="202">
        <v>1</v>
      </c>
      <c r="R367" s="202">
        <v>6</v>
      </c>
      <c r="S367" s="202">
        <v>6</v>
      </c>
      <c r="T367" s="202">
        <v>0</v>
      </c>
      <c r="U367" s="202">
        <v>0</v>
      </c>
      <c r="V367" s="202">
        <v>0</v>
      </c>
      <c r="W367" s="202">
        <v>0</v>
      </c>
      <c r="X367" s="202">
        <v>0</v>
      </c>
      <c r="Y367" s="202">
        <v>0</v>
      </c>
      <c r="Z367" s="202">
        <v>0</v>
      </c>
      <c r="AA367" s="202">
        <v>0</v>
      </c>
      <c r="AB367" s="202">
        <v>0</v>
      </c>
      <c r="AC367" s="202">
        <v>0</v>
      </c>
      <c r="AD367" s="202">
        <v>0</v>
      </c>
      <c r="AE367" s="202">
        <v>0</v>
      </c>
      <c r="AF367" s="202">
        <v>0</v>
      </c>
      <c r="AG367" s="202">
        <v>0</v>
      </c>
      <c r="AH367" s="202">
        <v>0</v>
      </c>
      <c r="AI367" s="202">
        <v>0</v>
      </c>
      <c r="AJ367" s="202">
        <v>0</v>
      </c>
      <c r="AK367" s="202">
        <v>0</v>
      </c>
      <c r="AL367" s="202">
        <v>0</v>
      </c>
      <c r="AM367" s="202">
        <v>0</v>
      </c>
      <c r="AN367" s="202">
        <v>0</v>
      </c>
      <c r="AO367" s="202">
        <v>0</v>
      </c>
      <c r="AP367" s="202">
        <v>0</v>
      </c>
      <c r="AQ367" s="202" t="s">
        <v>1981</v>
      </c>
      <c r="AR367" s="202" t="s">
        <v>1981</v>
      </c>
      <c r="AS367" s="202">
        <v>0</v>
      </c>
      <c r="AT367" s="202">
        <v>4</v>
      </c>
      <c r="AU367" s="202">
        <v>0</v>
      </c>
      <c r="AV367" s="202">
        <v>0.8</v>
      </c>
      <c r="AW367"/>
      <c r="AX367"/>
      <c r="AY367"/>
    </row>
    <row r="368" spans="1:51">
      <c r="A368" s="202" t="str">
        <f t="shared" si="23"/>
        <v>王开丙&amp;董应付</v>
      </c>
      <c r="B368" s="202">
        <f>IF(C368&lt;&gt;"NA",C368,VLOOKUP(K368,Update_from_YIFIP!$X$2:$AD$174,7,FALSE))</f>
        <v>6</v>
      </c>
      <c r="C368" s="207" t="str">
        <f t="shared" si="20"/>
        <v>NA</v>
      </c>
      <c r="D368" s="207" t="str">
        <f t="shared" si="24"/>
        <v>NA</v>
      </c>
      <c r="E368" s="202" t="s">
        <v>3163</v>
      </c>
      <c r="F368" s="202" t="s">
        <v>2299</v>
      </c>
      <c r="G368" s="202" t="s">
        <v>2300</v>
      </c>
      <c r="H368" s="207" t="str">
        <f t="shared" si="22"/>
        <v>NA</v>
      </c>
      <c r="I368" s="202" t="s">
        <v>3164</v>
      </c>
      <c r="J368" s="202" t="s">
        <v>2210</v>
      </c>
      <c r="K368" s="202" t="s">
        <v>2297</v>
      </c>
      <c r="L368" s="202" t="s">
        <v>1224</v>
      </c>
      <c r="M368" s="202">
        <v>10</v>
      </c>
      <c r="N368" s="202">
        <v>0</v>
      </c>
      <c r="O368" s="202">
        <v>175</v>
      </c>
      <c r="P368" s="202">
        <v>22</v>
      </c>
      <c r="Q368" s="202">
        <v>13</v>
      </c>
      <c r="R368" s="202">
        <v>21</v>
      </c>
      <c r="S368" s="202">
        <v>20</v>
      </c>
      <c r="T368" s="202">
        <v>16</v>
      </c>
      <c r="U368" s="202">
        <v>25</v>
      </c>
      <c r="V368" s="202">
        <v>8</v>
      </c>
      <c r="W368" s="202">
        <v>13</v>
      </c>
      <c r="X368" s="202">
        <v>25</v>
      </c>
      <c r="Y368" s="202">
        <v>12</v>
      </c>
      <c r="Z368" s="202">
        <v>0</v>
      </c>
      <c r="AA368" s="202">
        <v>0</v>
      </c>
      <c r="AB368" s="202">
        <v>0</v>
      </c>
      <c r="AC368" s="202">
        <v>0</v>
      </c>
      <c r="AD368" s="202">
        <v>0</v>
      </c>
      <c r="AE368" s="202">
        <v>0</v>
      </c>
      <c r="AF368" s="202">
        <v>0</v>
      </c>
      <c r="AG368" s="202">
        <v>0</v>
      </c>
      <c r="AH368" s="202">
        <v>0</v>
      </c>
      <c r="AI368" s="202">
        <v>0</v>
      </c>
      <c r="AJ368" s="202">
        <v>0</v>
      </c>
      <c r="AK368" s="202">
        <v>0</v>
      </c>
      <c r="AL368" s="202">
        <v>0</v>
      </c>
      <c r="AM368" s="202">
        <v>0</v>
      </c>
      <c r="AN368" s="202">
        <v>0</v>
      </c>
      <c r="AO368" s="202">
        <v>0</v>
      </c>
      <c r="AP368" s="202">
        <v>0</v>
      </c>
      <c r="AQ368" s="202" t="s">
        <v>1946</v>
      </c>
      <c r="AR368" s="202" t="s">
        <v>1946</v>
      </c>
      <c r="AS368" s="202">
        <v>0</v>
      </c>
      <c r="AT368" s="202">
        <v>45.5</v>
      </c>
      <c r="AU368" s="202" t="s">
        <v>2298</v>
      </c>
      <c r="AV368" s="202">
        <v>9.1</v>
      </c>
      <c r="AW368"/>
      <c r="AX368"/>
      <c r="AY368"/>
    </row>
    <row r="369" spans="1:51">
      <c r="A369" s="202" t="str">
        <f t="shared" si="23"/>
        <v>王开丙&amp;董应付</v>
      </c>
      <c r="B369" s="202">
        <f>IF(C369&lt;&gt;"NA",C369,VLOOKUP(K369,Update_from_YIFIP!$X$2:$AD$174,7,FALSE))</f>
        <v>9</v>
      </c>
      <c r="C369" s="207" t="str">
        <f t="shared" si="20"/>
        <v>NA</v>
      </c>
      <c r="D369" s="207" t="str">
        <f t="shared" si="24"/>
        <v>NA</v>
      </c>
      <c r="E369" s="202" t="s">
        <v>3163</v>
      </c>
      <c r="F369" s="202" t="s">
        <v>2299</v>
      </c>
      <c r="G369" s="202" t="s">
        <v>2300</v>
      </c>
      <c r="H369" s="207" t="str">
        <f t="shared" si="22"/>
        <v>NA</v>
      </c>
      <c r="I369" s="202" t="s">
        <v>3164</v>
      </c>
      <c r="J369" s="202" t="s">
        <v>2210</v>
      </c>
      <c r="K369" s="202" t="s">
        <v>2301</v>
      </c>
      <c r="L369" s="202" t="s">
        <v>1225</v>
      </c>
      <c r="M369" s="202">
        <v>10</v>
      </c>
      <c r="N369" s="202">
        <v>0</v>
      </c>
      <c r="O369" s="202">
        <v>195</v>
      </c>
      <c r="P369" s="202">
        <v>19</v>
      </c>
      <c r="Q369" s="202">
        <v>20</v>
      </c>
      <c r="R369" s="202">
        <v>25</v>
      </c>
      <c r="S369" s="202">
        <v>21</v>
      </c>
      <c r="T369" s="202">
        <v>28</v>
      </c>
      <c r="U369" s="202">
        <v>19</v>
      </c>
      <c r="V369" s="202">
        <v>10</v>
      </c>
      <c r="W369" s="202">
        <v>13</v>
      </c>
      <c r="X369" s="202">
        <v>23</v>
      </c>
      <c r="Y369" s="202">
        <v>17</v>
      </c>
      <c r="Z369" s="202">
        <v>0</v>
      </c>
      <c r="AA369" s="202">
        <v>0</v>
      </c>
      <c r="AB369" s="202">
        <v>0</v>
      </c>
      <c r="AC369" s="202">
        <v>0</v>
      </c>
      <c r="AD369" s="202">
        <v>0</v>
      </c>
      <c r="AE369" s="202">
        <v>0</v>
      </c>
      <c r="AF369" s="202">
        <v>0</v>
      </c>
      <c r="AG369" s="202">
        <v>0</v>
      </c>
      <c r="AH369" s="202">
        <v>0</v>
      </c>
      <c r="AI369" s="202">
        <v>0</v>
      </c>
      <c r="AJ369" s="202">
        <v>0</v>
      </c>
      <c r="AK369" s="202">
        <v>0</v>
      </c>
      <c r="AL369" s="202">
        <v>0</v>
      </c>
      <c r="AM369" s="202">
        <v>0</v>
      </c>
      <c r="AN369" s="202">
        <v>0</v>
      </c>
      <c r="AO369" s="202">
        <v>0</v>
      </c>
      <c r="AP369" s="202">
        <v>0</v>
      </c>
      <c r="AQ369" s="202" t="s">
        <v>1982</v>
      </c>
      <c r="AR369" s="202" t="s">
        <v>1982</v>
      </c>
      <c r="AS369" s="202">
        <v>0</v>
      </c>
      <c r="AT369" s="202">
        <v>50</v>
      </c>
      <c r="AU369" s="202" t="s">
        <v>2302</v>
      </c>
      <c r="AV369" s="202">
        <v>10</v>
      </c>
      <c r="AW369"/>
      <c r="AX369"/>
      <c r="AY369"/>
    </row>
    <row r="370" spans="1:51">
      <c r="A370" s="202" t="str">
        <f t="shared" si="23"/>
        <v>王开丙&amp;董应付</v>
      </c>
      <c r="B370" s="202" t="str">
        <f>IF(C370&lt;&gt;"NA",C370,VLOOKUP(K370,Update_from_YIFIP!$X$2:$AD$174,7,FALSE))</f>
        <v>NA</v>
      </c>
      <c r="C370" s="207" t="str">
        <f t="shared" si="20"/>
        <v>NA</v>
      </c>
      <c r="D370" s="207" t="str">
        <f t="shared" si="24"/>
        <v>NA</v>
      </c>
      <c r="E370" s="202" t="s">
        <v>3163</v>
      </c>
      <c r="F370" s="202" t="s">
        <v>2299</v>
      </c>
      <c r="G370" s="202" t="s">
        <v>2300</v>
      </c>
      <c r="H370" s="207" t="str">
        <f t="shared" si="22"/>
        <v>NA</v>
      </c>
      <c r="I370" s="202" t="s">
        <v>3164</v>
      </c>
      <c r="J370" s="202" t="s">
        <v>2210</v>
      </c>
      <c r="K370" s="202" t="s">
        <v>2303</v>
      </c>
      <c r="L370" s="202" t="s">
        <v>1226</v>
      </c>
      <c r="M370" s="202">
        <v>10</v>
      </c>
      <c r="N370" s="202">
        <v>0</v>
      </c>
      <c r="O370" s="202">
        <v>224</v>
      </c>
      <c r="P370" s="202">
        <v>25</v>
      </c>
      <c r="Q370" s="202">
        <v>28</v>
      </c>
      <c r="R370" s="202">
        <v>14</v>
      </c>
      <c r="S370" s="202">
        <v>26</v>
      </c>
      <c r="T370" s="202">
        <v>11</v>
      </c>
      <c r="U370" s="202">
        <v>25</v>
      </c>
      <c r="V370" s="202">
        <v>28</v>
      </c>
      <c r="W370" s="202">
        <v>20</v>
      </c>
      <c r="X370" s="202">
        <v>28</v>
      </c>
      <c r="Y370" s="202">
        <v>19</v>
      </c>
      <c r="Z370" s="202">
        <v>0</v>
      </c>
      <c r="AA370" s="202">
        <v>0</v>
      </c>
      <c r="AB370" s="202">
        <v>0</v>
      </c>
      <c r="AC370" s="202">
        <v>0</v>
      </c>
      <c r="AD370" s="202">
        <v>0</v>
      </c>
      <c r="AE370" s="202">
        <v>0</v>
      </c>
      <c r="AF370" s="202">
        <v>0</v>
      </c>
      <c r="AG370" s="202">
        <v>0</v>
      </c>
      <c r="AH370" s="202">
        <v>0</v>
      </c>
      <c r="AI370" s="202">
        <v>0</v>
      </c>
      <c r="AJ370" s="202">
        <v>0</v>
      </c>
      <c r="AK370" s="202">
        <v>0</v>
      </c>
      <c r="AL370" s="202">
        <v>0</v>
      </c>
      <c r="AM370" s="202">
        <v>0</v>
      </c>
      <c r="AN370" s="202">
        <v>0</v>
      </c>
      <c r="AO370" s="202">
        <v>0</v>
      </c>
      <c r="AP370" s="202">
        <v>0</v>
      </c>
      <c r="AQ370" s="202" t="s">
        <v>1983</v>
      </c>
      <c r="AR370" s="202" t="s">
        <v>1983</v>
      </c>
      <c r="AS370" s="202">
        <v>0</v>
      </c>
      <c r="AT370" s="202">
        <v>52.5</v>
      </c>
      <c r="AU370" s="202" t="s">
        <v>2304</v>
      </c>
      <c r="AV370" s="202">
        <v>10.5</v>
      </c>
      <c r="AW370"/>
      <c r="AX370"/>
      <c r="AY370"/>
    </row>
    <row r="371" spans="1:51">
      <c r="A371" s="202" t="str">
        <f t="shared" si="23"/>
        <v>王开丙&amp;董应付</v>
      </c>
      <c r="B371" s="202">
        <f>IF(C371&lt;&gt;"NA",C371,VLOOKUP(K371,Update_from_YIFIP!$X$2:$AD$174,7,FALSE))</f>
        <v>9</v>
      </c>
      <c r="C371" s="207" t="str">
        <f t="shared" si="20"/>
        <v>NA</v>
      </c>
      <c r="D371" s="207" t="str">
        <f t="shared" si="24"/>
        <v>NA</v>
      </c>
      <c r="E371" s="202" t="s">
        <v>3163</v>
      </c>
      <c r="F371" s="202" t="s">
        <v>2299</v>
      </c>
      <c r="G371" s="202" t="s">
        <v>2300</v>
      </c>
      <c r="H371" s="207" t="str">
        <f t="shared" si="22"/>
        <v>NA</v>
      </c>
      <c r="I371" s="202" t="s">
        <v>3164</v>
      </c>
      <c r="J371" s="202" t="s">
        <v>2210</v>
      </c>
      <c r="K371" s="202" t="s">
        <v>2305</v>
      </c>
      <c r="L371" s="202" t="s">
        <v>1227</v>
      </c>
      <c r="M371" s="202">
        <v>10</v>
      </c>
      <c r="N371" s="202">
        <v>0</v>
      </c>
      <c r="O371" s="202">
        <v>248</v>
      </c>
      <c r="P371" s="202">
        <v>25</v>
      </c>
      <c r="Q371" s="202">
        <v>22</v>
      </c>
      <c r="R371" s="202">
        <v>19</v>
      </c>
      <c r="S371" s="202">
        <v>27</v>
      </c>
      <c r="T371" s="202">
        <v>31</v>
      </c>
      <c r="U371" s="202">
        <v>29</v>
      </c>
      <c r="V371" s="202">
        <v>30</v>
      </c>
      <c r="W371" s="202">
        <v>21</v>
      </c>
      <c r="X371" s="202">
        <v>24</v>
      </c>
      <c r="Y371" s="202">
        <v>20</v>
      </c>
      <c r="Z371" s="202">
        <v>0</v>
      </c>
      <c r="AA371" s="202">
        <v>0</v>
      </c>
      <c r="AB371" s="202">
        <v>0</v>
      </c>
      <c r="AC371" s="202">
        <v>0</v>
      </c>
      <c r="AD371" s="202">
        <v>0</v>
      </c>
      <c r="AE371" s="202">
        <v>0</v>
      </c>
      <c r="AF371" s="202">
        <v>0</v>
      </c>
      <c r="AG371" s="202">
        <v>0</v>
      </c>
      <c r="AH371" s="202">
        <v>0</v>
      </c>
      <c r="AI371" s="202">
        <v>0</v>
      </c>
      <c r="AJ371" s="202">
        <v>0</v>
      </c>
      <c r="AK371" s="202">
        <v>0</v>
      </c>
      <c r="AL371" s="202">
        <v>0</v>
      </c>
      <c r="AM371" s="202">
        <v>0</v>
      </c>
      <c r="AN371" s="202">
        <v>0</v>
      </c>
      <c r="AO371" s="202">
        <v>0</v>
      </c>
      <c r="AP371" s="202">
        <v>0</v>
      </c>
      <c r="AQ371" s="202" t="s">
        <v>1984</v>
      </c>
      <c r="AR371" s="202" t="s">
        <v>1984</v>
      </c>
      <c r="AS371" s="202">
        <v>0</v>
      </c>
      <c r="AT371" s="202">
        <v>41</v>
      </c>
      <c r="AU371" s="202" t="s">
        <v>2306</v>
      </c>
      <c r="AV371" s="202">
        <v>8.1999999999999993</v>
      </c>
      <c r="AW371"/>
      <c r="AX371"/>
      <c r="AY371"/>
    </row>
    <row r="372" spans="1:51">
      <c r="A372" s="202" t="str">
        <f t="shared" si="23"/>
        <v>郭存寿&amp;王培有</v>
      </c>
      <c r="B372" s="202">
        <f>IF(C372&lt;&gt;"NA",C372,VLOOKUP(K372,Update_from_YIFIP!$X$2:$AD$174,7,FALSE))</f>
        <v>17</v>
      </c>
      <c r="C372" s="207" t="str">
        <f t="shared" si="20"/>
        <v>NA</v>
      </c>
      <c r="D372" s="207" t="str">
        <f t="shared" si="24"/>
        <v>NA</v>
      </c>
      <c r="E372" s="202" t="s">
        <v>3166</v>
      </c>
      <c r="F372" s="202" t="s">
        <v>2328</v>
      </c>
      <c r="G372" s="202" t="s">
        <v>2329</v>
      </c>
      <c r="H372" s="207" t="str">
        <f t="shared" si="22"/>
        <v>NA</v>
      </c>
      <c r="I372" s="202" t="s">
        <v>3167</v>
      </c>
      <c r="J372" s="202" t="s">
        <v>2326</v>
      </c>
      <c r="K372" s="202" t="s">
        <v>2327</v>
      </c>
      <c r="L372" s="202" t="s">
        <v>1236</v>
      </c>
      <c r="M372" s="202">
        <v>4</v>
      </c>
      <c r="N372" s="202">
        <v>0</v>
      </c>
      <c r="O372" s="202">
        <v>20</v>
      </c>
      <c r="P372" s="202">
        <v>4</v>
      </c>
      <c r="Q372" s="202">
        <v>6</v>
      </c>
      <c r="R372" s="202">
        <v>5</v>
      </c>
      <c r="S372" s="202">
        <v>5</v>
      </c>
      <c r="T372" s="202">
        <v>0</v>
      </c>
      <c r="U372" s="202">
        <v>0</v>
      </c>
      <c r="V372" s="202">
        <v>0</v>
      </c>
      <c r="W372" s="202">
        <v>0</v>
      </c>
      <c r="X372" s="202">
        <v>0</v>
      </c>
      <c r="Y372" s="202">
        <v>0</v>
      </c>
      <c r="Z372" s="202">
        <v>0</v>
      </c>
      <c r="AA372" s="202">
        <v>0</v>
      </c>
      <c r="AB372" s="202">
        <v>0</v>
      </c>
      <c r="AC372" s="202">
        <v>0</v>
      </c>
      <c r="AD372" s="202">
        <v>0</v>
      </c>
      <c r="AE372" s="202">
        <v>0</v>
      </c>
      <c r="AF372" s="202">
        <v>0</v>
      </c>
      <c r="AG372" s="202">
        <v>0</v>
      </c>
      <c r="AH372" s="202">
        <v>0</v>
      </c>
      <c r="AI372" s="202">
        <v>0</v>
      </c>
      <c r="AJ372" s="202">
        <v>0</v>
      </c>
      <c r="AK372" s="202">
        <v>0</v>
      </c>
      <c r="AL372" s="202">
        <v>0</v>
      </c>
      <c r="AM372" s="202">
        <v>0</v>
      </c>
      <c r="AN372" s="202">
        <v>0</v>
      </c>
      <c r="AO372" s="202">
        <v>0</v>
      </c>
      <c r="AP372" s="202">
        <v>0</v>
      </c>
      <c r="AQ372" s="202" t="s">
        <v>1990</v>
      </c>
      <c r="AR372" s="202" t="s">
        <v>1990</v>
      </c>
      <c r="AS372" s="202">
        <v>0</v>
      </c>
      <c r="AT372" s="202">
        <v>2</v>
      </c>
      <c r="AU372" s="202">
        <v>0</v>
      </c>
      <c r="AV372" s="202">
        <v>0.4</v>
      </c>
      <c r="AW372"/>
      <c r="AX372"/>
      <c r="AY372"/>
    </row>
    <row r="373" spans="1:51">
      <c r="A373" s="202" t="str">
        <f t="shared" si="23"/>
        <v>郭存寿&amp;王培有</v>
      </c>
      <c r="B373" s="202">
        <f>IF(C373&lt;&gt;"NA",C373,VLOOKUP(K373,Update_from_YIFIP!$X$2:$AD$174,7,FALSE))</f>
        <v>17</v>
      </c>
      <c r="C373" s="207" t="str">
        <f t="shared" si="20"/>
        <v>NA</v>
      </c>
      <c r="D373" s="207" t="str">
        <f t="shared" si="24"/>
        <v>NA</v>
      </c>
      <c r="E373" s="202" t="s">
        <v>3166</v>
      </c>
      <c r="F373" s="202" t="s">
        <v>2328</v>
      </c>
      <c r="G373" s="202" t="s">
        <v>2329</v>
      </c>
      <c r="H373" s="207" t="str">
        <f t="shared" si="22"/>
        <v>NA</v>
      </c>
      <c r="I373" s="202" t="s">
        <v>3167</v>
      </c>
      <c r="J373" s="202" t="s">
        <v>2326</v>
      </c>
      <c r="K373" s="202" t="s">
        <v>3345</v>
      </c>
      <c r="L373" s="202" t="s">
        <v>1237</v>
      </c>
      <c r="M373" s="202">
        <v>4</v>
      </c>
      <c r="N373" s="202">
        <v>0</v>
      </c>
      <c r="O373" s="202">
        <v>21</v>
      </c>
      <c r="P373" s="202">
        <v>6</v>
      </c>
      <c r="Q373" s="202">
        <v>5</v>
      </c>
      <c r="R373" s="202">
        <v>9</v>
      </c>
      <c r="S373" s="202">
        <v>1</v>
      </c>
      <c r="T373" s="202">
        <v>0</v>
      </c>
      <c r="U373" s="202">
        <v>0</v>
      </c>
      <c r="V373" s="202">
        <v>0</v>
      </c>
      <c r="W373" s="202">
        <v>0</v>
      </c>
      <c r="X373" s="202">
        <v>0</v>
      </c>
      <c r="Y373" s="202">
        <v>0</v>
      </c>
      <c r="Z373" s="202">
        <v>0</v>
      </c>
      <c r="AA373" s="202">
        <v>0</v>
      </c>
      <c r="AB373" s="202">
        <v>0</v>
      </c>
      <c r="AC373" s="202">
        <v>0</v>
      </c>
      <c r="AD373" s="202">
        <v>0</v>
      </c>
      <c r="AE373" s="202">
        <v>0</v>
      </c>
      <c r="AF373" s="202">
        <v>0</v>
      </c>
      <c r="AG373" s="202">
        <v>0</v>
      </c>
      <c r="AH373" s="202">
        <v>0</v>
      </c>
      <c r="AI373" s="202">
        <v>0</v>
      </c>
      <c r="AJ373" s="202">
        <v>0</v>
      </c>
      <c r="AK373" s="202">
        <v>0</v>
      </c>
      <c r="AL373" s="202">
        <v>0</v>
      </c>
      <c r="AM373" s="202">
        <v>0</v>
      </c>
      <c r="AN373" s="202">
        <v>0</v>
      </c>
      <c r="AO373" s="202">
        <v>0</v>
      </c>
      <c r="AP373" s="202">
        <v>0</v>
      </c>
      <c r="AQ373" s="202" t="s">
        <v>1991</v>
      </c>
      <c r="AR373" s="202" t="s">
        <v>1991</v>
      </c>
      <c r="AS373" s="202">
        <v>0</v>
      </c>
      <c r="AT373" s="202">
        <v>4</v>
      </c>
      <c r="AU373" s="202">
        <v>0</v>
      </c>
      <c r="AV373" s="202">
        <v>0.8</v>
      </c>
      <c r="AW373"/>
      <c r="AX373"/>
      <c r="AY373"/>
    </row>
    <row r="374" spans="1:51">
      <c r="A374" s="202" t="str">
        <f t="shared" si="23"/>
        <v>郭存寿&amp;王培有</v>
      </c>
      <c r="B374" s="202">
        <f>IF(C374&lt;&gt;"NA",C374,VLOOKUP(K374,Update_from_YIFIP!$X$2:$AD$174,7,FALSE))</f>
        <v>17</v>
      </c>
      <c r="C374" s="207" t="str">
        <f t="shared" si="20"/>
        <v>NA</v>
      </c>
      <c r="D374" s="207" t="str">
        <f t="shared" si="24"/>
        <v>NA</v>
      </c>
      <c r="E374" s="202" t="s">
        <v>3166</v>
      </c>
      <c r="F374" s="202" t="s">
        <v>2328</v>
      </c>
      <c r="G374" s="202" t="s">
        <v>2329</v>
      </c>
      <c r="H374" s="207" t="str">
        <f t="shared" si="22"/>
        <v>NA</v>
      </c>
      <c r="I374" s="202" t="s">
        <v>3167</v>
      </c>
      <c r="J374" s="202" t="s">
        <v>2330</v>
      </c>
      <c r="K374" s="202" t="s">
        <v>2331</v>
      </c>
      <c r="L374" s="202" t="s">
        <v>1238</v>
      </c>
      <c r="M374" s="202">
        <v>4</v>
      </c>
      <c r="N374" s="202">
        <v>0</v>
      </c>
      <c r="O374" s="202">
        <v>20</v>
      </c>
      <c r="P374" s="202">
        <v>3</v>
      </c>
      <c r="Q374" s="202">
        <v>4</v>
      </c>
      <c r="R374" s="202">
        <v>7</v>
      </c>
      <c r="S374" s="202">
        <v>6</v>
      </c>
      <c r="T374" s="202">
        <v>0</v>
      </c>
      <c r="U374" s="202">
        <v>0</v>
      </c>
      <c r="V374" s="202">
        <v>0</v>
      </c>
      <c r="W374" s="202">
        <v>0</v>
      </c>
      <c r="X374" s="202">
        <v>0</v>
      </c>
      <c r="Y374" s="202">
        <v>0</v>
      </c>
      <c r="Z374" s="202">
        <v>0</v>
      </c>
      <c r="AA374" s="202">
        <v>0</v>
      </c>
      <c r="AB374" s="202">
        <v>0</v>
      </c>
      <c r="AC374" s="202">
        <v>0</v>
      </c>
      <c r="AD374" s="202">
        <v>0</v>
      </c>
      <c r="AE374" s="202">
        <v>0</v>
      </c>
      <c r="AF374" s="202">
        <v>0</v>
      </c>
      <c r="AG374" s="202">
        <v>0</v>
      </c>
      <c r="AH374" s="202">
        <v>0</v>
      </c>
      <c r="AI374" s="202">
        <v>0</v>
      </c>
      <c r="AJ374" s="202">
        <v>0</v>
      </c>
      <c r="AK374" s="202">
        <v>0</v>
      </c>
      <c r="AL374" s="202">
        <v>0</v>
      </c>
      <c r="AM374" s="202">
        <v>0</v>
      </c>
      <c r="AN374" s="202">
        <v>0</v>
      </c>
      <c r="AO374" s="202">
        <v>0</v>
      </c>
      <c r="AP374" s="202">
        <v>0</v>
      </c>
      <c r="AQ374" s="202" t="s">
        <v>1992</v>
      </c>
      <c r="AR374" s="202" t="s">
        <v>1992</v>
      </c>
      <c r="AS374" s="202">
        <v>0</v>
      </c>
      <c r="AT374" s="202">
        <v>5</v>
      </c>
      <c r="AU374" s="202">
        <v>0</v>
      </c>
      <c r="AV374" s="202">
        <v>1</v>
      </c>
      <c r="AW374"/>
      <c r="AX374"/>
      <c r="AY374"/>
    </row>
    <row r="375" spans="1:51">
      <c r="A375" s="202" t="str">
        <f t="shared" si="23"/>
        <v>郭存寿&amp;王培有</v>
      </c>
      <c r="B375" s="202">
        <f>IF(C375&lt;&gt;"NA",C375,VLOOKUP(K375,Update_from_YIFIP!$X$2:$AD$174,7,FALSE))</f>
        <v>115</v>
      </c>
      <c r="C375" s="207" t="str">
        <f t="shared" si="20"/>
        <v>NA</v>
      </c>
      <c r="D375" s="207" t="str">
        <f t="shared" si="24"/>
        <v>NA</v>
      </c>
      <c r="E375" s="202" t="s">
        <v>3166</v>
      </c>
      <c r="F375" s="202" t="s">
        <v>2328</v>
      </c>
      <c r="G375" s="202" t="s">
        <v>2329</v>
      </c>
      <c r="H375" s="207" t="str">
        <f t="shared" si="22"/>
        <v>NA</v>
      </c>
      <c r="I375" s="202" t="s">
        <v>3167</v>
      </c>
      <c r="J375" s="202" t="s">
        <v>2326</v>
      </c>
      <c r="K375" s="202" t="s">
        <v>2332</v>
      </c>
      <c r="L375" s="202" t="s">
        <v>1239</v>
      </c>
      <c r="M375" s="202">
        <v>2</v>
      </c>
      <c r="N375" s="202">
        <v>0</v>
      </c>
      <c r="O375" s="202">
        <v>14</v>
      </c>
      <c r="P375" s="202">
        <v>10</v>
      </c>
      <c r="Q375" s="202">
        <v>4</v>
      </c>
      <c r="R375" s="202">
        <v>0</v>
      </c>
      <c r="S375" s="202">
        <v>0</v>
      </c>
      <c r="T375" s="202">
        <v>0</v>
      </c>
      <c r="U375" s="202">
        <v>0</v>
      </c>
      <c r="V375" s="202">
        <v>0</v>
      </c>
      <c r="W375" s="202">
        <v>0</v>
      </c>
      <c r="X375" s="202">
        <v>0</v>
      </c>
      <c r="Y375" s="202">
        <v>0</v>
      </c>
      <c r="Z375" s="202">
        <v>0</v>
      </c>
      <c r="AA375" s="202">
        <v>0</v>
      </c>
      <c r="AB375" s="202">
        <v>0</v>
      </c>
      <c r="AC375" s="202">
        <v>0</v>
      </c>
      <c r="AD375" s="202">
        <v>0</v>
      </c>
      <c r="AE375" s="202">
        <v>0</v>
      </c>
      <c r="AF375" s="202">
        <v>0</v>
      </c>
      <c r="AG375" s="202">
        <v>0</v>
      </c>
      <c r="AH375" s="202">
        <v>0</v>
      </c>
      <c r="AI375" s="202">
        <v>0</v>
      </c>
      <c r="AJ375" s="202">
        <v>0</v>
      </c>
      <c r="AK375" s="202">
        <v>0</v>
      </c>
      <c r="AL375" s="202">
        <v>0</v>
      </c>
      <c r="AM375" s="202">
        <v>0</v>
      </c>
      <c r="AN375" s="202">
        <v>0</v>
      </c>
      <c r="AO375" s="202">
        <v>0</v>
      </c>
      <c r="AP375" s="202">
        <v>0</v>
      </c>
      <c r="AQ375" s="202" t="s">
        <v>1972</v>
      </c>
      <c r="AR375" s="202" t="s">
        <v>1972</v>
      </c>
      <c r="AS375" s="202">
        <v>0</v>
      </c>
      <c r="AT375" s="202">
        <v>3</v>
      </c>
      <c r="AU375" s="202">
        <v>0</v>
      </c>
      <c r="AV375" s="202">
        <v>0.6</v>
      </c>
      <c r="AW375"/>
      <c r="AX375"/>
      <c r="AY375"/>
    </row>
    <row r="376" spans="1:51">
      <c r="A376" s="202" t="str">
        <f t="shared" si="23"/>
        <v>郭存寿&amp;王培有</v>
      </c>
      <c r="B376" s="202">
        <f>IF(C376&lt;&gt;"NA",C376,VLOOKUP(K376,Update_from_YIFIP!$X$2:$AD$174,7,FALSE))</f>
        <v>17</v>
      </c>
      <c r="C376" s="207" t="str">
        <f t="shared" si="20"/>
        <v>NA</v>
      </c>
      <c r="D376" s="207" t="str">
        <f t="shared" si="24"/>
        <v>NA</v>
      </c>
      <c r="E376" s="202" t="s">
        <v>3166</v>
      </c>
      <c r="F376" s="202" t="s">
        <v>2328</v>
      </c>
      <c r="G376" s="202" t="s">
        <v>2329</v>
      </c>
      <c r="H376" s="207" t="str">
        <f t="shared" si="22"/>
        <v>NA</v>
      </c>
      <c r="I376" s="202" t="s">
        <v>3167</v>
      </c>
      <c r="J376" s="202" t="s">
        <v>2326</v>
      </c>
      <c r="K376" s="202" t="s">
        <v>2333</v>
      </c>
      <c r="L376" s="202" t="s">
        <v>1240</v>
      </c>
      <c r="M376" s="202">
        <v>0</v>
      </c>
      <c r="N376" s="202">
        <v>1</v>
      </c>
      <c r="O376" s="202">
        <v>2</v>
      </c>
      <c r="P376" s="202">
        <v>2</v>
      </c>
      <c r="Q376" s="202">
        <v>0</v>
      </c>
      <c r="R376" s="202">
        <v>0</v>
      </c>
      <c r="S376" s="202">
        <v>0</v>
      </c>
      <c r="T376" s="202">
        <v>0</v>
      </c>
      <c r="U376" s="202">
        <v>0</v>
      </c>
      <c r="V376" s="202">
        <v>0</v>
      </c>
      <c r="W376" s="202">
        <v>0</v>
      </c>
      <c r="X376" s="202">
        <v>0</v>
      </c>
      <c r="Y376" s="202">
        <v>0</v>
      </c>
      <c r="Z376" s="202">
        <v>0</v>
      </c>
      <c r="AA376" s="202">
        <v>0</v>
      </c>
      <c r="AB376" s="202">
        <v>0</v>
      </c>
      <c r="AC376" s="202">
        <v>0</v>
      </c>
      <c r="AD376" s="202">
        <v>0</v>
      </c>
      <c r="AE376" s="202">
        <v>0</v>
      </c>
      <c r="AF376" s="202">
        <v>0</v>
      </c>
      <c r="AG376" s="202">
        <v>0</v>
      </c>
      <c r="AH376" s="202">
        <v>0</v>
      </c>
      <c r="AI376" s="202">
        <v>0</v>
      </c>
      <c r="AJ376" s="202">
        <v>0</v>
      </c>
      <c r="AK376" s="202">
        <v>0</v>
      </c>
      <c r="AL376" s="202">
        <v>0</v>
      </c>
      <c r="AM376" s="202">
        <v>0</v>
      </c>
      <c r="AN376" s="202">
        <v>0</v>
      </c>
      <c r="AO376" s="202">
        <v>0</v>
      </c>
      <c r="AP376" s="202">
        <v>0</v>
      </c>
      <c r="AQ376" s="202" t="s">
        <v>1968</v>
      </c>
      <c r="AR376" s="202" t="s">
        <v>1968</v>
      </c>
      <c r="AS376" s="202">
        <v>0</v>
      </c>
      <c r="AT376" s="202">
        <v>0.75</v>
      </c>
      <c r="AU376" s="202">
        <v>0</v>
      </c>
      <c r="AV376" s="202">
        <v>0.15</v>
      </c>
      <c r="AW376"/>
      <c r="AX376"/>
      <c r="AY376"/>
    </row>
    <row r="377" spans="1:51">
      <c r="A377" s="202" t="str">
        <f t="shared" si="23"/>
        <v>李福安</v>
      </c>
      <c r="B377" s="202" t="str">
        <f>IF(C377&lt;&gt;"NA",C377,VLOOKUP(K377,Update_from_YIFIP!$X$2:$AD$174,7,FALSE))</f>
        <v>NA</v>
      </c>
      <c r="C377" s="207" t="str">
        <f t="shared" si="20"/>
        <v>NA</v>
      </c>
      <c r="D377" s="207" t="str">
        <f t="shared" si="24"/>
        <v>NA</v>
      </c>
      <c r="E377" s="202" t="s">
        <v>2334</v>
      </c>
      <c r="F377" s="202" t="s">
        <v>2337</v>
      </c>
      <c r="G377" s="202" t="s">
        <v>2338</v>
      </c>
      <c r="H377" s="207" t="str">
        <f t="shared" si="22"/>
        <v>NA</v>
      </c>
      <c r="I377" s="202" t="s">
        <v>1929</v>
      </c>
      <c r="J377" s="202" t="s">
        <v>2335</v>
      </c>
      <c r="K377" s="202" t="s">
        <v>2336</v>
      </c>
      <c r="L377" s="202" t="s">
        <v>1241</v>
      </c>
      <c r="M377" s="202">
        <v>2</v>
      </c>
      <c r="N377" s="202">
        <v>0</v>
      </c>
      <c r="O377" s="202">
        <v>9</v>
      </c>
      <c r="P377" s="202">
        <v>5</v>
      </c>
      <c r="Q377" s="202">
        <v>4</v>
      </c>
      <c r="R377" s="202">
        <v>0</v>
      </c>
      <c r="S377" s="202">
        <v>0</v>
      </c>
      <c r="T377" s="202">
        <v>0</v>
      </c>
      <c r="U377" s="202">
        <v>0</v>
      </c>
      <c r="V377" s="202">
        <v>0</v>
      </c>
      <c r="W377" s="202">
        <v>0</v>
      </c>
      <c r="X377" s="202">
        <v>0</v>
      </c>
      <c r="Y377" s="202">
        <v>0</v>
      </c>
      <c r="Z377" s="202">
        <v>0</v>
      </c>
      <c r="AA377" s="202">
        <v>0</v>
      </c>
      <c r="AB377" s="202">
        <v>0</v>
      </c>
      <c r="AC377" s="202">
        <v>0</v>
      </c>
      <c r="AD377" s="202">
        <v>0</v>
      </c>
      <c r="AE377" s="202">
        <v>0</v>
      </c>
      <c r="AF377" s="202">
        <v>0</v>
      </c>
      <c r="AG377" s="202">
        <v>0</v>
      </c>
      <c r="AH377" s="202">
        <v>0</v>
      </c>
      <c r="AI377" s="202">
        <v>0</v>
      </c>
      <c r="AJ377" s="202">
        <v>0</v>
      </c>
      <c r="AK377" s="202">
        <v>0</v>
      </c>
      <c r="AL377" s="202">
        <v>0</v>
      </c>
      <c r="AM377" s="202">
        <v>0</v>
      </c>
      <c r="AN377" s="202">
        <v>0</v>
      </c>
      <c r="AO377" s="202">
        <v>0</v>
      </c>
      <c r="AP377" s="202">
        <v>0</v>
      </c>
      <c r="AQ377" s="202" t="s">
        <v>1978</v>
      </c>
      <c r="AR377" s="202" t="s">
        <v>1978</v>
      </c>
      <c r="AS377" s="202">
        <v>0</v>
      </c>
      <c r="AT377" s="202">
        <v>2</v>
      </c>
      <c r="AU377" s="202">
        <v>0</v>
      </c>
      <c r="AV377" s="202">
        <v>0.4</v>
      </c>
      <c r="AW377"/>
      <c r="AX377"/>
      <c r="AY377"/>
    </row>
    <row r="378" spans="1:51">
      <c r="A378" s="202" t="str">
        <f t="shared" si="23"/>
        <v>李福安</v>
      </c>
      <c r="B378" s="202" t="str">
        <f>IF(C378&lt;&gt;"NA",C378,VLOOKUP(K378,Update_from_YIFIP!$X$2:$AD$174,7,FALSE))</f>
        <v>NA</v>
      </c>
      <c r="C378" s="207" t="str">
        <f t="shared" si="20"/>
        <v>NA</v>
      </c>
      <c r="D378" s="207" t="str">
        <f t="shared" si="24"/>
        <v>NA</v>
      </c>
      <c r="E378" s="202" t="s">
        <v>2334</v>
      </c>
      <c r="F378" s="202" t="s">
        <v>2337</v>
      </c>
      <c r="G378" s="202" t="s">
        <v>2338</v>
      </c>
      <c r="H378" s="207" t="str">
        <f t="shared" si="22"/>
        <v>NA</v>
      </c>
      <c r="I378" s="202" t="s">
        <v>1929</v>
      </c>
      <c r="J378" s="202" t="s">
        <v>2335</v>
      </c>
      <c r="K378" s="202" t="s">
        <v>2339</v>
      </c>
      <c r="L378" s="202" t="s">
        <v>1242</v>
      </c>
      <c r="M378" s="202">
        <v>2</v>
      </c>
      <c r="N378" s="202">
        <v>0</v>
      </c>
      <c r="O378" s="202">
        <v>9</v>
      </c>
      <c r="P378" s="202">
        <v>6</v>
      </c>
      <c r="Q378" s="202">
        <v>3</v>
      </c>
      <c r="R378" s="202">
        <v>0</v>
      </c>
      <c r="S378" s="202">
        <v>0</v>
      </c>
      <c r="T378" s="202">
        <v>0</v>
      </c>
      <c r="U378" s="202">
        <v>0</v>
      </c>
      <c r="V378" s="202">
        <v>0</v>
      </c>
      <c r="W378" s="202">
        <v>0</v>
      </c>
      <c r="X378" s="202">
        <v>0</v>
      </c>
      <c r="Y378" s="202">
        <v>0</v>
      </c>
      <c r="Z378" s="202">
        <v>0</v>
      </c>
      <c r="AA378" s="202">
        <v>0</v>
      </c>
      <c r="AB378" s="202">
        <v>0</v>
      </c>
      <c r="AC378" s="202">
        <v>0</v>
      </c>
      <c r="AD378" s="202">
        <v>0</v>
      </c>
      <c r="AE378" s="202">
        <v>0</v>
      </c>
      <c r="AF378" s="202">
        <v>0</v>
      </c>
      <c r="AG378" s="202">
        <v>0</v>
      </c>
      <c r="AH378" s="202">
        <v>0</v>
      </c>
      <c r="AI378" s="202">
        <v>0</v>
      </c>
      <c r="AJ378" s="202">
        <v>0</v>
      </c>
      <c r="AK378" s="202">
        <v>0</v>
      </c>
      <c r="AL378" s="202">
        <v>0</v>
      </c>
      <c r="AM378" s="202">
        <v>0</v>
      </c>
      <c r="AN378" s="202">
        <v>0</v>
      </c>
      <c r="AO378" s="202">
        <v>0</v>
      </c>
      <c r="AP378" s="202">
        <v>0</v>
      </c>
      <c r="AQ378" s="202" t="s">
        <v>1979</v>
      </c>
      <c r="AR378" s="202" t="s">
        <v>1979</v>
      </c>
      <c r="AS378" s="202">
        <v>0</v>
      </c>
      <c r="AT378" s="202">
        <v>2.5</v>
      </c>
      <c r="AU378" s="202">
        <v>0</v>
      </c>
      <c r="AV378" s="202">
        <v>0.5</v>
      </c>
      <c r="AW378"/>
      <c r="AX378"/>
      <c r="AY378"/>
    </row>
    <row r="379" spans="1:51">
      <c r="A379" s="202" t="str">
        <f t="shared" si="23"/>
        <v>李福安</v>
      </c>
      <c r="B379" s="202" t="str">
        <f>IF(C379&lt;&gt;"NA",C379,VLOOKUP(K379,Update_from_YIFIP!$X$2:$AD$174,7,FALSE))</f>
        <v>NA</v>
      </c>
      <c r="C379" s="207" t="str">
        <f t="shared" si="20"/>
        <v>NA</v>
      </c>
      <c r="D379" s="207" t="str">
        <f t="shared" si="24"/>
        <v>NA</v>
      </c>
      <c r="E379" s="202" t="s">
        <v>2334</v>
      </c>
      <c r="F379" s="202" t="s">
        <v>2337</v>
      </c>
      <c r="G379" s="202" t="s">
        <v>2338</v>
      </c>
      <c r="H379" s="207" t="str">
        <f t="shared" si="22"/>
        <v>NA</v>
      </c>
      <c r="I379" s="202" t="s">
        <v>1929</v>
      </c>
      <c r="J379" s="202" t="s">
        <v>2335</v>
      </c>
      <c r="K379" s="202" t="s">
        <v>2340</v>
      </c>
      <c r="L379" s="202" t="s">
        <v>1243</v>
      </c>
      <c r="M379" s="202">
        <v>3</v>
      </c>
      <c r="N379" s="202">
        <v>0</v>
      </c>
      <c r="O379" s="202">
        <v>9</v>
      </c>
      <c r="P379" s="202">
        <v>4</v>
      </c>
      <c r="Q379" s="202">
        <v>3</v>
      </c>
      <c r="R379" s="202">
        <v>2</v>
      </c>
      <c r="S379" s="202">
        <v>0</v>
      </c>
      <c r="T379" s="202">
        <v>0</v>
      </c>
      <c r="U379" s="202">
        <v>0</v>
      </c>
      <c r="V379" s="202">
        <v>0</v>
      </c>
      <c r="W379" s="202">
        <v>0</v>
      </c>
      <c r="X379" s="202">
        <v>0</v>
      </c>
      <c r="Y379" s="202">
        <v>0</v>
      </c>
      <c r="Z379" s="202">
        <v>0</v>
      </c>
      <c r="AA379" s="202">
        <v>0</v>
      </c>
      <c r="AB379" s="202">
        <v>0</v>
      </c>
      <c r="AC379" s="202">
        <v>0</v>
      </c>
      <c r="AD379" s="202">
        <v>0</v>
      </c>
      <c r="AE379" s="202">
        <v>0</v>
      </c>
      <c r="AF379" s="202">
        <v>0</v>
      </c>
      <c r="AG379" s="202">
        <v>0</v>
      </c>
      <c r="AH379" s="202">
        <v>0</v>
      </c>
      <c r="AI379" s="202">
        <v>0</v>
      </c>
      <c r="AJ379" s="202">
        <v>0</v>
      </c>
      <c r="AK379" s="202">
        <v>0</v>
      </c>
      <c r="AL379" s="202">
        <v>0</v>
      </c>
      <c r="AM379" s="202">
        <v>0</v>
      </c>
      <c r="AN379" s="202">
        <v>0</v>
      </c>
      <c r="AO379" s="202">
        <v>0</v>
      </c>
      <c r="AP379" s="202">
        <v>0</v>
      </c>
      <c r="AQ379" s="202" t="s">
        <v>1993</v>
      </c>
      <c r="AR379" s="202" t="s">
        <v>1993</v>
      </c>
      <c r="AS379" s="202">
        <v>0</v>
      </c>
      <c r="AT379" s="202">
        <v>3</v>
      </c>
      <c r="AU379" s="202">
        <v>0</v>
      </c>
      <c r="AV379" s="202">
        <v>0.6</v>
      </c>
      <c r="AW379"/>
      <c r="AX379"/>
      <c r="AY379"/>
    </row>
    <row r="380" spans="1:51">
      <c r="A380" s="202" t="str">
        <f t="shared" si="23"/>
        <v>李福安</v>
      </c>
      <c r="B380" s="202" t="str">
        <f>IF(C380&lt;&gt;"NA",C380,VLOOKUP(K380,Update_from_YIFIP!$X$2:$AD$174,7,FALSE))</f>
        <v>NA</v>
      </c>
      <c r="C380" s="207" t="str">
        <f t="shared" si="20"/>
        <v>NA</v>
      </c>
      <c r="D380" s="207" t="str">
        <f t="shared" si="24"/>
        <v>NA</v>
      </c>
      <c r="E380" s="202" t="s">
        <v>2334</v>
      </c>
      <c r="F380" s="202" t="s">
        <v>2337</v>
      </c>
      <c r="G380" s="202" t="s">
        <v>2338</v>
      </c>
      <c r="H380" s="207" t="str">
        <f t="shared" si="22"/>
        <v>NA</v>
      </c>
      <c r="I380" s="202" t="s">
        <v>1929</v>
      </c>
      <c r="J380" s="202" t="s">
        <v>2335</v>
      </c>
      <c r="K380" s="202" t="s">
        <v>2341</v>
      </c>
      <c r="L380" s="202" t="s">
        <v>1244</v>
      </c>
      <c r="M380" s="202">
        <v>2</v>
      </c>
      <c r="N380" s="202">
        <v>0</v>
      </c>
      <c r="O380" s="202">
        <v>11</v>
      </c>
      <c r="P380" s="202">
        <v>4</v>
      </c>
      <c r="Q380" s="202">
        <v>7</v>
      </c>
      <c r="R380" s="202">
        <v>0</v>
      </c>
      <c r="S380" s="202">
        <v>0</v>
      </c>
      <c r="T380" s="202">
        <v>0</v>
      </c>
      <c r="U380" s="202">
        <v>0</v>
      </c>
      <c r="V380" s="202">
        <v>0</v>
      </c>
      <c r="W380" s="202">
        <v>0</v>
      </c>
      <c r="X380" s="202">
        <v>0</v>
      </c>
      <c r="Y380" s="202">
        <v>0</v>
      </c>
      <c r="Z380" s="202">
        <v>0</v>
      </c>
      <c r="AA380" s="202">
        <v>0</v>
      </c>
      <c r="AB380" s="202">
        <v>0</v>
      </c>
      <c r="AC380" s="202">
        <v>0</v>
      </c>
      <c r="AD380" s="202">
        <v>0</v>
      </c>
      <c r="AE380" s="202">
        <v>0</v>
      </c>
      <c r="AF380" s="202">
        <v>0</v>
      </c>
      <c r="AG380" s="202">
        <v>0</v>
      </c>
      <c r="AH380" s="202">
        <v>0</v>
      </c>
      <c r="AI380" s="202">
        <v>0</v>
      </c>
      <c r="AJ380" s="202">
        <v>0</v>
      </c>
      <c r="AK380" s="202">
        <v>0</v>
      </c>
      <c r="AL380" s="202">
        <v>0</v>
      </c>
      <c r="AM380" s="202">
        <v>0</v>
      </c>
      <c r="AN380" s="202">
        <v>0</v>
      </c>
      <c r="AO380" s="202">
        <v>0</v>
      </c>
      <c r="AP380" s="202">
        <v>0</v>
      </c>
      <c r="AQ380" s="202" t="s">
        <v>1994</v>
      </c>
      <c r="AR380" s="202" t="s">
        <v>1994</v>
      </c>
      <c r="AS380" s="202">
        <v>0</v>
      </c>
      <c r="AT380" s="202">
        <v>3</v>
      </c>
      <c r="AU380" s="202">
        <v>0</v>
      </c>
      <c r="AV380" s="202">
        <v>0.6</v>
      </c>
      <c r="AW380"/>
      <c r="AX380"/>
      <c r="AY380"/>
    </row>
    <row r="381" spans="1:51">
      <c r="A381" s="202" t="str">
        <f t="shared" si="23"/>
        <v>代发荣&amp;李学良</v>
      </c>
      <c r="B381" s="202" t="str">
        <f>IF(C381&lt;&gt;"NA",C381,VLOOKUP(K381,Update_from_YIFIP!$X$2:$AD$174,7,FALSE))</f>
        <v>NA</v>
      </c>
      <c r="C381" s="207" t="str">
        <f t="shared" si="20"/>
        <v>NA</v>
      </c>
      <c r="D381" s="207" t="str">
        <f t="shared" si="24"/>
        <v>NA</v>
      </c>
      <c r="E381" s="202" t="s">
        <v>3293</v>
      </c>
      <c r="F381" s="202" t="s">
        <v>2353</v>
      </c>
      <c r="G381" s="202" t="s">
        <v>2354</v>
      </c>
      <c r="H381" s="207" t="str">
        <f t="shared" si="22"/>
        <v>NA</v>
      </c>
      <c r="I381" s="202" t="s">
        <v>3169</v>
      </c>
      <c r="J381" s="202" t="s">
        <v>2351</v>
      </c>
      <c r="K381" s="202" t="s">
        <v>2352</v>
      </c>
      <c r="L381" s="202" t="s">
        <v>1250</v>
      </c>
      <c r="M381" s="202">
        <v>9</v>
      </c>
      <c r="N381" s="202">
        <v>0</v>
      </c>
      <c r="O381" s="202">
        <v>17</v>
      </c>
      <c r="P381" s="202">
        <v>1</v>
      </c>
      <c r="Q381" s="202">
        <v>1</v>
      </c>
      <c r="R381" s="202">
        <v>1</v>
      </c>
      <c r="S381" s="202">
        <v>3</v>
      </c>
      <c r="T381" s="202">
        <v>2</v>
      </c>
      <c r="U381" s="202">
        <v>1</v>
      </c>
      <c r="V381" s="202">
        <v>2</v>
      </c>
      <c r="W381" s="202">
        <v>3</v>
      </c>
      <c r="X381" s="202">
        <v>3</v>
      </c>
      <c r="Y381" s="202">
        <v>0</v>
      </c>
      <c r="Z381" s="202">
        <v>0</v>
      </c>
      <c r="AA381" s="202">
        <v>0</v>
      </c>
      <c r="AB381" s="202">
        <v>0</v>
      </c>
      <c r="AC381" s="202">
        <v>0</v>
      </c>
      <c r="AD381" s="202">
        <v>0</v>
      </c>
      <c r="AE381" s="202">
        <v>0</v>
      </c>
      <c r="AF381" s="202">
        <v>0</v>
      </c>
      <c r="AG381" s="202">
        <v>0</v>
      </c>
      <c r="AH381" s="202">
        <v>0</v>
      </c>
      <c r="AI381" s="202">
        <v>0</v>
      </c>
      <c r="AJ381" s="202">
        <v>0</v>
      </c>
      <c r="AK381" s="202">
        <v>0</v>
      </c>
      <c r="AL381" s="202">
        <v>0</v>
      </c>
      <c r="AM381" s="202">
        <v>0</v>
      </c>
      <c r="AN381" s="202">
        <v>0</v>
      </c>
      <c r="AO381" s="202">
        <v>0</v>
      </c>
      <c r="AP381" s="202">
        <v>0</v>
      </c>
      <c r="AQ381" s="202" t="s">
        <v>1934</v>
      </c>
      <c r="AR381" s="202" t="s">
        <v>1934</v>
      </c>
      <c r="AS381" s="202">
        <v>0</v>
      </c>
      <c r="AT381" s="202">
        <v>2.5</v>
      </c>
      <c r="AU381" s="202">
        <v>0</v>
      </c>
      <c r="AV381" s="202">
        <v>0.5</v>
      </c>
      <c r="AW381"/>
      <c r="AX381"/>
      <c r="AY381"/>
    </row>
    <row r="382" spans="1:51">
      <c r="A382" s="202" t="str">
        <f t="shared" si="23"/>
        <v>代发荣&amp;李学良</v>
      </c>
      <c r="B382" s="202" t="str">
        <f>IF(C382&lt;&gt;"NA",C382,VLOOKUP(K382,Update_from_YIFIP!$X$2:$AD$174,7,FALSE))</f>
        <v>NA</v>
      </c>
      <c r="C382" s="207" t="str">
        <f t="shared" si="20"/>
        <v>NA</v>
      </c>
      <c r="D382" s="207" t="str">
        <f t="shared" si="24"/>
        <v>NA</v>
      </c>
      <c r="E382" s="202" t="s">
        <v>3293</v>
      </c>
      <c r="F382" s="202" t="s">
        <v>2353</v>
      </c>
      <c r="G382" s="202" t="s">
        <v>2354</v>
      </c>
      <c r="H382" s="207" t="str">
        <f t="shared" si="22"/>
        <v>NA</v>
      </c>
      <c r="I382" s="202" t="s">
        <v>3169</v>
      </c>
      <c r="J382" s="202" t="s">
        <v>2351</v>
      </c>
      <c r="K382" s="202" t="s">
        <v>2355</v>
      </c>
      <c r="L382" s="202" t="s">
        <v>1251</v>
      </c>
      <c r="M382" s="202">
        <v>8</v>
      </c>
      <c r="N382" s="202">
        <v>0</v>
      </c>
      <c r="O382" s="202">
        <v>14</v>
      </c>
      <c r="P382" s="202">
        <v>2</v>
      </c>
      <c r="Q382" s="202">
        <v>3</v>
      </c>
      <c r="R382" s="202">
        <v>1</v>
      </c>
      <c r="S382" s="202">
        <v>1</v>
      </c>
      <c r="T382" s="202">
        <v>2</v>
      </c>
      <c r="U382" s="202">
        <v>1</v>
      </c>
      <c r="V382" s="202">
        <v>2</v>
      </c>
      <c r="W382" s="202">
        <v>2</v>
      </c>
      <c r="X382" s="202">
        <v>0</v>
      </c>
      <c r="Y382" s="202">
        <v>0</v>
      </c>
      <c r="Z382" s="202">
        <v>0</v>
      </c>
      <c r="AA382" s="202">
        <v>0</v>
      </c>
      <c r="AB382" s="202">
        <v>0</v>
      </c>
      <c r="AC382" s="202">
        <v>0</v>
      </c>
      <c r="AD382" s="202">
        <v>0</v>
      </c>
      <c r="AE382" s="202">
        <v>0</v>
      </c>
      <c r="AF382" s="202">
        <v>0</v>
      </c>
      <c r="AG382" s="202">
        <v>0</v>
      </c>
      <c r="AH382" s="202">
        <v>0</v>
      </c>
      <c r="AI382" s="202">
        <v>0</v>
      </c>
      <c r="AJ382" s="202">
        <v>0</v>
      </c>
      <c r="AK382" s="202">
        <v>0</v>
      </c>
      <c r="AL382" s="202">
        <v>0</v>
      </c>
      <c r="AM382" s="202">
        <v>0</v>
      </c>
      <c r="AN382" s="202">
        <v>0</v>
      </c>
      <c r="AO382" s="202">
        <v>0</v>
      </c>
      <c r="AP382" s="202">
        <v>0</v>
      </c>
      <c r="AQ382" s="202" t="s">
        <v>1974</v>
      </c>
      <c r="AR382" s="202" t="s">
        <v>1974</v>
      </c>
      <c r="AS382" s="202">
        <v>0</v>
      </c>
      <c r="AT382" s="202">
        <v>2.5</v>
      </c>
      <c r="AU382" s="202">
        <v>0</v>
      </c>
      <c r="AV382" s="202">
        <v>0.5</v>
      </c>
      <c r="AW382"/>
      <c r="AX382"/>
      <c r="AY382"/>
    </row>
    <row r="383" spans="1:51">
      <c r="A383" s="202" t="str">
        <f t="shared" si="23"/>
        <v>代发荣&amp;李学良</v>
      </c>
      <c r="B383" s="202">
        <f>IF(C383&lt;&gt;"NA",C383,VLOOKUP(K383,Update_from_YIFIP!$X$2:$AD$174,7,FALSE))</f>
        <v>4</v>
      </c>
      <c r="C383" s="207" t="str">
        <f t="shared" si="20"/>
        <v>NA</v>
      </c>
      <c r="D383" s="207" t="str">
        <f t="shared" si="24"/>
        <v>NA</v>
      </c>
      <c r="E383" s="202" t="s">
        <v>3293</v>
      </c>
      <c r="F383" s="202" t="s">
        <v>2353</v>
      </c>
      <c r="G383" s="202" t="s">
        <v>2354</v>
      </c>
      <c r="H383" s="207" t="str">
        <f t="shared" si="22"/>
        <v>NA</v>
      </c>
      <c r="I383" s="202" t="s">
        <v>3169</v>
      </c>
      <c r="J383" s="202" t="s">
        <v>2351</v>
      </c>
      <c r="K383" s="202" t="s">
        <v>2356</v>
      </c>
      <c r="L383" s="202" t="s">
        <v>1252</v>
      </c>
      <c r="M383" s="202">
        <v>5</v>
      </c>
      <c r="N383" s="202">
        <v>0</v>
      </c>
      <c r="O383" s="202">
        <v>11</v>
      </c>
      <c r="P383" s="202">
        <v>2</v>
      </c>
      <c r="Q383" s="202">
        <v>3</v>
      </c>
      <c r="R383" s="202">
        <v>2</v>
      </c>
      <c r="S383" s="202">
        <v>2</v>
      </c>
      <c r="T383" s="202">
        <v>2</v>
      </c>
      <c r="U383" s="202">
        <v>0</v>
      </c>
      <c r="V383" s="202">
        <v>0</v>
      </c>
      <c r="W383" s="202">
        <v>0</v>
      </c>
      <c r="X383" s="202">
        <v>0</v>
      </c>
      <c r="Y383" s="202">
        <v>0</v>
      </c>
      <c r="Z383" s="202">
        <v>0</v>
      </c>
      <c r="AA383" s="202">
        <v>0</v>
      </c>
      <c r="AB383" s="202">
        <v>0</v>
      </c>
      <c r="AC383" s="202">
        <v>0</v>
      </c>
      <c r="AD383" s="202">
        <v>0</v>
      </c>
      <c r="AE383" s="202">
        <v>0</v>
      </c>
      <c r="AF383" s="202">
        <v>0</v>
      </c>
      <c r="AG383" s="202">
        <v>0</v>
      </c>
      <c r="AH383" s="202">
        <v>0</v>
      </c>
      <c r="AI383" s="202">
        <v>0</v>
      </c>
      <c r="AJ383" s="202">
        <v>0</v>
      </c>
      <c r="AK383" s="202">
        <v>0</v>
      </c>
      <c r="AL383" s="202">
        <v>0</v>
      </c>
      <c r="AM383" s="202">
        <v>0</v>
      </c>
      <c r="AN383" s="202">
        <v>0</v>
      </c>
      <c r="AO383" s="202">
        <v>0</v>
      </c>
      <c r="AP383" s="202">
        <v>0</v>
      </c>
      <c r="AQ383" s="202" t="s">
        <v>1936</v>
      </c>
      <c r="AR383" s="202" t="s">
        <v>1936</v>
      </c>
      <c r="AS383" s="202">
        <v>0</v>
      </c>
      <c r="AT383" s="202">
        <v>2.5</v>
      </c>
      <c r="AU383" s="202">
        <v>0</v>
      </c>
      <c r="AV383" s="202">
        <v>0.5</v>
      </c>
      <c r="AW383"/>
      <c r="AX383"/>
      <c r="AY383"/>
    </row>
    <row r="384" spans="1:51">
      <c r="A384" s="202" t="str">
        <f t="shared" si="23"/>
        <v>代发荣&amp;李学良</v>
      </c>
      <c r="B384" s="202" t="str">
        <f>IF(C384&lt;&gt;"NA",C384,VLOOKUP(K384,Update_from_YIFIP!$X$2:$AD$174,7,FALSE))</f>
        <v>NA</v>
      </c>
      <c r="C384" s="207" t="str">
        <f t="shared" si="20"/>
        <v>NA</v>
      </c>
      <c r="D384" s="207" t="str">
        <f t="shared" si="24"/>
        <v>NA</v>
      </c>
      <c r="E384" s="202" t="s">
        <v>3293</v>
      </c>
      <c r="F384" s="202" t="s">
        <v>2353</v>
      </c>
      <c r="G384" s="202" t="s">
        <v>2354</v>
      </c>
      <c r="H384" s="207" t="str">
        <f t="shared" si="22"/>
        <v>NA</v>
      </c>
      <c r="I384" s="202" t="s">
        <v>3169</v>
      </c>
      <c r="J384" s="202" t="s">
        <v>2351</v>
      </c>
      <c r="K384" s="202" t="s">
        <v>2357</v>
      </c>
      <c r="L384" s="202" t="s">
        <v>1253</v>
      </c>
      <c r="M384" s="202">
        <v>6</v>
      </c>
      <c r="N384" s="202">
        <v>0</v>
      </c>
      <c r="O384" s="202">
        <v>17</v>
      </c>
      <c r="P384" s="202">
        <v>2</v>
      </c>
      <c r="Q384" s="202">
        <v>3</v>
      </c>
      <c r="R384" s="202">
        <v>3</v>
      </c>
      <c r="S384" s="202">
        <v>3</v>
      </c>
      <c r="T384" s="202">
        <v>3</v>
      </c>
      <c r="U384" s="202">
        <v>3</v>
      </c>
      <c r="V384" s="202">
        <v>0</v>
      </c>
      <c r="W384" s="202">
        <v>0</v>
      </c>
      <c r="X384" s="202">
        <v>0</v>
      </c>
      <c r="Y384" s="202">
        <v>0</v>
      </c>
      <c r="Z384" s="202">
        <v>0</v>
      </c>
      <c r="AA384" s="202">
        <v>0</v>
      </c>
      <c r="AB384" s="202">
        <v>0</v>
      </c>
      <c r="AC384" s="202">
        <v>0</v>
      </c>
      <c r="AD384" s="202">
        <v>0</v>
      </c>
      <c r="AE384" s="202">
        <v>0</v>
      </c>
      <c r="AF384" s="202">
        <v>0</v>
      </c>
      <c r="AG384" s="202">
        <v>0</v>
      </c>
      <c r="AH384" s="202">
        <v>0</v>
      </c>
      <c r="AI384" s="202">
        <v>0</v>
      </c>
      <c r="AJ384" s="202">
        <v>0</v>
      </c>
      <c r="AK384" s="202">
        <v>0</v>
      </c>
      <c r="AL384" s="202">
        <v>0</v>
      </c>
      <c r="AM384" s="202">
        <v>0</v>
      </c>
      <c r="AN384" s="202">
        <v>0</v>
      </c>
      <c r="AO384" s="202">
        <v>0</v>
      </c>
      <c r="AP384" s="202">
        <v>0</v>
      </c>
      <c r="AQ384" s="202" t="s">
        <v>1937</v>
      </c>
      <c r="AR384" s="202" t="s">
        <v>1937</v>
      </c>
      <c r="AS384" s="202">
        <v>0</v>
      </c>
      <c r="AT384" s="202">
        <v>3</v>
      </c>
      <c r="AU384" s="202">
        <v>0</v>
      </c>
      <c r="AV384" s="202">
        <v>0.6</v>
      </c>
      <c r="AW384"/>
      <c r="AX384"/>
      <c r="AY384"/>
    </row>
    <row r="385" spans="1:51">
      <c r="A385" s="202" t="str">
        <f t="shared" si="23"/>
        <v>代发荣&amp;李学良</v>
      </c>
      <c r="B385" s="202" t="str">
        <f>IF(C385&lt;&gt;"NA",C385,VLOOKUP(K385,Update_from_YIFIP!$X$2:$AD$174,7,FALSE))</f>
        <v>NA</v>
      </c>
      <c r="C385" s="207" t="str">
        <f t="shared" si="20"/>
        <v>NA</v>
      </c>
      <c r="D385" s="207" t="str">
        <f t="shared" si="24"/>
        <v>NA</v>
      </c>
      <c r="E385" s="202" t="s">
        <v>3293</v>
      </c>
      <c r="F385" s="202" t="s">
        <v>2353</v>
      </c>
      <c r="G385" s="202" t="s">
        <v>2354</v>
      </c>
      <c r="H385" s="207" t="str">
        <f t="shared" si="22"/>
        <v>NA</v>
      </c>
      <c r="I385" s="202" t="s">
        <v>3169</v>
      </c>
      <c r="J385" s="202" t="s">
        <v>2351</v>
      </c>
      <c r="K385" s="202" t="s">
        <v>2358</v>
      </c>
      <c r="L385" s="202" t="s">
        <v>1254</v>
      </c>
      <c r="M385" s="202">
        <v>0</v>
      </c>
      <c r="N385" s="202">
        <v>4</v>
      </c>
      <c r="O385" s="202">
        <v>4</v>
      </c>
      <c r="P385" s="202">
        <v>1</v>
      </c>
      <c r="Q385" s="202">
        <v>1</v>
      </c>
      <c r="R385" s="202">
        <v>1</v>
      </c>
      <c r="S385" s="202">
        <v>1</v>
      </c>
      <c r="T385" s="202">
        <v>0</v>
      </c>
      <c r="U385" s="202">
        <v>0</v>
      </c>
      <c r="V385" s="202">
        <v>0</v>
      </c>
      <c r="W385" s="202">
        <v>0</v>
      </c>
      <c r="X385" s="202">
        <v>0</v>
      </c>
      <c r="Y385" s="202">
        <v>0</v>
      </c>
      <c r="Z385" s="202">
        <v>0</v>
      </c>
      <c r="AA385" s="202">
        <v>0</v>
      </c>
      <c r="AB385" s="202">
        <v>0</v>
      </c>
      <c r="AC385" s="202">
        <v>0</v>
      </c>
      <c r="AD385" s="202">
        <v>0</v>
      </c>
      <c r="AE385" s="202">
        <v>0</v>
      </c>
      <c r="AF385" s="202">
        <v>0</v>
      </c>
      <c r="AG385" s="202">
        <v>0</v>
      </c>
      <c r="AH385" s="202">
        <v>0</v>
      </c>
      <c r="AI385" s="202">
        <v>0</v>
      </c>
      <c r="AJ385" s="202">
        <v>0</v>
      </c>
      <c r="AK385" s="202">
        <v>0</v>
      </c>
      <c r="AL385" s="202">
        <v>0</v>
      </c>
      <c r="AM385" s="202">
        <v>0</v>
      </c>
      <c r="AN385" s="202">
        <v>0</v>
      </c>
      <c r="AO385" s="202">
        <v>0</v>
      </c>
      <c r="AP385" s="202">
        <v>0</v>
      </c>
      <c r="AQ385" s="202" t="s">
        <v>1962</v>
      </c>
      <c r="AR385" s="202" t="s">
        <v>1962</v>
      </c>
      <c r="AS385" s="202">
        <v>0</v>
      </c>
      <c r="AT385" s="202">
        <v>1.5</v>
      </c>
      <c r="AU385" s="202">
        <v>0</v>
      </c>
      <c r="AV385" s="202">
        <v>0.3</v>
      </c>
      <c r="AW385"/>
      <c r="AX385"/>
      <c r="AY385"/>
    </row>
    <row r="386" spans="1:51">
      <c r="A386" s="202" t="str">
        <f t="shared" si="23"/>
        <v>刘文祥</v>
      </c>
      <c r="B386" s="202" t="str">
        <f>IF(C386&lt;&gt;"NA",C386,VLOOKUP(K386,Update_from_YIFIP!$X$2:$AD$174,7,FALSE))</f>
        <v>NA</v>
      </c>
      <c r="C386" s="207" t="str">
        <f t="shared" ref="C386:C449" si="25">IF(H386=D386,H386,IF(ISNUMBER(H386-D386),CONCATENATE(H386," or ",D386),IF(ISNUMBER(H386),H386,D386)))</f>
        <v>NA</v>
      </c>
      <c r="D386" s="207" t="str">
        <f t="shared" ref="D386:D449" si="26">IF(ISNA(VLOOKUP(E386,$AX$2:$AY$173,2,FALSE)) = TRUE, "NA", VLOOKUP(E386,$AX$2:$AY$173,2,FALSE))</f>
        <v>NA</v>
      </c>
      <c r="E386" s="202" t="s">
        <v>2359</v>
      </c>
      <c r="F386" s="202" t="s">
        <v>2362</v>
      </c>
      <c r="G386" s="202" t="s">
        <v>2363</v>
      </c>
      <c r="H386" s="207" t="str">
        <f t="shared" ref="H386:H449" si="27">IF(ISNA(VLOOKUP(I386,$AX$2:$AY$173,2,FALSE)) = TRUE, "NA", VLOOKUP(I386,$AX$2:$AY$173,2,FALSE))</f>
        <v>NA</v>
      </c>
      <c r="I386" s="202" t="s">
        <v>1929</v>
      </c>
      <c r="J386" s="202" t="s">
        <v>2360</v>
      </c>
      <c r="K386" s="202" t="s">
        <v>2361</v>
      </c>
      <c r="L386" s="202" t="s">
        <v>1255</v>
      </c>
      <c r="M386" s="202">
        <v>3</v>
      </c>
      <c r="N386" s="202">
        <v>0</v>
      </c>
      <c r="O386" s="202">
        <v>15</v>
      </c>
      <c r="P386" s="202">
        <v>5</v>
      </c>
      <c r="Q386" s="202">
        <v>9</v>
      </c>
      <c r="R386" s="202">
        <v>1</v>
      </c>
      <c r="S386" s="202">
        <v>0</v>
      </c>
      <c r="T386" s="202">
        <v>0</v>
      </c>
      <c r="U386" s="202">
        <v>0</v>
      </c>
      <c r="V386" s="202">
        <v>0</v>
      </c>
      <c r="W386" s="202">
        <v>0</v>
      </c>
      <c r="X386" s="202">
        <v>0</v>
      </c>
      <c r="Y386" s="202">
        <v>0</v>
      </c>
      <c r="Z386" s="202">
        <v>0</v>
      </c>
      <c r="AA386" s="202">
        <v>0</v>
      </c>
      <c r="AB386" s="202">
        <v>0</v>
      </c>
      <c r="AC386" s="202">
        <v>0</v>
      </c>
      <c r="AD386" s="202">
        <v>0</v>
      </c>
      <c r="AE386" s="202">
        <v>0</v>
      </c>
      <c r="AF386" s="202">
        <v>0</v>
      </c>
      <c r="AG386" s="202">
        <v>0</v>
      </c>
      <c r="AH386" s="202">
        <v>0</v>
      </c>
      <c r="AI386" s="202">
        <v>0</v>
      </c>
      <c r="AJ386" s="202">
        <v>0</v>
      </c>
      <c r="AK386" s="202">
        <v>0</v>
      </c>
      <c r="AL386" s="202">
        <v>0</v>
      </c>
      <c r="AM386" s="202">
        <v>0</v>
      </c>
      <c r="AN386" s="202">
        <v>0</v>
      </c>
      <c r="AO386" s="202">
        <v>0</v>
      </c>
      <c r="AP386" s="202">
        <v>0</v>
      </c>
      <c r="AQ386" s="202" t="s">
        <v>1998</v>
      </c>
      <c r="AR386" s="202" t="s">
        <v>1998</v>
      </c>
      <c r="AS386" s="202">
        <v>0</v>
      </c>
      <c r="AT386" s="202">
        <v>4</v>
      </c>
      <c r="AU386" s="202">
        <v>0</v>
      </c>
      <c r="AV386" s="202">
        <v>0.8</v>
      </c>
      <c r="AW386"/>
      <c r="AX386"/>
      <c r="AY386"/>
    </row>
    <row r="387" spans="1:51">
      <c r="A387" s="202" t="str">
        <f t="shared" ref="A387:A450" si="28">IF(I387="NA",E387,CONCATENATE(E387,"&amp;",I387))</f>
        <v>刘文祥</v>
      </c>
      <c r="B387" s="202" t="str">
        <f>IF(C387&lt;&gt;"NA",C387,VLOOKUP(K387,Update_from_YIFIP!$X$2:$AD$174,7,FALSE))</f>
        <v>NA</v>
      </c>
      <c r="C387" s="207" t="str">
        <f t="shared" si="25"/>
        <v>NA</v>
      </c>
      <c r="D387" s="207" t="str">
        <f t="shared" si="26"/>
        <v>NA</v>
      </c>
      <c r="E387" s="202" t="s">
        <v>2359</v>
      </c>
      <c r="F387" s="202" t="s">
        <v>2362</v>
      </c>
      <c r="G387" s="202" t="s">
        <v>2363</v>
      </c>
      <c r="H387" s="207" t="str">
        <f t="shared" si="27"/>
        <v>NA</v>
      </c>
      <c r="I387" s="202" t="s">
        <v>1929</v>
      </c>
      <c r="J387" s="202" t="s">
        <v>2360</v>
      </c>
      <c r="K387" s="202" t="s">
        <v>2364</v>
      </c>
      <c r="L387" s="202" t="s">
        <v>1256</v>
      </c>
      <c r="M387" s="202">
        <v>4</v>
      </c>
      <c r="N387" s="202">
        <v>0</v>
      </c>
      <c r="O387" s="202">
        <v>27</v>
      </c>
      <c r="P387" s="202">
        <v>6</v>
      </c>
      <c r="Q387" s="202">
        <v>6</v>
      </c>
      <c r="R387" s="202">
        <v>8</v>
      </c>
      <c r="S387" s="202">
        <v>7</v>
      </c>
      <c r="T387" s="202">
        <v>0</v>
      </c>
      <c r="U387" s="202">
        <v>0</v>
      </c>
      <c r="V387" s="202">
        <v>0</v>
      </c>
      <c r="W387" s="202">
        <v>0</v>
      </c>
      <c r="X387" s="202">
        <v>0</v>
      </c>
      <c r="Y387" s="202">
        <v>0</v>
      </c>
      <c r="Z387" s="202">
        <v>0</v>
      </c>
      <c r="AA387" s="202">
        <v>0</v>
      </c>
      <c r="AB387" s="202">
        <v>0</v>
      </c>
      <c r="AC387" s="202">
        <v>0</v>
      </c>
      <c r="AD387" s="202">
        <v>0</v>
      </c>
      <c r="AE387" s="202">
        <v>0</v>
      </c>
      <c r="AF387" s="202">
        <v>0</v>
      </c>
      <c r="AG387" s="202">
        <v>0</v>
      </c>
      <c r="AH387" s="202">
        <v>0</v>
      </c>
      <c r="AI387" s="202">
        <v>0</v>
      </c>
      <c r="AJ387" s="202">
        <v>0</v>
      </c>
      <c r="AK387" s="202">
        <v>0</v>
      </c>
      <c r="AL387" s="202">
        <v>0</v>
      </c>
      <c r="AM387" s="202">
        <v>0</v>
      </c>
      <c r="AN387" s="202">
        <v>0</v>
      </c>
      <c r="AO387" s="202">
        <v>0</v>
      </c>
      <c r="AP387" s="202">
        <v>0</v>
      </c>
      <c r="AQ387" s="202" t="s">
        <v>1999</v>
      </c>
      <c r="AR387" s="202" t="s">
        <v>1999</v>
      </c>
      <c r="AS387" s="202">
        <v>0</v>
      </c>
      <c r="AT387" s="202">
        <v>5</v>
      </c>
      <c r="AU387" s="202">
        <v>0</v>
      </c>
      <c r="AV387" s="202">
        <v>1</v>
      </c>
      <c r="AW387"/>
      <c r="AX387"/>
      <c r="AY387"/>
    </row>
    <row r="388" spans="1:51">
      <c r="A388" s="202" t="str">
        <f t="shared" si="28"/>
        <v>刘文祥</v>
      </c>
      <c r="B388" s="202" t="str">
        <f>IF(C388&lt;&gt;"NA",C388,VLOOKUP(K388,Update_from_YIFIP!$X$2:$AD$174,7,FALSE))</f>
        <v>NA</v>
      </c>
      <c r="C388" s="207" t="str">
        <f t="shared" si="25"/>
        <v>NA</v>
      </c>
      <c r="D388" s="207" t="str">
        <f t="shared" si="26"/>
        <v>NA</v>
      </c>
      <c r="E388" s="202" t="s">
        <v>2359</v>
      </c>
      <c r="F388" s="202" t="s">
        <v>2362</v>
      </c>
      <c r="G388" s="202" t="s">
        <v>2363</v>
      </c>
      <c r="H388" s="207" t="str">
        <f t="shared" si="27"/>
        <v>NA</v>
      </c>
      <c r="I388" s="202" t="s">
        <v>1929</v>
      </c>
      <c r="J388" s="202" t="s">
        <v>2365</v>
      </c>
      <c r="K388" s="202" t="s">
        <v>2366</v>
      </c>
      <c r="L388" s="202" t="s">
        <v>1257</v>
      </c>
      <c r="M388" s="202">
        <v>6</v>
      </c>
      <c r="N388" s="202">
        <v>0</v>
      </c>
      <c r="O388" s="202">
        <v>49</v>
      </c>
      <c r="P388" s="202">
        <v>8</v>
      </c>
      <c r="Q388" s="202">
        <v>10</v>
      </c>
      <c r="R388" s="202">
        <v>5</v>
      </c>
      <c r="S388" s="202">
        <v>7</v>
      </c>
      <c r="T388" s="202">
        <v>11</v>
      </c>
      <c r="U388" s="202">
        <v>8</v>
      </c>
      <c r="V388" s="202">
        <v>0</v>
      </c>
      <c r="W388" s="202">
        <v>0</v>
      </c>
      <c r="X388" s="202">
        <v>0</v>
      </c>
      <c r="Y388" s="202">
        <v>0</v>
      </c>
      <c r="Z388" s="202">
        <v>0</v>
      </c>
      <c r="AA388" s="202">
        <v>0</v>
      </c>
      <c r="AB388" s="202">
        <v>0</v>
      </c>
      <c r="AC388" s="202">
        <v>0</v>
      </c>
      <c r="AD388" s="202">
        <v>0</v>
      </c>
      <c r="AE388" s="202">
        <v>0</v>
      </c>
      <c r="AF388" s="202">
        <v>0</v>
      </c>
      <c r="AG388" s="202">
        <v>0</v>
      </c>
      <c r="AH388" s="202">
        <v>0</v>
      </c>
      <c r="AI388" s="202">
        <v>0</v>
      </c>
      <c r="AJ388" s="202">
        <v>0</v>
      </c>
      <c r="AK388" s="202">
        <v>0</v>
      </c>
      <c r="AL388" s="202">
        <v>0</v>
      </c>
      <c r="AM388" s="202">
        <v>0</v>
      </c>
      <c r="AN388" s="202">
        <v>0</v>
      </c>
      <c r="AO388" s="202">
        <v>0</v>
      </c>
      <c r="AP388" s="202">
        <v>0</v>
      </c>
      <c r="AQ388" s="202" t="s">
        <v>2000</v>
      </c>
      <c r="AR388" s="202" t="s">
        <v>2000</v>
      </c>
      <c r="AS388" s="202">
        <v>0</v>
      </c>
      <c r="AT388" s="202">
        <v>6</v>
      </c>
      <c r="AU388" s="202">
        <v>0</v>
      </c>
      <c r="AV388" s="202">
        <v>1.2</v>
      </c>
      <c r="AW388"/>
      <c r="AX388"/>
      <c r="AY388"/>
    </row>
    <row r="389" spans="1:51">
      <c r="A389" s="202" t="str">
        <f t="shared" si="28"/>
        <v>刘文祥</v>
      </c>
      <c r="B389" s="202" t="str">
        <f>IF(C389&lt;&gt;"NA",C389,VLOOKUP(K389,Update_from_YIFIP!$X$2:$AD$174,7,FALSE))</f>
        <v>NA</v>
      </c>
      <c r="C389" s="207" t="str">
        <f t="shared" si="25"/>
        <v>NA</v>
      </c>
      <c r="D389" s="207" t="str">
        <f t="shared" si="26"/>
        <v>NA</v>
      </c>
      <c r="E389" s="202" t="s">
        <v>2359</v>
      </c>
      <c r="F389" s="202" t="s">
        <v>2362</v>
      </c>
      <c r="G389" s="202" t="s">
        <v>2363</v>
      </c>
      <c r="H389" s="207" t="str">
        <f t="shared" si="27"/>
        <v>NA</v>
      </c>
      <c r="I389" s="202" t="s">
        <v>1929</v>
      </c>
      <c r="J389" s="202" t="s">
        <v>2365</v>
      </c>
      <c r="K389" s="202" t="s">
        <v>2367</v>
      </c>
      <c r="L389" s="202" t="s">
        <v>1258</v>
      </c>
      <c r="M389" s="202">
        <v>3</v>
      </c>
      <c r="N389" s="202">
        <v>0</v>
      </c>
      <c r="O389" s="202">
        <v>36</v>
      </c>
      <c r="P389" s="202">
        <v>13</v>
      </c>
      <c r="Q389" s="202">
        <v>11</v>
      </c>
      <c r="R389" s="202">
        <v>12</v>
      </c>
      <c r="S389" s="202">
        <v>0</v>
      </c>
      <c r="T389" s="202">
        <v>0</v>
      </c>
      <c r="U389" s="202">
        <v>0</v>
      </c>
      <c r="V389" s="202">
        <v>0</v>
      </c>
      <c r="W389" s="202">
        <v>0</v>
      </c>
      <c r="X389" s="202">
        <v>0</v>
      </c>
      <c r="Y389" s="202">
        <v>0</v>
      </c>
      <c r="Z389" s="202">
        <v>0</v>
      </c>
      <c r="AA389" s="202">
        <v>0</v>
      </c>
      <c r="AB389" s="202">
        <v>0</v>
      </c>
      <c r="AC389" s="202">
        <v>0</v>
      </c>
      <c r="AD389" s="202">
        <v>0</v>
      </c>
      <c r="AE389" s="202">
        <v>0</v>
      </c>
      <c r="AF389" s="202">
        <v>0</v>
      </c>
      <c r="AG389" s="202">
        <v>0</v>
      </c>
      <c r="AH389" s="202">
        <v>0</v>
      </c>
      <c r="AI389" s="202">
        <v>0</v>
      </c>
      <c r="AJ389" s="202">
        <v>0</v>
      </c>
      <c r="AK389" s="202">
        <v>0</v>
      </c>
      <c r="AL389" s="202">
        <v>0</v>
      </c>
      <c r="AM389" s="202">
        <v>0</v>
      </c>
      <c r="AN389" s="202">
        <v>0</v>
      </c>
      <c r="AO389" s="202">
        <v>0</v>
      </c>
      <c r="AP389" s="202">
        <v>0</v>
      </c>
      <c r="AQ389" s="202" t="s">
        <v>2001</v>
      </c>
      <c r="AR389" s="202" t="s">
        <v>2001</v>
      </c>
      <c r="AS389" s="202">
        <v>0</v>
      </c>
      <c r="AT389" s="202">
        <v>4</v>
      </c>
      <c r="AU389" s="202">
        <v>0</v>
      </c>
      <c r="AV389" s="202">
        <v>0.8</v>
      </c>
      <c r="AW389"/>
      <c r="AX389"/>
      <c r="AY389"/>
    </row>
    <row r="390" spans="1:51">
      <c r="A390" s="202" t="str">
        <f t="shared" si="28"/>
        <v>王以华&amp;鲁光荣</v>
      </c>
      <c r="B390" s="202">
        <f>IF(C390&lt;&gt;"NA",C390,VLOOKUP(K390,Update_from_YIFIP!$X$2:$AD$174,7,FALSE))</f>
        <v>17</v>
      </c>
      <c r="C390" s="207" t="str">
        <f t="shared" si="25"/>
        <v>NA</v>
      </c>
      <c r="D390" s="207" t="str">
        <f t="shared" si="26"/>
        <v>NA</v>
      </c>
      <c r="E390" s="202" t="s">
        <v>3170</v>
      </c>
      <c r="F390" s="202" t="s">
        <v>2370</v>
      </c>
      <c r="G390" s="202" t="s">
        <v>2371</v>
      </c>
      <c r="H390" s="207" t="str">
        <f t="shared" si="27"/>
        <v>NA</v>
      </c>
      <c r="I390" s="202" t="s">
        <v>3171</v>
      </c>
      <c r="J390" s="202" t="s">
        <v>2368</v>
      </c>
      <c r="K390" s="202" t="s">
        <v>2369</v>
      </c>
      <c r="L390" s="202" t="s">
        <v>1259</v>
      </c>
      <c r="M390" s="202">
        <v>3</v>
      </c>
      <c r="N390" s="202">
        <v>0</v>
      </c>
      <c r="O390" s="202">
        <v>6</v>
      </c>
      <c r="P390" s="202">
        <v>3</v>
      </c>
      <c r="Q390" s="202">
        <v>2</v>
      </c>
      <c r="R390" s="202">
        <v>1</v>
      </c>
      <c r="S390" s="202">
        <v>0</v>
      </c>
      <c r="T390" s="202">
        <v>0</v>
      </c>
      <c r="U390" s="202">
        <v>0</v>
      </c>
      <c r="V390" s="202">
        <v>0</v>
      </c>
      <c r="W390" s="202">
        <v>0</v>
      </c>
      <c r="X390" s="202">
        <v>0</v>
      </c>
      <c r="Y390" s="202">
        <v>0</v>
      </c>
      <c r="Z390" s="202">
        <v>0</v>
      </c>
      <c r="AA390" s="202">
        <v>0</v>
      </c>
      <c r="AB390" s="202">
        <v>0</v>
      </c>
      <c r="AC390" s="202">
        <v>0</v>
      </c>
      <c r="AD390" s="202">
        <v>0</v>
      </c>
      <c r="AE390" s="202">
        <v>0</v>
      </c>
      <c r="AF390" s="202">
        <v>0</v>
      </c>
      <c r="AG390" s="202">
        <v>0</v>
      </c>
      <c r="AH390" s="202">
        <v>0</v>
      </c>
      <c r="AI390" s="202">
        <v>0</v>
      </c>
      <c r="AJ390" s="202">
        <v>0</v>
      </c>
      <c r="AK390" s="202">
        <v>0</v>
      </c>
      <c r="AL390" s="202">
        <v>0</v>
      </c>
      <c r="AM390" s="202">
        <v>0</v>
      </c>
      <c r="AN390" s="202">
        <v>0</v>
      </c>
      <c r="AO390" s="202">
        <v>0</v>
      </c>
      <c r="AP390" s="202">
        <v>0</v>
      </c>
      <c r="AQ390" s="202" t="s">
        <v>2002</v>
      </c>
      <c r="AR390" s="202" t="s">
        <v>2002</v>
      </c>
      <c r="AS390" s="202">
        <v>0</v>
      </c>
      <c r="AT390" s="202">
        <v>2</v>
      </c>
      <c r="AU390" s="202">
        <v>0</v>
      </c>
      <c r="AV390" s="202">
        <v>0.4</v>
      </c>
      <c r="AW390"/>
      <c r="AX390"/>
      <c r="AY390"/>
    </row>
    <row r="391" spans="1:51">
      <c r="A391" s="202" t="str">
        <f t="shared" si="28"/>
        <v>王以华&amp;鲁光荣</v>
      </c>
      <c r="B391" s="202" t="str">
        <f>IF(C391&lt;&gt;"NA",C391,VLOOKUP(K391,Update_from_YIFIP!$X$2:$AD$174,7,FALSE))</f>
        <v>NA</v>
      </c>
      <c r="C391" s="207" t="str">
        <f t="shared" si="25"/>
        <v>NA</v>
      </c>
      <c r="D391" s="207" t="str">
        <f t="shared" si="26"/>
        <v>NA</v>
      </c>
      <c r="E391" s="202" t="s">
        <v>3170</v>
      </c>
      <c r="F391" s="202" t="s">
        <v>2370</v>
      </c>
      <c r="G391" s="202" t="s">
        <v>2371</v>
      </c>
      <c r="H391" s="207" t="str">
        <f t="shared" si="27"/>
        <v>NA</v>
      </c>
      <c r="I391" s="202" t="s">
        <v>3171</v>
      </c>
      <c r="J391" s="202" t="s">
        <v>2372</v>
      </c>
      <c r="K391" s="202" t="s">
        <v>2373</v>
      </c>
      <c r="L391" s="202" t="s">
        <v>1260</v>
      </c>
      <c r="M391" s="202">
        <v>4</v>
      </c>
      <c r="N391" s="202">
        <v>0</v>
      </c>
      <c r="O391" s="202">
        <v>19</v>
      </c>
      <c r="P391" s="202">
        <v>4</v>
      </c>
      <c r="Q391" s="202">
        <v>5</v>
      </c>
      <c r="R391" s="202">
        <v>6</v>
      </c>
      <c r="S391" s="202">
        <v>4</v>
      </c>
      <c r="T391" s="202">
        <v>0</v>
      </c>
      <c r="U391" s="202">
        <v>0</v>
      </c>
      <c r="V391" s="202">
        <v>0</v>
      </c>
      <c r="W391" s="202">
        <v>0</v>
      </c>
      <c r="X391" s="202">
        <v>0</v>
      </c>
      <c r="Y391" s="202">
        <v>0</v>
      </c>
      <c r="Z391" s="202">
        <v>0</v>
      </c>
      <c r="AA391" s="202">
        <v>0</v>
      </c>
      <c r="AB391" s="202">
        <v>0</v>
      </c>
      <c r="AC391" s="202">
        <v>0</v>
      </c>
      <c r="AD391" s="202">
        <v>0</v>
      </c>
      <c r="AE391" s="202">
        <v>0</v>
      </c>
      <c r="AF391" s="202">
        <v>0</v>
      </c>
      <c r="AG391" s="202">
        <v>0</v>
      </c>
      <c r="AH391" s="202">
        <v>0</v>
      </c>
      <c r="AI391" s="202">
        <v>0</v>
      </c>
      <c r="AJ391" s="202">
        <v>0</v>
      </c>
      <c r="AK391" s="202">
        <v>0</v>
      </c>
      <c r="AL391" s="202">
        <v>0</v>
      </c>
      <c r="AM391" s="202">
        <v>0</v>
      </c>
      <c r="AN391" s="202">
        <v>0</v>
      </c>
      <c r="AO391" s="202">
        <v>0</v>
      </c>
      <c r="AP391" s="202">
        <v>0</v>
      </c>
      <c r="AQ391" s="202" t="s">
        <v>1991</v>
      </c>
      <c r="AR391" s="202" t="s">
        <v>1991</v>
      </c>
      <c r="AS391" s="202">
        <v>0</v>
      </c>
      <c r="AT391" s="202">
        <v>4</v>
      </c>
      <c r="AU391" s="202">
        <v>0</v>
      </c>
      <c r="AV391" s="202">
        <v>0.8</v>
      </c>
      <c r="AW391"/>
      <c r="AX391"/>
      <c r="AY391"/>
    </row>
    <row r="392" spans="1:51">
      <c r="A392" s="202" t="str">
        <f t="shared" si="28"/>
        <v>王以华&amp;鲁光荣</v>
      </c>
      <c r="B392" s="202" t="str">
        <f>IF(C392&lt;&gt;"NA",C392,VLOOKUP(K392,Update_from_YIFIP!$X$2:$AD$174,7,FALSE))</f>
        <v>NA</v>
      </c>
      <c r="C392" s="207" t="str">
        <f t="shared" si="25"/>
        <v>NA</v>
      </c>
      <c r="D392" s="207" t="str">
        <f t="shared" si="26"/>
        <v>NA</v>
      </c>
      <c r="E392" s="202" t="s">
        <v>3170</v>
      </c>
      <c r="F392" s="202" t="s">
        <v>2370</v>
      </c>
      <c r="G392" s="202" t="s">
        <v>2371</v>
      </c>
      <c r="H392" s="207" t="str">
        <f t="shared" si="27"/>
        <v>NA</v>
      </c>
      <c r="I392" s="202" t="s">
        <v>3171</v>
      </c>
      <c r="J392" s="202" t="s">
        <v>2372</v>
      </c>
      <c r="K392" s="202" t="s">
        <v>2374</v>
      </c>
      <c r="L392" s="202" t="s">
        <v>1261</v>
      </c>
      <c r="M392" s="202">
        <v>2</v>
      </c>
      <c r="N392" s="202">
        <v>0</v>
      </c>
      <c r="O392" s="202">
        <v>6</v>
      </c>
      <c r="P392" s="202">
        <v>4</v>
      </c>
      <c r="Q392" s="202">
        <v>2</v>
      </c>
      <c r="R392" s="202">
        <v>0</v>
      </c>
      <c r="S392" s="202">
        <v>0</v>
      </c>
      <c r="T392" s="202">
        <v>0</v>
      </c>
      <c r="U392" s="202">
        <v>0</v>
      </c>
      <c r="V392" s="202">
        <v>0</v>
      </c>
      <c r="W392" s="202">
        <v>0</v>
      </c>
      <c r="X392" s="202">
        <v>0</v>
      </c>
      <c r="Y392" s="202">
        <v>0</v>
      </c>
      <c r="Z392" s="202">
        <v>0</v>
      </c>
      <c r="AA392" s="202">
        <v>0</v>
      </c>
      <c r="AB392" s="202">
        <v>0</v>
      </c>
      <c r="AC392" s="202">
        <v>0</v>
      </c>
      <c r="AD392" s="202">
        <v>0</v>
      </c>
      <c r="AE392" s="202">
        <v>0</v>
      </c>
      <c r="AF392" s="202">
        <v>0</v>
      </c>
      <c r="AG392" s="202">
        <v>0</v>
      </c>
      <c r="AH392" s="202">
        <v>0</v>
      </c>
      <c r="AI392" s="202">
        <v>0</v>
      </c>
      <c r="AJ392" s="202">
        <v>0</v>
      </c>
      <c r="AK392" s="202">
        <v>0</v>
      </c>
      <c r="AL392" s="202">
        <v>0</v>
      </c>
      <c r="AM392" s="202">
        <v>0</v>
      </c>
      <c r="AN392" s="202">
        <v>0</v>
      </c>
      <c r="AO392" s="202">
        <v>0</v>
      </c>
      <c r="AP392" s="202">
        <v>0</v>
      </c>
      <c r="AQ392" s="202" t="s">
        <v>2000</v>
      </c>
      <c r="AR392" s="202" t="s">
        <v>2000</v>
      </c>
      <c r="AS392" s="202">
        <v>0</v>
      </c>
      <c r="AT392" s="202">
        <v>3</v>
      </c>
      <c r="AU392" s="202">
        <v>0</v>
      </c>
      <c r="AV392" s="202">
        <v>0.6</v>
      </c>
      <c r="AW392"/>
      <c r="AX392"/>
      <c r="AY392"/>
    </row>
    <row r="393" spans="1:51">
      <c r="A393" s="202" t="str">
        <f t="shared" si="28"/>
        <v>王以华&amp;鲁光荣</v>
      </c>
      <c r="B393" s="202">
        <f>IF(C393&lt;&gt;"NA",C393,VLOOKUP(K393,Update_from_YIFIP!$X$2:$AD$174,7,FALSE))</f>
        <v>17</v>
      </c>
      <c r="C393" s="207" t="str">
        <f t="shared" si="25"/>
        <v>NA</v>
      </c>
      <c r="D393" s="207" t="str">
        <f t="shared" si="26"/>
        <v>NA</v>
      </c>
      <c r="E393" s="202" t="s">
        <v>3170</v>
      </c>
      <c r="F393" s="202" t="s">
        <v>2370</v>
      </c>
      <c r="G393" s="202" t="s">
        <v>2371</v>
      </c>
      <c r="H393" s="207" t="str">
        <f t="shared" si="27"/>
        <v>NA</v>
      </c>
      <c r="I393" s="202" t="s">
        <v>3171</v>
      </c>
      <c r="J393" s="202" t="s">
        <v>2372</v>
      </c>
      <c r="K393" s="202" t="s">
        <v>2375</v>
      </c>
      <c r="L393" s="202" t="s">
        <v>1262</v>
      </c>
      <c r="M393" s="202">
        <v>4</v>
      </c>
      <c r="N393" s="202">
        <v>0</v>
      </c>
      <c r="O393" s="202">
        <v>21</v>
      </c>
      <c r="P393" s="202">
        <v>3</v>
      </c>
      <c r="Q393" s="202">
        <v>9</v>
      </c>
      <c r="R393" s="202">
        <v>8</v>
      </c>
      <c r="S393" s="202">
        <v>1</v>
      </c>
      <c r="T393" s="202">
        <v>0</v>
      </c>
      <c r="U393" s="202">
        <v>0</v>
      </c>
      <c r="V393" s="202">
        <v>0</v>
      </c>
      <c r="W393" s="202">
        <v>0</v>
      </c>
      <c r="X393" s="202">
        <v>0</v>
      </c>
      <c r="Y393" s="202">
        <v>0</v>
      </c>
      <c r="Z393" s="202">
        <v>0</v>
      </c>
      <c r="AA393" s="202">
        <v>0</v>
      </c>
      <c r="AB393" s="202">
        <v>0</v>
      </c>
      <c r="AC393" s="202">
        <v>0</v>
      </c>
      <c r="AD393" s="202">
        <v>0</v>
      </c>
      <c r="AE393" s="202">
        <v>0</v>
      </c>
      <c r="AF393" s="202">
        <v>0</v>
      </c>
      <c r="AG393" s="202">
        <v>0</v>
      </c>
      <c r="AH393" s="202">
        <v>0</v>
      </c>
      <c r="AI393" s="202">
        <v>0</v>
      </c>
      <c r="AJ393" s="202">
        <v>0</v>
      </c>
      <c r="AK393" s="202">
        <v>0</v>
      </c>
      <c r="AL393" s="202">
        <v>0</v>
      </c>
      <c r="AM393" s="202">
        <v>0</v>
      </c>
      <c r="AN393" s="202">
        <v>0</v>
      </c>
      <c r="AO393" s="202">
        <v>0</v>
      </c>
      <c r="AP393" s="202">
        <v>0</v>
      </c>
      <c r="AQ393" s="202" t="s">
        <v>1968</v>
      </c>
      <c r="AR393" s="202" t="s">
        <v>1968</v>
      </c>
      <c r="AS393" s="202">
        <v>0</v>
      </c>
      <c r="AT393" s="202">
        <v>4</v>
      </c>
      <c r="AU393" s="202">
        <v>0</v>
      </c>
      <c r="AV393" s="202">
        <v>0.8</v>
      </c>
      <c r="AW393"/>
      <c r="AX393"/>
      <c r="AY393"/>
    </row>
    <row r="394" spans="1:51">
      <c r="A394" s="202" t="str">
        <f t="shared" si="28"/>
        <v>王以华&amp;鲁光荣</v>
      </c>
      <c r="B394" s="202" t="str">
        <f>IF(C394&lt;&gt;"NA",C394,VLOOKUP(K394,Update_from_YIFIP!$X$2:$AD$174,7,FALSE))</f>
        <v>NA</v>
      </c>
      <c r="C394" s="207" t="str">
        <f t="shared" si="25"/>
        <v>NA</v>
      </c>
      <c r="D394" s="207" t="str">
        <f t="shared" si="26"/>
        <v>NA</v>
      </c>
      <c r="E394" s="202" t="s">
        <v>3170</v>
      </c>
      <c r="F394" s="202" t="s">
        <v>2370</v>
      </c>
      <c r="G394" s="202" t="s">
        <v>2371</v>
      </c>
      <c r="H394" s="207" t="str">
        <f t="shared" si="27"/>
        <v>NA</v>
      </c>
      <c r="I394" s="202" t="s">
        <v>3171</v>
      </c>
      <c r="J394" s="202" t="s">
        <v>2372</v>
      </c>
      <c r="K394" s="202" t="s">
        <v>2376</v>
      </c>
      <c r="L394" s="202" t="s">
        <v>1263</v>
      </c>
      <c r="M394" s="202">
        <v>0</v>
      </c>
      <c r="N394" s="202">
        <v>3</v>
      </c>
      <c r="O394" s="202">
        <v>8</v>
      </c>
      <c r="P394" s="202">
        <v>2</v>
      </c>
      <c r="Q394" s="202">
        <v>4</v>
      </c>
      <c r="R394" s="202">
        <v>2</v>
      </c>
      <c r="S394" s="202">
        <v>0</v>
      </c>
      <c r="T394" s="202">
        <v>0</v>
      </c>
      <c r="U394" s="202">
        <v>0</v>
      </c>
      <c r="V394" s="202">
        <v>0</v>
      </c>
      <c r="W394" s="202">
        <v>0</v>
      </c>
      <c r="X394" s="202">
        <v>0</v>
      </c>
      <c r="Y394" s="202">
        <v>0</v>
      </c>
      <c r="Z394" s="202">
        <v>0</v>
      </c>
      <c r="AA394" s="202">
        <v>0</v>
      </c>
      <c r="AB394" s="202">
        <v>0</v>
      </c>
      <c r="AC394" s="202">
        <v>0</v>
      </c>
      <c r="AD394" s="202">
        <v>0</v>
      </c>
      <c r="AE394" s="202">
        <v>0</v>
      </c>
      <c r="AF394" s="202">
        <v>0</v>
      </c>
      <c r="AG394" s="202">
        <v>0</v>
      </c>
      <c r="AH394" s="202">
        <v>0</v>
      </c>
      <c r="AI394" s="202">
        <v>0</v>
      </c>
      <c r="AJ394" s="202">
        <v>0</v>
      </c>
      <c r="AK394" s="202">
        <v>0</v>
      </c>
      <c r="AL394" s="202">
        <v>0</v>
      </c>
      <c r="AM394" s="202">
        <v>0</v>
      </c>
      <c r="AN394" s="202">
        <v>0</v>
      </c>
      <c r="AO394" s="202">
        <v>0</v>
      </c>
      <c r="AP394" s="202">
        <v>0</v>
      </c>
      <c r="AQ394" s="202" t="s">
        <v>2003</v>
      </c>
      <c r="AR394" s="202" t="s">
        <v>2003</v>
      </c>
      <c r="AS394" s="202">
        <v>0</v>
      </c>
      <c r="AT394" s="202">
        <v>2.5</v>
      </c>
      <c r="AU394" s="202">
        <v>0</v>
      </c>
      <c r="AV394" s="202">
        <v>0.5</v>
      </c>
      <c r="AW394"/>
      <c r="AX394"/>
      <c r="AY394"/>
    </row>
    <row r="395" spans="1:51">
      <c r="A395" s="202" t="str">
        <f t="shared" si="28"/>
        <v>王开佐&amp;周开洪</v>
      </c>
      <c r="B395" s="202">
        <f>IF(C395&lt;&gt;"NA",C395,VLOOKUP(K395,Update_from_YIFIP!$X$2:$AD$174,7,FALSE))</f>
        <v>8</v>
      </c>
      <c r="C395" s="207" t="str">
        <f t="shared" si="25"/>
        <v>NA</v>
      </c>
      <c r="D395" s="207" t="str">
        <f t="shared" si="26"/>
        <v>NA</v>
      </c>
      <c r="E395" s="202" t="s">
        <v>3172</v>
      </c>
      <c r="F395" s="202" t="s">
        <v>2403</v>
      </c>
      <c r="G395" s="202" t="s">
        <v>2404</v>
      </c>
      <c r="H395" s="207" t="str">
        <f t="shared" si="27"/>
        <v>NA</v>
      </c>
      <c r="I395" s="202" t="s">
        <v>3173</v>
      </c>
      <c r="J395" s="202" t="s">
        <v>2210</v>
      </c>
      <c r="K395" s="202" t="s">
        <v>2401</v>
      </c>
      <c r="L395" s="202" t="s">
        <v>1282</v>
      </c>
      <c r="M395" s="202">
        <v>10</v>
      </c>
      <c r="N395" s="202">
        <v>0</v>
      </c>
      <c r="O395" s="202">
        <v>235</v>
      </c>
      <c r="P395" s="202">
        <v>39</v>
      </c>
      <c r="Q395" s="202">
        <v>17</v>
      </c>
      <c r="R395" s="202">
        <v>29</v>
      </c>
      <c r="S395" s="202">
        <v>19</v>
      </c>
      <c r="T395" s="202">
        <v>19</v>
      </c>
      <c r="U395" s="202">
        <v>9</v>
      </c>
      <c r="V395" s="202">
        <v>27</v>
      </c>
      <c r="W395" s="202">
        <v>24</v>
      </c>
      <c r="X395" s="202">
        <v>21</v>
      </c>
      <c r="Y395" s="202">
        <v>31</v>
      </c>
      <c r="Z395" s="202">
        <v>0</v>
      </c>
      <c r="AA395" s="202">
        <v>0</v>
      </c>
      <c r="AB395" s="202">
        <v>0</v>
      </c>
      <c r="AC395" s="202">
        <v>0</v>
      </c>
      <c r="AD395" s="202">
        <v>0</v>
      </c>
      <c r="AE395" s="202">
        <v>0</v>
      </c>
      <c r="AF395" s="202">
        <v>0</v>
      </c>
      <c r="AG395" s="202">
        <v>0</v>
      </c>
      <c r="AH395" s="202">
        <v>0</v>
      </c>
      <c r="AI395" s="202">
        <v>0</v>
      </c>
      <c r="AJ395" s="202">
        <v>0</v>
      </c>
      <c r="AK395" s="202">
        <v>0</v>
      </c>
      <c r="AL395" s="202">
        <v>0</v>
      </c>
      <c r="AM395" s="202">
        <v>0</v>
      </c>
      <c r="AN395" s="202">
        <v>0</v>
      </c>
      <c r="AO395" s="202">
        <v>0</v>
      </c>
      <c r="AP395" s="202">
        <v>0</v>
      </c>
      <c r="AQ395" s="202" t="s">
        <v>1995</v>
      </c>
      <c r="AR395" s="202" t="s">
        <v>1995</v>
      </c>
      <c r="AS395" s="202">
        <v>0</v>
      </c>
      <c r="AT395" s="202">
        <v>52.5</v>
      </c>
      <c r="AU395" s="202" t="s">
        <v>2402</v>
      </c>
      <c r="AV395" s="202">
        <v>10.5</v>
      </c>
      <c r="AW395"/>
      <c r="AX395"/>
      <c r="AY395"/>
    </row>
    <row r="396" spans="1:51">
      <c r="A396" s="202" t="str">
        <f t="shared" si="28"/>
        <v>王开佐&amp;周开洪</v>
      </c>
      <c r="B396" s="202">
        <f>IF(C396&lt;&gt;"NA",C396,VLOOKUP(K396,Update_from_YIFIP!$X$2:$AD$174,7,FALSE))</f>
        <v>9</v>
      </c>
      <c r="C396" s="207" t="str">
        <f t="shared" si="25"/>
        <v>NA</v>
      </c>
      <c r="D396" s="207" t="str">
        <f t="shared" si="26"/>
        <v>NA</v>
      </c>
      <c r="E396" s="202" t="s">
        <v>3172</v>
      </c>
      <c r="F396" s="202" t="s">
        <v>2403</v>
      </c>
      <c r="G396" s="202" t="s">
        <v>2404</v>
      </c>
      <c r="H396" s="207" t="str">
        <f t="shared" si="27"/>
        <v>NA</v>
      </c>
      <c r="I396" s="202" t="s">
        <v>3173</v>
      </c>
      <c r="J396" s="202" t="s">
        <v>2210</v>
      </c>
      <c r="K396" s="202" t="s">
        <v>2405</v>
      </c>
      <c r="L396" s="202" t="s">
        <v>1283</v>
      </c>
      <c r="M396" s="202">
        <v>10</v>
      </c>
      <c r="N396" s="202">
        <v>0</v>
      </c>
      <c r="O396" s="202">
        <v>244</v>
      </c>
      <c r="P396" s="202">
        <v>21</v>
      </c>
      <c r="Q396" s="202">
        <v>33</v>
      </c>
      <c r="R396" s="202">
        <v>21</v>
      </c>
      <c r="S396" s="202">
        <v>21</v>
      </c>
      <c r="T396" s="202">
        <v>10</v>
      </c>
      <c r="U396" s="202">
        <v>22</v>
      </c>
      <c r="V396" s="202">
        <v>18</v>
      </c>
      <c r="W396" s="202">
        <v>33</v>
      </c>
      <c r="X396" s="202">
        <v>28</v>
      </c>
      <c r="Y396" s="202">
        <v>37</v>
      </c>
      <c r="Z396" s="202">
        <v>0</v>
      </c>
      <c r="AA396" s="202">
        <v>0</v>
      </c>
      <c r="AB396" s="202">
        <v>0</v>
      </c>
      <c r="AC396" s="202">
        <v>0</v>
      </c>
      <c r="AD396" s="202">
        <v>0</v>
      </c>
      <c r="AE396" s="202">
        <v>0</v>
      </c>
      <c r="AF396" s="202">
        <v>0</v>
      </c>
      <c r="AG396" s="202">
        <v>0</v>
      </c>
      <c r="AH396" s="202">
        <v>0</v>
      </c>
      <c r="AI396" s="202">
        <v>0</v>
      </c>
      <c r="AJ396" s="202">
        <v>0</v>
      </c>
      <c r="AK396" s="202">
        <v>0</v>
      </c>
      <c r="AL396" s="202">
        <v>0</v>
      </c>
      <c r="AM396" s="202">
        <v>0</v>
      </c>
      <c r="AN396" s="202">
        <v>0</v>
      </c>
      <c r="AO396" s="202">
        <v>0</v>
      </c>
      <c r="AP396" s="202">
        <v>0</v>
      </c>
      <c r="AQ396" s="202" t="s">
        <v>2013</v>
      </c>
      <c r="AR396" s="202" t="s">
        <v>2013</v>
      </c>
      <c r="AS396" s="202">
        <v>0</v>
      </c>
      <c r="AT396" s="202">
        <v>43.000000000000007</v>
      </c>
      <c r="AU396" s="202" t="s">
        <v>2406</v>
      </c>
      <c r="AV396" s="202">
        <v>8.6000000000000014</v>
      </c>
      <c r="AW396"/>
      <c r="AX396"/>
      <c r="AY396"/>
    </row>
    <row r="397" spans="1:51">
      <c r="A397" s="202" t="str">
        <f t="shared" si="28"/>
        <v>王开佐&amp;周开洪</v>
      </c>
      <c r="B397" s="202">
        <f>IF(C397&lt;&gt;"NA",C397,VLOOKUP(K397,Update_from_YIFIP!$X$2:$AD$174,7,FALSE))</f>
        <v>7</v>
      </c>
      <c r="C397" s="207" t="str">
        <f t="shared" si="25"/>
        <v>NA</v>
      </c>
      <c r="D397" s="207" t="str">
        <f t="shared" si="26"/>
        <v>NA</v>
      </c>
      <c r="E397" s="202" t="s">
        <v>3172</v>
      </c>
      <c r="F397" s="202" t="s">
        <v>2403</v>
      </c>
      <c r="G397" s="202" t="s">
        <v>2404</v>
      </c>
      <c r="H397" s="207" t="str">
        <f t="shared" si="27"/>
        <v>NA</v>
      </c>
      <c r="I397" s="202" t="s">
        <v>3173</v>
      </c>
      <c r="J397" s="202" t="s">
        <v>2210</v>
      </c>
      <c r="K397" s="202" t="s">
        <v>2407</v>
      </c>
      <c r="L397" s="202" t="s">
        <v>1284</v>
      </c>
      <c r="M397" s="202">
        <v>10</v>
      </c>
      <c r="N397" s="202">
        <v>0</v>
      </c>
      <c r="O397" s="202">
        <v>196</v>
      </c>
      <c r="P397" s="202">
        <v>14</v>
      </c>
      <c r="Q397" s="202">
        <v>29</v>
      </c>
      <c r="R397" s="202">
        <v>19</v>
      </c>
      <c r="S397" s="202">
        <v>22</v>
      </c>
      <c r="T397" s="202">
        <v>14</v>
      </c>
      <c r="U397" s="202">
        <v>12</v>
      </c>
      <c r="V397" s="202">
        <v>22</v>
      </c>
      <c r="W397" s="202">
        <v>20</v>
      </c>
      <c r="X397" s="202">
        <v>25</v>
      </c>
      <c r="Y397" s="202">
        <v>19</v>
      </c>
      <c r="Z397" s="202">
        <v>0</v>
      </c>
      <c r="AA397" s="202">
        <v>0</v>
      </c>
      <c r="AB397" s="202">
        <v>0</v>
      </c>
      <c r="AC397" s="202">
        <v>0</v>
      </c>
      <c r="AD397" s="202">
        <v>0</v>
      </c>
      <c r="AE397" s="202">
        <v>0</v>
      </c>
      <c r="AF397" s="202">
        <v>0</v>
      </c>
      <c r="AG397" s="202">
        <v>0</v>
      </c>
      <c r="AH397" s="202">
        <v>0</v>
      </c>
      <c r="AI397" s="202">
        <v>0</v>
      </c>
      <c r="AJ397" s="202">
        <v>0</v>
      </c>
      <c r="AK397" s="202">
        <v>0</v>
      </c>
      <c r="AL397" s="202">
        <v>0</v>
      </c>
      <c r="AM397" s="202">
        <v>0</v>
      </c>
      <c r="AN397" s="202">
        <v>0</v>
      </c>
      <c r="AO397" s="202">
        <v>0</v>
      </c>
      <c r="AP397" s="202">
        <v>0</v>
      </c>
      <c r="AQ397" s="202" t="s">
        <v>1983</v>
      </c>
      <c r="AR397" s="202" t="s">
        <v>1983</v>
      </c>
      <c r="AS397" s="202">
        <v>0</v>
      </c>
      <c r="AT397" s="202">
        <v>50</v>
      </c>
      <c r="AU397" s="202" t="s">
        <v>2408</v>
      </c>
      <c r="AV397" s="202">
        <v>10</v>
      </c>
      <c r="AW397"/>
      <c r="AX397"/>
      <c r="AY397"/>
    </row>
    <row r="398" spans="1:51">
      <c r="A398" s="202" t="str">
        <f t="shared" si="28"/>
        <v>王开佐&amp;周开洪</v>
      </c>
      <c r="B398" s="202">
        <f>IF(C398&lt;&gt;"NA",C398,VLOOKUP(K398,Update_from_YIFIP!$X$2:$AD$174,7,FALSE))</f>
        <v>9</v>
      </c>
      <c r="C398" s="207" t="str">
        <f t="shared" si="25"/>
        <v>NA</v>
      </c>
      <c r="D398" s="207" t="str">
        <f t="shared" si="26"/>
        <v>NA</v>
      </c>
      <c r="E398" s="202" t="s">
        <v>3172</v>
      </c>
      <c r="F398" s="202" t="s">
        <v>2403</v>
      </c>
      <c r="G398" s="202" t="s">
        <v>2404</v>
      </c>
      <c r="H398" s="207" t="str">
        <f t="shared" si="27"/>
        <v>NA</v>
      </c>
      <c r="I398" s="202" t="s">
        <v>3173</v>
      </c>
      <c r="J398" s="202" t="s">
        <v>2210</v>
      </c>
      <c r="K398" s="202" t="s">
        <v>2409</v>
      </c>
      <c r="L398" s="202" t="s">
        <v>1285</v>
      </c>
      <c r="M398" s="202">
        <v>10</v>
      </c>
      <c r="N398" s="202">
        <v>0</v>
      </c>
      <c r="O398" s="202">
        <v>236</v>
      </c>
      <c r="P398" s="202">
        <v>27</v>
      </c>
      <c r="Q398" s="202">
        <v>19</v>
      </c>
      <c r="R398" s="202">
        <v>20</v>
      </c>
      <c r="S398" s="202">
        <v>21</v>
      </c>
      <c r="T398" s="202">
        <v>26</v>
      </c>
      <c r="U398" s="202">
        <v>24</v>
      </c>
      <c r="V398" s="202">
        <v>23</v>
      </c>
      <c r="W398" s="202">
        <v>26</v>
      </c>
      <c r="X398" s="202">
        <v>28</v>
      </c>
      <c r="Y398" s="202">
        <v>22</v>
      </c>
      <c r="Z398" s="202">
        <v>0</v>
      </c>
      <c r="AA398" s="202">
        <v>0</v>
      </c>
      <c r="AB398" s="202">
        <v>0</v>
      </c>
      <c r="AC398" s="202">
        <v>0</v>
      </c>
      <c r="AD398" s="202">
        <v>0</v>
      </c>
      <c r="AE398" s="202">
        <v>0</v>
      </c>
      <c r="AF398" s="202">
        <v>0</v>
      </c>
      <c r="AG398" s="202">
        <v>0</v>
      </c>
      <c r="AH398" s="202">
        <v>0</v>
      </c>
      <c r="AI398" s="202">
        <v>0</v>
      </c>
      <c r="AJ398" s="202">
        <v>0</v>
      </c>
      <c r="AK398" s="202">
        <v>0</v>
      </c>
      <c r="AL398" s="202">
        <v>0</v>
      </c>
      <c r="AM398" s="202">
        <v>0</v>
      </c>
      <c r="AN398" s="202">
        <v>0</v>
      </c>
      <c r="AO398" s="202">
        <v>0</v>
      </c>
      <c r="AP398" s="202">
        <v>0</v>
      </c>
      <c r="AQ398" s="202" t="s">
        <v>1984</v>
      </c>
      <c r="AR398" s="202" t="s">
        <v>1984</v>
      </c>
      <c r="AS398" s="202">
        <v>0</v>
      </c>
      <c r="AT398" s="202">
        <v>50</v>
      </c>
      <c r="AU398" s="202" t="s">
        <v>2302</v>
      </c>
      <c r="AV398" s="202">
        <v>10</v>
      </c>
      <c r="AW398"/>
      <c r="AX398"/>
      <c r="AY398"/>
    </row>
    <row r="399" spans="1:51">
      <c r="A399" s="202" t="str">
        <f t="shared" si="28"/>
        <v>张玉龙</v>
      </c>
      <c r="B399" s="202" t="str">
        <f>IF(C399&lt;&gt;"NA",C399,VLOOKUP(K399,Update_from_YIFIP!$X$2:$AD$174,7,FALSE))</f>
        <v>NA</v>
      </c>
      <c r="C399" s="207" t="str">
        <f t="shared" si="25"/>
        <v>NA</v>
      </c>
      <c r="D399" s="207" t="str">
        <f t="shared" si="26"/>
        <v>NA</v>
      </c>
      <c r="E399" s="202" t="s">
        <v>2410</v>
      </c>
      <c r="F399" s="202" t="s">
        <v>2413</v>
      </c>
      <c r="G399" s="202" t="s">
        <v>2414</v>
      </c>
      <c r="H399" s="207" t="str">
        <f t="shared" si="27"/>
        <v>NA</v>
      </c>
      <c r="I399" s="202" t="s">
        <v>1929</v>
      </c>
      <c r="J399" s="202" t="s">
        <v>2411</v>
      </c>
      <c r="K399" s="202" t="s">
        <v>2412</v>
      </c>
      <c r="L399" s="202" t="s">
        <v>1286</v>
      </c>
      <c r="M399" s="202">
        <v>4</v>
      </c>
      <c r="N399" s="202">
        <v>0</v>
      </c>
      <c r="O399" s="202">
        <v>14</v>
      </c>
      <c r="P399" s="202">
        <v>4</v>
      </c>
      <c r="Q399" s="202">
        <v>2</v>
      </c>
      <c r="R399" s="202">
        <v>5</v>
      </c>
      <c r="S399" s="202">
        <v>3</v>
      </c>
      <c r="T399" s="202">
        <v>0</v>
      </c>
      <c r="U399" s="202">
        <v>0</v>
      </c>
      <c r="V399" s="202">
        <v>0</v>
      </c>
      <c r="W399" s="202">
        <v>0</v>
      </c>
      <c r="X399" s="202">
        <v>0</v>
      </c>
      <c r="Y399" s="202">
        <v>0</v>
      </c>
      <c r="Z399" s="202">
        <v>0</v>
      </c>
      <c r="AA399" s="202">
        <v>0</v>
      </c>
      <c r="AB399" s="202">
        <v>0</v>
      </c>
      <c r="AC399" s="202">
        <v>0</v>
      </c>
      <c r="AD399" s="202">
        <v>0</v>
      </c>
      <c r="AE399" s="202">
        <v>0</v>
      </c>
      <c r="AF399" s="202">
        <v>0</v>
      </c>
      <c r="AG399" s="202">
        <v>0</v>
      </c>
      <c r="AH399" s="202">
        <v>0</v>
      </c>
      <c r="AI399" s="202">
        <v>0</v>
      </c>
      <c r="AJ399" s="202">
        <v>0</v>
      </c>
      <c r="AK399" s="202">
        <v>0</v>
      </c>
      <c r="AL399" s="202">
        <v>0</v>
      </c>
      <c r="AM399" s="202">
        <v>0</v>
      </c>
      <c r="AN399" s="202">
        <v>0</v>
      </c>
      <c r="AO399" s="202">
        <v>0</v>
      </c>
      <c r="AP399" s="202">
        <v>0</v>
      </c>
      <c r="AQ399" s="202" t="s">
        <v>1950</v>
      </c>
      <c r="AR399" s="202" t="s">
        <v>1950</v>
      </c>
      <c r="AS399" s="202">
        <v>0</v>
      </c>
      <c r="AT399" s="202">
        <v>2.5</v>
      </c>
      <c r="AU399" s="202">
        <v>0</v>
      </c>
      <c r="AV399" s="202">
        <v>0.5</v>
      </c>
      <c r="AW399"/>
      <c r="AX399"/>
      <c r="AY399"/>
    </row>
    <row r="400" spans="1:51">
      <c r="A400" s="202" t="str">
        <f t="shared" si="28"/>
        <v>张玉龙</v>
      </c>
      <c r="B400" s="202">
        <f>IF(C400&lt;&gt;"NA",C400,VLOOKUP(K400,Update_from_YIFIP!$X$2:$AD$174,7,FALSE))</f>
        <v>11</v>
      </c>
      <c r="C400" s="207" t="str">
        <f t="shared" si="25"/>
        <v>NA</v>
      </c>
      <c r="D400" s="207" t="str">
        <f t="shared" si="26"/>
        <v>NA</v>
      </c>
      <c r="E400" s="202" t="s">
        <v>2410</v>
      </c>
      <c r="F400" s="202" t="s">
        <v>2413</v>
      </c>
      <c r="G400" s="202" t="s">
        <v>2414</v>
      </c>
      <c r="H400" s="207" t="str">
        <f t="shared" si="27"/>
        <v>NA</v>
      </c>
      <c r="I400" s="202" t="s">
        <v>1929</v>
      </c>
      <c r="J400" s="202" t="s">
        <v>2411</v>
      </c>
      <c r="K400" s="202" t="s">
        <v>2415</v>
      </c>
      <c r="L400" s="202" t="s">
        <v>1287</v>
      </c>
      <c r="M400" s="202">
        <v>3</v>
      </c>
      <c r="N400" s="202">
        <v>0</v>
      </c>
      <c r="O400" s="202">
        <v>11</v>
      </c>
      <c r="P400" s="202">
        <v>4</v>
      </c>
      <c r="Q400" s="202">
        <v>4</v>
      </c>
      <c r="R400" s="202">
        <v>3</v>
      </c>
      <c r="S400" s="202">
        <v>0</v>
      </c>
      <c r="T400" s="202">
        <v>0</v>
      </c>
      <c r="U400" s="202">
        <v>0</v>
      </c>
      <c r="V400" s="202">
        <v>0</v>
      </c>
      <c r="W400" s="202">
        <v>0</v>
      </c>
      <c r="X400" s="202">
        <v>0</v>
      </c>
      <c r="Y400" s="202">
        <v>0</v>
      </c>
      <c r="Z400" s="202">
        <v>0</v>
      </c>
      <c r="AA400" s="202">
        <v>0</v>
      </c>
      <c r="AB400" s="202">
        <v>0</v>
      </c>
      <c r="AC400" s="202">
        <v>0</v>
      </c>
      <c r="AD400" s="202">
        <v>0</v>
      </c>
      <c r="AE400" s="202">
        <v>0</v>
      </c>
      <c r="AF400" s="202">
        <v>0</v>
      </c>
      <c r="AG400" s="202">
        <v>0</v>
      </c>
      <c r="AH400" s="202">
        <v>0</v>
      </c>
      <c r="AI400" s="202">
        <v>0</v>
      </c>
      <c r="AJ400" s="202">
        <v>0</v>
      </c>
      <c r="AK400" s="202">
        <v>0</v>
      </c>
      <c r="AL400" s="202">
        <v>0</v>
      </c>
      <c r="AM400" s="202">
        <v>0</v>
      </c>
      <c r="AN400" s="202">
        <v>0</v>
      </c>
      <c r="AO400" s="202">
        <v>0</v>
      </c>
      <c r="AP400" s="202">
        <v>0</v>
      </c>
      <c r="AQ400" s="202" t="s">
        <v>2014</v>
      </c>
      <c r="AR400" s="202" t="s">
        <v>2014</v>
      </c>
      <c r="AS400" s="202">
        <v>0</v>
      </c>
      <c r="AT400" s="202">
        <v>2</v>
      </c>
      <c r="AU400" s="202">
        <v>0</v>
      </c>
      <c r="AV400" s="202">
        <v>0.4</v>
      </c>
      <c r="AW400"/>
      <c r="AX400"/>
      <c r="AY400"/>
    </row>
    <row r="401" spans="1:51">
      <c r="A401" s="202" t="str">
        <f t="shared" si="28"/>
        <v>张玉龙</v>
      </c>
      <c r="B401" s="202" t="str">
        <f>IF(C401&lt;&gt;"NA",C401,VLOOKUP(K401,Update_from_YIFIP!$X$2:$AD$174,7,FALSE))</f>
        <v>NA</v>
      </c>
      <c r="C401" s="207" t="str">
        <f t="shared" si="25"/>
        <v>NA</v>
      </c>
      <c r="D401" s="207" t="str">
        <f t="shared" si="26"/>
        <v>NA</v>
      </c>
      <c r="E401" s="202" t="s">
        <v>2410</v>
      </c>
      <c r="F401" s="202" t="s">
        <v>2413</v>
      </c>
      <c r="G401" s="202" t="s">
        <v>2414</v>
      </c>
      <c r="H401" s="207" t="str">
        <f t="shared" si="27"/>
        <v>NA</v>
      </c>
      <c r="I401" s="202" t="s">
        <v>1929</v>
      </c>
      <c r="J401" s="202" t="s">
        <v>2416</v>
      </c>
      <c r="K401" s="202" t="s">
        <v>2417</v>
      </c>
      <c r="L401" s="202" t="s">
        <v>1288</v>
      </c>
      <c r="M401" s="202">
        <v>6</v>
      </c>
      <c r="N401" s="202">
        <v>0</v>
      </c>
      <c r="O401" s="202">
        <v>21</v>
      </c>
      <c r="P401" s="202">
        <v>2</v>
      </c>
      <c r="Q401" s="202">
        <v>4</v>
      </c>
      <c r="R401" s="202">
        <v>1</v>
      </c>
      <c r="S401" s="202">
        <v>4</v>
      </c>
      <c r="T401" s="202">
        <v>6</v>
      </c>
      <c r="U401" s="202">
        <v>4</v>
      </c>
      <c r="V401" s="202">
        <v>0</v>
      </c>
      <c r="W401" s="202">
        <v>0</v>
      </c>
      <c r="X401" s="202">
        <v>0</v>
      </c>
      <c r="Y401" s="202">
        <v>0</v>
      </c>
      <c r="Z401" s="202">
        <v>0</v>
      </c>
      <c r="AA401" s="202">
        <v>0</v>
      </c>
      <c r="AB401" s="202">
        <v>0</v>
      </c>
      <c r="AC401" s="202">
        <v>0</v>
      </c>
      <c r="AD401" s="202">
        <v>0</v>
      </c>
      <c r="AE401" s="202">
        <v>0</v>
      </c>
      <c r="AF401" s="202">
        <v>0</v>
      </c>
      <c r="AG401" s="202">
        <v>0</v>
      </c>
      <c r="AH401" s="202">
        <v>0</v>
      </c>
      <c r="AI401" s="202">
        <v>0</v>
      </c>
      <c r="AJ401" s="202">
        <v>0</v>
      </c>
      <c r="AK401" s="202">
        <v>0</v>
      </c>
      <c r="AL401" s="202">
        <v>0</v>
      </c>
      <c r="AM401" s="202">
        <v>0</v>
      </c>
      <c r="AN401" s="202">
        <v>0</v>
      </c>
      <c r="AO401" s="202">
        <v>0</v>
      </c>
      <c r="AP401" s="202">
        <v>0</v>
      </c>
      <c r="AQ401" s="202" t="s">
        <v>1991</v>
      </c>
      <c r="AR401" s="202" t="s">
        <v>1991</v>
      </c>
      <c r="AS401" s="202">
        <v>0</v>
      </c>
      <c r="AT401" s="202">
        <v>4</v>
      </c>
      <c r="AU401" s="202">
        <v>0</v>
      </c>
      <c r="AV401" s="202">
        <v>0.8</v>
      </c>
      <c r="AW401"/>
      <c r="AX401"/>
      <c r="AY401"/>
    </row>
    <row r="402" spans="1:51">
      <c r="A402" s="202" t="str">
        <f t="shared" si="28"/>
        <v>张玉龙</v>
      </c>
      <c r="B402" s="202">
        <f>IF(C402&lt;&gt;"NA",C402,VLOOKUP(K402,Update_from_YIFIP!$X$2:$AD$174,7,FALSE))</f>
        <v>11</v>
      </c>
      <c r="C402" s="207" t="str">
        <f t="shared" si="25"/>
        <v>NA</v>
      </c>
      <c r="D402" s="207" t="str">
        <f t="shared" si="26"/>
        <v>NA</v>
      </c>
      <c r="E402" s="202" t="s">
        <v>2410</v>
      </c>
      <c r="F402" s="202" t="s">
        <v>2413</v>
      </c>
      <c r="G402" s="202" t="s">
        <v>2414</v>
      </c>
      <c r="H402" s="207" t="str">
        <f t="shared" si="27"/>
        <v>NA</v>
      </c>
      <c r="I402" s="202" t="s">
        <v>1929</v>
      </c>
      <c r="J402" s="202" t="s">
        <v>2411</v>
      </c>
      <c r="K402" s="202" t="s">
        <v>2418</v>
      </c>
      <c r="L402" s="202" t="s">
        <v>1289</v>
      </c>
      <c r="M402" s="202">
        <v>5</v>
      </c>
      <c r="N402" s="202">
        <v>0</v>
      </c>
      <c r="O402" s="202">
        <v>18</v>
      </c>
      <c r="P402" s="202">
        <v>2</v>
      </c>
      <c r="Q402" s="202">
        <v>4</v>
      </c>
      <c r="R402" s="202">
        <v>3</v>
      </c>
      <c r="S402" s="202">
        <v>3</v>
      </c>
      <c r="T402" s="202">
        <v>6</v>
      </c>
      <c r="U402" s="202">
        <v>0</v>
      </c>
      <c r="V402" s="202">
        <v>0</v>
      </c>
      <c r="W402" s="202">
        <v>0</v>
      </c>
      <c r="X402" s="202">
        <v>0</v>
      </c>
      <c r="Y402" s="202">
        <v>0</v>
      </c>
      <c r="Z402" s="202">
        <v>0</v>
      </c>
      <c r="AA402" s="202">
        <v>0</v>
      </c>
      <c r="AB402" s="202">
        <v>0</v>
      </c>
      <c r="AC402" s="202">
        <v>0</v>
      </c>
      <c r="AD402" s="202">
        <v>0</v>
      </c>
      <c r="AE402" s="202">
        <v>0</v>
      </c>
      <c r="AF402" s="202">
        <v>0</v>
      </c>
      <c r="AG402" s="202">
        <v>0</v>
      </c>
      <c r="AH402" s="202">
        <v>0</v>
      </c>
      <c r="AI402" s="202">
        <v>0</v>
      </c>
      <c r="AJ402" s="202">
        <v>0</v>
      </c>
      <c r="AK402" s="202">
        <v>0</v>
      </c>
      <c r="AL402" s="202">
        <v>0</v>
      </c>
      <c r="AM402" s="202">
        <v>0</v>
      </c>
      <c r="AN402" s="202">
        <v>0</v>
      </c>
      <c r="AO402" s="202">
        <v>0</v>
      </c>
      <c r="AP402" s="202">
        <v>0</v>
      </c>
      <c r="AQ402" s="202" t="s">
        <v>2000</v>
      </c>
      <c r="AR402" s="202" t="s">
        <v>2000</v>
      </c>
      <c r="AS402" s="202">
        <v>0</v>
      </c>
      <c r="AT402" s="202">
        <v>5</v>
      </c>
      <c r="AU402" s="202">
        <v>0</v>
      </c>
      <c r="AV402" s="202">
        <v>1</v>
      </c>
      <c r="AW402"/>
      <c r="AX402"/>
      <c r="AY402"/>
    </row>
    <row r="403" spans="1:51">
      <c r="A403" s="202" t="str">
        <f t="shared" si="28"/>
        <v>王开宽&amp;王开润</v>
      </c>
      <c r="B403" s="202">
        <f>IF(C403&lt;&gt;"NA",C403,VLOOKUP(K403,Update_from_YIFIP!$X$2:$AD$174,7,FALSE))</f>
        <v>8</v>
      </c>
      <c r="C403" s="207" t="str">
        <f t="shared" si="25"/>
        <v>NA</v>
      </c>
      <c r="D403" s="207" t="str">
        <f t="shared" si="26"/>
        <v>NA</v>
      </c>
      <c r="E403" s="202" t="s">
        <v>3176</v>
      </c>
      <c r="F403" s="202" t="s">
        <v>2434</v>
      </c>
      <c r="G403" s="202" t="s">
        <v>2435</v>
      </c>
      <c r="H403" s="207" t="str">
        <f t="shared" si="27"/>
        <v>NA</v>
      </c>
      <c r="I403" s="202" t="s">
        <v>3177</v>
      </c>
      <c r="J403" s="202" t="s">
        <v>2210</v>
      </c>
      <c r="K403" s="202" t="s">
        <v>2432</v>
      </c>
      <c r="L403" s="202" t="s">
        <v>1299</v>
      </c>
      <c r="M403" s="202">
        <v>9</v>
      </c>
      <c r="N403" s="202">
        <v>0</v>
      </c>
      <c r="O403" s="202">
        <v>216</v>
      </c>
      <c r="P403" s="202">
        <v>26</v>
      </c>
      <c r="Q403" s="202">
        <v>10</v>
      </c>
      <c r="R403" s="202">
        <v>14</v>
      </c>
      <c r="S403" s="202">
        <v>26</v>
      </c>
      <c r="T403" s="202">
        <v>27</v>
      </c>
      <c r="U403" s="202">
        <v>32</v>
      </c>
      <c r="V403" s="202">
        <v>16</v>
      </c>
      <c r="W403" s="202">
        <v>29</v>
      </c>
      <c r="X403" s="202">
        <v>36</v>
      </c>
      <c r="Y403" s="202">
        <v>0</v>
      </c>
      <c r="Z403" s="202">
        <v>0</v>
      </c>
      <c r="AA403" s="202">
        <v>0</v>
      </c>
      <c r="AB403" s="202">
        <v>0</v>
      </c>
      <c r="AC403" s="202">
        <v>0</v>
      </c>
      <c r="AD403" s="202">
        <v>0</v>
      </c>
      <c r="AE403" s="202">
        <v>0</v>
      </c>
      <c r="AF403" s="202">
        <v>0</v>
      </c>
      <c r="AG403" s="202">
        <v>0</v>
      </c>
      <c r="AH403" s="202">
        <v>0</v>
      </c>
      <c r="AI403" s="202">
        <v>0</v>
      </c>
      <c r="AJ403" s="202">
        <v>0</v>
      </c>
      <c r="AK403" s="202">
        <v>0</v>
      </c>
      <c r="AL403" s="202">
        <v>0</v>
      </c>
      <c r="AM403" s="202">
        <v>0</v>
      </c>
      <c r="AN403" s="202">
        <v>0</v>
      </c>
      <c r="AO403" s="202">
        <v>0</v>
      </c>
      <c r="AP403" s="202">
        <v>0</v>
      </c>
      <c r="AQ403" s="202" t="s">
        <v>1946</v>
      </c>
      <c r="AR403" s="202" t="s">
        <v>1946</v>
      </c>
      <c r="AS403" s="202">
        <v>0</v>
      </c>
      <c r="AT403" s="202">
        <v>37.5</v>
      </c>
      <c r="AU403" s="202" t="s">
        <v>2433</v>
      </c>
      <c r="AV403" s="202">
        <v>7.5</v>
      </c>
      <c r="AW403"/>
      <c r="AX403"/>
      <c r="AY403"/>
    </row>
    <row r="404" spans="1:51">
      <c r="A404" s="202" t="str">
        <f t="shared" si="28"/>
        <v>王开宽&amp;王开润</v>
      </c>
      <c r="B404" s="202">
        <f>IF(C404&lt;&gt;"NA",C404,VLOOKUP(K404,Update_from_YIFIP!$X$2:$AD$174,7,FALSE))</f>
        <v>8</v>
      </c>
      <c r="C404" s="207" t="str">
        <f t="shared" si="25"/>
        <v>NA</v>
      </c>
      <c r="D404" s="207" t="str">
        <f t="shared" si="26"/>
        <v>NA</v>
      </c>
      <c r="E404" s="202" t="s">
        <v>3176</v>
      </c>
      <c r="F404" s="202" t="s">
        <v>2434</v>
      </c>
      <c r="G404" s="202" t="s">
        <v>2435</v>
      </c>
      <c r="H404" s="207" t="str">
        <f t="shared" si="27"/>
        <v>NA</v>
      </c>
      <c r="I404" s="202" t="s">
        <v>3177</v>
      </c>
      <c r="J404" s="202" t="s">
        <v>2210</v>
      </c>
      <c r="K404" s="202" t="s">
        <v>2436</v>
      </c>
      <c r="L404" s="202" t="s">
        <v>1300</v>
      </c>
      <c r="M404" s="202">
        <v>9</v>
      </c>
      <c r="N404" s="202">
        <v>0</v>
      </c>
      <c r="O404" s="202">
        <v>253</v>
      </c>
      <c r="P404" s="202">
        <v>21</v>
      </c>
      <c r="Q404" s="202">
        <v>37</v>
      </c>
      <c r="R404" s="202">
        <v>34</v>
      </c>
      <c r="S404" s="202">
        <v>27</v>
      </c>
      <c r="T404" s="202">
        <v>18</v>
      </c>
      <c r="U404" s="202">
        <v>25</v>
      </c>
      <c r="V404" s="202">
        <v>35</v>
      </c>
      <c r="W404" s="202">
        <v>26</v>
      </c>
      <c r="X404" s="202">
        <v>30</v>
      </c>
      <c r="Y404" s="202">
        <v>0</v>
      </c>
      <c r="Z404" s="202">
        <v>0</v>
      </c>
      <c r="AA404" s="202">
        <v>0</v>
      </c>
      <c r="AB404" s="202">
        <v>0</v>
      </c>
      <c r="AC404" s="202">
        <v>0</v>
      </c>
      <c r="AD404" s="202">
        <v>0</v>
      </c>
      <c r="AE404" s="202">
        <v>0</v>
      </c>
      <c r="AF404" s="202">
        <v>0</v>
      </c>
      <c r="AG404" s="202">
        <v>0</v>
      </c>
      <c r="AH404" s="202">
        <v>0</v>
      </c>
      <c r="AI404" s="202">
        <v>0</v>
      </c>
      <c r="AJ404" s="202">
        <v>0</v>
      </c>
      <c r="AK404" s="202">
        <v>0</v>
      </c>
      <c r="AL404" s="202">
        <v>0</v>
      </c>
      <c r="AM404" s="202">
        <v>0</v>
      </c>
      <c r="AN404" s="202">
        <v>0</v>
      </c>
      <c r="AO404" s="202">
        <v>0</v>
      </c>
      <c r="AP404" s="202">
        <v>0</v>
      </c>
      <c r="AQ404" s="202" t="s">
        <v>1982</v>
      </c>
      <c r="AR404" s="202" t="s">
        <v>1982</v>
      </c>
      <c r="AS404" s="202">
        <v>0</v>
      </c>
      <c r="AT404" s="202">
        <v>50</v>
      </c>
      <c r="AU404" s="202" t="s">
        <v>2437</v>
      </c>
      <c r="AV404" s="202">
        <v>10</v>
      </c>
      <c r="AW404"/>
      <c r="AX404"/>
      <c r="AY404"/>
    </row>
    <row r="405" spans="1:51">
      <c r="A405" s="202" t="str">
        <f t="shared" si="28"/>
        <v>王开宽&amp;王开润</v>
      </c>
      <c r="B405" s="202">
        <f>IF(C405&lt;&gt;"NA",C405,VLOOKUP(K405,Update_from_YIFIP!$X$2:$AD$174,7,FALSE))</f>
        <v>8</v>
      </c>
      <c r="C405" s="207" t="str">
        <f t="shared" si="25"/>
        <v>NA</v>
      </c>
      <c r="D405" s="207" t="str">
        <f t="shared" si="26"/>
        <v>NA</v>
      </c>
      <c r="E405" s="202" t="s">
        <v>3176</v>
      </c>
      <c r="F405" s="202" t="s">
        <v>2434</v>
      </c>
      <c r="G405" s="202" t="s">
        <v>2435</v>
      </c>
      <c r="H405" s="207" t="str">
        <f t="shared" si="27"/>
        <v>NA</v>
      </c>
      <c r="I405" s="202" t="s">
        <v>3177</v>
      </c>
      <c r="J405" s="202" t="s">
        <v>2210</v>
      </c>
      <c r="K405" s="202" t="s">
        <v>2438</v>
      </c>
      <c r="L405" s="202" t="s">
        <v>1301</v>
      </c>
      <c r="M405" s="202">
        <v>10</v>
      </c>
      <c r="N405" s="202">
        <v>0</v>
      </c>
      <c r="O405" s="202">
        <v>205</v>
      </c>
      <c r="P405" s="202">
        <v>14</v>
      </c>
      <c r="Q405" s="202">
        <v>16</v>
      </c>
      <c r="R405" s="202">
        <v>21</v>
      </c>
      <c r="S405" s="202">
        <v>22</v>
      </c>
      <c r="T405" s="202">
        <v>18</v>
      </c>
      <c r="U405" s="202">
        <v>27</v>
      </c>
      <c r="V405" s="202">
        <v>19</v>
      </c>
      <c r="W405" s="202">
        <v>26</v>
      </c>
      <c r="X405" s="202">
        <v>21</v>
      </c>
      <c r="Y405" s="202">
        <v>21</v>
      </c>
      <c r="Z405" s="202">
        <v>0</v>
      </c>
      <c r="AA405" s="202">
        <v>0</v>
      </c>
      <c r="AB405" s="202">
        <v>0</v>
      </c>
      <c r="AC405" s="202">
        <v>0</v>
      </c>
      <c r="AD405" s="202">
        <v>0</v>
      </c>
      <c r="AE405" s="202">
        <v>0</v>
      </c>
      <c r="AF405" s="202">
        <v>0</v>
      </c>
      <c r="AG405" s="202">
        <v>0</v>
      </c>
      <c r="AH405" s="202">
        <v>0</v>
      </c>
      <c r="AI405" s="202">
        <v>0</v>
      </c>
      <c r="AJ405" s="202">
        <v>0</v>
      </c>
      <c r="AK405" s="202">
        <v>0</v>
      </c>
      <c r="AL405" s="202">
        <v>0</v>
      </c>
      <c r="AM405" s="202">
        <v>0</v>
      </c>
      <c r="AN405" s="202">
        <v>0</v>
      </c>
      <c r="AO405" s="202">
        <v>0</v>
      </c>
      <c r="AP405" s="202">
        <v>0</v>
      </c>
      <c r="AQ405" s="202" t="s">
        <v>1983</v>
      </c>
      <c r="AR405" s="202" t="s">
        <v>1983</v>
      </c>
      <c r="AS405" s="202">
        <v>0</v>
      </c>
      <c r="AT405" s="202">
        <v>57.5</v>
      </c>
      <c r="AU405" s="202" t="s">
        <v>2439</v>
      </c>
      <c r="AV405" s="202">
        <v>11.5</v>
      </c>
      <c r="AW405"/>
      <c r="AX405"/>
      <c r="AY405"/>
    </row>
    <row r="406" spans="1:51">
      <c r="A406" s="202" t="str">
        <f t="shared" si="28"/>
        <v>王开宽&amp;王开润</v>
      </c>
      <c r="B406" s="202">
        <f>IF(C406&lt;&gt;"NA",C406,VLOOKUP(K406,Update_from_YIFIP!$X$2:$AD$174,7,FALSE))</f>
        <v>9</v>
      </c>
      <c r="C406" s="207" t="str">
        <f t="shared" si="25"/>
        <v>NA</v>
      </c>
      <c r="D406" s="207" t="str">
        <f t="shared" si="26"/>
        <v>NA</v>
      </c>
      <c r="E406" s="202" t="s">
        <v>3176</v>
      </c>
      <c r="F406" s="202" t="s">
        <v>2434</v>
      </c>
      <c r="G406" s="202" t="s">
        <v>2435</v>
      </c>
      <c r="H406" s="207" t="str">
        <f t="shared" si="27"/>
        <v>NA</v>
      </c>
      <c r="I406" s="202" t="s">
        <v>3177</v>
      </c>
      <c r="J406" s="202" t="s">
        <v>2210</v>
      </c>
      <c r="K406" s="202" t="s">
        <v>2440</v>
      </c>
      <c r="L406" s="202" t="s">
        <v>1302</v>
      </c>
      <c r="M406" s="202">
        <v>10</v>
      </c>
      <c r="N406" s="202">
        <v>0</v>
      </c>
      <c r="O406" s="202">
        <v>201</v>
      </c>
      <c r="P406" s="202">
        <v>15</v>
      </c>
      <c r="Q406" s="202">
        <v>23</v>
      </c>
      <c r="R406" s="202">
        <v>23</v>
      </c>
      <c r="S406" s="202">
        <v>14</v>
      </c>
      <c r="T406" s="202">
        <v>22</v>
      </c>
      <c r="U406" s="202">
        <v>26</v>
      </c>
      <c r="V406" s="202">
        <v>21</v>
      </c>
      <c r="W406" s="202">
        <v>28</v>
      </c>
      <c r="X406" s="202">
        <v>10</v>
      </c>
      <c r="Y406" s="202">
        <v>19</v>
      </c>
      <c r="Z406" s="202">
        <v>0</v>
      </c>
      <c r="AA406" s="202">
        <v>0</v>
      </c>
      <c r="AB406" s="202">
        <v>0</v>
      </c>
      <c r="AC406" s="202">
        <v>0</v>
      </c>
      <c r="AD406" s="202">
        <v>0</v>
      </c>
      <c r="AE406" s="202">
        <v>0</v>
      </c>
      <c r="AF406" s="202">
        <v>0</v>
      </c>
      <c r="AG406" s="202">
        <v>0</v>
      </c>
      <c r="AH406" s="202">
        <v>0</v>
      </c>
      <c r="AI406" s="202">
        <v>0</v>
      </c>
      <c r="AJ406" s="202">
        <v>0</v>
      </c>
      <c r="AK406" s="202">
        <v>0</v>
      </c>
      <c r="AL406" s="202">
        <v>0</v>
      </c>
      <c r="AM406" s="202">
        <v>0</v>
      </c>
      <c r="AN406" s="202">
        <v>0</v>
      </c>
      <c r="AO406" s="202">
        <v>0</v>
      </c>
      <c r="AP406" s="202">
        <v>0</v>
      </c>
      <c r="AQ406" s="202" t="s">
        <v>1984</v>
      </c>
      <c r="AR406" s="202" t="s">
        <v>1984</v>
      </c>
      <c r="AS406" s="202">
        <v>0</v>
      </c>
      <c r="AT406" s="202">
        <v>52.5</v>
      </c>
      <c r="AU406" s="202" t="s">
        <v>2441</v>
      </c>
      <c r="AV406" s="202">
        <v>10.5</v>
      </c>
      <c r="AW406"/>
      <c r="AX406"/>
      <c r="AY406"/>
    </row>
    <row r="407" spans="1:51">
      <c r="A407" s="202" t="str">
        <f t="shared" si="28"/>
        <v>王开宽&amp;王开润</v>
      </c>
      <c r="B407" s="202" t="str">
        <f>IF(C407&lt;&gt;"NA",C407,VLOOKUP(K407,Update_from_YIFIP!$X$2:$AD$174,7,FALSE))</f>
        <v>NA</v>
      </c>
      <c r="C407" s="207" t="str">
        <f t="shared" si="25"/>
        <v>NA</v>
      </c>
      <c r="D407" s="207" t="str">
        <f t="shared" si="26"/>
        <v>NA</v>
      </c>
      <c r="E407" s="202" t="s">
        <v>3176</v>
      </c>
      <c r="F407" s="202" t="s">
        <v>2434</v>
      </c>
      <c r="G407" s="202" t="s">
        <v>2435</v>
      </c>
      <c r="H407" s="207" t="str">
        <f t="shared" si="27"/>
        <v>NA</v>
      </c>
      <c r="I407" s="202" t="s">
        <v>3177</v>
      </c>
      <c r="J407" s="202" t="s">
        <v>2442</v>
      </c>
      <c r="K407" s="202" t="s">
        <v>2443</v>
      </c>
      <c r="L407" s="202" t="s">
        <v>1303</v>
      </c>
      <c r="M407" s="202">
        <v>0</v>
      </c>
      <c r="N407" s="202">
        <v>1</v>
      </c>
      <c r="O407" s="202">
        <v>2</v>
      </c>
      <c r="P407" s="202">
        <v>2</v>
      </c>
      <c r="Q407" s="202">
        <v>0</v>
      </c>
      <c r="R407" s="202">
        <v>0</v>
      </c>
      <c r="S407" s="202">
        <v>0</v>
      </c>
      <c r="T407" s="202">
        <v>0</v>
      </c>
      <c r="U407" s="202">
        <v>0</v>
      </c>
      <c r="V407" s="202">
        <v>0</v>
      </c>
      <c r="W407" s="202">
        <v>0</v>
      </c>
      <c r="X407" s="202">
        <v>0</v>
      </c>
      <c r="Y407" s="202">
        <v>0</v>
      </c>
      <c r="Z407" s="202">
        <v>0</v>
      </c>
      <c r="AA407" s="202">
        <v>0</v>
      </c>
      <c r="AB407" s="202">
        <v>0</v>
      </c>
      <c r="AC407" s="202">
        <v>0</v>
      </c>
      <c r="AD407" s="202">
        <v>0</v>
      </c>
      <c r="AE407" s="202">
        <v>0</v>
      </c>
      <c r="AF407" s="202">
        <v>0</v>
      </c>
      <c r="AG407" s="202">
        <v>0</v>
      </c>
      <c r="AH407" s="202">
        <v>0</v>
      </c>
      <c r="AI407" s="202">
        <v>0</v>
      </c>
      <c r="AJ407" s="202">
        <v>0</v>
      </c>
      <c r="AK407" s="202">
        <v>0</v>
      </c>
      <c r="AL407" s="202">
        <v>0</v>
      </c>
      <c r="AM407" s="202">
        <v>0</v>
      </c>
      <c r="AN407" s="202">
        <v>0</v>
      </c>
      <c r="AO407" s="202">
        <v>0</v>
      </c>
      <c r="AP407" s="202">
        <v>0</v>
      </c>
      <c r="AQ407" s="202" t="s">
        <v>1972</v>
      </c>
      <c r="AR407" s="202" t="s">
        <v>1972</v>
      </c>
      <c r="AS407" s="202">
        <v>0</v>
      </c>
      <c r="AT407" s="202">
        <v>0.25</v>
      </c>
      <c r="AU407" s="202" t="s">
        <v>2319</v>
      </c>
      <c r="AV407" s="202">
        <v>0.05</v>
      </c>
      <c r="AW407"/>
      <c r="AX407"/>
      <c r="AY407"/>
    </row>
    <row r="408" spans="1:51">
      <c r="A408" s="202" t="str">
        <f t="shared" si="28"/>
        <v>李发新</v>
      </c>
      <c r="B408" s="202" t="str">
        <f>IF(C408&lt;&gt;"NA",C408,VLOOKUP(K408,Update_from_YIFIP!$X$2:$AD$174,7,FALSE))</f>
        <v>NA</v>
      </c>
      <c r="C408" s="207" t="str">
        <f t="shared" si="25"/>
        <v>NA</v>
      </c>
      <c r="D408" s="207" t="str">
        <f t="shared" si="26"/>
        <v>NA</v>
      </c>
      <c r="E408" s="202" t="s">
        <v>2445</v>
      </c>
      <c r="F408" s="202" t="s">
        <v>2448</v>
      </c>
      <c r="G408" s="202" t="s">
        <v>2449</v>
      </c>
      <c r="H408" s="207" t="str">
        <f t="shared" si="27"/>
        <v>NA</v>
      </c>
      <c r="I408" s="202" t="s">
        <v>1929</v>
      </c>
      <c r="J408" s="202" t="s">
        <v>427</v>
      </c>
      <c r="K408" s="202" t="s">
        <v>2447</v>
      </c>
      <c r="L408" s="202" t="s">
        <v>2444</v>
      </c>
      <c r="M408" s="202">
        <v>6</v>
      </c>
      <c r="N408" s="202">
        <v>0</v>
      </c>
      <c r="O408" s="202">
        <v>73</v>
      </c>
      <c r="P408" s="202">
        <v>13</v>
      </c>
      <c r="Q408" s="202">
        <v>12</v>
      </c>
      <c r="R408" s="202">
        <v>15</v>
      </c>
      <c r="S408" s="202">
        <v>8</v>
      </c>
      <c r="T408" s="202">
        <v>14</v>
      </c>
      <c r="U408" s="202">
        <v>11</v>
      </c>
      <c r="V408" s="202">
        <v>0</v>
      </c>
      <c r="W408" s="202">
        <v>0</v>
      </c>
      <c r="X408" s="202">
        <v>0</v>
      </c>
      <c r="Y408" s="202">
        <v>0</v>
      </c>
      <c r="Z408" s="202">
        <v>0</v>
      </c>
      <c r="AA408" s="202">
        <v>0</v>
      </c>
      <c r="AB408" s="202">
        <v>0</v>
      </c>
      <c r="AC408" s="202">
        <v>0</v>
      </c>
      <c r="AD408" s="202">
        <v>0</v>
      </c>
      <c r="AE408" s="202">
        <v>0</v>
      </c>
      <c r="AF408" s="202">
        <v>0</v>
      </c>
      <c r="AG408" s="202">
        <v>0</v>
      </c>
      <c r="AH408" s="202">
        <v>0</v>
      </c>
      <c r="AI408" s="202">
        <v>0</v>
      </c>
      <c r="AJ408" s="202">
        <v>0</v>
      </c>
      <c r="AK408" s="202">
        <v>0</v>
      </c>
      <c r="AL408" s="202">
        <v>0</v>
      </c>
      <c r="AM408" s="202">
        <v>0</v>
      </c>
      <c r="AN408" s="202">
        <v>0</v>
      </c>
      <c r="AO408" s="202">
        <v>0</v>
      </c>
      <c r="AP408" s="202">
        <v>0</v>
      </c>
      <c r="AQ408" s="202" t="s">
        <v>2446</v>
      </c>
      <c r="AR408" s="202">
        <v>0</v>
      </c>
      <c r="AS408" s="202">
        <v>0</v>
      </c>
      <c r="AT408" s="202">
        <v>15</v>
      </c>
      <c r="AU408" s="202">
        <v>0</v>
      </c>
      <c r="AV408" s="202">
        <v>3</v>
      </c>
      <c r="AW408"/>
      <c r="AX408"/>
      <c r="AY408"/>
    </row>
    <row r="409" spans="1:51">
      <c r="A409" s="202" t="str">
        <f t="shared" si="28"/>
        <v>李发新</v>
      </c>
      <c r="B409" s="202" t="str">
        <f>IF(C409&lt;&gt;"NA",C409,VLOOKUP(K409,Update_from_YIFIP!$X$2:$AD$174,7,FALSE))</f>
        <v>NA</v>
      </c>
      <c r="C409" s="207" t="str">
        <f t="shared" si="25"/>
        <v>NA</v>
      </c>
      <c r="D409" s="207" t="str">
        <f t="shared" si="26"/>
        <v>NA</v>
      </c>
      <c r="E409" s="202" t="s">
        <v>2445</v>
      </c>
      <c r="F409" s="202" t="s">
        <v>2448</v>
      </c>
      <c r="G409" s="202" t="s">
        <v>2449</v>
      </c>
      <c r="H409" s="207" t="str">
        <f t="shared" si="27"/>
        <v>NA</v>
      </c>
      <c r="I409" s="202" t="s">
        <v>1929</v>
      </c>
      <c r="J409" s="202" t="s">
        <v>427</v>
      </c>
      <c r="K409" s="202" t="s">
        <v>2450</v>
      </c>
      <c r="L409" s="202" t="s">
        <v>1330</v>
      </c>
      <c r="M409" s="202">
        <v>3</v>
      </c>
      <c r="N409" s="202">
        <v>0</v>
      </c>
      <c r="O409" s="202">
        <v>47</v>
      </c>
      <c r="P409" s="202">
        <v>19</v>
      </c>
      <c r="Q409" s="202">
        <v>14</v>
      </c>
      <c r="R409" s="202">
        <v>14</v>
      </c>
      <c r="S409" s="202">
        <v>0</v>
      </c>
      <c r="T409" s="202">
        <v>0</v>
      </c>
      <c r="U409" s="202">
        <v>0</v>
      </c>
      <c r="V409" s="202">
        <v>0</v>
      </c>
      <c r="W409" s="202">
        <v>0</v>
      </c>
      <c r="X409" s="202">
        <v>0</v>
      </c>
      <c r="Y409" s="202">
        <v>0</v>
      </c>
      <c r="Z409" s="202">
        <v>0</v>
      </c>
      <c r="AA409" s="202">
        <v>0</v>
      </c>
      <c r="AB409" s="202">
        <v>0</v>
      </c>
      <c r="AC409" s="202">
        <v>0</v>
      </c>
      <c r="AD409" s="202">
        <v>0</v>
      </c>
      <c r="AE409" s="202">
        <v>0</v>
      </c>
      <c r="AF409" s="202">
        <v>0</v>
      </c>
      <c r="AG409" s="202">
        <v>0</v>
      </c>
      <c r="AH409" s="202">
        <v>0</v>
      </c>
      <c r="AI409" s="202">
        <v>0</v>
      </c>
      <c r="AJ409" s="202">
        <v>0</v>
      </c>
      <c r="AK409" s="202">
        <v>0</v>
      </c>
      <c r="AL409" s="202">
        <v>0</v>
      </c>
      <c r="AM409" s="202">
        <v>0</v>
      </c>
      <c r="AN409" s="202">
        <v>0</v>
      </c>
      <c r="AO409" s="202">
        <v>0</v>
      </c>
      <c r="AP409" s="202">
        <v>0</v>
      </c>
      <c r="AQ409" s="202" t="s">
        <v>2446</v>
      </c>
      <c r="AR409" s="202">
        <v>0</v>
      </c>
      <c r="AS409" s="202">
        <v>0</v>
      </c>
      <c r="AT409" s="202">
        <v>6</v>
      </c>
      <c r="AU409" s="202">
        <v>0</v>
      </c>
      <c r="AV409" s="202">
        <v>1.2</v>
      </c>
      <c r="AW409"/>
      <c r="AX409"/>
      <c r="AY409"/>
    </row>
    <row r="410" spans="1:51">
      <c r="A410" s="202" t="str">
        <f t="shared" si="28"/>
        <v>李发新</v>
      </c>
      <c r="B410" s="202" t="str">
        <f>IF(C410&lt;&gt;"NA",C410,VLOOKUP(K410,Update_from_YIFIP!$X$2:$AD$174,7,FALSE))</f>
        <v>NA</v>
      </c>
      <c r="C410" s="207" t="str">
        <f t="shared" si="25"/>
        <v>NA</v>
      </c>
      <c r="D410" s="207" t="str">
        <f t="shared" si="26"/>
        <v>NA</v>
      </c>
      <c r="E410" s="202" t="s">
        <v>2445</v>
      </c>
      <c r="F410" s="202" t="s">
        <v>2448</v>
      </c>
      <c r="G410" s="202" t="s">
        <v>2449</v>
      </c>
      <c r="H410" s="207" t="str">
        <f t="shared" si="27"/>
        <v>NA</v>
      </c>
      <c r="I410" s="202" t="s">
        <v>1929</v>
      </c>
      <c r="J410" s="202" t="s">
        <v>427</v>
      </c>
      <c r="K410" s="202" t="s">
        <v>2452</v>
      </c>
      <c r="L410" s="202" t="s">
        <v>1331</v>
      </c>
      <c r="M410" s="202">
        <v>4</v>
      </c>
      <c r="N410" s="202">
        <v>0</v>
      </c>
      <c r="O410" s="202">
        <v>51</v>
      </c>
      <c r="P410" s="202">
        <v>10</v>
      </c>
      <c r="Q410" s="202">
        <v>13</v>
      </c>
      <c r="R410" s="202">
        <v>12</v>
      </c>
      <c r="S410" s="202">
        <v>16</v>
      </c>
      <c r="T410" s="202">
        <v>0</v>
      </c>
      <c r="U410" s="202">
        <v>0</v>
      </c>
      <c r="V410" s="202">
        <v>0</v>
      </c>
      <c r="W410" s="202">
        <v>0</v>
      </c>
      <c r="X410" s="202">
        <v>0</v>
      </c>
      <c r="Y410" s="202">
        <v>0</v>
      </c>
      <c r="Z410" s="202">
        <v>0</v>
      </c>
      <c r="AA410" s="202">
        <v>0</v>
      </c>
      <c r="AB410" s="202">
        <v>0</v>
      </c>
      <c r="AC410" s="202">
        <v>0</v>
      </c>
      <c r="AD410" s="202">
        <v>0</v>
      </c>
      <c r="AE410" s="202">
        <v>0</v>
      </c>
      <c r="AF410" s="202">
        <v>0</v>
      </c>
      <c r="AG410" s="202">
        <v>0</v>
      </c>
      <c r="AH410" s="202">
        <v>0</v>
      </c>
      <c r="AI410" s="202">
        <v>0</v>
      </c>
      <c r="AJ410" s="202">
        <v>0</v>
      </c>
      <c r="AK410" s="202">
        <v>0</v>
      </c>
      <c r="AL410" s="202">
        <v>0</v>
      </c>
      <c r="AM410" s="202">
        <v>0</v>
      </c>
      <c r="AN410" s="202">
        <v>0</v>
      </c>
      <c r="AO410" s="202">
        <v>0</v>
      </c>
      <c r="AP410" s="202">
        <v>0</v>
      </c>
      <c r="AQ410" s="202" t="s">
        <v>2451</v>
      </c>
      <c r="AR410" s="202">
        <v>0</v>
      </c>
      <c r="AS410" s="202">
        <v>0</v>
      </c>
      <c r="AT410" s="202">
        <v>10</v>
      </c>
      <c r="AU410" s="202">
        <v>0</v>
      </c>
      <c r="AV410" s="202">
        <v>2</v>
      </c>
      <c r="AW410"/>
      <c r="AX410"/>
      <c r="AY410"/>
    </row>
    <row r="411" spans="1:51">
      <c r="A411" s="202" t="str">
        <f t="shared" si="28"/>
        <v>李发新</v>
      </c>
      <c r="B411" s="202">
        <f>IF(C411&lt;&gt;"NA",C411,VLOOKUP(K411,Update_from_YIFIP!$X$2:$AD$174,7,FALSE))</f>
        <v>157</v>
      </c>
      <c r="C411" s="207" t="str">
        <f t="shared" si="25"/>
        <v>NA</v>
      </c>
      <c r="D411" s="207" t="str">
        <f t="shared" si="26"/>
        <v>NA</v>
      </c>
      <c r="E411" s="202" t="s">
        <v>2445</v>
      </c>
      <c r="F411" s="202" t="s">
        <v>2448</v>
      </c>
      <c r="G411" s="202" t="s">
        <v>2449</v>
      </c>
      <c r="H411" s="207" t="str">
        <f t="shared" si="27"/>
        <v>NA</v>
      </c>
      <c r="I411" s="202" t="s">
        <v>1929</v>
      </c>
      <c r="J411" s="202" t="s">
        <v>427</v>
      </c>
      <c r="K411" s="202" t="s">
        <v>2453</v>
      </c>
      <c r="L411" s="202" t="s">
        <v>1332</v>
      </c>
      <c r="M411" s="202">
        <v>4</v>
      </c>
      <c r="N411" s="202">
        <v>0</v>
      </c>
      <c r="O411" s="202">
        <v>44</v>
      </c>
      <c r="P411" s="202">
        <v>14</v>
      </c>
      <c r="Q411" s="202">
        <v>15</v>
      </c>
      <c r="R411" s="202">
        <v>8</v>
      </c>
      <c r="S411" s="202">
        <v>7</v>
      </c>
      <c r="T411" s="202">
        <v>0</v>
      </c>
      <c r="U411" s="202">
        <v>0</v>
      </c>
      <c r="V411" s="202">
        <v>0</v>
      </c>
      <c r="W411" s="202">
        <v>0</v>
      </c>
      <c r="X411" s="202">
        <v>0</v>
      </c>
      <c r="Y411" s="202">
        <v>0</v>
      </c>
      <c r="Z411" s="202">
        <v>0</v>
      </c>
      <c r="AA411" s="202">
        <v>0</v>
      </c>
      <c r="AB411" s="202">
        <v>0</v>
      </c>
      <c r="AC411" s="202">
        <v>0</v>
      </c>
      <c r="AD411" s="202">
        <v>0</v>
      </c>
      <c r="AE411" s="202">
        <v>0</v>
      </c>
      <c r="AF411" s="202">
        <v>0</v>
      </c>
      <c r="AG411" s="202">
        <v>0</v>
      </c>
      <c r="AH411" s="202">
        <v>0</v>
      </c>
      <c r="AI411" s="202">
        <v>0</v>
      </c>
      <c r="AJ411" s="202">
        <v>0</v>
      </c>
      <c r="AK411" s="202">
        <v>0</v>
      </c>
      <c r="AL411" s="202">
        <v>0</v>
      </c>
      <c r="AM411" s="202">
        <v>0</v>
      </c>
      <c r="AN411" s="202">
        <v>0</v>
      </c>
      <c r="AO411" s="202">
        <v>0</v>
      </c>
      <c r="AP411" s="202">
        <v>0</v>
      </c>
      <c r="AQ411" s="202" t="s">
        <v>2451</v>
      </c>
      <c r="AR411" s="202">
        <v>0</v>
      </c>
      <c r="AS411" s="202">
        <v>0</v>
      </c>
      <c r="AT411" s="202">
        <v>10</v>
      </c>
      <c r="AU411" s="202">
        <v>0</v>
      </c>
      <c r="AV411" s="202">
        <v>2</v>
      </c>
      <c r="AW411"/>
      <c r="AX411"/>
      <c r="AY411"/>
    </row>
    <row r="412" spans="1:51">
      <c r="A412" s="202" t="str">
        <f t="shared" si="28"/>
        <v>李发新</v>
      </c>
      <c r="B412" s="202" t="str">
        <f>IF(C412&lt;&gt;"NA",C412,VLOOKUP(K412,Update_from_YIFIP!$X$2:$AD$174,7,FALSE))</f>
        <v>NA</v>
      </c>
      <c r="C412" s="207" t="str">
        <f t="shared" si="25"/>
        <v>NA</v>
      </c>
      <c r="D412" s="207" t="str">
        <f t="shared" si="26"/>
        <v>NA</v>
      </c>
      <c r="E412" s="202" t="s">
        <v>2445</v>
      </c>
      <c r="F412" s="202" t="s">
        <v>2448</v>
      </c>
      <c r="G412" s="202" t="s">
        <v>2449</v>
      </c>
      <c r="H412" s="207" t="str">
        <f t="shared" si="27"/>
        <v>NA</v>
      </c>
      <c r="I412" s="202" t="s">
        <v>1929</v>
      </c>
      <c r="J412" s="202" t="s">
        <v>427</v>
      </c>
      <c r="K412" s="202" t="s">
        <v>2455</v>
      </c>
      <c r="L412" s="202" t="s">
        <v>1333</v>
      </c>
      <c r="M412" s="202">
        <v>3</v>
      </c>
      <c r="N412" s="202">
        <v>0</v>
      </c>
      <c r="O412" s="202">
        <v>39</v>
      </c>
      <c r="P412" s="202">
        <v>15</v>
      </c>
      <c r="Q412" s="202">
        <v>9</v>
      </c>
      <c r="R412" s="202">
        <v>15</v>
      </c>
      <c r="S412" s="202">
        <v>0</v>
      </c>
      <c r="T412" s="202">
        <v>0</v>
      </c>
      <c r="U412" s="202">
        <v>0</v>
      </c>
      <c r="V412" s="202">
        <v>0</v>
      </c>
      <c r="W412" s="202">
        <v>0</v>
      </c>
      <c r="X412" s="202">
        <v>0</v>
      </c>
      <c r="Y412" s="202">
        <v>0</v>
      </c>
      <c r="Z412" s="202">
        <v>0</v>
      </c>
      <c r="AA412" s="202">
        <v>0</v>
      </c>
      <c r="AB412" s="202">
        <v>0</v>
      </c>
      <c r="AC412" s="202">
        <v>0</v>
      </c>
      <c r="AD412" s="202">
        <v>0</v>
      </c>
      <c r="AE412" s="202">
        <v>0</v>
      </c>
      <c r="AF412" s="202">
        <v>0</v>
      </c>
      <c r="AG412" s="202">
        <v>0</v>
      </c>
      <c r="AH412" s="202">
        <v>0</v>
      </c>
      <c r="AI412" s="202">
        <v>0</v>
      </c>
      <c r="AJ412" s="202">
        <v>0</v>
      </c>
      <c r="AK412" s="202">
        <v>0</v>
      </c>
      <c r="AL412" s="202">
        <v>0</v>
      </c>
      <c r="AM412" s="202">
        <v>0</v>
      </c>
      <c r="AN412" s="202">
        <v>0</v>
      </c>
      <c r="AO412" s="202">
        <v>0</v>
      </c>
      <c r="AP412" s="202">
        <v>0</v>
      </c>
      <c r="AQ412" s="202" t="s">
        <v>2454</v>
      </c>
      <c r="AR412" s="202">
        <v>0</v>
      </c>
      <c r="AS412" s="202">
        <v>0</v>
      </c>
      <c r="AT412" s="202">
        <v>7.5</v>
      </c>
      <c r="AU412" s="202">
        <v>0</v>
      </c>
      <c r="AV412" s="202">
        <v>1.5</v>
      </c>
      <c r="AW412"/>
      <c r="AX412"/>
      <c r="AY412"/>
    </row>
    <row r="413" spans="1:51">
      <c r="A413" s="202" t="str">
        <f t="shared" si="28"/>
        <v>李发新</v>
      </c>
      <c r="B413" s="202">
        <f>IF(C413&lt;&gt;"NA",C413,VLOOKUP(K413,Update_from_YIFIP!$X$2:$AD$174,7,FALSE))</f>
        <v>144</v>
      </c>
      <c r="C413" s="207" t="str">
        <f t="shared" si="25"/>
        <v>NA</v>
      </c>
      <c r="D413" s="207" t="str">
        <f t="shared" si="26"/>
        <v>NA</v>
      </c>
      <c r="E413" s="202" t="s">
        <v>2445</v>
      </c>
      <c r="F413" s="202" t="s">
        <v>2448</v>
      </c>
      <c r="G413" s="202" t="s">
        <v>2449</v>
      </c>
      <c r="H413" s="207" t="str">
        <f t="shared" si="27"/>
        <v>NA</v>
      </c>
      <c r="I413" s="202" t="s">
        <v>1929</v>
      </c>
      <c r="J413" s="202" t="s">
        <v>427</v>
      </c>
      <c r="K413" s="202" t="s">
        <v>2457</v>
      </c>
      <c r="L413" s="202" t="s">
        <v>1334</v>
      </c>
      <c r="M413" s="202">
        <v>3</v>
      </c>
      <c r="N413" s="202">
        <v>0</v>
      </c>
      <c r="O413" s="202">
        <v>59</v>
      </c>
      <c r="P413" s="202">
        <v>22</v>
      </c>
      <c r="Q413" s="202">
        <v>25</v>
      </c>
      <c r="R413" s="202">
        <v>12</v>
      </c>
      <c r="S413" s="202">
        <v>0</v>
      </c>
      <c r="T413" s="202">
        <v>0</v>
      </c>
      <c r="U413" s="202">
        <v>0</v>
      </c>
      <c r="V413" s="202">
        <v>0</v>
      </c>
      <c r="W413" s="202">
        <v>0</v>
      </c>
      <c r="X413" s="202">
        <v>0</v>
      </c>
      <c r="Y413" s="202">
        <v>0</v>
      </c>
      <c r="Z413" s="202">
        <v>0</v>
      </c>
      <c r="AA413" s="202">
        <v>0</v>
      </c>
      <c r="AB413" s="202">
        <v>0</v>
      </c>
      <c r="AC413" s="202">
        <v>0</v>
      </c>
      <c r="AD413" s="202">
        <v>0</v>
      </c>
      <c r="AE413" s="202">
        <v>0</v>
      </c>
      <c r="AF413" s="202">
        <v>0</v>
      </c>
      <c r="AG413" s="202">
        <v>0</v>
      </c>
      <c r="AH413" s="202">
        <v>0</v>
      </c>
      <c r="AI413" s="202">
        <v>0</v>
      </c>
      <c r="AJ413" s="202">
        <v>0</v>
      </c>
      <c r="AK413" s="202">
        <v>0</v>
      </c>
      <c r="AL413" s="202">
        <v>0</v>
      </c>
      <c r="AM413" s="202">
        <v>0</v>
      </c>
      <c r="AN413" s="202">
        <v>0</v>
      </c>
      <c r="AO413" s="202">
        <v>0</v>
      </c>
      <c r="AP413" s="202">
        <v>0</v>
      </c>
      <c r="AQ413" s="202" t="s">
        <v>2456</v>
      </c>
      <c r="AR413" s="202">
        <v>0</v>
      </c>
      <c r="AS413" s="202">
        <v>0</v>
      </c>
      <c r="AT413" s="202">
        <v>10</v>
      </c>
      <c r="AU413" s="202">
        <v>0</v>
      </c>
      <c r="AV413" s="202">
        <v>2</v>
      </c>
      <c r="AW413"/>
      <c r="AX413"/>
      <c r="AY413"/>
    </row>
    <row r="414" spans="1:51">
      <c r="A414" s="202" t="str">
        <f t="shared" si="28"/>
        <v>李发新</v>
      </c>
      <c r="B414" s="202">
        <f>IF(C414&lt;&gt;"NA",C414,VLOOKUP(K414,Update_from_YIFIP!$X$2:$AD$174,7,FALSE))</f>
        <v>143</v>
      </c>
      <c r="C414" s="207" t="str">
        <f t="shared" si="25"/>
        <v>NA</v>
      </c>
      <c r="D414" s="207" t="str">
        <f t="shared" si="26"/>
        <v>NA</v>
      </c>
      <c r="E414" s="202" t="s">
        <v>2445</v>
      </c>
      <c r="F414" s="202" t="s">
        <v>2448</v>
      </c>
      <c r="G414" s="202" t="s">
        <v>2449</v>
      </c>
      <c r="H414" s="207" t="str">
        <f t="shared" si="27"/>
        <v>NA</v>
      </c>
      <c r="I414" s="202" t="s">
        <v>1929</v>
      </c>
      <c r="J414" s="202" t="s">
        <v>427</v>
      </c>
      <c r="K414" s="202" t="s">
        <v>2458</v>
      </c>
      <c r="L414" s="202" t="s">
        <v>1335</v>
      </c>
      <c r="M414" s="202">
        <v>2</v>
      </c>
      <c r="N414" s="202">
        <v>0</v>
      </c>
      <c r="O414" s="202">
        <v>23</v>
      </c>
      <c r="P414" s="202">
        <v>8</v>
      </c>
      <c r="Q414" s="202">
        <v>15</v>
      </c>
      <c r="R414" s="202">
        <v>0</v>
      </c>
      <c r="S414" s="202">
        <v>0</v>
      </c>
      <c r="T414" s="202">
        <v>0</v>
      </c>
      <c r="U414" s="202">
        <v>0</v>
      </c>
      <c r="V414" s="202">
        <v>0</v>
      </c>
      <c r="W414" s="202">
        <v>0</v>
      </c>
      <c r="X414" s="202">
        <v>0</v>
      </c>
      <c r="Y414" s="202">
        <v>0</v>
      </c>
      <c r="Z414" s="202">
        <v>0</v>
      </c>
      <c r="AA414" s="202">
        <v>0</v>
      </c>
      <c r="AB414" s="202">
        <v>0</v>
      </c>
      <c r="AC414" s="202">
        <v>0</v>
      </c>
      <c r="AD414" s="202">
        <v>0</v>
      </c>
      <c r="AE414" s="202">
        <v>0</v>
      </c>
      <c r="AF414" s="202">
        <v>0</v>
      </c>
      <c r="AG414" s="202">
        <v>0</v>
      </c>
      <c r="AH414" s="202">
        <v>0</v>
      </c>
      <c r="AI414" s="202">
        <v>0</v>
      </c>
      <c r="AJ414" s="202">
        <v>0</v>
      </c>
      <c r="AK414" s="202">
        <v>0</v>
      </c>
      <c r="AL414" s="202">
        <v>0</v>
      </c>
      <c r="AM414" s="202">
        <v>0</v>
      </c>
      <c r="AN414" s="202">
        <v>0</v>
      </c>
      <c r="AO414" s="202">
        <v>0</v>
      </c>
      <c r="AP414" s="202">
        <v>0</v>
      </c>
      <c r="AQ414" s="202" t="s">
        <v>2456</v>
      </c>
      <c r="AR414" s="202">
        <v>0</v>
      </c>
      <c r="AS414" s="202">
        <v>0</v>
      </c>
      <c r="AT414" s="202">
        <v>5</v>
      </c>
      <c r="AU414" s="202">
        <v>0</v>
      </c>
      <c r="AV414" s="202">
        <v>1</v>
      </c>
      <c r="AW414"/>
      <c r="AX414"/>
      <c r="AY414"/>
    </row>
    <row r="415" spans="1:51">
      <c r="A415" s="202" t="str">
        <f t="shared" si="28"/>
        <v>李发新</v>
      </c>
      <c r="B415" s="202">
        <f>IF(C415&lt;&gt;"NA",C415,VLOOKUP(K415,Update_from_YIFIP!$X$2:$AD$174,7,FALSE))</f>
        <v>142</v>
      </c>
      <c r="C415" s="207" t="str">
        <f t="shared" si="25"/>
        <v>NA</v>
      </c>
      <c r="D415" s="207" t="str">
        <f t="shared" si="26"/>
        <v>NA</v>
      </c>
      <c r="E415" s="202" t="s">
        <v>2445</v>
      </c>
      <c r="F415" s="202" t="s">
        <v>2448</v>
      </c>
      <c r="G415" s="202" t="s">
        <v>2449</v>
      </c>
      <c r="H415" s="207" t="str">
        <f t="shared" si="27"/>
        <v>NA</v>
      </c>
      <c r="I415" s="202" t="s">
        <v>1929</v>
      </c>
      <c r="J415" s="202" t="s">
        <v>427</v>
      </c>
      <c r="K415" s="202" t="s">
        <v>2459</v>
      </c>
      <c r="L415" s="202" t="s">
        <v>1336</v>
      </c>
      <c r="M415" s="202">
        <v>3</v>
      </c>
      <c r="N415" s="202">
        <v>0</v>
      </c>
      <c r="O415" s="202">
        <v>49</v>
      </c>
      <c r="P415" s="202">
        <v>19</v>
      </c>
      <c r="Q415" s="202">
        <v>19</v>
      </c>
      <c r="R415" s="202">
        <v>11</v>
      </c>
      <c r="S415" s="202">
        <v>0</v>
      </c>
      <c r="T415" s="202">
        <v>0</v>
      </c>
      <c r="U415" s="202">
        <v>0</v>
      </c>
      <c r="V415" s="202">
        <v>0</v>
      </c>
      <c r="W415" s="202">
        <v>0</v>
      </c>
      <c r="X415" s="202">
        <v>0</v>
      </c>
      <c r="Y415" s="202">
        <v>0</v>
      </c>
      <c r="Z415" s="202">
        <v>0</v>
      </c>
      <c r="AA415" s="202">
        <v>0</v>
      </c>
      <c r="AB415" s="202">
        <v>0</v>
      </c>
      <c r="AC415" s="202">
        <v>0</v>
      </c>
      <c r="AD415" s="202">
        <v>0</v>
      </c>
      <c r="AE415" s="202">
        <v>0</v>
      </c>
      <c r="AF415" s="202">
        <v>0</v>
      </c>
      <c r="AG415" s="202">
        <v>0</v>
      </c>
      <c r="AH415" s="202">
        <v>0</v>
      </c>
      <c r="AI415" s="202">
        <v>0</v>
      </c>
      <c r="AJ415" s="202">
        <v>0</v>
      </c>
      <c r="AK415" s="202">
        <v>0</v>
      </c>
      <c r="AL415" s="202">
        <v>0</v>
      </c>
      <c r="AM415" s="202">
        <v>0</v>
      </c>
      <c r="AN415" s="202">
        <v>0</v>
      </c>
      <c r="AO415" s="202">
        <v>0</v>
      </c>
      <c r="AP415" s="202">
        <v>0</v>
      </c>
      <c r="AQ415" s="202" t="s">
        <v>2456</v>
      </c>
      <c r="AR415" s="202">
        <v>0</v>
      </c>
      <c r="AS415" s="202">
        <v>0</v>
      </c>
      <c r="AT415" s="202">
        <v>7.5</v>
      </c>
      <c r="AU415" s="202">
        <v>0</v>
      </c>
      <c r="AV415" s="202">
        <v>1.5</v>
      </c>
      <c r="AW415"/>
      <c r="AX415"/>
      <c r="AY415"/>
    </row>
    <row r="416" spans="1:51">
      <c r="A416" s="202" t="str">
        <f t="shared" si="28"/>
        <v>张学林</v>
      </c>
      <c r="B416" s="202" t="str">
        <f>IF(C416&lt;&gt;"NA",C416,VLOOKUP(K416,Update_from_YIFIP!$X$2:$AD$174,7,FALSE))</f>
        <v>NA</v>
      </c>
      <c r="C416" s="207" t="str">
        <f t="shared" si="25"/>
        <v>NA</v>
      </c>
      <c r="D416" s="207" t="str">
        <f t="shared" si="26"/>
        <v>NA</v>
      </c>
      <c r="E416" s="202" t="s">
        <v>2579</v>
      </c>
      <c r="F416" s="202" t="s">
        <v>2583</v>
      </c>
      <c r="G416" s="202" t="s">
        <v>2584</v>
      </c>
      <c r="H416" s="207" t="str">
        <f t="shared" si="27"/>
        <v>NA</v>
      </c>
      <c r="I416" s="202" t="s">
        <v>1929</v>
      </c>
      <c r="J416" s="202" t="s">
        <v>2580</v>
      </c>
      <c r="K416" s="202" t="s">
        <v>2582</v>
      </c>
      <c r="L416" s="202" t="s">
        <v>1400</v>
      </c>
      <c r="M416" s="202">
        <v>10</v>
      </c>
      <c r="N416" s="202">
        <v>0</v>
      </c>
      <c r="O416" s="202">
        <v>68</v>
      </c>
      <c r="P416" s="202">
        <v>4</v>
      </c>
      <c r="Q416" s="202">
        <v>4</v>
      </c>
      <c r="R416" s="202">
        <v>7</v>
      </c>
      <c r="S416" s="202">
        <v>16</v>
      </c>
      <c r="T416" s="202">
        <v>10</v>
      </c>
      <c r="U416" s="202">
        <v>4</v>
      </c>
      <c r="V416" s="202">
        <v>6</v>
      </c>
      <c r="W416" s="202">
        <v>4</v>
      </c>
      <c r="X416" s="202">
        <v>6</v>
      </c>
      <c r="Y416" s="202">
        <v>7</v>
      </c>
      <c r="Z416" s="202">
        <v>0</v>
      </c>
      <c r="AA416" s="202">
        <v>0</v>
      </c>
      <c r="AB416" s="202">
        <v>0</v>
      </c>
      <c r="AC416" s="202">
        <v>0</v>
      </c>
      <c r="AD416" s="202">
        <v>0</v>
      </c>
      <c r="AE416" s="202">
        <v>0</v>
      </c>
      <c r="AF416" s="202">
        <v>0</v>
      </c>
      <c r="AG416" s="202">
        <v>0</v>
      </c>
      <c r="AH416" s="202">
        <v>0</v>
      </c>
      <c r="AI416" s="202">
        <v>0</v>
      </c>
      <c r="AJ416" s="202">
        <v>0</v>
      </c>
      <c r="AK416" s="202">
        <v>0</v>
      </c>
      <c r="AL416" s="202">
        <v>0</v>
      </c>
      <c r="AM416" s="202">
        <v>0</v>
      </c>
      <c r="AN416" s="202">
        <v>0</v>
      </c>
      <c r="AO416" s="202">
        <v>0</v>
      </c>
      <c r="AP416" s="202">
        <v>0</v>
      </c>
      <c r="AQ416" s="202" t="s">
        <v>2581</v>
      </c>
      <c r="AR416" s="202">
        <v>0</v>
      </c>
      <c r="AS416" s="202">
        <v>0</v>
      </c>
      <c r="AT416" s="202">
        <v>10</v>
      </c>
      <c r="AU416" s="202">
        <v>0</v>
      </c>
      <c r="AV416" s="202">
        <v>2</v>
      </c>
      <c r="AW416"/>
      <c r="AX416"/>
      <c r="AY416"/>
    </row>
    <row r="417" spans="1:51">
      <c r="A417" s="202" t="str">
        <f t="shared" si="28"/>
        <v>张学林</v>
      </c>
      <c r="B417" s="202" t="str">
        <f>IF(C417&lt;&gt;"NA",C417,VLOOKUP(K417,Update_from_YIFIP!$X$2:$AD$174,7,FALSE))</f>
        <v>NA</v>
      </c>
      <c r="C417" s="207" t="str">
        <f t="shared" si="25"/>
        <v>NA</v>
      </c>
      <c r="D417" s="207" t="str">
        <f t="shared" si="26"/>
        <v>NA</v>
      </c>
      <c r="E417" s="202" t="s">
        <v>2579</v>
      </c>
      <c r="F417" s="202" t="s">
        <v>2583</v>
      </c>
      <c r="G417" s="202" t="s">
        <v>2584</v>
      </c>
      <c r="H417" s="207" t="str">
        <f t="shared" si="27"/>
        <v>NA</v>
      </c>
      <c r="I417" s="202" t="s">
        <v>1929</v>
      </c>
      <c r="J417" s="202" t="s">
        <v>1929</v>
      </c>
      <c r="K417" s="202">
        <v>0</v>
      </c>
      <c r="L417" s="202" t="s">
        <v>1401</v>
      </c>
      <c r="M417" s="202">
        <v>10</v>
      </c>
      <c r="N417" s="202">
        <v>0</v>
      </c>
      <c r="O417" s="202">
        <v>131</v>
      </c>
      <c r="P417" s="202">
        <v>38</v>
      </c>
      <c r="Q417" s="202">
        <v>8</v>
      </c>
      <c r="R417" s="202">
        <v>9</v>
      </c>
      <c r="S417" s="202">
        <v>6</v>
      </c>
      <c r="T417" s="202">
        <v>4</v>
      </c>
      <c r="U417" s="202">
        <v>35</v>
      </c>
      <c r="V417" s="202">
        <v>7</v>
      </c>
      <c r="W417" s="202">
        <v>9</v>
      </c>
      <c r="X417" s="202">
        <v>8</v>
      </c>
      <c r="Y417" s="202">
        <v>7</v>
      </c>
      <c r="Z417" s="202">
        <v>0</v>
      </c>
      <c r="AA417" s="202">
        <v>0</v>
      </c>
      <c r="AB417" s="202">
        <v>0</v>
      </c>
      <c r="AC417" s="202">
        <v>0</v>
      </c>
      <c r="AD417" s="202">
        <v>0</v>
      </c>
      <c r="AE417" s="202">
        <v>0</v>
      </c>
      <c r="AF417" s="202">
        <v>0</v>
      </c>
      <c r="AG417" s="202">
        <v>0</v>
      </c>
      <c r="AH417" s="202">
        <v>0</v>
      </c>
      <c r="AI417" s="202">
        <v>0</v>
      </c>
      <c r="AJ417" s="202">
        <v>0</v>
      </c>
      <c r="AK417" s="202">
        <v>0</v>
      </c>
      <c r="AL417" s="202">
        <v>0</v>
      </c>
      <c r="AM417" s="202">
        <v>0</v>
      </c>
      <c r="AN417" s="202">
        <v>0</v>
      </c>
      <c r="AO417" s="202">
        <v>0</v>
      </c>
      <c r="AP417" s="202">
        <v>0</v>
      </c>
      <c r="AQ417" s="202" t="s">
        <v>1929</v>
      </c>
      <c r="AR417" s="202">
        <v>0</v>
      </c>
      <c r="AS417" s="202">
        <v>0</v>
      </c>
      <c r="AT417" s="202">
        <v>20.500000000000004</v>
      </c>
      <c r="AU417" s="202" t="s">
        <v>2585</v>
      </c>
      <c r="AV417" s="202">
        <v>4.1000000000000005</v>
      </c>
      <c r="AW417"/>
      <c r="AX417"/>
      <c r="AY417"/>
    </row>
    <row r="418" spans="1:51">
      <c r="A418" s="202" t="str">
        <f t="shared" si="28"/>
        <v>张学林</v>
      </c>
      <c r="B418" s="202" t="str">
        <f>IF(C418&lt;&gt;"NA",C418,VLOOKUP(K418,Update_from_YIFIP!$X$2:$AD$174,7,FALSE))</f>
        <v>NA</v>
      </c>
      <c r="C418" s="207" t="str">
        <f t="shared" si="25"/>
        <v>NA</v>
      </c>
      <c r="D418" s="207" t="str">
        <f t="shared" si="26"/>
        <v>NA</v>
      </c>
      <c r="E418" s="202" t="s">
        <v>2579</v>
      </c>
      <c r="F418" s="202" t="s">
        <v>2583</v>
      </c>
      <c r="G418" s="202" t="s">
        <v>2584</v>
      </c>
      <c r="H418" s="207" t="str">
        <f t="shared" si="27"/>
        <v>NA</v>
      </c>
      <c r="I418" s="202" t="s">
        <v>1929</v>
      </c>
      <c r="J418" s="202" t="s">
        <v>1929</v>
      </c>
      <c r="K418" s="202">
        <v>0</v>
      </c>
      <c r="L418" s="202" t="s">
        <v>1402</v>
      </c>
      <c r="M418" s="202">
        <v>10</v>
      </c>
      <c r="N418" s="202">
        <v>0</v>
      </c>
      <c r="O418" s="202">
        <v>119</v>
      </c>
      <c r="P418" s="202">
        <v>12</v>
      </c>
      <c r="Q418" s="202">
        <v>15</v>
      </c>
      <c r="R418" s="202">
        <v>9</v>
      </c>
      <c r="S418" s="202">
        <v>10</v>
      </c>
      <c r="T418" s="202">
        <v>10</v>
      </c>
      <c r="U418" s="202">
        <v>10</v>
      </c>
      <c r="V418" s="202">
        <v>15</v>
      </c>
      <c r="W418" s="202">
        <v>8</v>
      </c>
      <c r="X418" s="202">
        <v>20</v>
      </c>
      <c r="Y418" s="202">
        <v>10</v>
      </c>
      <c r="Z418" s="202">
        <v>0</v>
      </c>
      <c r="AA418" s="202">
        <v>0</v>
      </c>
      <c r="AB418" s="202">
        <v>0</v>
      </c>
      <c r="AC418" s="202">
        <v>0</v>
      </c>
      <c r="AD418" s="202">
        <v>0</v>
      </c>
      <c r="AE418" s="202">
        <v>0</v>
      </c>
      <c r="AF418" s="202">
        <v>0</v>
      </c>
      <c r="AG418" s="202">
        <v>0</v>
      </c>
      <c r="AH418" s="202">
        <v>0</v>
      </c>
      <c r="AI418" s="202">
        <v>0</v>
      </c>
      <c r="AJ418" s="202">
        <v>0</v>
      </c>
      <c r="AK418" s="202">
        <v>0</v>
      </c>
      <c r="AL418" s="202">
        <v>0</v>
      </c>
      <c r="AM418" s="202">
        <v>0</v>
      </c>
      <c r="AN418" s="202">
        <v>0</v>
      </c>
      <c r="AO418" s="202">
        <v>0</v>
      </c>
      <c r="AP418" s="202">
        <v>0</v>
      </c>
      <c r="AQ418" s="202" t="s">
        <v>1929</v>
      </c>
      <c r="AR418" s="202">
        <v>0</v>
      </c>
      <c r="AS418" s="202">
        <v>0</v>
      </c>
      <c r="AT418" s="202">
        <v>18.5</v>
      </c>
      <c r="AU418" s="202" t="s">
        <v>2586</v>
      </c>
      <c r="AV418" s="202">
        <v>3.6999999999999997</v>
      </c>
      <c r="AW418"/>
      <c r="AX418"/>
      <c r="AY418"/>
    </row>
    <row r="419" spans="1:51">
      <c r="A419" s="202" t="str">
        <f t="shared" si="28"/>
        <v>张学林</v>
      </c>
      <c r="B419" s="202" t="str">
        <f>IF(C419&lt;&gt;"NA",C419,VLOOKUP(K419,Update_from_YIFIP!$X$2:$AD$174,7,FALSE))</f>
        <v>NA</v>
      </c>
      <c r="C419" s="207" t="str">
        <f t="shared" si="25"/>
        <v>NA</v>
      </c>
      <c r="D419" s="207" t="str">
        <f t="shared" si="26"/>
        <v>NA</v>
      </c>
      <c r="E419" s="202" t="s">
        <v>2579</v>
      </c>
      <c r="F419" s="202" t="s">
        <v>2583</v>
      </c>
      <c r="G419" s="202" t="s">
        <v>2584</v>
      </c>
      <c r="H419" s="207" t="str">
        <f t="shared" si="27"/>
        <v>NA</v>
      </c>
      <c r="I419" s="202" t="s">
        <v>1929</v>
      </c>
      <c r="J419" s="202" t="s">
        <v>1929</v>
      </c>
      <c r="K419" s="202">
        <v>0</v>
      </c>
      <c r="L419" s="202" t="s">
        <v>1403</v>
      </c>
      <c r="M419" s="202">
        <v>10</v>
      </c>
      <c r="N419" s="202">
        <v>0</v>
      </c>
      <c r="O419" s="202">
        <v>75</v>
      </c>
      <c r="P419" s="202">
        <v>8</v>
      </c>
      <c r="Q419" s="202">
        <v>5</v>
      </c>
      <c r="R419" s="202">
        <v>9</v>
      </c>
      <c r="S419" s="202">
        <v>9</v>
      </c>
      <c r="T419" s="202">
        <v>7</v>
      </c>
      <c r="U419" s="202">
        <v>6</v>
      </c>
      <c r="V419" s="202">
        <v>8</v>
      </c>
      <c r="W419" s="202">
        <v>10</v>
      </c>
      <c r="X419" s="202">
        <v>8</v>
      </c>
      <c r="Y419" s="202">
        <v>5</v>
      </c>
      <c r="Z419" s="202">
        <v>0</v>
      </c>
      <c r="AA419" s="202">
        <v>0</v>
      </c>
      <c r="AB419" s="202">
        <v>0</v>
      </c>
      <c r="AC419" s="202">
        <v>0</v>
      </c>
      <c r="AD419" s="202">
        <v>0</v>
      </c>
      <c r="AE419" s="202">
        <v>0</v>
      </c>
      <c r="AF419" s="202">
        <v>0</v>
      </c>
      <c r="AG419" s="202">
        <v>0</v>
      </c>
      <c r="AH419" s="202">
        <v>0</v>
      </c>
      <c r="AI419" s="202">
        <v>0</v>
      </c>
      <c r="AJ419" s="202">
        <v>0</v>
      </c>
      <c r="AK419" s="202">
        <v>0</v>
      </c>
      <c r="AL419" s="202">
        <v>0</v>
      </c>
      <c r="AM419" s="202">
        <v>0</v>
      </c>
      <c r="AN419" s="202">
        <v>0</v>
      </c>
      <c r="AO419" s="202">
        <v>0</v>
      </c>
      <c r="AP419" s="202">
        <v>0</v>
      </c>
      <c r="AQ419" s="202" t="s">
        <v>1929</v>
      </c>
      <c r="AR419" s="202">
        <v>0</v>
      </c>
      <c r="AS419" s="202">
        <v>0</v>
      </c>
      <c r="AT419" s="202">
        <v>10</v>
      </c>
      <c r="AU419" s="202">
        <v>0</v>
      </c>
      <c r="AV419" s="202">
        <v>2</v>
      </c>
      <c r="AW419"/>
      <c r="AX419"/>
      <c r="AY419"/>
    </row>
    <row r="420" spans="1:51">
      <c r="A420" s="202" t="str">
        <f t="shared" si="28"/>
        <v>张学林</v>
      </c>
      <c r="B420" s="202" t="str">
        <f>IF(C420&lt;&gt;"NA",C420,VLOOKUP(K420,Update_from_YIFIP!$X$2:$AD$174,7,FALSE))</f>
        <v>NA</v>
      </c>
      <c r="C420" s="207" t="str">
        <f t="shared" si="25"/>
        <v>NA</v>
      </c>
      <c r="D420" s="207" t="str">
        <f t="shared" si="26"/>
        <v>NA</v>
      </c>
      <c r="E420" s="202" t="s">
        <v>2579</v>
      </c>
      <c r="F420" s="202" t="s">
        <v>2583</v>
      </c>
      <c r="G420" s="202" t="s">
        <v>2584</v>
      </c>
      <c r="H420" s="207" t="str">
        <f t="shared" si="27"/>
        <v>NA</v>
      </c>
      <c r="I420" s="202" t="s">
        <v>1929</v>
      </c>
      <c r="J420" s="202" t="s">
        <v>1929</v>
      </c>
      <c r="K420" s="202">
        <v>0</v>
      </c>
      <c r="L420" s="202" t="s">
        <v>1404</v>
      </c>
      <c r="M420" s="202">
        <v>0</v>
      </c>
      <c r="N420" s="202">
        <v>20</v>
      </c>
      <c r="O420" s="202">
        <v>78</v>
      </c>
      <c r="P420" s="202">
        <v>13</v>
      </c>
      <c r="Q420" s="202">
        <v>1</v>
      </c>
      <c r="R420" s="202">
        <v>1</v>
      </c>
      <c r="S420" s="202">
        <v>2</v>
      </c>
      <c r="T420" s="202">
        <v>2</v>
      </c>
      <c r="U420" s="202">
        <v>2</v>
      </c>
      <c r="V420" s="202">
        <v>2</v>
      </c>
      <c r="W420" s="202">
        <v>3</v>
      </c>
      <c r="X420" s="202">
        <v>3</v>
      </c>
      <c r="Y420" s="202">
        <v>3</v>
      </c>
      <c r="Z420" s="202">
        <v>3</v>
      </c>
      <c r="AA420" s="202">
        <v>3</v>
      </c>
      <c r="AB420" s="202">
        <v>3</v>
      </c>
      <c r="AC420" s="202">
        <v>4</v>
      </c>
      <c r="AD420" s="202">
        <v>5</v>
      </c>
      <c r="AE420" s="202">
        <v>5</v>
      </c>
      <c r="AF420" s="202">
        <v>5</v>
      </c>
      <c r="AG420" s="202">
        <v>6</v>
      </c>
      <c r="AH420" s="202">
        <v>6</v>
      </c>
      <c r="AI420" s="202">
        <v>6</v>
      </c>
      <c r="AJ420" s="202">
        <v>0</v>
      </c>
      <c r="AK420" s="202">
        <v>0</v>
      </c>
      <c r="AL420" s="202">
        <v>0</v>
      </c>
      <c r="AM420" s="202">
        <v>0</v>
      </c>
      <c r="AN420" s="202">
        <v>0</v>
      </c>
      <c r="AO420" s="202">
        <v>0</v>
      </c>
      <c r="AP420" s="202">
        <v>0</v>
      </c>
      <c r="AQ420" s="202" t="s">
        <v>1929</v>
      </c>
      <c r="AR420" s="202">
        <v>0</v>
      </c>
      <c r="AS420" s="202">
        <v>0</v>
      </c>
      <c r="AT420" s="202">
        <v>20</v>
      </c>
      <c r="AU420" s="202">
        <v>0</v>
      </c>
      <c r="AV420" s="202">
        <v>4</v>
      </c>
      <c r="AW420"/>
      <c r="AX420"/>
      <c r="AY420"/>
    </row>
    <row r="421" spans="1:51">
      <c r="A421" s="202" t="str">
        <f t="shared" si="28"/>
        <v>李荣兵</v>
      </c>
      <c r="B421" s="202" t="str">
        <f>IF(C421&lt;&gt;"NA",C421,VLOOKUP(K421,Update_from_YIFIP!$X$2:$AD$174,7,FALSE))</f>
        <v>NA</v>
      </c>
      <c r="C421" s="207" t="str">
        <f t="shared" si="25"/>
        <v>NA</v>
      </c>
      <c r="D421" s="207" t="str">
        <f t="shared" si="26"/>
        <v>NA</v>
      </c>
      <c r="E421" s="237" t="s">
        <v>3377</v>
      </c>
      <c r="F421" s="237" t="s">
        <v>2671</v>
      </c>
      <c r="G421" s="237" t="s">
        <v>2672</v>
      </c>
      <c r="H421" s="207" t="str">
        <f t="shared" si="27"/>
        <v>NA</v>
      </c>
      <c r="I421" s="202" t="s">
        <v>1929</v>
      </c>
      <c r="J421" s="202" t="s">
        <v>2587</v>
      </c>
      <c r="K421" s="202">
        <v>0</v>
      </c>
      <c r="L421" s="202" t="s">
        <v>1405</v>
      </c>
      <c r="M421" s="202">
        <v>11</v>
      </c>
      <c r="N421" s="202">
        <v>0</v>
      </c>
      <c r="O421" s="202">
        <v>38</v>
      </c>
      <c r="P421" s="202">
        <v>3</v>
      </c>
      <c r="Q421" s="202">
        <v>3</v>
      </c>
      <c r="R421" s="202">
        <v>3</v>
      </c>
      <c r="S421" s="202">
        <v>3</v>
      </c>
      <c r="T421" s="202">
        <v>3</v>
      </c>
      <c r="U421" s="202">
        <v>3</v>
      </c>
      <c r="V421" s="202">
        <v>4</v>
      </c>
      <c r="W421" s="202">
        <v>4</v>
      </c>
      <c r="X421" s="202">
        <v>4</v>
      </c>
      <c r="Y421" s="202">
        <v>4</v>
      </c>
      <c r="Z421" s="202">
        <v>4</v>
      </c>
      <c r="AA421" s="202">
        <v>0</v>
      </c>
      <c r="AB421" s="202">
        <v>0</v>
      </c>
      <c r="AC421" s="202">
        <v>0</v>
      </c>
      <c r="AD421" s="202">
        <v>0</v>
      </c>
      <c r="AE421" s="202">
        <v>0</v>
      </c>
      <c r="AF421" s="202">
        <v>0</v>
      </c>
      <c r="AG421" s="202">
        <v>0</v>
      </c>
      <c r="AH421" s="202">
        <v>0</v>
      </c>
      <c r="AI421" s="202">
        <v>0</v>
      </c>
      <c r="AJ421" s="202">
        <v>0</v>
      </c>
      <c r="AK421" s="202">
        <v>0</v>
      </c>
      <c r="AL421" s="202">
        <v>0</v>
      </c>
      <c r="AM421" s="202">
        <v>0</v>
      </c>
      <c r="AN421" s="202">
        <v>0</v>
      </c>
      <c r="AO421" s="202">
        <v>0</v>
      </c>
      <c r="AP421" s="202">
        <v>0</v>
      </c>
      <c r="AQ421" s="202" t="s">
        <v>2588</v>
      </c>
      <c r="AR421" s="202">
        <v>0</v>
      </c>
      <c r="AS421" s="202">
        <v>0</v>
      </c>
      <c r="AT421" s="202">
        <v>7.5</v>
      </c>
      <c r="AU421" s="202">
        <v>0</v>
      </c>
      <c r="AV421" s="202">
        <v>1.5</v>
      </c>
      <c r="AW421"/>
      <c r="AX421"/>
      <c r="AY421"/>
    </row>
    <row r="422" spans="1:51">
      <c r="A422" s="202" t="str">
        <f t="shared" si="28"/>
        <v>李荣兵</v>
      </c>
      <c r="B422" s="202" t="str">
        <f>IF(C422&lt;&gt;"NA",C422,VLOOKUP(K422,Update_from_YIFIP!$X$2:$AD$174,7,FALSE))</f>
        <v>NA</v>
      </c>
      <c r="C422" s="207" t="str">
        <f t="shared" si="25"/>
        <v>NA</v>
      </c>
      <c r="D422" s="207" t="str">
        <f t="shared" si="26"/>
        <v>NA</v>
      </c>
      <c r="E422" s="237" t="s">
        <v>2669</v>
      </c>
      <c r="F422" s="237" t="s">
        <v>2671</v>
      </c>
      <c r="G422" s="237" t="s">
        <v>2672</v>
      </c>
      <c r="H422" s="207" t="str">
        <f t="shared" si="27"/>
        <v>NA</v>
      </c>
      <c r="I422" s="202" t="s">
        <v>1929</v>
      </c>
      <c r="J422" s="202" t="s">
        <v>2589</v>
      </c>
      <c r="K422" s="202" t="s">
        <v>2591</v>
      </c>
      <c r="L422" s="202" t="s">
        <v>1406</v>
      </c>
      <c r="M422" s="202">
        <v>12</v>
      </c>
      <c r="N422" s="202">
        <v>0</v>
      </c>
      <c r="O422" s="202">
        <v>43</v>
      </c>
      <c r="P422" s="202">
        <v>1</v>
      </c>
      <c r="Q422" s="202">
        <v>1</v>
      </c>
      <c r="R422" s="202">
        <v>3</v>
      </c>
      <c r="S422" s="202">
        <v>3</v>
      </c>
      <c r="T422" s="202">
        <v>3</v>
      </c>
      <c r="U422" s="202">
        <v>3</v>
      </c>
      <c r="V422" s="202">
        <v>3</v>
      </c>
      <c r="W422" s="202">
        <v>4</v>
      </c>
      <c r="X422" s="202">
        <v>4</v>
      </c>
      <c r="Y422" s="202">
        <v>5</v>
      </c>
      <c r="Z422" s="202">
        <v>5</v>
      </c>
      <c r="AA422" s="202">
        <v>8</v>
      </c>
      <c r="AB422" s="202">
        <v>0</v>
      </c>
      <c r="AC422" s="202">
        <v>0</v>
      </c>
      <c r="AD422" s="202">
        <v>0</v>
      </c>
      <c r="AE422" s="202">
        <v>0</v>
      </c>
      <c r="AF422" s="202">
        <v>0</v>
      </c>
      <c r="AG422" s="202">
        <v>0</v>
      </c>
      <c r="AH422" s="202">
        <v>0</v>
      </c>
      <c r="AI422" s="202">
        <v>0</v>
      </c>
      <c r="AJ422" s="202">
        <v>0</v>
      </c>
      <c r="AK422" s="202">
        <v>0</v>
      </c>
      <c r="AL422" s="202">
        <v>0</v>
      </c>
      <c r="AM422" s="202">
        <v>0</v>
      </c>
      <c r="AN422" s="202">
        <v>0</v>
      </c>
      <c r="AO422" s="202">
        <v>0</v>
      </c>
      <c r="AP422" s="202">
        <v>0</v>
      </c>
      <c r="AQ422" s="202" t="s">
        <v>2590</v>
      </c>
      <c r="AR422" s="202">
        <v>0</v>
      </c>
      <c r="AS422" s="202">
        <v>0</v>
      </c>
      <c r="AT422" s="202">
        <v>6</v>
      </c>
      <c r="AU422" s="202">
        <v>0</v>
      </c>
      <c r="AV422" s="202">
        <v>1.2</v>
      </c>
      <c r="AW422"/>
      <c r="AX422"/>
      <c r="AY422"/>
    </row>
    <row r="423" spans="1:51">
      <c r="A423" s="202" t="str">
        <f t="shared" si="28"/>
        <v>张立德</v>
      </c>
      <c r="B423" s="202" t="str">
        <f>IF(C423&lt;&gt;"NA",C423,VLOOKUP(K423,Update_from_YIFIP!$X$2:$AD$174,7,FALSE))</f>
        <v>NA</v>
      </c>
      <c r="C423" s="207" t="str">
        <f t="shared" si="25"/>
        <v>NA</v>
      </c>
      <c r="D423" s="207" t="str">
        <f t="shared" si="26"/>
        <v>NA</v>
      </c>
      <c r="E423" s="202" t="s">
        <v>2592</v>
      </c>
      <c r="F423" s="202" t="s">
        <v>2594</v>
      </c>
      <c r="G423" s="202" t="s">
        <v>2595</v>
      </c>
      <c r="H423" s="207" t="str">
        <f t="shared" si="27"/>
        <v>NA</v>
      </c>
      <c r="I423" s="202" t="s">
        <v>1929</v>
      </c>
      <c r="J423" s="202" t="s">
        <v>1929</v>
      </c>
      <c r="K423" s="227" t="s">
        <v>3330</v>
      </c>
      <c r="L423" s="202" t="s">
        <v>1407</v>
      </c>
      <c r="M423" s="202">
        <v>10</v>
      </c>
      <c r="N423" s="202">
        <v>0</v>
      </c>
      <c r="O423" s="202">
        <v>17</v>
      </c>
      <c r="P423" s="202">
        <v>1</v>
      </c>
      <c r="Q423" s="202">
        <v>1</v>
      </c>
      <c r="R423" s="202">
        <v>1</v>
      </c>
      <c r="S423" s="202">
        <v>1</v>
      </c>
      <c r="T423" s="202">
        <v>2</v>
      </c>
      <c r="U423" s="202">
        <v>2</v>
      </c>
      <c r="V423" s="202">
        <v>2</v>
      </c>
      <c r="W423" s="202">
        <v>2</v>
      </c>
      <c r="X423" s="202">
        <v>2</v>
      </c>
      <c r="Y423" s="202">
        <v>3</v>
      </c>
      <c r="Z423" s="202">
        <v>0</v>
      </c>
      <c r="AA423" s="202">
        <v>0</v>
      </c>
      <c r="AB423" s="202">
        <v>0</v>
      </c>
      <c r="AC423" s="202">
        <v>0</v>
      </c>
      <c r="AD423" s="202">
        <v>0</v>
      </c>
      <c r="AE423" s="202">
        <v>0</v>
      </c>
      <c r="AF423" s="202">
        <v>0</v>
      </c>
      <c r="AG423" s="202">
        <v>0</v>
      </c>
      <c r="AH423" s="202">
        <v>0</v>
      </c>
      <c r="AI423" s="202">
        <v>0</v>
      </c>
      <c r="AJ423" s="202">
        <v>0</v>
      </c>
      <c r="AK423" s="202">
        <v>0</v>
      </c>
      <c r="AL423" s="202">
        <v>0</v>
      </c>
      <c r="AM423" s="202">
        <v>0</v>
      </c>
      <c r="AN423" s="202">
        <v>0</v>
      </c>
      <c r="AO423" s="202">
        <v>0</v>
      </c>
      <c r="AP423" s="202">
        <v>0</v>
      </c>
      <c r="AQ423" s="202" t="s">
        <v>2593</v>
      </c>
      <c r="AR423" s="202">
        <v>0</v>
      </c>
      <c r="AS423" s="202">
        <v>0</v>
      </c>
      <c r="AT423" s="202">
        <v>6</v>
      </c>
      <c r="AU423" s="202">
        <v>0</v>
      </c>
      <c r="AV423" s="202">
        <v>1.2</v>
      </c>
      <c r="AW423"/>
      <c r="AX423"/>
      <c r="AY423"/>
    </row>
    <row r="424" spans="1:51">
      <c r="A424" s="202" t="str">
        <f t="shared" si="28"/>
        <v>张立德</v>
      </c>
      <c r="B424" s="202" t="str">
        <f>IF(C424&lt;&gt;"NA",C424,VLOOKUP(K424,Update_from_YIFIP!$X$2:$AD$174,7,FALSE))</f>
        <v>NA</v>
      </c>
      <c r="C424" s="207" t="str">
        <f t="shared" si="25"/>
        <v>NA</v>
      </c>
      <c r="D424" s="207" t="str">
        <f t="shared" si="26"/>
        <v>NA</v>
      </c>
      <c r="E424" s="202" t="s">
        <v>2592</v>
      </c>
      <c r="F424" s="202" t="s">
        <v>2594</v>
      </c>
      <c r="G424" s="202" t="s">
        <v>2595</v>
      </c>
      <c r="H424" s="207" t="str">
        <f t="shared" si="27"/>
        <v>NA</v>
      </c>
      <c r="I424" s="202" t="s">
        <v>1929</v>
      </c>
      <c r="J424" s="202" t="s">
        <v>1929</v>
      </c>
      <c r="K424" s="227" t="s">
        <v>3330</v>
      </c>
      <c r="L424" s="202" t="s">
        <v>1408</v>
      </c>
      <c r="M424" s="202">
        <v>10</v>
      </c>
      <c r="N424" s="202">
        <v>0</v>
      </c>
      <c r="O424" s="202">
        <v>19</v>
      </c>
      <c r="P424" s="202">
        <v>1</v>
      </c>
      <c r="Q424" s="202">
        <v>2</v>
      </c>
      <c r="R424" s="202">
        <v>2</v>
      </c>
      <c r="S424" s="202">
        <v>2</v>
      </c>
      <c r="T424" s="202">
        <v>2</v>
      </c>
      <c r="U424" s="202">
        <v>2</v>
      </c>
      <c r="V424" s="202">
        <v>2</v>
      </c>
      <c r="W424" s="202">
        <v>2</v>
      </c>
      <c r="X424" s="202">
        <v>2</v>
      </c>
      <c r="Y424" s="202">
        <v>2</v>
      </c>
      <c r="Z424" s="202">
        <v>0</v>
      </c>
      <c r="AA424" s="202">
        <v>0</v>
      </c>
      <c r="AB424" s="202">
        <v>0</v>
      </c>
      <c r="AC424" s="202">
        <v>0</v>
      </c>
      <c r="AD424" s="202">
        <v>0</v>
      </c>
      <c r="AE424" s="202">
        <v>0</v>
      </c>
      <c r="AF424" s="202">
        <v>0</v>
      </c>
      <c r="AG424" s="202">
        <v>0</v>
      </c>
      <c r="AH424" s="202">
        <v>0</v>
      </c>
      <c r="AI424" s="202">
        <v>0</v>
      </c>
      <c r="AJ424" s="202">
        <v>0</v>
      </c>
      <c r="AK424" s="202">
        <v>0</v>
      </c>
      <c r="AL424" s="202">
        <v>0</v>
      </c>
      <c r="AM424" s="202">
        <v>0</v>
      </c>
      <c r="AN424" s="202">
        <v>0</v>
      </c>
      <c r="AO424" s="202">
        <v>0</v>
      </c>
      <c r="AP424" s="202">
        <v>0</v>
      </c>
      <c r="AQ424" s="202" t="s">
        <v>2596</v>
      </c>
      <c r="AR424" s="202">
        <v>0</v>
      </c>
      <c r="AS424" s="202">
        <v>0</v>
      </c>
      <c r="AT424" s="202">
        <v>3</v>
      </c>
      <c r="AU424" s="202">
        <v>0</v>
      </c>
      <c r="AV424" s="202">
        <v>0.6</v>
      </c>
      <c r="AW424"/>
      <c r="AX424"/>
      <c r="AY424"/>
    </row>
    <row r="425" spans="1:51">
      <c r="A425" s="202" t="str">
        <f t="shared" si="28"/>
        <v>张立德</v>
      </c>
      <c r="B425" s="202" t="str">
        <f>IF(C425&lt;&gt;"NA",C425,VLOOKUP(K425,Update_from_YIFIP!$X$2:$AD$174,7,FALSE))</f>
        <v>NA</v>
      </c>
      <c r="C425" s="207" t="str">
        <f t="shared" si="25"/>
        <v>NA</v>
      </c>
      <c r="D425" s="207" t="str">
        <f t="shared" si="26"/>
        <v>NA</v>
      </c>
      <c r="E425" s="202" t="s">
        <v>2592</v>
      </c>
      <c r="F425" s="202" t="s">
        <v>2594</v>
      </c>
      <c r="G425" s="202" t="s">
        <v>2595</v>
      </c>
      <c r="H425" s="207" t="str">
        <f t="shared" si="27"/>
        <v>NA</v>
      </c>
      <c r="I425" s="202" t="s">
        <v>1929</v>
      </c>
      <c r="J425" s="202" t="s">
        <v>1929</v>
      </c>
      <c r="K425" s="227" t="s">
        <v>3330</v>
      </c>
      <c r="L425" s="202" t="s">
        <v>1409</v>
      </c>
      <c r="M425" s="202">
        <v>10</v>
      </c>
      <c r="N425" s="202">
        <v>0</v>
      </c>
      <c r="O425" s="202">
        <v>16</v>
      </c>
      <c r="P425" s="202">
        <v>1</v>
      </c>
      <c r="Q425" s="202">
        <v>1</v>
      </c>
      <c r="R425" s="202">
        <v>1</v>
      </c>
      <c r="S425" s="202">
        <v>1</v>
      </c>
      <c r="T425" s="202">
        <v>2</v>
      </c>
      <c r="U425" s="202">
        <v>2</v>
      </c>
      <c r="V425" s="202">
        <v>2</v>
      </c>
      <c r="W425" s="202">
        <v>2</v>
      </c>
      <c r="X425" s="202">
        <v>2</v>
      </c>
      <c r="Y425" s="202">
        <v>2</v>
      </c>
      <c r="Z425" s="202">
        <v>0</v>
      </c>
      <c r="AA425" s="202">
        <v>0</v>
      </c>
      <c r="AB425" s="202">
        <v>0</v>
      </c>
      <c r="AC425" s="202">
        <v>0</v>
      </c>
      <c r="AD425" s="202">
        <v>0</v>
      </c>
      <c r="AE425" s="202">
        <v>0</v>
      </c>
      <c r="AF425" s="202">
        <v>0</v>
      </c>
      <c r="AG425" s="202">
        <v>0</v>
      </c>
      <c r="AH425" s="202">
        <v>0</v>
      </c>
      <c r="AI425" s="202">
        <v>0</v>
      </c>
      <c r="AJ425" s="202">
        <v>0</v>
      </c>
      <c r="AK425" s="202">
        <v>0</v>
      </c>
      <c r="AL425" s="202">
        <v>0</v>
      </c>
      <c r="AM425" s="202">
        <v>0</v>
      </c>
      <c r="AN425" s="202">
        <v>0</v>
      </c>
      <c r="AO425" s="202">
        <v>0</v>
      </c>
      <c r="AP425" s="202">
        <v>0</v>
      </c>
      <c r="AQ425" s="202" t="s">
        <v>2597</v>
      </c>
      <c r="AR425" s="202">
        <v>0</v>
      </c>
      <c r="AS425" s="202">
        <v>0</v>
      </c>
      <c r="AT425" s="202">
        <v>2</v>
      </c>
      <c r="AU425" s="202">
        <v>0</v>
      </c>
      <c r="AV425" s="202">
        <v>0.4</v>
      </c>
      <c r="AW425"/>
      <c r="AX425"/>
      <c r="AY425"/>
    </row>
    <row r="426" spans="1:51">
      <c r="A426" s="202" t="str">
        <f t="shared" si="28"/>
        <v>张立德</v>
      </c>
      <c r="B426" s="202" t="str">
        <f>IF(C426&lt;&gt;"NA",C426,VLOOKUP(K426,Update_from_YIFIP!$X$2:$AD$174,7,FALSE))</f>
        <v>NA</v>
      </c>
      <c r="C426" s="207" t="str">
        <f t="shared" si="25"/>
        <v>NA</v>
      </c>
      <c r="D426" s="207" t="str">
        <f t="shared" si="26"/>
        <v>NA</v>
      </c>
      <c r="E426" s="202" t="s">
        <v>2592</v>
      </c>
      <c r="F426" s="202" t="s">
        <v>2594</v>
      </c>
      <c r="G426" s="202" t="s">
        <v>2595</v>
      </c>
      <c r="H426" s="207" t="str">
        <f t="shared" si="27"/>
        <v>NA</v>
      </c>
      <c r="I426" s="202" t="s">
        <v>1929</v>
      </c>
      <c r="J426" s="202" t="s">
        <v>1929</v>
      </c>
      <c r="K426" s="227" t="s">
        <v>3330</v>
      </c>
      <c r="L426" s="202" t="s">
        <v>1410</v>
      </c>
      <c r="M426" s="202">
        <v>10</v>
      </c>
      <c r="N426" s="202">
        <v>0</v>
      </c>
      <c r="O426" s="202">
        <v>19</v>
      </c>
      <c r="P426" s="202">
        <v>1</v>
      </c>
      <c r="Q426" s="202">
        <v>1</v>
      </c>
      <c r="R426" s="202">
        <v>1</v>
      </c>
      <c r="S426" s="202">
        <v>2</v>
      </c>
      <c r="T426" s="202">
        <v>2</v>
      </c>
      <c r="U426" s="202">
        <v>2</v>
      </c>
      <c r="V426" s="202">
        <v>2</v>
      </c>
      <c r="W426" s="202">
        <v>2</v>
      </c>
      <c r="X426" s="202">
        <v>2</v>
      </c>
      <c r="Y426" s="202">
        <v>4</v>
      </c>
      <c r="Z426" s="202">
        <v>0</v>
      </c>
      <c r="AA426" s="202">
        <v>0</v>
      </c>
      <c r="AB426" s="202">
        <v>0</v>
      </c>
      <c r="AC426" s="202">
        <v>0</v>
      </c>
      <c r="AD426" s="202">
        <v>0</v>
      </c>
      <c r="AE426" s="202">
        <v>0</v>
      </c>
      <c r="AF426" s="202">
        <v>0</v>
      </c>
      <c r="AG426" s="202">
        <v>0</v>
      </c>
      <c r="AH426" s="202">
        <v>0</v>
      </c>
      <c r="AI426" s="202">
        <v>0</v>
      </c>
      <c r="AJ426" s="202">
        <v>0</v>
      </c>
      <c r="AK426" s="202">
        <v>0</v>
      </c>
      <c r="AL426" s="202">
        <v>0</v>
      </c>
      <c r="AM426" s="202">
        <v>0</v>
      </c>
      <c r="AN426" s="202">
        <v>0</v>
      </c>
      <c r="AO426" s="202">
        <v>0</v>
      </c>
      <c r="AP426" s="202">
        <v>0</v>
      </c>
      <c r="AQ426" s="202" t="s">
        <v>2598</v>
      </c>
      <c r="AR426" s="202">
        <v>0</v>
      </c>
      <c r="AS426" s="202">
        <v>0</v>
      </c>
      <c r="AT426" s="202">
        <v>6</v>
      </c>
      <c r="AU426" s="202">
        <v>0</v>
      </c>
      <c r="AV426" s="202">
        <v>1.2</v>
      </c>
      <c r="AW426"/>
      <c r="AX426"/>
      <c r="AY426"/>
    </row>
    <row r="427" spans="1:51">
      <c r="A427" s="202" t="str">
        <f t="shared" si="28"/>
        <v>张立德</v>
      </c>
      <c r="B427" s="202" t="str">
        <f>IF(C427&lt;&gt;"NA",C427,VLOOKUP(K427,Update_from_YIFIP!$X$2:$AD$174,7,FALSE))</f>
        <v>NA</v>
      </c>
      <c r="C427" s="207" t="str">
        <f t="shared" si="25"/>
        <v>NA</v>
      </c>
      <c r="D427" s="207" t="str">
        <f t="shared" si="26"/>
        <v>NA</v>
      </c>
      <c r="E427" s="202" t="s">
        <v>2592</v>
      </c>
      <c r="F427" s="202" t="s">
        <v>2594</v>
      </c>
      <c r="G427" s="202" t="s">
        <v>2595</v>
      </c>
      <c r="H427" s="207" t="str">
        <f t="shared" si="27"/>
        <v>NA</v>
      </c>
      <c r="I427" s="202" t="s">
        <v>1929</v>
      </c>
      <c r="J427" s="202" t="s">
        <v>2599</v>
      </c>
      <c r="K427" s="227" t="s">
        <v>3330</v>
      </c>
      <c r="L427" s="202" t="s">
        <v>1411</v>
      </c>
      <c r="M427" s="202">
        <v>0</v>
      </c>
      <c r="N427" s="202">
        <v>20</v>
      </c>
      <c r="O427" s="202">
        <v>63</v>
      </c>
      <c r="P427" s="202">
        <v>1</v>
      </c>
      <c r="Q427" s="202">
        <v>2</v>
      </c>
      <c r="R427" s="202">
        <v>2</v>
      </c>
      <c r="S427" s="202">
        <v>2</v>
      </c>
      <c r="T427" s="202">
        <v>2</v>
      </c>
      <c r="U427" s="202">
        <v>2</v>
      </c>
      <c r="V427" s="202">
        <v>3</v>
      </c>
      <c r="W427" s="202">
        <v>3</v>
      </c>
      <c r="X427" s="202">
        <v>3</v>
      </c>
      <c r="Y427" s="202">
        <v>3</v>
      </c>
      <c r="Z427" s="202">
        <v>3</v>
      </c>
      <c r="AA427" s="202">
        <v>3</v>
      </c>
      <c r="AB427" s="202">
        <v>3</v>
      </c>
      <c r="AC427" s="202">
        <v>3</v>
      </c>
      <c r="AD427" s="202">
        <v>4</v>
      </c>
      <c r="AE427" s="202">
        <v>4</v>
      </c>
      <c r="AF427" s="202">
        <v>4</v>
      </c>
      <c r="AG427" s="202">
        <v>4</v>
      </c>
      <c r="AH427" s="202">
        <v>5</v>
      </c>
      <c r="AI427" s="202">
        <v>7</v>
      </c>
      <c r="AJ427" s="202">
        <v>0</v>
      </c>
      <c r="AK427" s="202">
        <v>0</v>
      </c>
      <c r="AL427" s="202">
        <v>0</v>
      </c>
      <c r="AM427" s="202">
        <v>0</v>
      </c>
      <c r="AN427" s="202">
        <v>0</v>
      </c>
      <c r="AO427" s="202">
        <v>0</v>
      </c>
      <c r="AP427" s="202">
        <v>0</v>
      </c>
      <c r="AQ427" s="202" t="s">
        <v>2581</v>
      </c>
      <c r="AR427" s="202">
        <v>0</v>
      </c>
      <c r="AS427" s="202">
        <v>0</v>
      </c>
      <c r="AT427" s="202">
        <v>7.5</v>
      </c>
      <c r="AU427" s="202">
        <v>0</v>
      </c>
      <c r="AV427" s="202">
        <v>1.5</v>
      </c>
      <c r="AW427"/>
      <c r="AX427"/>
      <c r="AY427"/>
    </row>
    <row r="428" spans="1:51">
      <c r="A428" s="202" t="str">
        <f t="shared" si="28"/>
        <v>李荣昌</v>
      </c>
      <c r="B428" s="202" t="str">
        <f>IF(C428&lt;&gt;"NA",C428,VLOOKUP(K428,Update_from_YIFIP!$X$2:$AD$174,7,FALSE))</f>
        <v>NA</v>
      </c>
      <c r="C428" s="207" t="str">
        <f t="shared" si="25"/>
        <v>NA</v>
      </c>
      <c r="D428" s="207" t="str">
        <f t="shared" si="26"/>
        <v>NA</v>
      </c>
      <c r="E428" s="202" t="s">
        <v>2600</v>
      </c>
      <c r="F428" s="202" t="s">
        <v>2605</v>
      </c>
      <c r="G428" s="202" t="s">
        <v>2606</v>
      </c>
      <c r="H428" s="207" t="str">
        <f t="shared" si="27"/>
        <v>NA</v>
      </c>
      <c r="I428" s="202" t="s">
        <v>1929</v>
      </c>
      <c r="J428" s="202" t="s">
        <v>2601</v>
      </c>
      <c r="K428" s="202" t="s">
        <v>2603</v>
      </c>
      <c r="L428" s="202" t="s">
        <v>1412</v>
      </c>
      <c r="M428" s="202">
        <v>10</v>
      </c>
      <c r="N428" s="202">
        <v>0</v>
      </c>
      <c r="O428" s="202">
        <v>216</v>
      </c>
      <c r="P428" s="202">
        <v>9</v>
      </c>
      <c r="Q428" s="202">
        <v>16</v>
      </c>
      <c r="R428" s="202">
        <v>27</v>
      </c>
      <c r="S428" s="202">
        <v>21</v>
      </c>
      <c r="T428" s="202">
        <v>20</v>
      </c>
      <c r="U428" s="202">
        <v>29</v>
      </c>
      <c r="V428" s="202">
        <v>26</v>
      </c>
      <c r="W428" s="202">
        <v>20</v>
      </c>
      <c r="X428" s="202">
        <v>27</v>
      </c>
      <c r="Y428" s="202">
        <v>21</v>
      </c>
      <c r="Z428" s="202">
        <v>0</v>
      </c>
      <c r="AA428" s="202">
        <v>0</v>
      </c>
      <c r="AB428" s="202">
        <v>0</v>
      </c>
      <c r="AC428" s="202">
        <v>0</v>
      </c>
      <c r="AD428" s="202">
        <v>0</v>
      </c>
      <c r="AE428" s="202">
        <v>0</v>
      </c>
      <c r="AF428" s="202">
        <v>0</v>
      </c>
      <c r="AG428" s="202">
        <v>0</v>
      </c>
      <c r="AH428" s="202">
        <v>0</v>
      </c>
      <c r="AI428" s="202">
        <v>0</v>
      </c>
      <c r="AJ428" s="202">
        <v>0</v>
      </c>
      <c r="AK428" s="202">
        <v>0</v>
      </c>
      <c r="AL428" s="202">
        <v>0</v>
      </c>
      <c r="AM428" s="202">
        <v>0</v>
      </c>
      <c r="AN428" s="202">
        <v>0</v>
      </c>
      <c r="AO428" s="202">
        <v>0</v>
      </c>
      <c r="AP428" s="202">
        <v>0</v>
      </c>
      <c r="AQ428" s="202" t="s">
        <v>2602</v>
      </c>
      <c r="AR428" s="202">
        <v>0</v>
      </c>
      <c r="AS428" s="202">
        <v>0</v>
      </c>
      <c r="AT428" s="202">
        <v>40.5</v>
      </c>
      <c r="AU428" s="202" t="s">
        <v>2604</v>
      </c>
      <c r="AV428" s="202">
        <v>8.1</v>
      </c>
      <c r="AW428"/>
      <c r="AX428"/>
      <c r="AY428"/>
    </row>
    <row r="429" spans="1:51">
      <c r="A429" s="202" t="str">
        <f t="shared" si="28"/>
        <v>李荣昌</v>
      </c>
      <c r="B429" s="202" t="str">
        <f>IF(C429&lt;&gt;"NA",C429,VLOOKUP(K429,Update_from_YIFIP!$X$2:$AD$174,7,FALSE))</f>
        <v>NA</v>
      </c>
      <c r="C429" s="207" t="str">
        <f t="shared" si="25"/>
        <v>NA</v>
      </c>
      <c r="D429" s="207" t="str">
        <f t="shared" si="26"/>
        <v>NA</v>
      </c>
      <c r="E429" s="202" t="s">
        <v>2600</v>
      </c>
      <c r="F429" s="202" t="s">
        <v>2605</v>
      </c>
      <c r="G429" s="202" t="s">
        <v>2606</v>
      </c>
      <c r="H429" s="207" t="str">
        <f t="shared" si="27"/>
        <v>NA</v>
      </c>
      <c r="I429" s="202" t="s">
        <v>1929</v>
      </c>
      <c r="J429" s="202" t="s">
        <v>2601</v>
      </c>
      <c r="K429" s="202" t="s">
        <v>2607</v>
      </c>
      <c r="L429" s="202" t="s">
        <v>1413</v>
      </c>
      <c r="M429" s="202">
        <v>10</v>
      </c>
      <c r="N429" s="202">
        <v>0</v>
      </c>
      <c r="O429" s="202">
        <v>167</v>
      </c>
      <c r="P429" s="202">
        <v>12</v>
      </c>
      <c r="Q429" s="202">
        <v>20</v>
      </c>
      <c r="R429" s="202">
        <v>24</v>
      </c>
      <c r="S429" s="202">
        <v>19</v>
      </c>
      <c r="T429" s="202">
        <v>15</v>
      </c>
      <c r="U429" s="202">
        <v>22</v>
      </c>
      <c r="V429" s="202">
        <v>14</v>
      </c>
      <c r="W429" s="202">
        <v>20</v>
      </c>
      <c r="X429" s="202">
        <v>12</v>
      </c>
      <c r="Y429" s="202">
        <v>9</v>
      </c>
      <c r="Z429" s="202">
        <v>0</v>
      </c>
      <c r="AA429" s="202">
        <v>0</v>
      </c>
      <c r="AB429" s="202">
        <v>0</v>
      </c>
      <c r="AC429" s="202">
        <v>0</v>
      </c>
      <c r="AD429" s="202">
        <v>0</v>
      </c>
      <c r="AE429" s="202">
        <v>0</v>
      </c>
      <c r="AF429" s="202">
        <v>0</v>
      </c>
      <c r="AG429" s="202">
        <v>0</v>
      </c>
      <c r="AH429" s="202">
        <v>0</v>
      </c>
      <c r="AI429" s="202">
        <v>0</v>
      </c>
      <c r="AJ429" s="202">
        <v>0</v>
      </c>
      <c r="AK429" s="202">
        <v>0</v>
      </c>
      <c r="AL429" s="202">
        <v>0</v>
      </c>
      <c r="AM429" s="202">
        <v>0</v>
      </c>
      <c r="AN429" s="202">
        <v>0</v>
      </c>
      <c r="AO429" s="202">
        <v>0</v>
      </c>
      <c r="AP429" s="202">
        <v>0</v>
      </c>
      <c r="AQ429" s="202" t="s">
        <v>2602</v>
      </c>
      <c r="AR429" s="202">
        <v>0</v>
      </c>
      <c r="AS429" s="202">
        <v>0</v>
      </c>
      <c r="AT429" s="202">
        <v>38</v>
      </c>
      <c r="AU429" s="202" t="s">
        <v>2608</v>
      </c>
      <c r="AV429" s="202">
        <v>7.6</v>
      </c>
      <c r="AW429"/>
      <c r="AX429"/>
      <c r="AY429"/>
    </row>
    <row r="430" spans="1:51">
      <c r="A430" s="202" t="str">
        <f t="shared" si="28"/>
        <v>李荣昌</v>
      </c>
      <c r="B430" s="202" t="str">
        <f>IF(C430&lt;&gt;"NA",C430,VLOOKUP(K430,Update_from_YIFIP!$X$2:$AD$174,7,FALSE))</f>
        <v>NA</v>
      </c>
      <c r="C430" s="207" t="str">
        <f t="shared" si="25"/>
        <v>NA</v>
      </c>
      <c r="D430" s="207" t="str">
        <f t="shared" si="26"/>
        <v>NA</v>
      </c>
      <c r="E430" s="202" t="s">
        <v>2600</v>
      </c>
      <c r="F430" s="202" t="s">
        <v>2605</v>
      </c>
      <c r="G430" s="202" t="s">
        <v>2606</v>
      </c>
      <c r="H430" s="207" t="str">
        <f t="shared" si="27"/>
        <v>NA</v>
      </c>
      <c r="I430" s="202" t="s">
        <v>1929</v>
      </c>
      <c r="J430" s="202" t="s">
        <v>2601</v>
      </c>
      <c r="K430" s="202" t="s">
        <v>2609</v>
      </c>
      <c r="L430" s="202" t="s">
        <v>1414</v>
      </c>
      <c r="M430" s="202">
        <v>10</v>
      </c>
      <c r="N430" s="202">
        <v>0</v>
      </c>
      <c r="O430" s="202">
        <v>172</v>
      </c>
      <c r="P430" s="202">
        <v>9</v>
      </c>
      <c r="Q430" s="202">
        <v>15</v>
      </c>
      <c r="R430" s="202">
        <v>25</v>
      </c>
      <c r="S430" s="202">
        <v>17</v>
      </c>
      <c r="T430" s="202">
        <v>20</v>
      </c>
      <c r="U430" s="202">
        <v>16</v>
      </c>
      <c r="V430" s="202">
        <v>14</v>
      </c>
      <c r="W430" s="202">
        <v>13</v>
      </c>
      <c r="X430" s="202">
        <v>20</v>
      </c>
      <c r="Y430" s="202">
        <v>23</v>
      </c>
      <c r="Z430" s="202">
        <v>0</v>
      </c>
      <c r="AA430" s="202">
        <v>0</v>
      </c>
      <c r="AB430" s="202">
        <v>0</v>
      </c>
      <c r="AC430" s="202">
        <v>0</v>
      </c>
      <c r="AD430" s="202">
        <v>0</v>
      </c>
      <c r="AE430" s="202">
        <v>0</v>
      </c>
      <c r="AF430" s="202">
        <v>0</v>
      </c>
      <c r="AG430" s="202">
        <v>0</v>
      </c>
      <c r="AH430" s="202">
        <v>0</v>
      </c>
      <c r="AI430" s="202">
        <v>0</v>
      </c>
      <c r="AJ430" s="202">
        <v>0</v>
      </c>
      <c r="AK430" s="202">
        <v>0</v>
      </c>
      <c r="AL430" s="202">
        <v>0</v>
      </c>
      <c r="AM430" s="202">
        <v>0</v>
      </c>
      <c r="AN430" s="202">
        <v>0</v>
      </c>
      <c r="AO430" s="202">
        <v>0</v>
      </c>
      <c r="AP430" s="202">
        <v>0</v>
      </c>
      <c r="AQ430" s="202" t="s">
        <v>2602</v>
      </c>
      <c r="AR430" s="202">
        <v>0</v>
      </c>
      <c r="AS430" s="202">
        <v>0</v>
      </c>
      <c r="AT430" s="202">
        <v>37.5</v>
      </c>
      <c r="AU430" s="202" t="s">
        <v>2610</v>
      </c>
      <c r="AV430" s="202">
        <v>7.5</v>
      </c>
      <c r="AW430"/>
      <c r="AX430"/>
      <c r="AY430"/>
    </row>
    <row r="431" spans="1:51">
      <c r="A431" s="202" t="str">
        <f t="shared" si="28"/>
        <v>李荣昌</v>
      </c>
      <c r="B431" s="202" t="str">
        <f>IF(C431&lt;&gt;"NA",C431,VLOOKUP(K431,Update_from_YIFIP!$X$2:$AD$174,7,FALSE))</f>
        <v>NA</v>
      </c>
      <c r="C431" s="207" t="str">
        <f t="shared" si="25"/>
        <v>NA</v>
      </c>
      <c r="D431" s="207" t="str">
        <f t="shared" si="26"/>
        <v>NA</v>
      </c>
      <c r="E431" s="202" t="s">
        <v>2600</v>
      </c>
      <c r="F431" s="202" t="s">
        <v>2605</v>
      </c>
      <c r="G431" s="202" t="s">
        <v>2606</v>
      </c>
      <c r="H431" s="207" t="str">
        <f t="shared" si="27"/>
        <v>NA</v>
      </c>
      <c r="I431" s="202" t="s">
        <v>1929</v>
      </c>
      <c r="J431" s="202" t="s">
        <v>2601</v>
      </c>
      <c r="K431" s="202" t="s">
        <v>2611</v>
      </c>
      <c r="L431" s="202" t="s">
        <v>1415</v>
      </c>
      <c r="M431" s="202">
        <v>10</v>
      </c>
      <c r="N431" s="202">
        <v>0</v>
      </c>
      <c r="O431" s="202">
        <v>189</v>
      </c>
      <c r="P431" s="202">
        <v>22</v>
      </c>
      <c r="Q431" s="202">
        <v>23</v>
      </c>
      <c r="R431" s="202">
        <v>12</v>
      </c>
      <c r="S431" s="202">
        <v>20</v>
      </c>
      <c r="T431" s="202">
        <v>20</v>
      </c>
      <c r="U431" s="202">
        <v>17</v>
      </c>
      <c r="V431" s="202">
        <v>18</v>
      </c>
      <c r="W431" s="202">
        <v>23</v>
      </c>
      <c r="X431" s="202">
        <v>14</v>
      </c>
      <c r="Y431" s="202">
        <v>20</v>
      </c>
      <c r="Z431" s="202">
        <v>0</v>
      </c>
      <c r="AA431" s="202">
        <v>0</v>
      </c>
      <c r="AB431" s="202">
        <v>0</v>
      </c>
      <c r="AC431" s="202">
        <v>0</v>
      </c>
      <c r="AD431" s="202">
        <v>0</v>
      </c>
      <c r="AE431" s="202">
        <v>0</v>
      </c>
      <c r="AF431" s="202">
        <v>0</v>
      </c>
      <c r="AG431" s="202">
        <v>0</v>
      </c>
      <c r="AH431" s="202">
        <v>0</v>
      </c>
      <c r="AI431" s="202">
        <v>0</v>
      </c>
      <c r="AJ431" s="202">
        <v>0</v>
      </c>
      <c r="AK431" s="202">
        <v>0</v>
      </c>
      <c r="AL431" s="202">
        <v>0</v>
      </c>
      <c r="AM431" s="202">
        <v>0</v>
      </c>
      <c r="AN431" s="202">
        <v>0</v>
      </c>
      <c r="AO431" s="202">
        <v>0</v>
      </c>
      <c r="AP431" s="202">
        <v>0</v>
      </c>
      <c r="AQ431" s="202" t="s">
        <v>2602</v>
      </c>
      <c r="AR431" s="202">
        <v>0</v>
      </c>
      <c r="AS431" s="202">
        <v>0</v>
      </c>
      <c r="AT431" s="202">
        <v>38</v>
      </c>
      <c r="AU431" s="202" t="s">
        <v>2612</v>
      </c>
      <c r="AV431" s="202">
        <v>7.6</v>
      </c>
      <c r="AW431"/>
      <c r="AX431"/>
      <c r="AY431"/>
    </row>
    <row r="432" spans="1:51">
      <c r="A432" s="202" t="str">
        <f t="shared" si="28"/>
        <v>李荣昌</v>
      </c>
      <c r="B432" s="202" t="str">
        <f>IF(C432&lt;&gt;"NA",C432,VLOOKUP(K432,Update_from_YIFIP!$X$2:$AD$174,7,FALSE))</f>
        <v>NA</v>
      </c>
      <c r="C432" s="207" t="str">
        <f t="shared" si="25"/>
        <v>NA</v>
      </c>
      <c r="D432" s="207" t="str">
        <f t="shared" si="26"/>
        <v>NA</v>
      </c>
      <c r="E432" s="202" t="s">
        <v>2600</v>
      </c>
      <c r="F432" s="202" t="s">
        <v>2605</v>
      </c>
      <c r="G432" s="202" t="s">
        <v>2606</v>
      </c>
      <c r="H432" s="207" t="str">
        <f t="shared" si="27"/>
        <v>NA</v>
      </c>
      <c r="I432" s="202" t="s">
        <v>1929</v>
      </c>
      <c r="J432" s="202" t="s">
        <v>2613</v>
      </c>
      <c r="K432" s="202" t="s">
        <v>2614</v>
      </c>
      <c r="L432" s="202" t="s">
        <v>1416</v>
      </c>
      <c r="M432" s="202">
        <v>0</v>
      </c>
      <c r="N432" s="202">
        <v>19</v>
      </c>
      <c r="O432" s="202">
        <v>206</v>
      </c>
      <c r="P432" s="202">
        <v>6</v>
      </c>
      <c r="Q432" s="202">
        <v>9</v>
      </c>
      <c r="R432" s="202">
        <v>11</v>
      </c>
      <c r="S432" s="202">
        <v>9</v>
      </c>
      <c r="T432" s="202">
        <v>15</v>
      </c>
      <c r="U432" s="202">
        <v>19</v>
      </c>
      <c r="V432" s="202">
        <v>12</v>
      </c>
      <c r="W432" s="202">
        <v>6</v>
      </c>
      <c r="X432" s="202">
        <v>11</v>
      </c>
      <c r="Y432" s="202">
        <v>8</v>
      </c>
      <c r="Z432" s="202">
        <v>9</v>
      </c>
      <c r="AA432" s="202">
        <v>13</v>
      </c>
      <c r="AB432" s="202">
        <v>7</v>
      </c>
      <c r="AC432" s="202">
        <v>11</v>
      </c>
      <c r="AD432" s="202">
        <v>12</v>
      </c>
      <c r="AE432" s="202">
        <v>9</v>
      </c>
      <c r="AF432" s="202">
        <v>11</v>
      </c>
      <c r="AG432" s="202">
        <v>12</v>
      </c>
      <c r="AH432" s="202">
        <v>16</v>
      </c>
      <c r="AI432" s="202">
        <v>0</v>
      </c>
      <c r="AJ432" s="202">
        <v>0</v>
      </c>
      <c r="AK432" s="202">
        <v>0</v>
      </c>
      <c r="AL432" s="202">
        <v>0</v>
      </c>
      <c r="AM432" s="202">
        <v>0</v>
      </c>
      <c r="AN432" s="202">
        <v>0</v>
      </c>
      <c r="AO432" s="202">
        <v>0</v>
      </c>
      <c r="AP432" s="202">
        <v>0</v>
      </c>
      <c r="AQ432" s="202" t="s">
        <v>2602</v>
      </c>
      <c r="AR432" s="202">
        <v>0</v>
      </c>
      <c r="AS432" s="202">
        <v>0</v>
      </c>
      <c r="AT432" s="202">
        <v>47.5</v>
      </c>
      <c r="AU432" s="202" t="s">
        <v>2615</v>
      </c>
      <c r="AV432" s="202">
        <v>9.5</v>
      </c>
      <c r="AW432"/>
      <c r="AX432"/>
      <c r="AY432"/>
    </row>
    <row r="433" spans="1:51">
      <c r="A433" s="202" t="str">
        <f t="shared" si="28"/>
        <v>张春应</v>
      </c>
      <c r="B433" s="202" t="str">
        <f>IF(C433&lt;&gt;"NA",C433,VLOOKUP(K433,Update_from_YIFIP!$X$2:$AD$174,7,FALSE))</f>
        <v>NA</v>
      </c>
      <c r="C433" s="207" t="str">
        <f t="shared" si="25"/>
        <v>NA</v>
      </c>
      <c r="D433" s="207" t="str">
        <f t="shared" si="26"/>
        <v>NA</v>
      </c>
      <c r="E433" s="202" t="s">
        <v>2616</v>
      </c>
      <c r="F433" s="202" t="s">
        <v>2617</v>
      </c>
      <c r="G433" s="202" t="s">
        <v>2618</v>
      </c>
      <c r="H433" s="207" t="str">
        <f t="shared" si="27"/>
        <v>NA</v>
      </c>
      <c r="I433" s="202" t="s">
        <v>1929</v>
      </c>
      <c r="J433" s="202" t="s">
        <v>1929</v>
      </c>
      <c r="K433" s="202" t="s">
        <v>1929</v>
      </c>
      <c r="L433" s="202" t="s">
        <v>1417</v>
      </c>
      <c r="M433" s="202">
        <v>9</v>
      </c>
      <c r="N433" s="202">
        <v>0</v>
      </c>
      <c r="O433" s="202">
        <v>56</v>
      </c>
      <c r="P433" s="202">
        <v>2</v>
      </c>
      <c r="Q433" s="202">
        <v>4</v>
      </c>
      <c r="R433" s="202">
        <v>5</v>
      </c>
      <c r="S433" s="202">
        <v>5</v>
      </c>
      <c r="T433" s="202">
        <v>5</v>
      </c>
      <c r="U433" s="202">
        <v>7</v>
      </c>
      <c r="V433" s="202">
        <v>7</v>
      </c>
      <c r="W433" s="202">
        <v>10</v>
      </c>
      <c r="X433" s="202">
        <v>11</v>
      </c>
      <c r="Y433" s="202">
        <v>0</v>
      </c>
      <c r="Z433" s="202">
        <v>0</v>
      </c>
      <c r="AA433" s="202">
        <v>0</v>
      </c>
      <c r="AB433" s="202">
        <v>0</v>
      </c>
      <c r="AC433" s="202">
        <v>0</v>
      </c>
      <c r="AD433" s="202">
        <v>0</v>
      </c>
      <c r="AE433" s="202">
        <v>0</v>
      </c>
      <c r="AF433" s="202">
        <v>0</v>
      </c>
      <c r="AG433" s="202">
        <v>0</v>
      </c>
      <c r="AH433" s="202">
        <v>0</v>
      </c>
      <c r="AI433" s="202">
        <v>0</v>
      </c>
      <c r="AJ433" s="202">
        <v>0</v>
      </c>
      <c r="AK433" s="202">
        <v>0</v>
      </c>
      <c r="AL433" s="202">
        <v>0</v>
      </c>
      <c r="AM433" s="202">
        <v>0</v>
      </c>
      <c r="AN433" s="202">
        <v>0</v>
      </c>
      <c r="AO433" s="202">
        <v>0</v>
      </c>
      <c r="AP433" s="202">
        <v>0</v>
      </c>
      <c r="AQ433" s="202" t="s">
        <v>1929</v>
      </c>
      <c r="AR433" s="202">
        <v>0</v>
      </c>
      <c r="AS433" s="202">
        <v>0</v>
      </c>
      <c r="AT433" s="202">
        <v>7.5</v>
      </c>
      <c r="AU433" s="202">
        <v>0</v>
      </c>
      <c r="AV433" s="202">
        <v>1.5</v>
      </c>
      <c r="AW433"/>
      <c r="AX433"/>
      <c r="AY433"/>
    </row>
    <row r="434" spans="1:51">
      <c r="A434" s="202" t="str">
        <f t="shared" si="28"/>
        <v>张春应</v>
      </c>
      <c r="B434" s="202" t="str">
        <f>IF(C434&lt;&gt;"NA",C434,VLOOKUP(K434,Update_from_YIFIP!$X$2:$AD$174,7,FALSE))</f>
        <v>NA</v>
      </c>
      <c r="C434" s="207" t="str">
        <f t="shared" si="25"/>
        <v>NA</v>
      </c>
      <c r="D434" s="207" t="str">
        <f t="shared" si="26"/>
        <v>NA</v>
      </c>
      <c r="E434" s="202" t="s">
        <v>2616</v>
      </c>
      <c r="F434" s="202" t="s">
        <v>2617</v>
      </c>
      <c r="G434" s="202" t="s">
        <v>2618</v>
      </c>
      <c r="H434" s="207" t="str">
        <f t="shared" si="27"/>
        <v>NA</v>
      </c>
      <c r="I434" s="202" t="s">
        <v>1929</v>
      </c>
      <c r="J434" s="202" t="s">
        <v>1929</v>
      </c>
      <c r="K434" s="202" t="s">
        <v>1929</v>
      </c>
      <c r="L434" s="202" t="s">
        <v>1418</v>
      </c>
      <c r="M434" s="202">
        <v>10</v>
      </c>
      <c r="N434" s="202">
        <v>0</v>
      </c>
      <c r="O434" s="202">
        <v>104</v>
      </c>
      <c r="P434" s="202">
        <v>2</v>
      </c>
      <c r="Q434" s="202">
        <v>4</v>
      </c>
      <c r="R434" s="202">
        <v>5</v>
      </c>
      <c r="S434" s="202">
        <v>5</v>
      </c>
      <c r="T434" s="202">
        <v>6</v>
      </c>
      <c r="U434" s="202">
        <v>6</v>
      </c>
      <c r="V434" s="202">
        <v>7</v>
      </c>
      <c r="W434" s="202">
        <v>9</v>
      </c>
      <c r="X434" s="202">
        <v>11</v>
      </c>
      <c r="Y434" s="202">
        <v>49</v>
      </c>
      <c r="Z434" s="202">
        <v>0</v>
      </c>
      <c r="AA434" s="202">
        <v>0</v>
      </c>
      <c r="AB434" s="202">
        <v>0</v>
      </c>
      <c r="AC434" s="202">
        <v>0</v>
      </c>
      <c r="AD434" s="202">
        <v>0</v>
      </c>
      <c r="AE434" s="202">
        <v>0</v>
      </c>
      <c r="AF434" s="202">
        <v>0</v>
      </c>
      <c r="AG434" s="202">
        <v>0</v>
      </c>
      <c r="AH434" s="202">
        <v>0</v>
      </c>
      <c r="AI434" s="202">
        <v>0</v>
      </c>
      <c r="AJ434" s="202">
        <v>0</v>
      </c>
      <c r="AK434" s="202">
        <v>0</v>
      </c>
      <c r="AL434" s="202">
        <v>0</v>
      </c>
      <c r="AM434" s="202">
        <v>0</v>
      </c>
      <c r="AN434" s="202">
        <v>0</v>
      </c>
      <c r="AO434" s="202">
        <v>0</v>
      </c>
      <c r="AP434" s="202">
        <v>0</v>
      </c>
      <c r="AQ434" s="202" t="s">
        <v>2619</v>
      </c>
      <c r="AR434" s="202">
        <v>0</v>
      </c>
      <c r="AS434" s="202">
        <v>0</v>
      </c>
      <c r="AT434" s="202">
        <v>17.499999999999996</v>
      </c>
      <c r="AU434" s="202" t="s">
        <v>2620</v>
      </c>
      <c r="AV434" s="202">
        <v>3.4999999999999996</v>
      </c>
      <c r="AW434"/>
      <c r="AX434"/>
      <c r="AY434"/>
    </row>
    <row r="435" spans="1:51">
      <c r="A435" s="202" t="str">
        <f t="shared" si="28"/>
        <v>张春应</v>
      </c>
      <c r="B435" s="202" t="str">
        <f>IF(C435&lt;&gt;"NA",C435,VLOOKUP(K435,Update_from_YIFIP!$X$2:$AD$174,7,FALSE))</f>
        <v>NA</v>
      </c>
      <c r="C435" s="207" t="str">
        <f t="shared" si="25"/>
        <v>NA</v>
      </c>
      <c r="D435" s="207" t="str">
        <f t="shared" si="26"/>
        <v>NA</v>
      </c>
      <c r="E435" s="202" t="s">
        <v>2616</v>
      </c>
      <c r="F435" s="202" t="s">
        <v>2617</v>
      </c>
      <c r="G435" s="202" t="s">
        <v>2618</v>
      </c>
      <c r="H435" s="207" t="str">
        <f t="shared" si="27"/>
        <v>NA</v>
      </c>
      <c r="I435" s="202" t="s">
        <v>1929</v>
      </c>
      <c r="J435" s="202" t="s">
        <v>1929</v>
      </c>
      <c r="K435" s="202" t="s">
        <v>1929</v>
      </c>
      <c r="L435" s="202" t="s">
        <v>1419</v>
      </c>
      <c r="M435" s="202">
        <v>10</v>
      </c>
      <c r="N435" s="202">
        <v>0</v>
      </c>
      <c r="O435" s="202">
        <v>134</v>
      </c>
      <c r="P435" s="202">
        <v>8</v>
      </c>
      <c r="Q435" s="202">
        <v>8</v>
      </c>
      <c r="R435" s="202">
        <v>10</v>
      </c>
      <c r="S435" s="202">
        <v>11</v>
      </c>
      <c r="T435" s="202">
        <v>13</v>
      </c>
      <c r="U435" s="202">
        <v>14</v>
      </c>
      <c r="V435" s="202">
        <v>14</v>
      </c>
      <c r="W435" s="202">
        <v>15</v>
      </c>
      <c r="X435" s="202">
        <v>17</v>
      </c>
      <c r="Y435" s="202">
        <v>24</v>
      </c>
      <c r="Z435" s="202">
        <v>0</v>
      </c>
      <c r="AA435" s="202">
        <v>0</v>
      </c>
      <c r="AB435" s="202">
        <v>0</v>
      </c>
      <c r="AC435" s="202">
        <v>0</v>
      </c>
      <c r="AD435" s="202">
        <v>0</v>
      </c>
      <c r="AE435" s="202">
        <v>0</v>
      </c>
      <c r="AF435" s="202">
        <v>0</v>
      </c>
      <c r="AG435" s="202">
        <v>0</v>
      </c>
      <c r="AH435" s="202">
        <v>0</v>
      </c>
      <c r="AI435" s="202">
        <v>0</v>
      </c>
      <c r="AJ435" s="202">
        <v>0</v>
      </c>
      <c r="AK435" s="202">
        <v>0</v>
      </c>
      <c r="AL435" s="202">
        <v>0</v>
      </c>
      <c r="AM435" s="202">
        <v>0</v>
      </c>
      <c r="AN435" s="202">
        <v>0</v>
      </c>
      <c r="AO435" s="202">
        <v>0</v>
      </c>
      <c r="AP435" s="202">
        <v>0</v>
      </c>
      <c r="AQ435" s="202" t="s">
        <v>2621</v>
      </c>
      <c r="AR435" s="202">
        <v>0</v>
      </c>
      <c r="AS435" s="202">
        <v>0</v>
      </c>
      <c r="AT435" s="202">
        <v>17.5</v>
      </c>
      <c r="AU435" s="202" t="s">
        <v>2622</v>
      </c>
      <c r="AV435" s="202">
        <v>3.5</v>
      </c>
      <c r="AW435"/>
      <c r="AX435"/>
      <c r="AY435"/>
    </row>
    <row r="436" spans="1:51">
      <c r="A436" s="202" t="str">
        <f t="shared" si="28"/>
        <v>张春应</v>
      </c>
      <c r="B436" s="202" t="str">
        <f>IF(C436&lt;&gt;"NA",C436,VLOOKUP(K436,Update_from_YIFIP!$X$2:$AD$174,7,FALSE))</f>
        <v>NA</v>
      </c>
      <c r="C436" s="207" t="str">
        <f t="shared" si="25"/>
        <v>NA</v>
      </c>
      <c r="D436" s="207" t="str">
        <f t="shared" si="26"/>
        <v>NA</v>
      </c>
      <c r="E436" s="202" t="s">
        <v>2616</v>
      </c>
      <c r="F436" s="202" t="s">
        <v>2617</v>
      </c>
      <c r="G436" s="202" t="s">
        <v>2618</v>
      </c>
      <c r="H436" s="207" t="str">
        <f t="shared" si="27"/>
        <v>NA</v>
      </c>
      <c r="I436" s="202" t="s">
        <v>1929</v>
      </c>
      <c r="J436" s="202" t="s">
        <v>1929</v>
      </c>
      <c r="K436" s="202" t="s">
        <v>1929</v>
      </c>
      <c r="L436" s="202" t="s">
        <v>1420</v>
      </c>
      <c r="M436" s="202">
        <v>10</v>
      </c>
      <c r="N436" s="202">
        <v>0</v>
      </c>
      <c r="O436" s="202">
        <v>142</v>
      </c>
      <c r="P436" s="202">
        <v>23</v>
      </c>
      <c r="Q436" s="202">
        <v>13</v>
      </c>
      <c r="R436" s="202">
        <v>12</v>
      </c>
      <c r="S436" s="202">
        <v>10</v>
      </c>
      <c r="T436" s="202">
        <v>8</v>
      </c>
      <c r="U436" s="202">
        <v>23</v>
      </c>
      <c r="V436" s="202">
        <v>13</v>
      </c>
      <c r="W436" s="202">
        <v>12</v>
      </c>
      <c r="X436" s="202">
        <v>14</v>
      </c>
      <c r="Y436" s="202">
        <v>14</v>
      </c>
      <c r="Z436" s="202">
        <v>0</v>
      </c>
      <c r="AA436" s="202">
        <v>0</v>
      </c>
      <c r="AB436" s="202">
        <v>0</v>
      </c>
      <c r="AC436" s="202">
        <v>0</v>
      </c>
      <c r="AD436" s="202">
        <v>0</v>
      </c>
      <c r="AE436" s="202">
        <v>0</v>
      </c>
      <c r="AF436" s="202">
        <v>0</v>
      </c>
      <c r="AG436" s="202">
        <v>0</v>
      </c>
      <c r="AH436" s="202">
        <v>0</v>
      </c>
      <c r="AI436" s="202">
        <v>0</v>
      </c>
      <c r="AJ436" s="202">
        <v>0</v>
      </c>
      <c r="AK436" s="202">
        <v>0</v>
      </c>
      <c r="AL436" s="202">
        <v>0</v>
      </c>
      <c r="AM436" s="202">
        <v>0</v>
      </c>
      <c r="AN436" s="202">
        <v>0</v>
      </c>
      <c r="AO436" s="202">
        <v>0</v>
      </c>
      <c r="AP436" s="202">
        <v>0</v>
      </c>
      <c r="AQ436" s="202" t="s">
        <v>1929</v>
      </c>
      <c r="AR436" s="202">
        <v>0</v>
      </c>
      <c r="AS436" s="202">
        <v>0</v>
      </c>
      <c r="AT436" s="202">
        <v>16.5</v>
      </c>
      <c r="AU436" s="202" t="s">
        <v>2623</v>
      </c>
      <c r="AV436" s="202">
        <v>3.3</v>
      </c>
      <c r="AW436"/>
      <c r="AX436"/>
      <c r="AY436"/>
    </row>
    <row r="437" spans="1:51">
      <c r="A437" s="202" t="str">
        <f t="shared" si="28"/>
        <v>张春应</v>
      </c>
      <c r="B437" s="202" t="str">
        <f>IF(C437&lt;&gt;"NA",C437,VLOOKUP(K437,Update_from_YIFIP!$X$2:$AD$174,7,FALSE))</f>
        <v>NA</v>
      </c>
      <c r="C437" s="207" t="str">
        <f t="shared" si="25"/>
        <v>NA</v>
      </c>
      <c r="D437" s="207" t="str">
        <f t="shared" si="26"/>
        <v>NA</v>
      </c>
      <c r="E437" s="202" t="s">
        <v>2616</v>
      </c>
      <c r="F437" s="202" t="s">
        <v>2617</v>
      </c>
      <c r="G437" s="202" t="s">
        <v>2618</v>
      </c>
      <c r="H437" s="207" t="str">
        <f t="shared" si="27"/>
        <v>NA</v>
      </c>
      <c r="I437" s="202" t="s">
        <v>1929</v>
      </c>
      <c r="J437" s="202" t="s">
        <v>2624</v>
      </c>
      <c r="K437" s="202" t="s">
        <v>2626</v>
      </c>
      <c r="L437" s="202" t="s">
        <v>1421</v>
      </c>
      <c r="M437" s="202">
        <v>0</v>
      </c>
      <c r="N437" s="202">
        <v>20</v>
      </c>
      <c r="O437" s="202">
        <v>137</v>
      </c>
      <c r="P437" s="202">
        <v>1</v>
      </c>
      <c r="Q437" s="202">
        <v>3</v>
      </c>
      <c r="R437" s="202">
        <v>3</v>
      </c>
      <c r="S437" s="202">
        <v>5</v>
      </c>
      <c r="T437" s="202">
        <v>5</v>
      </c>
      <c r="U437" s="202">
        <v>5</v>
      </c>
      <c r="V437" s="202">
        <v>5</v>
      </c>
      <c r="W437" s="202">
        <v>6</v>
      </c>
      <c r="X437" s="202">
        <v>6</v>
      </c>
      <c r="Y437" s="202">
        <v>6</v>
      </c>
      <c r="Z437" s="202">
        <v>7</v>
      </c>
      <c r="AA437" s="202">
        <v>7</v>
      </c>
      <c r="AB437" s="202">
        <v>8</v>
      </c>
      <c r="AC437" s="202">
        <v>9</v>
      </c>
      <c r="AD437" s="202">
        <v>9</v>
      </c>
      <c r="AE437" s="202">
        <v>9</v>
      </c>
      <c r="AF437" s="202">
        <v>10</v>
      </c>
      <c r="AG437" s="202">
        <v>10</v>
      </c>
      <c r="AH437" s="202">
        <v>11</v>
      </c>
      <c r="AI437" s="202">
        <v>12</v>
      </c>
      <c r="AJ437" s="202">
        <v>0</v>
      </c>
      <c r="AK437" s="202">
        <v>0</v>
      </c>
      <c r="AL437" s="202">
        <v>0</v>
      </c>
      <c r="AM437" s="202">
        <v>0</v>
      </c>
      <c r="AN437" s="202">
        <v>0</v>
      </c>
      <c r="AO437" s="202">
        <v>0</v>
      </c>
      <c r="AP437" s="202">
        <v>0</v>
      </c>
      <c r="AQ437" s="202" t="s">
        <v>2625</v>
      </c>
      <c r="AR437" s="202">
        <v>0</v>
      </c>
      <c r="AS437" s="202">
        <v>0</v>
      </c>
      <c r="AT437" s="202">
        <v>17.5</v>
      </c>
      <c r="AU437" s="202" t="s">
        <v>2627</v>
      </c>
      <c r="AV437" s="202">
        <v>3.5</v>
      </c>
      <c r="AW437"/>
      <c r="AX437"/>
      <c r="AY437"/>
    </row>
    <row r="438" spans="1:51">
      <c r="A438" s="202" t="str">
        <f t="shared" si="28"/>
        <v>张明忠</v>
      </c>
      <c r="B438" s="202" t="str">
        <f>IF(C438&lt;&gt;"NA",C438,VLOOKUP(K438,Update_from_YIFIP!$X$2:$AD$174,7,FALSE))</f>
        <v>NA</v>
      </c>
      <c r="C438" s="207" t="str">
        <f t="shared" si="25"/>
        <v>NA</v>
      </c>
      <c r="D438" s="207" t="str">
        <f t="shared" si="26"/>
        <v>NA</v>
      </c>
      <c r="E438" s="202" t="s">
        <v>2628</v>
      </c>
      <c r="F438" s="202" t="s">
        <v>2632</v>
      </c>
      <c r="G438" s="202" t="s">
        <v>2633</v>
      </c>
      <c r="H438" s="207" t="str">
        <f t="shared" si="27"/>
        <v>NA</v>
      </c>
      <c r="I438" s="202" t="s">
        <v>1929</v>
      </c>
      <c r="J438" s="202" t="s">
        <v>2629</v>
      </c>
      <c r="K438" s="202" t="s">
        <v>2631</v>
      </c>
      <c r="L438" s="202" t="s">
        <v>1422</v>
      </c>
      <c r="M438" s="202">
        <v>10</v>
      </c>
      <c r="N438" s="202">
        <v>0</v>
      </c>
      <c r="O438" s="202">
        <v>231</v>
      </c>
      <c r="P438" s="202">
        <v>26</v>
      </c>
      <c r="Q438" s="202">
        <v>15</v>
      </c>
      <c r="R438" s="202">
        <v>22</v>
      </c>
      <c r="S438" s="202">
        <v>19</v>
      </c>
      <c r="T438" s="202">
        <v>33</v>
      </c>
      <c r="U438" s="202">
        <v>26</v>
      </c>
      <c r="V438" s="202">
        <v>32</v>
      </c>
      <c r="W438" s="202">
        <v>24</v>
      </c>
      <c r="X438" s="202">
        <v>18</v>
      </c>
      <c r="Y438" s="202">
        <v>16</v>
      </c>
      <c r="Z438" s="202">
        <v>0</v>
      </c>
      <c r="AA438" s="202">
        <v>0</v>
      </c>
      <c r="AB438" s="202">
        <v>0</v>
      </c>
      <c r="AC438" s="202">
        <v>0</v>
      </c>
      <c r="AD438" s="202">
        <v>0</v>
      </c>
      <c r="AE438" s="202">
        <v>0</v>
      </c>
      <c r="AF438" s="202">
        <v>0</v>
      </c>
      <c r="AG438" s="202">
        <v>0</v>
      </c>
      <c r="AH438" s="202">
        <v>0</v>
      </c>
      <c r="AI438" s="202">
        <v>0</v>
      </c>
      <c r="AJ438" s="202">
        <v>0</v>
      </c>
      <c r="AK438" s="202">
        <v>0</v>
      </c>
      <c r="AL438" s="202">
        <v>0</v>
      </c>
      <c r="AM438" s="202">
        <v>0</v>
      </c>
      <c r="AN438" s="202">
        <v>0</v>
      </c>
      <c r="AO438" s="202">
        <v>0</v>
      </c>
      <c r="AP438" s="202">
        <v>0</v>
      </c>
      <c r="AQ438" s="202" t="s">
        <v>2630</v>
      </c>
      <c r="AR438" s="202">
        <v>0</v>
      </c>
      <c r="AS438" s="202">
        <v>0</v>
      </c>
      <c r="AT438" s="202">
        <v>50</v>
      </c>
      <c r="AU438" s="202" t="s">
        <v>2302</v>
      </c>
      <c r="AV438" s="202">
        <v>10</v>
      </c>
      <c r="AW438"/>
      <c r="AX438"/>
      <c r="AY438"/>
    </row>
    <row r="439" spans="1:51">
      <c r="A439" s="202" t="str">
        <f t="shared" si="28"/>
        <v>张明忠</v>
      </c>
      <c r="B439" s="202" t="str">
        <f>IF(C439&lt;&gt;"NA",C439,VLOOKUP(K439,Update_from_YIFIP!$X$2:$AD$174,7,FALSE))</f>
        <v>NA</v>
      </c>
      <c r="C439" s="207" t="str">
        <f t="shared" si="25"/>
        <v>NA</v>
      </c>
      <c r="D439" s="207" t="str">
        <f t="shared" si="26"/>
        <v>NA</v>
      </c>
      <c r="E439" s="202" t="s">
        <v>2628</v>
      </c>
      <c r="F439" s="202" t="s">
        <v>2632</v>
      </c>
      <c r="G439" s="202" t="s">
        <v>2633</v>
      </c>
      <c r="H439" s="207" t="str">
        <f t="shared" si="27"/>
        <v>NA</v>
      </c>
      <c r="I439" s="202" t="s">
        <v>1929</v>
      </c>
      <c r="J439" s="202" t="s">
        <v>2634</v>
      </c>
      <c r="K439" s="202" t="s">
        <v>2635</v>
      </c>
      <c r="L439" s="202" t="s">
        <v>1423</v>
      </c>
      <c r="M439" s="202">
        <v>10</v>
      </c>
      <c r="N439" s="202">
        <v>0</v>
      </c>
      <c r="O439" s="202">
        <v>186</v>
      </c>
      <c r="P439" s="202">
        <v>16</v>
      </c>
      <c r="Q439" s="202">
        <v>16</v>
      </c>
      <c r="R439" s="202">
        <v>16</v>
      </c>
      <c r="S439" s="202">
        <v>22</v>
      </c>
      <c r="T439" s="202">
        <v>22</v>
      </c>
      <c r="U439" s="202">
        <v>21</v>
      </c>
      <c r="V439" s="202">
        <v>19</v>
      </c>
      <c r="W439" s="202">
        <v>14</v>
      </c>
      <c r="X439" s="202">
        <v>23</v>
      </c>
      <c r="Y439" s="202">
        <v>17</v>
      </c>
      <c r="Z439" s="202">
        <v>0</v>
      </c>
      <c r="AA439" s="202">
        <v>0</v>
      </c>
      <c r="AB439" s="202">
        <v>0</v>
      </c>
      <c r="AC439" s="202">
        <v>0</v>
      </c>
      <c r="AD439" s="202">
        <v>0</v>
      </c>
      <c r="AE439" s="202">
        <v>0</v>
      </c>
      <c r="AF439" s="202">
        <v>0</v>
      </c>
      <c r="AG439" s="202">
        <v>0</v>
      </c>
      <c r="AH439" s="202">
        <v>0</v>
      </c>
      <c r="AI439" s="202">
        <v>0</v>
      </c>
      <c r="AJ439" s="202">
        <v>0</v>
      </c>
      <c r="AK439" s="202">
        <v>0</v>
      </c>
      <c r="AL439" s="202">
        <v>0</v>
      </c>
      <c r="AM439" s="202">
        <v>0</v>
      </c>
      <c r="AN439" s="202">
        <v>0</v>
      </c>
      <c r="AO439" s="202">
        <v>0</v>
      </c>
      <c r="AP439" s="202">
        <v>0</v>
      </c>
      <c r="AQ439" s="202" t="s">
        <v>2630</v>
      </c>
      <c r="AR439" s="202">
        <v>0</v>
      </c>
      <c r="AS439" s="202">
        <v>0</v>
      </c>
      <c r="AT439" s="202">
        <v>47.5</v>
      </c>
      <c r="AU439" s="202" t="s">
        <v>2636</v>
      </c>
      <c r="AV439" s="202">
        <v>9.5</v>
      </c>
      <c r="AW439"/>
      <c r="AX439"/>
      <c r="AY439"/>
    </row>
    <row r="440" spans="1:51">
      <c r="A440" s="202" t="str">
        <f t="shared" si="28"/>
        <v>张明忠</v>
      </c>
      <c r="B440" s="202" t="str">
        <f>IF(C440&lt;&gt;"NA",C440,VLOOKUP(K440,Update_from_YIFIP!$X$2:$AD$174,7,FALSE))</f>
        <v>NA</v>
      </c>
      <c r="C440" s="207" t="str">
        <f t="shared" si="25"/>
        <v>NA</v>
      </c>
      <c r="D440" s="207" t="str">
        <f t="shared" si="26"/>
        <v>NA</v>
      </c>
      <c r="E440" s="202" t="s">
        <v>2628</v>
      </c>
      <c r="F440" s="202" t="s">
        <v>2632</v>
      </c>
      <c r="G440" s="202" t="s">
        <v>2633</v>
      </c>
      <c r="H440" s="207" t="str">
        <f t="shared" si="27"/>
        <v>NA</v>
      </c>
      <c r="I440" s="202" t="s">
        <v>1929</v>
      </c>
      <c r="J440" s="202" t="s">
        <v>2637</v>
      </c>
      <c r="K440" s="202" t="s">
        <v>2638</v>
      </c>
      <c r="L440" s="202" t="s">
        <v>1424</v>
      </c>
      <c r="M440" s="202">
        <v>10</v>
      </c>
      <c r="N440" s="202">
        <v>0</v>
      </c>
      <c r="O440" s="202">
        <v>178</v>
      </c>
      <c r="P440" s="202">
        <v>13</v>
      </c>
      <c r="Q440" s="202">
        <v>20</v>
      </c>
      <c r="R440" s="202">
        <v>20</v>
      </c>
      <c r="S440" s="202">
        <v>25</v>
      </c>
      <c r="T440" s="202">
        <v>16</v>
      </c>
      <c r="U440" s="202">
        <v>17</v>
      </c>
      <c r="V440" s="202">
        <v>19</v>
      </c>
      <c r="W440" s="202">
        <v>19</v>
      </c>
      <c r="X440" s="202">
        <v>19</v>
      </c>
      <c r="Y440" s="202">
        <v>10</v>
      </c>
      <c r="Z440" s="202">
        <v>0</v>
      </c>
      <c r="AA440" s="202">
        <v>0</v>
      </c>
      <c r="AB440" s="202">
        <v>0</v>
      </c>
      <c r="AC440" s="202">
        <v>0</v>
      </c>
      <c r="AD440" s="202">
        <v>0</v>
      </c>
      <c r="AE440" s="202">
        <v>0</v>
      </c>
      <c r="AF440" s="202">
        <v>0</v>
      </c>
      <c r="AG440" s="202">
        <v>0</v>
      </c>
      <c r="AH440" s="202">
        <v>0</v>
      </c>
      <c r="AI440" s="202">
        <v>0</v>
      </c>
      <c r="AJ440" s="202">
        <v>0</v>
      </c>
      <c r="AK440" s="202">
        <v>0</v>
      </c>
      <c r="AL440" s="202">
        <v>0</v>
      </c>
      <c r="AM440" s="202">
        <v>0</v>
      </c>
      <c r="AN440" s="202">
        <v>0</v>
      </c>
      <c r="AO440" s="202">
        <v>0</v>
      </c>
      <c r="AP440" s="202">
        <v>0</v>
      </c>
      <c r="AQ440" s="202" t="s">
        <v>2630</v>
      </c>
      <c r="AR440" s="202">
        <v>0</v>
      </c>
      <c r="AS440" s="202">
        <v>0</v>
      </c>
      <c r="AT440" s="202">
        <v>42</v>
      </c>
      <c r="AU440" s="202" t="s">
        <v>2639</v>
      </c>
      <c r="AV440" s="202">
        <v>8.4</v>
      </c>
      <c r="AW440"/>
      <c r="AX440"/>
      <c r="AY440"/>
    </row>
    <row r="441" spans="1:51">
      <c r="A441" s="202" t="str">
        <f t="shared" si="28"/>
        <v>张明忠</v>
      </c>
      <c r="B441" s="202" t="str">
        <f>IF(C441&lt;&gt;"NA",C441,VLOOKUP(K441,Update_from_YIFIP!$X$2:$AD$174,7,FALSE))</f>
        <v>NA</v>
      </c>
      <c r="C441" s="207" t="str">
        <f t="shared" si="25"/>
        <v>NA</v>
      </c>
      <c r="D441" s="207" t="str">
        <f t="shared" si="26"/>
        <v>NA</v>
      </c>
      <c r="E441" s="202" t="s">
        <v>2628</v>
      </c>
      <c r="F441" s="202" t="s">
        <v>2632</v>
      </c>
      <c r="G441" s="202" t="s">
        <v>2633</v>
      </c>
      <c r="H441" s="207" t="str">
        <f t="shared" si="27"/>
        <v>NA</v>
      </c>
      <c r="I441" s="202" t="s">
        <v>1929</v>
      </c>
      <c r="J441" s="202" t="s">
        <v>2637</v>
      </c>
      <c r="K441" s="202" t="s">
        <v>2640</v>
      </c>
      <c r="L441" s="202" t="s">
        <v>1425</v>
      </c>
      <c r="M441" s="202">
        <v>10</v>
      </c>
      <c r="N441" s="202">
        <v>0</v>
      </c>
      <c r="O441" s="202">
        <v>226</v>
      </c>
      <c r="P441" s="202">
        <v>20</v>
      </c>
      <c r="Q441" s="202">
        <v>28</v>
      </c>
      <c r="R441" s="202">
        <v>25</v>
      </c>
      <c r="S441" s="202">
        <v>27</v>
      </c>
      <c r="T441" s="202">
        <v>19</v>
      </c>
      <c r="U441" s="202">
        <v>23</v>
      </c>
      <c r="V441" s="202">
        <v>21</v>
      </c>
      <c r="W441" s="202">
        <v>21</v>
      </c>
      <c r="X441" s="202">
        <v>21</v>
      </c>
      <c r="Y441" s="202">
        <v>21</v>
      </c>
      <c r="Z441" s="202">
        <v>0</v>
      </c>
      <c r="AA441" s="202">
        <v>0</v>
      </c>
      <c r="AB441" s="202">
        <v>0</v>
      </c>
      <c r="AC441" s="202">
        <v>0</v>
      </c>
      <c r="AD441" s="202">
        <v>0</v>
      </c>
      <c r="AE441" s="202">
        <v>0</v>
      </c>
      <c r="AF441" s="202">
        <v>0</v>
      </c>
      <c r="AG441" s="202">
        <v>0</v>
      </c>
      <c r="AH441" s="202">
        <v>0</v>
      </c>
      <c r="AI441" s="202">
        <v>0</v>
      </c>
      <c r="AJ441" s="202">
        <v>0</v>
      </c>
      <c r="AK441" s="202">
        <v>0</v>
      </c>
      <c r="AL441" s="202">
        <v>0</v>
      </c>
      <c r="AM441" s="202">
        <v>0</v>
      </c>
      <c r="AN441" s="202">
        <v>0</v>
      </c>
      <c r="AO441" s="202">
        <v>0</v>
      </c>
      <c r="AP441" s="202">
        <v>0</v>
      </c>
      <c r="AQ441" s="202" t="s">
        <v>2630</v>
      </c>
      <c r="AR441" s="202">
        <v>0</v>
      </c>
      <c r="AS441" s="202">
        <v>0</v>
      </c>
      <c r="AT441" s="202">
        <v>33.5</v>
      </c>
      <c r="AU441" s="202" t="s">
        <v>2641</v>
      </c>
      <c r="AV441" s="202">
        <v>6.6999999999999993</v>
      </c>
      <c r="AW441"/>
      <c r="AX441"/>
      <c r="AY441"/>
    </row>
    <row r="442" spans="1:51">
      <c r="A442" s="202" t="str">
        <f t="shared" si="28"/>
        <v>张明忠</v>
      </c>
      <c r="B442" s="202" t="str">
        <f>IF(C442&lt;&gt;"NA",C442,VLOOKUP(K442,Update_from_YIFIP!$X$2:$AD$174,7,FALSE))</f>
        <v>NA</v>
      </c>
      <c r="C442" s="207" t="str">
        <f t="shared" si="25"/>
        <v>NA</v>
      </c>
      <c r="D442" s="207" t="str">
        <f t="shared" si="26"/>
        <v>NA</v>
      </c>
      <c r="E442" s="202" t="s">
        <v>2628</v>
      </c>
      <c r="F442" s="202" t="s">
        <v>2632</v>
      </c>
      <c r="G442" s="202" t="s">
        <v>2633</v>
      </c>
      <c r="H442" s="207" t="str">
        <f t="shared" si="27"/>
        <v>NA</v>
      </c>
      <c r="I442" s="202" t="s">
        <v>1929</v>
      </c>
      <c r="J442" s="202" t="s">
        <v>2642</v>
      </c>
      <c r="K442" s="202" t="s">
        <v>2643</v>
      </c>
      <c r="L442" s="202" t="s">
        <v>1426</v>
      </c>
      <c r="M442" s="202">
        <v>0</v>
      </c>
      <c r="N442" s="202">
        <v>20</v>
      </c>
      <c r="O442" s="202">
        <v>58</v>
      </c>
      <c r="P442" s="202">
        <v>1</v>
      </c>
      <c r="Q442" s="202">
        <v>1</v>
      </c>
      <c r="R442" s="202">
        <v>1</v>
      </c>
      <c r="S442" s="202">
        <v>1</v>
      </c>
      <c r="T442" s="202">
        <v>2</v>
      </c>
      <c r="U442" s="202">
        <v>2</v>
      </c>
      <c r="V442" s="202">
        <v>2</v>
      </c>
      <c r="W442" s="202">
        <v>2</v>
      </c>
      <c r="X442" s="202">
        <v>2</v>
      </c>
      <c r="Y442" s="202">
        <v>2</v>
      </c>
      <c r="Z442" s="202">
        <v>3</v>
      </c>
      <c r="AA442" s="202">
        <v>3</v>
      </c>
      <c r="AB442" s="202">
        <v>3</v>
      </c>
      <c r="AC442" s="202">
        <v>3</v>
      </c>
      <c r="AD442" s="202">
        <v>3</v>
      </c>
      <c r="AE442" s="202">
        <v>4</v>
      </c>
      <c r="AF442" s="202">
        <v>5</v>
      </c>
      <c r="AG442" s="202">
        <v>5</v>
      </c>
      <c r="AH442" s="202">
        <v>6</v>
      </c>
      <c r="AI442" s="202">
        <v>7</v>
      </c>
      <c r="AJ442" s="202">
        <v>0</v>
      </c>
      <c r="AK442" s="202">
        <v>0</v>
      </c>
      <c r="AL442" s="202">
        <v>0</v>
      </c>
      <c r="AM442" s="202">
        <v>0</v>
      </c>
      <c r="AN442" s="202">
        <v>0</v>
      </c>
      <c r="AO442" s="202">
        <v>0</v>
      </c>
      <c r="AP442" s="202">
        <v>0</v>
      </c>
      <c r="AQ442" s="202" t="s">
        <v>2630</v>
      </c>
      <c r="AR442" s="202">
        <v>0</v>
      </c>
      <c r="AS442" s="202">
        <v>0</v>
      </c>
      <c r="AT442" s="202">
        <v>7.5</v>
      </c>
      <c r="AU442" s="202">
        <v>0</v>
      </c>
      <c r="AV442" s="202">
        <v>1.5</v>
      </c>
      <c r="AW442"/>
      <c r="AX442"/>
      <c r="AY442"/>
    </row>
    <row r="443" spans="1:51">
      <c r="A443" s="202" t="str">
        <f t="shared" si="28"/>
        <v>自正荣</v>
      </c>
      <c r="B443" s="202" t="str">
        <f>IF(C443&lt;&gt;"NA",C443,VLOOKUP(K443,Update_from_YIFIP!$X$2:$AD$174,7,FALSE))</f>
        <v>NA</v>
      </c>
      <c r="C443" s="207" t="str">
        <f t="shared" si="25"/>
        <v>NA</v>
      </c>
      <c r="D443" s="207" t="str">
        <f t="shared" si="26"/>
        <v>NA</v>
      </c>
      <c r="E443" s="202" t="s">
        <v>3291</v>
      </c>
      <c r="F443" s="202" t="s">
        <v>2646</v>
      </c>
      <c r="G443" s="202" t="s">
        <v>2647</v>
      </c>
      <c r="H443" s="207" t="str">
        <f t="shared" si="27"/>
        <v>NA</v>
      </c>
      <c r="I443" s="202" t="s">
        <v>1929</v>
      </c>
      <c r="J443" s="202" t="s">
        <v>2644</v>
      </c>
      <c r="K443" s="202" t="s">
        <v>2645</v>
      </c>
      <c r="L443" s="202" t="s">
        <v>1427</v>
      </c>
      <c r="M443" s="202">
        <v>10</v>
      </c>
      <c r="N443" s="202">
        <v>0</v>
      </c>
      <c r="O443" s="202">
        <v>43</v>
      </c>
      <c r="P443" s="202">
        <v>4</v>
      </c>
      <c r="Q443" s="202">
        <v>4</v>
      </c>
      <c r="R443" s="202">
        <v>4</v>
      </c>
      <c r="S443" s="202">
        <v>4</v>
      </c>
      <c r="T443" s="202">
        <v>4</v>
      </c>
      <c r="U443" s="202">
        <v>4</v>
      </c>
      <c r="V443" s="202">
        <v>4</v>
      </c>
      <c r="W443" s="202">
        <v>5</v>
      </c>
      <c r="X443" s="202">
        <v>5</v>
      </c>
      <c r="Y443" s="202">
        <v>5</v>
      </c>
      <c r="Z443" s="202">
        <v>0</v>
      </c>
      <c r="AA443" s="202">
        <v>0</v>
      </c>
      <c r="AB443" s="202">
        <v>0</v>
      </c>
      <c r="AC443" s="202">
        <v>0</v>
      </c>
      <c r="AD443" s="202">
        <v>0</v>
      </c>
      <c r="AE443" s="202">
        <v>0</v>
      </c>
      <c r="AF443" s="202">
        <v>0</v>
      </c>
      <c r="AG443" s="202">
        <v>0</v>
      </c>
      <c r="AH443" s="202">
        <v>0</v>
      </c>
      <c r="AI443" s="202">
        <v>0</v>
      </c>
      <c r="AJ443" s="202">
        <v>0</v>
      </c>
      <c r="AK443" s="202">
        <v>0</v>
      </c>
      <c r="AL443" s="202">
        <v>0</v>
      </c>
      <c r="AM443" s="202">
        <v>0</v>
      </c>
      <c r="AN443" s="202">
        <v>0</v>
      </c>
      <c r="AO443" s="202">
        <v>0</v>
      </c>
      <c r="AP443" s="202">
        <v>0</v>
      </c>
      <c r="AQ443" s="202" t="s">
        <v>2581</v>
      </c>
      <c r="AR443" s="202">
        <v>0</v>
      </c>
      <c r="AS443" s="202">
        <v>0</v>
      </c>
      <c r="AT443" s="202">
        <v>10</v>
      </c>
      <c r="AU443" s="202">
        <v>0</v>
      </c>
      <c r="AV443" s="202">
        <v>2</v>
      </c>
      <c r="AW443"/>
      <c r="AX443"/>
      <c r="AY443"/>
    </row>
    <row r="444" spans="1:51">
      <c r="A444" s="202" t="str">
        <f t="shared" si="28"/>
        <v>自正荣</v>
      </c>
      <c r="B444" s="202" t="str">
        <f>IF(C444&lt;&gt;"NA",C444,VLOOKUP(K444,Update_from_YIFIP!$X$2:$AD$174,7,FALSE))</f>
        <v>NA</v>
      </c>
      <c r="C444" s="207" t="str">
        <f t="shared" si="25"/>
        <v>NA</v>
      </c>
      <c r="D444" s="207" t="str">
        <f t="shared" si="26"/>
        <v>NA</v>
      </c>
      <c r="E444" s="202" t="s">
        <v>3291</v>
      </c>
      <c r="F444" s="202" t="s">
        <v>2646</v>
      </c>
      <c r="G444" s="202" t="s">
        <v>2647</v>
      </c>
      <c r="H444" s="207" t="str">
        <f t="shared" si="27"/>
        <v>NA</v>
      </c>
      <c r="I444" s="202" t="s">
        <v>1929</v>
      </c>
      <c r="J444" s="202" t="s">
        <v>1929</v>
      </c>
      <c r="K444" s="202">
        <v>0</v>
      </c>
      <c r="L444" s="202" t="s">
        <v>1305</v>
      </c>
      <c r="M444" s="202">
        <v>10</v>
      </c>
      <c r="N444" s="202">
        <v>0</v>
      </c>
      <c r="O444" s="202">
        <v>37</v>
      </c>
      <c r="P444" s="202">
        <v>3</v>
      </c>
      <c r="Q444" s="202">
        <v>3</v>
      </c>
      <c r="R444" s="202">
        <v>3</v>
      </c>
      <c r="S444" s="202">
        <v>4</v>
      </c>
      <c r="T444" s="202">
        <v>4</v>
      </c>
      <c r="U444" s="202">
        <v>4</v>
      </c>
      <c r="V444" s="202">
        <v>4</v>
      </c>
      <c r="W444" s="202">
        <v>4</v>
      </c>
      <c r="X444" s="202">
        <v>4</v>
      </c>
      <c r="Y444" s="202">
        <v>4</v>
      </c>
      <c r="Z444" s="202">
        <v>0</v>
      </c>
      <c r="AA444" s="202">
        <v>0</v>
      </c>
      <c r="AB444" s="202">
        <v>0</v>
      </c>
      <c r="AC444" s="202">
        <v>0</v>
      </c>
      <c r="AD444" s="202">
        <v>0</v>
      </c>
      <c r="AE444" s="202">
        <v>0</v>
      </c>
      <c r="AF444" s="202">
        <v>0</v>
      </c>
      <c r="AG444" s="202">
        <v>0</v>
      </c>
      <c r="AH444" s="202">
        <v>0</v>
      </c>
      <c r="AI444" s="202">
        <v>0</v>
      </c>
      <c r="AJ444" s="202">
        <v>0</v>
      </c>
      <c r="AK444" s="202">
        <v>0</v>
      </c>
      <c r="AL444" s="202">
        <v>0</v>
      </c>
      <c r="AM444" s="202">
        <v>0</v>
      </c>
      <c r="AN444" s="202">
        <v>0</v>
      </c>
      <c r="AO444" s="202">
        <v>0</v>
      </c>
      <c r="AP444" s="202">
        <v>0</v>
      </c>
      <c r="AQ444" s="202" t="s">
        <v>2619</v>
      </c>
      <c r="AR444" s="202">
        <v>0</v>
      </c>
      <c r="AS444" s="202">
        <v>0</v>
      </c>
      <c r="AT444" s="202">
        <v>10</v>
      </c>
      <c r="AU444" s="202">
        <v>0</v>
      </c>
      <c r="AV444" s="202">
        <v>2</v>
      </c>
      <c r="AW444"/>
      <c r="AX444"/>
      <c r="AY444"/>
    </row>
    <row r="445" spans="1:51">
      <c r="A445" s="202" t="str">
        <f t="shared" si="28"/>
        <v>自正荣</v>
      </c>
      <c r="B445" s="202" t="str">
        <f>IF(C445&lt;&gt;"NA",C445,VLOOKUP(K445,Update_from_YIFIP!$X$2:$AD$174,7,FALSE))</f>
        <v>NA</v>
      </c>
      <c r="C445" s="207" t="str">
        <f t="shared" si="25"/>
        <v>NA</v>
      </c>
      <c r="D445" s="207" t="str">
        <f t="shared" si="26"/>
        <v>NA</v>
      </c>
      <c r="E445" s="202" t="s">
        <v>3291</v>
      </c>
      <c r="F445" s="202" t="s">
        <v>2646</v>
      </c>
      <c r="G445" s="202" t="s">
        <v>2647</v>
      </c>
      <c r="H445" s="207" t="str">
        <f t="shared" si="27"/>
        <v>NA</v>
      </c>
      <c r="I445" s="202" t="s">
        <v>1929</v>
      </c>
      <c r="J445" s="202" t="s">
        <v>1929</v>
      </c>
      <c r="K445" s="202">
        <v>0</v>
      </c>
      <c r="L445" s="202" t="s">
        <v>1306</v>
      </c>
      <c r="M445" s="202">
        <v>10</v>
      </c>
      <c r="N445" s="202">
        <v>0</v>
      </c>
      <c r="O445" s="202">
        <v>59</v>
      </c>
      <c r="P445" s="202">
        <v>4</v>
      </c>
      <c r="Q445" s="202">
        <v>4</v>
      </c>
      <c r="R445" s="202">
        <v>4</v>
      </c>
      <c r="S445" s="202">
        <v>4</v>
      </c>
      <c r="T445" s="202">
        <v>4</v>
      </c>
      <c r="U445" s="202">
        <v>4</v>
      </c>
      <c r="V445" s="202">
        <v>4</v>
      </c>
      <c r="W445" s="202">
        <v>6</v>
      </c>
      <c r="X445" s="202">
        <v>8</v>
      </c>
      <c r="Y445" s="202">
        <v>17</v>
      </c>
      <c r="Z445" s="202">
        <v>0</v>
      </c>
      <c r="AA445" s="202">
        <v>0</v>
      </c>
      <c r="AB445" s="202">
        <v>0</v>
      </c>
      <c r="AC445" s="202">
        <v>0</v>
      </c>
      <c r="AD445" s="202">
        <v>0</v>
      </c>
      <c r="AE445" s="202">
        <v>0</v>
      </c>
      <c r="AF445" s="202">
        <v>0</v>
      </c>
      <c r="AG445" s="202">
        <v>0</v>
      </c>
      <c r="AH445" s="202">
        <v>0</v>
      </c>
      <c r="AI445" s="202">
        <v>0</v>
      </c>
      <c r="AJ445" s="202">
        <v>0</v>
      </c>
      <c r="AK445" s="202">
        <v>0</v>
      </c>
      <c r="AL445" s="202">
        <v>0</v>
      </c>
      <c r="AM445" s="202">
        <v>0</v>
      </c>
      <c r="AN445" s="202">
        <v>0</v>
      </c>
      <c r="AO445" s="202">
        <v>0</v>
      </c>
      <c r="AP445" s="202">
        <v>0</v>
      </c>
      <c r="AQ445" s="202" t="s">
        <v>2621</v>
      </c>
      <c r="AR445" s="202">
        <v>0</v>
      </c>
      <c r="AS445" s="202">
        <v>0</v>
      </c>
      <c r="AT445" s="202">
        <v>10</v>
      </c>
      <c r="AU445" s="202">
        <v>0</v>
      </c>
      <c r="AV445" s="202">
        <v>2</v>
      </c>
      <c r="AW445"/>
      <c r="AX445"/>
      <c r="AY445"/>
    </row>
    <row r="446" spans="1:51">
      <c r="A446" s="202" t="str">
        <f t="shared" si="28"/>
        <v>自正荣</v>
      </c>
      <c r="B446" s="202" t="str">
        <f>IF(C446&lt;&gt;"NA",C446,VLOOKUP(K446,Update_from_YIFIP!$X$2:$AD$174,7,FALSE))</f>
        <v>NA</v>
      </c>
      <c r="C446" s="207" t="str">
        <f t="shared" si="25"/>
        <v>NA</v>
      </c>
      <c r="D446" s="207" t="str">
        <f t="shared" si="26"/>
        <v>NA</v>
      </c>
      <c r="E446" s="202" t="s">
        <v>3291</v>
      </c>
      <c r="F446" s="202" t="s">
        <v>2646</v>
      </c>
      <c r="G446" s="202" t="s">
        <v>2647</v>
      </c>
      <c r="H446" s="207" t="str">
        <f t="shared" si="27"/>
        <v>NA</v>
      </c>
      <c r="I446" s="202" t="s">
        <v>1929</v>
      </c>
      <c r="J446" s="202" t="s">
        <v>1929</v>
      </c>
      <c r="K446" s="202">
        <v>0</v>
      </c>
      <c r="L446" s="202" t="s">
        <v>1307</v>
      </c>
      <c r="M446" s="202">
        <v>10</v>
      </c>
      <c r="N446" s="202">
        <v>0</v>
      </c>
      <c r="O446" s="202">
        <v>33</v>
      </c>
      <c r="P446" s="202">
        <v>3</v>
      </c>
      <c r="Q446" s="202">
        <v>3</v>
      </c>
      <c r="R446" s="202">
        <v>3</v>
      </c>
      <c r="S446" s="202">
        <v>3</v>
      </c>
      <c r="T446" s="202">
        <v>3</v>
      </c>
      <c r="U446" s="202">
        <v>3</v>
      </c>
      <c r="V446" s="202">
        <v>3</v>
      </c>
      <c r="W446" s="202">
        <v>4</v>
      </c>
      <c r="X446" s="202">
        <v>4</v>
      </c>
      <c r="Y446" s="202">
        <v>4</v>
      </c>
      <c r="Z446" s="202">
        <v>0</v>
      </c>
      <c r="AA446" s="202">
        <v>0</v>
      </c>
      <c r="AB446" s="202">
        <v>0</v>
      </c>
      <c r="AC446" s="202">
        <v>0</v>
      </c>
      <c r="AD446" s="202">
        <v>0</v>
      </c>
      <c r="AE446" s="202">
        <v>0</v>
      </c>
      <c r="AF446" s="202">
        <v>0</v>
      </c>
      <c r="AG446" s="202">
        <v>0</v>
      </c>
      <c r="AH446" s="202">
        <v>0</v>
      </c>
      <c r="AI446" s="202">
        <v>0</v>
      </c>
      <c r="AJ446" s="202">
        <v>0</v>
      </c>
      <c r="AK446" s="202">
        <v>0</v>
      </c>
      <c r="AL446" s="202">
        <v>0</v>
      </c>
      <c r="AM446" s="202">
        <v>0</v>
      </c>
      <c r="AN446" s="202">
        <v>0</v>
      </c>
      <c r="AO446" s="202">
        <v>0</v>
      </c>
      <c r="AP446" s="202">
        <v>0</v>
      </c>
      <c r="AQ446" s="202" t="s">
        <v>860</v>
      </c>
      <c r="AR446" s="202">
        <v>0</v>
      </c>
      <c r="AS446" s="202">
        <v>0</v>
      </c>
      <c r="AT446" s="202">
        <v>5</v>
      </c>
      <c r="AU446" s="202">
        <v>0</v>
      </c>
      <c r="AV446" s="202">
        <v>1</v>
      </c>
      <c r="AW446"/>
      <c r="AX446"/>
      <c r="AY446"/>
    </row>
    <row r="447" spans="1:51">
      <c r="A447" s="202" t="str">
        <f t="shared" si="28"/>
        <v>自正荣</v>
      </c>
      <c r="B447" s="202" t="str">
        <f>IF(C447&lt;&gt;"NA",C447,VLOOKUP(K447,Update_from_YIFIP!$X$2:$AD$174,7,FALSE))</f>
        <v>NA</v>
      </c>
      <c r="C447" s="207" t="str">
        <f t="shared" si="25"/>
        <v>NA</v>
      </c>
      <c r="D447" s="207" t="str">
        <f t="shared" si="26"/>
        <v>NA</v>
      </c>
      <c r="E447" s="202" t="s">
        <v>3291</v>
      </c>
      <c r="F447" s="202" t="s">
        <v>2646</v>
      </c>
      <c r="G447" s="202" t="s">
        <v>2647</v>
      </c>
      <c r="H447" s="207" t="str">
        <f t="shared" si="27"/>
        <v>NA</v>
      </c>
      <c r="I447" s="202" t="s">
        <v>1929</v>
      </c>
      <c r="J447" s="202" t="s">
        <v>1929</v>
      </c>
      <c r="K447" s="202">
        <v>0</v>
      </c>
      <c r="L447" s="202" t="s">
        <v>1308</v>
      </c>
      <c r="M447" s="202">
        <v>0</v>
      </c>
      <c r="N447" s="202">
        <v>20</v>
      </c>
      <c r="O447" s="202">
        <v>52</v>
      </c>
      <c r="P447" s="202">
        <v>2</v>
      </c>
      <c r="Q447" s="202">
        <v>2</v>
      </c>
      <c r="R447" s="202">
        <v>2</v>
      </c>
      <c r="S447" s="202">
        <v>2</v>
      </c>
      <c r="T447" s="202">
        <v>2</v>
      </c>
      <c r="U447" s="202">
        <v>2</v>
      </c>
      <c r="V447" s="202">
        <v>2</v>
      </c>
      <c r="W447" s="202">
        <v>2</v>
      </c>
      <c r="X447" s="202">
        <v>2</v>
      </c>
      <c r="Y447" s="202">
        <v>2</v>
      </c>
      <c r="Z447" s="202">
        <v>2</v>
      </c>
      <c r="AA447" s="202">
        <v>2</v>
      </c>
      <c r="AB447" s="202">
        <v>3</v>
      </c>
      <c r="AC447" s="202">
        <v>3</v>
      </c>
      <c r="AD447" s="202">
        <v>3</v>
      </c>
      <c r="AE447" s="202">
        <v>3</v>
      </c>
      <c r="AF447" s="202">
        <v>3</v>
      </c>
      <c r="AG447" s="202">
        <v>4</v>
      </c>
      <c r="AH447" s="202">
        <v>4</v>
      </c>
      <c r="AI447" s="202">
        <v>5</v>
      </c>
      <c r="AJ447" s="202">
        <v>0</v>
      </c>
      <c r="AK447" s="202">
        <v>0</v>
      </c>
      <c r="AL447" s="202">
        <v>0</v>
      </c>
      <c r="AM447" s="202">
        <v>0</v>
      </c>
      <c r="AN447" s="202">
        <v>0</v>
      </c>
      <c r="AO447" s="202">
        <v>0</v>
      </c>
      <c r="AP447" s="202">
        <v>0</v>
      </c>
      <c r="AQ447" s="202" t="s">
        <v>1929</v>
      </c>
      <c r="AR447" s="202">
        <v>0</v>
      </c>
      <c r="AS447" s="202">
        <v>0</v>
      </c>
      <c r="AT447" s="202">
        <v>10</v>
      </c>
      <c r="AU447" s="202">
        <v>0</v>
      </c>
      <c r="AV447" s="202">
        <v>2</v>
      </c>
      <c r="AW447"/>
      <c r="AX447"/>
      <c r="AY447"/>
    </row>
    <row r="448" spans="1:51">
      <c r="A448" s="202" t="str">
        <f t="shared" si="28"/>
        <v>普国全</v>
      </c>
      <c r="B448" s="202" t="str">
        <f>IF(C448&lt;&gt;"NA",C448,VLOOKUP(K448,Update_from_YIFIP!$X$2:$AD$174,7,FALSE))</f>
        <v>NA</v>
      </c>
      <c r="C448" s="207" t="str">
        <f t="shared" si="25"/>
        <v>NA</v>
      </c>
      <c r="D448" s="207" t="str">
        <f t="shared" si="26"/>
        <v>NA</v>
      </c>
      <c r="E448" s="202" t="s">
        <v>2648</v>
      </c>
      <c r="F448" s="202" t="s">
        <v>2652</v>
      </c>
      <c r="G448" s="202" t="s">
        <v>2653</v>
      </c>
      <c r="H448" s="207" t="str">
        <f t="shared" si="27"/>
        <v>NA</v>
      </c>
      <c r="I448" s="202" t="s">
        <v>1929</v>
      </c>
      <c r="J448" s="202" t="s">
        <v>2649</v>
      </c>
      <c r="K448" s="202" t="s">
        <v>2651</v>
      </c>
      <c r="L448" s="202" t="s">
        <v>1309</v>
      </c>
      <c r="M448" s="202">
        <v>10</v>
      </c>
      <c r="N448" s="202">
        <v>0</v>
      </c>
      <c r="O448" s="202">
        <v>32</v>
      </c>
      <c r="P448" s="202">
        <v>2</v>
      </c>
      <c r="Q448" s="202">
        <v>2</v>
      </c>
      <c r="R448" s="202">
        <v>3</v>
      </c>
      <c r="S448" s="202">
        <v>3</v>
      </c>
      <c r="T448" s="202">
        <v>3</v>
      </c>
      <c r="U448" s="202">
        <v>3</v>
      </c>
      <c r="V448" s="202">
        <v>3</v>
      </c>
      <c r="W448" s="202">
        <v>3</v>
      </c>
      <c r="X448" s="202">
        <v>5</v>
      </c>
      <c r="Y448" s="202">
        <v>5</v>
      </c>
      <c r="Z448" s="202">
        <v>0</v>
      </c>
      <c r="AA448" s="202">
        <v>0</v>
      </c>
      <c r="AB448" s="202">
        <v>0</v>
      </c>
      <c r="AC448" s="202">
        <v>0</v>
      </c>
      <c r="AD448" s="202">
        <v>0</v>
      </c>
      <c r="AE448" s="202">
        <v>0</v>
      </c>
      <c r="AF448" s="202">
        <v>0</v>
      </c>
      <c r="AG448" s="202">
        <v>0</v>
      </c>
      <c r="AH448" s="202">
        <v>0</v>
      </c>
      <c r="AI448" s="202">
        <v>0</v>
      </c>
      <c r="AJ448" s="202">
        <v>0</v>
      </c>
      <c r="AK448" s="202">
        <v>0</v>
      </c>
      <c r="AL448" s="202">
        <v>0</v>
      </c>
      <c r="AM448" s="202">
        <v>0</v>
      </c>
      <c r="AN448" s="202">
        <v>0</v>
      </c>
      <c r="AO448" s="202">
        <v>0</v>
      </c>
      <c r="AP448" s="202">
        <v>0</v>
      </c>
      <c r="AQ448" s="202" t="s">
        <v>2650</v>
      </c>
      <c r="AR448" s="202">
        <v>0</v>
      </c>
      <c r="AS448" s="202">
        <v>0</v>
      </c>
      <c r="AT448" s="202">
        <v>5</v>
      </c>
      <c r="AU448" s="202">
        <v>0</v>
      </c>
      <c r="AV448" s="202">
        <v>1</v>
      </c>
      <c r="AW448"/>
      <c r="AX448"/>
      <c r="AY448"/>
    </row>
    <row r="449" spans="1:51">
      <c r="A449" s="202" t="str">
        <f t="shared" si="28"/>
        <v>普国全</v>
      </c>
      <c r="B449" s="202" t="str">
        <f>IF(C449&lt;&gt;"NA",C449,VLOOKUP(K449,Update_from_YIFIP!$X$2:$AD$174,7,FALSE))</f>
        <v>NA</v>
      </c>
      <c r="C449" s="207" t="str">
        <f t="shared" si="25"/>
        <v>NA</v>
      </c>
      <c r="D449" s="207" t="str">
        <f t="shared" si="26"/>
        <v>NA</v>
      </c>
      <c r="E449" s="202" t="s">
        <v>2648</v>
      </c>
      <c r="F449" s="202" t="s">
        <v>2652</v>
      </c>
      <c r="G449" s="202" t="s">
        <v>2653</v>
      </c>
      <c r="H449" s="207" t="str">
        <f t="shared" si="27"/>
        <v>NA</v>
      </c>
      <c r="I449" s="202" t="s">
        <v>1929</v>
      </c>
      <c r="J449" s="202" t="s">
        <v>463</v>
      </c>
      <c r="K449" s="202" t="s">
        <v>2654</v>
      </c>
      <c r="L449" s="202" t="s">
        <v>1310</v>
      </c>
      <c r="M449" s="202">
        <v>10</v>
      </c>
      <c r="N449" s="202">
        <v>0</v>
      </c>
      <c r="O449" s="202">
        <v>59</v>
      </c>
      <c r="P449" s="202">
        <v>5</v>
      </c>
      <c r="Q449" s="202">
        <v>6</v>
      </c>
      <c r="R449" s="202">
        <v>6</v>
      </c>
      <c r="S449" s="202">
        <v>6</v>
      </c>
      <c r="T449" s="202">
        <v>6</v>
      </c>
      <c r="U449" s="202">
        <v>6</v>
      </c>
      <c r="V449" s="202">
        <v>6</v>
      </c>
      <c r="W449" s="202">
        <v>6</v>
      </c>
      <c r="X449" s="202">
        <v>6</v>
      </c>
      <c r="Y449" s="202">
        <v>6</v>
      </c>
      <c r="Z449" s="202">
        <v>0</v>
      </c>
      <c r="AA449" s="202">
        <v>0</v>
      </c>
      <c r="AB449" s="202">
        <v>0</v>
      </c>
      <c r="AC449" s="202">
        <v>0</v>
      </c>
      <c r="AD449" s="202">
        <v>0</v>
      </c>
      <c r="AE449" s="202">
        <v>0</v>
      </c>
      <c r="AF449" s="202">
        <v>0</v>
      </c>
      <c r="AG449" s="202">
        <v>0</v>
      </c>
      <c r="AH449" s="202">
        <v>0</v>
      </c>
      <c r="AI449" s="202">
        <v>0</v>
      </c>
      <c r="AJ449" s="202">
        <v>0</v>
      </c>
      <c r="AK449" s="202">
        <v>0</v>
      </c>
      <c r="AL449" s="202">
        <v>0</v>
      </c>
      <c r="AM449" s="202">
        <v>0</v>
      </c>
      <c r="AN449" s="202">
        <v>0</v>
      </c>
      <c r="AO449" s="202">
        <v>0</v>
      </c>
      <c r="AP449" s="202">
        <v>0</v>
      </c>
      <c r="AQ449" s="202" t="s">
        <v>2650</v>
      </c>
      <c r="AR449" s="202">
        <v>0</v>
      </c>
      <c r="AS449" s="202">
        <v>0</v>
      </c>
      <c r="AT449" s="202">
        <v>7.5</v>
      </c>
      <c r="AU449" s="202">
        <v>0</v>
      </c>
      <c r="AV449" s="202">
        <v>1.5</v>
      </c>
      <c r="AW449"/>
      <c r="AX449"/>
      <c r="AY449"/>
    </row>
    <row r="450" spans="1:51">
      <c r="A450" s="202" t="str">
        <f t="shared" si="28"/>
        <v>普国全</v>
      </c>
      <c r="B450" s="202" t="str">
        <f>IF(C450&lt;&gt;"NA",C450,VLOOKUP(K450,Update_from_YIFIP!$X$2:$AD$174,7,FALSE))</f>
        <v>NA</v>
      </c>
      <c r="C450" s="207" t="str">
        <f t="shared" ref="C450:C506" si="29">IF(H450=D450,H450,IF(ISNUMBER(H450-D450),CONCATENATE(H450," or ",D450),IF(ISNUMBER(H450),H450,D450)))</f>
        <v>NA</v>
      </c>
      <c r="D450" s="207" t="str">
        <f t="shared" ref="D450:D481" si="30">IF(ISNA(VLOOKUP(E450,$AX$2:$AY$173,2,FALSE)) = TRUE, "NA", VLOOKUP(E450,$AX$2:$AY$173,2,FALSE))</f>
        <v>NA</v>
      </c>
      <c r="E450" s="202" t="s">
        <v>2648</v>
      </c>
      <c r="F450" s="202" t="s">
        <v>2652</v>
      </c>
      <c r="G450" s="202" t="s">
        <v>2653</v>
      </c>
      <c r="H450" s="207" t="str">
        <f t="shared" ref="H450:H506" si="31">IF(ISNA(VLOOKUP(I450,$AX$2:$AY$173,2,FALSE)) = TRUE, "NA", VLOOKUP(I450,$AX$2:$AY$173,2,FALSE))</f>
        <v>NA</v>
      </c>
      <c r="I450" s="202" t="s">
        <v>1929</v>
      </c>
      <c r="J450" s="202" t="s">
        <v>463</v>
      </c>
      <c r="K450" s="202" t="s">
        <v>2655</v>
      </c>
      <c r="L450" s="202" t="s">
        <v>1311</v>
      </c>
      <c r="M450" s="202">
        <v>10</v>
      </c>
      <c r="N450" s="202">
        <v>0</v>
      </c>
      <c r="O450" s="202">
        <v>80</v>
      </c>
      <c r="P450" s="202">
        <v>5</v>
      </c>
      <c r="Q450" s="202">
        <v>6</v>
      </c>
      <c r="R450" s="202">
        <v>6</v>
      </c>
      <c r="S450" s="202">
        <v>6</v>
      </c>
      <c r="T450" s="202">
        <v>8</v>
      </c>
      <c r="U450" s="202">
        <v>8</v>
      </c>
      <c r="V450" s="202">
        <v>10</v>
      </c>
      <c r="W450" s="202">
        <v>10</v>
      </c>
      <c r="X450" s="202">
        <v>10</v>
      </c>
      <c r="Y450" s="202">
        <v>11</v>
      </c>
      <c r="Z450" s="202">
        <v>0</v>
      </c>
      <c r="AA450" s="202">
        <v>0</v>
      </c>
      <c r="AB450" s="202">
        <v>0</v>
      </c>
      <c r="AC450" s="202">
        <v>0</v>
      </c>
      <c r="AD450" s="202">
        <v>0</v>
      </c>
      <c r="AE450" s="202">
        <v>0</v>
      </c>
      <c r="AF450" s="202">
        <v>0</v>
      </c>
      <c r="AG450" s="202">
        <v>0</v>
      </c>
      <c r="AH450" s="202">
        <v>0</v>
      </c>
      <c r="AI450" s="202">
        <v>0</v>
      </c>
      <c r="AJ450" s="202">
        <v>0</v>
      </c>
      <c r="AK450" s="202">
        <v>0</v>
      </c>
      <c r="AL450" s="202">
        <v>0</v>
      </c>
      <c r="AM450" s="202">
        <v>0</v>
      </c>
      <c r="AN450" s="202">
        <v>0</v>
      </c>
      <c r="AO450" s="202">
        <v>0</v>
      </c>
      <c r="AP450" s="202">
        <v>0</v>
      </c>
      <c r="AQ450" s="202" t="s">
        <v>2650</v>
      </c>
      <c r="AR450" s="202">
        <v>0</v>
      </c>
      <c r="AS450" s="202">
        <v>0</v>
      </c>
      <c r="AT450" s="202">
        <v>10</v>
      </c>
      <c r="AU450" s="202">
        <v>0</v>
      </c>
      <c r="AV450" s="202">
        <v>2</v>
      </c>
      <c r="AW450"/>
      <c r="AX450"/>
      <c r="AY450"/>
    </row>
    <row r="451" spans="1:51">
      <c r="A451" s="202" t="str">
        <f t="shared" ref="A451:A506" si="32">IF(I451="NA",E451,CONCATENATE(E451,"&amp;",I451))</f>
        <v>普国全</v>
      </c>
      <c r="B451" s="202" t="str">
        <f>IF(C451&lt;&gt;"NA",C451,VLOOKUP(K451,Update_from_YIFIP!$X$2:$AD$174,7,FALSE))</f>
        <v>NA</v>
      </c>
      <c r="C451" s="207" t="str">
        <f t="shared" si="29"/>
        <v>NA</v>
      </c>
      <c r="D451" s="207" t="str">
        <f t="shared" si="30"/>
        <v>NA</v>
      </c>
      <c r="E451" s="202" t="s">
        <v>2648</v>
      </c>
      <c r="F451" s="202" t="s">
        <v>2652</v>
      </c>
      <c r="G451" s="202" t="s">
        <v>2653</v>
      </c>
      <c r="H451" s="207" t="str">
        <f t="shared" si="31"/>
        <v>NA</v>
      </c>
      <c r="I451" s="202" t="s">
        <v>1929</v>
      </c>
      <c r="J451" s="202" t="s">
        <v>1929</v>
      </c>
      <c r="K451" s="202" t="s">
        <v>2656</v>
      </c>
      <c r="L451" s="202" t="s">
        <v>1312</v>
      </c>
      <c r="M451" s="202">
        <v>10</v>
      </c>
      <c r="N451" s="202">
        <v>0</v>
      </c>
      <c r="O451" s="202">
        <v>30</v>
      </c>
      <c r="P451" s="202">
        <v>2</v>
      </c>
      <c r="Q451" s="202">
        <v>3</v>
      </c>
      <c r="R451" s="202">
        <v>3</v>
      </c>
      <c r="S451" s="202">
        <v>3</v>
      </c>
      <c r="T451" s="202">
        <v>3</v>
      </c>
      <c r="U451" s="202">
        <v>3</v>
      </c>
      <c r="V451" s="202">
        <v>3</v>
      </c>
      <c r="W451" s="202">
        <v>3</v>
      </c>
      <c r="X451" s="202">
        <v>3</v>
      </c>
      <c r="Y451" s="202">
        <v>4</v>
      </c>
      <c r="Z451" s="202">
        <v>0</v>
      </c>
      <c r="AA451" s="202">
        <v>0</v>
      </c>
      <c r="AB451" s="202">
        <v>0</v>
      </c>
      <c r="AC451" s="202">
        <v>0</v>
      </c>
      <c r="AD451" s="202">
        <v>0</v>
      </c>
      <c r="AE451" s="202">
        <v>0</v>
      </c>
      <c r="AF451" s="202">
        <v>0</v>
      </c>
      <c r="AG451" s="202">
        <v>0</v>
      </c>
      <c r="AH451" s="202">
        <v>0</v>
      </c>
      <c r="AI451" s="202">
        <v>0</v>
      </c>
      <c r="AJ451" s="202">
        <v>0</v>
      </c>
      <c r="AK451" s="202">
        <v>0</v>
      </c>
      <c r="AL451" s="202">
        <v>0</v>
      </c>
      <c r="AM451" s="202">
        <v>0</v>
      </c>
      <c r="AN451" s="202">
        <v>0</v>
      </c>
      <c r="AO451" s="202">
        <v>0</v>
      </c>
      <c r="AP451" s="202">
        <v>0</v>
      </c>
      <c r="AQ451" s="202" t="s">
        <v>1929</v>
      </c>
      <c r="AR451" s="202">
        <v>0</v>
      </c>
      <c r="AS451" s="202">
        <v>0</v>
      </c>
      <c r="AT451" s="202">
        <v>6</v>
      </c>
      <c r="AU451" s="202">
        <v>0</v>
      </c>
      <c r="AV451" s="202">
        <v>1.2</v>
      </c>
      <c r="AW451"/>
      <c r="AX451"/>
      <c r="AY451"/>
    </row>
    <row r="452" spans="1:51">
      <c r="A452" s="202" t="str">
        <f t="shared" si="32"/>
        <v>普国全</v>
      </c>
      <c r="B452" s="202" t="str">
        <f>IF(C452&lt;&gt;"NA",C452,VLOOKUP(K452,Update_from_YIFIP!$X$2:$AD$174,7,FALSE))</f>
        <v>NA</v>
      </c>
      <c r="C452" s="207" t="str">
        <f t="shared" si="29"/>
        <v>NA</v>
      </c>
      <c r="D452" s="207" t="str">
        <f t="shared" si="30"/>
        <v>NA</v>
      </c>
      <c r="E452" s="202" t="s">
        <v>2648</v>
      </c>
      <c r="F452" s="202" t="s">
        <v>2652</v>
      </c>
      <c r="G452" s="202" t="s">
        <v>2653</v>
      </c>
      <c r="H452" s="207" t="str">
        <f t="shared" si="31"/>
        <v>NA</v>
      </c>
      <c r="I452" s="202" t="s">
        <v>1929</v>
      </c>
      <c r="J452" s="202" t="s">
        <v>463</v>
      </c>
      <c r="K452" s="202" t="s">
        <v>2657</v>
      </c>
      <c r="L452" s="202" t="s">
        <v>1313</v>
      </c>
      <c r="M452" s="202">
        <v>0</v>
      </c>
      <c r="N452" s="202">
        <v>20</v>
      </c>
      <c r="O452" s="202">
        <v>34</v>
      </c>
      <c r="P452" s="202">
        <v>1</v>
      </c>
      <c r="Q452" s="202">
        <v>1</v>
      </c>
      <c r="R452" s="202">
        <v>1</v>
      </c>
      <c r="S452" s="202">
        <v>1</v>
      </c>
      <c r="T452" s="202">
        <v>1</v>
      </c>
      <c r="U452" s="202">
        <v>1</v>
      </c>
      <c r="V452" s="202">
        <v>1</v>
      </c>
      <c r="W452" s="202">
        <v>2</v>
      </c>
      <c r="X452" s="202">
        <v>2</v>
      </c>
      <c r="Y452" s="202">
        <v>2</v>
      </c>
      <c r="Z452" s="202">
        <v>2</v>
      </c>
      <c r="AA452" s="202">
        <v>2</v>
      </c>
      <c r="AB452" s="202">
        <v>2</v>
      </c>
      <c r="AC452" s="202">
        <v>2</v>
      </c>
      <c r="AD452" s="202">
        <v>2</v>
      </c>
      <c r="AE452" s="202">
        <v>2</v>
      </c>
      <c r="AF452" s="202">
        <v>2</v>
      </c>
      <c r="AG452" s="202">
        <v>2</v>
      </c>
      <c r="AH452" s="202">
        <v>2</v>
      </c>
      <c r="AI452" s="202">
        <v>3</v>
      </c>
      <c r="AJ452" s="202">
        <v>0</v>
      </c>
      <c r="AK452" s="202">
        <v>0</v>
      </c>
      <c r="AL452" s="202">
        <v>0</v>
      </c>
      <c r="AM452" s="202">
        <v>0</v>
      </c>
      <c r="AN452" s="202">
        <v>0</v>
      </c>
      <c r="AO452" s="202">
        <v>0</v>
      </c>
      <c r="AP452" s="202">
        <v>0</v>
      </c>
      <c r="AQ452" s="202" t="s">
        <v>2650</v>
      </c>
      <c r="AR452" s="202">
        <v>0</v>
      </c>
      <c r="AS452" s="202">
        <v>0</v>
      </c>
      <c r="AT452" s="202">
        <v>7.5</v>
      </c>
      <c r="AU452" s="202">
        <v>0</v>
      </c>
      <c r="AV452" s="202">
        <v>1.5</v>
      </c>
      <c r="AW452"/>
      <c r="AX452"/>
      <c r="AY452"/>
    </row>
    <row r="453" spans="1:51">
      <c r="A453" s="202" t="str">
        <f t="shared" si="32"/>
        <v>王平</v>
      </c>
      <c r="B453" s="202" t="str">
        <f>IF(C453&lt;&gt;"NA",C453,VLOOKUP(K453,Update_from_YIFIP!$X$2:$AD$174,7,FALSE))</f>
        <v>NA</v>
      </c>
      <c r="C453" s="207" t="str">
        <f t="shared" si="29"/>
        <v>NA</v>
      </c>
      <c r="D453" s="207" t="str">
        <f t="shared" si="30"/>
        <v>NA</v>
      </c>
      <c r="E453" s="202" t="s">
        <v>2658</v>
      </c>
      <c r="F453" s="202" t="s">
        <v>2661</v>
      </c>
      <c r="G453" s="202" t="s">
        <v>2662</v>
      </c>
      <c r="H453" s="207" t="str">
        <f t="shared" si="31"/>
        <v>NA</v>
      </c>
      <c r="I453" s="202" t="s">
        <v>1929</v>
      </c>
      <c r="J453" s="202" t="s">
        <v>1929</v>
      </c>
      <c r="K453" s="202">
        <v>0</v>
      </c>
      <c r="L453" s="202" t="s">
        <v>1314</v>
      </c>
      <c r="M453" s="202">
        <v>9</v>
      </c>
      <c r="N453" s="202">
        <v>0</v>
      </c>
      <c r="O453" s="202">
        <v>109</v>
      </c>
      <c r="P453" s="202">
        <v>9</v>
      </c>
      <c r="Q453" s="202">
        <v>16</v>
      </c>
      <c r="R453" s="202">
        <v>11</v>
      </c>
      <c r="S453" s="202">
        <v>13</v>
      </c>
      <c r="T453" s="202">
        <v>6</v>
      </c>
      <c r="U453" s="202">
        <v>11</v>
      </c>
      <c r="V453" s="202">
        <v>7</v>
      </c>
      <c r="W453" s="202">
        <v>9</v>
      </c>
      <c r="X453" s="202">
        <v>27</v>
      </c>
      <c r="Y453" s="202">
        <v>0</v>
      </c>
      <c r="Z453" s="202">
        <v>0</v>
      </c>
      <c r="AA453" s="202">
        <v>0</v>
      </c>
      <c r="AB453" s="202">
        <v>0</v>
      </c>
      <c r="AC453" s="202">
        <v>0</v>
      </c>
      <c r="AD453" s="202">
        <v>0</v>
      </c>
      <c r="AE453" s="202">
        <v>0</v>
      </c>
      <c r="AF453" s="202">
        <v>0</v>
      </c>
      <c r="AG453" s="202">
        <v>0</v>
      </c>
      <c r="AH453" s="202">
        <v>0</v>
      </c>
      <c r="AI453" s="202">
        <v>0</v>
      </c>
      <c r="AJ453" s="202">
        <v>0</v>
      </c>
      <c r="AK453" s="202">
        <v>0</v>
      </c>
      <c r="AL453" s="202">
        <v>0</v>
      </c>
      <c r="AM453" s="202">
        <v>0</v>
      </c>
      <c r="AN453" s="202">
        <v>0</v>
      </c>
      <c r="AO453" s="202">
        <v>0</v>
      </c>
      <c r="AP453" s="202">
        <v>0</v>
      </c>
      <c r="AQ453" s="202" t="s">
        <v>2659</v>
      </c>
      <c r="AR453" s="202">
        <v>0</v>
      </c>
      <c r="AS453" s="202">
        <v>0</v>
      </c>
      <c r="AT453" s="202">
        <v>15.499999999999998</v>
      </c>
      <c r="AU453" s="202" t="s">
        <v>2660</v>
      </c>
      <c r="AV453" s="202">
        <v>3.0999999999999996</v>
      </c>
      <c r="AW453"/>
      <c r="AX453"/>
      <c r="AY453"/>
    </row>
    <row r="454" spans="1:51">
      <c r="A454" s="202" t="str">
        <f t="shared" si="32"/>
        <v>王平</v>
      </c>
      <c r="B454" s="202" t="str">
        <f>IF(C454&lt;&gt;"NA",C454,VLOOKUP(K454,Update_from_YIFIP!$X$2:$AD$174,7,FALSE))</f>
        <v>NA</v>
      </c>
      <c r="C454" s="207" t="str">
        <f t="shared" si="29"/>
        <v>NA</v>
      </c>
      <c r="D454" s="207" t="str">
        <f t="shared" si="30"/>
        <v>NA</v>
      </c>
      <c r="E454" s="202" t="s">
        <v>2658</v>
      </c>
      <c r="F454" s="202" t="s">
        <v>2661</v>
      </c>
      <c r="G454" s="202" t="s">
        <v>2662</v>
      </c>
      <c r="H454" s="207" t="str">
        <f t="shared" si="31"/>
        <v>NA</v>
      </c>
      <c r="I454" s="202" t="s">
        <v>1929</v>
      </c>
      <c r="J454" s="202" t="s">
        <v>1929</v>
      </c>
      <c r="K454" s="202">
        <v>0</v>
      </c>
      <c r="L454" s="202" t="s">
        <v>1315</v>
      </c>
      <c r="M454" s="202">
        <v>9</v>
      </c>
      <c r="N454" s="202">
        <v>0</v>
      </c>
      <c r="O454" s="202">
        <v>25</v>
      </c>
      <c r="P454" s="202">
        <v>1</v>
      </c>
      <c r="Q454" s="202">
        <v>2</v>
      </c>
      <c r="R454" s="202">
        <v>2</v>
      </c>
      <c r="S454" s="202">
        <v>3</v>
      </c>
      <c r="T454" s="202">
        <v>3</v>
      </c>
      <c r="U454" s="202">
        <v>3</v>
      </c>
      <c r="V454" s="202">
        <v>3</v>
      </c>
      <c r="W454" s="202">
        <v>4</v>
      </c>
      <c r="X454" s="202">
        <v>4</v>
      </c>
      <c r="Y454" s="202">
        <v>0</v>
      </c>
      <c r="Z454" s="202">
        <v>0</v>
      </c>
      <c r="AA454" s="202">
        <v>0</v>
      </c>
      <c r="AB454" s="202">
        <v>0</v>
      </c>
      <c r="AC454" s="202">
        <v>0</v>
      </c>
      <c r="AD454" s="202">
        <v>0</v>
      </c>
      <c r="AE454" s="202">
        <v>0</v>
      </c>
      <c r="AF454" s="202">
        <v>0</v>
      </c>
      <c r="AG454" s="202">
        <v>0</v>
      </c>
      <c r="AH454" s="202">
        <v>0</v>
      </c>
      <c r="AI454" s="202">
        <v>0</v>
      </c>
      <c r="AJ454" s="202">
        <v>0</v>
      </c>
      <c r="AK454" s="202">
        <v>0</v>
      </c>
      <c r="AL454" s="202">
        <v>0</v>
      </c>
      <c r="AM454" s="202">
        <v>0</v>
      </c>
      <c r="AN454" s="202">
        <v>0</v>
      </c>
      <c r="AO454" s="202">
        <v>0</v>
      </c>
      <c r="AP454" s="202">
        <v>0</v>
      </c>
      <c r="AQ454" s="202" t="s">
        <v>2663</v>
      </c>
      <c r="AR454" s="202">
        <v>0</v>
      </c>
      <c r="AS454" s="202">
        <v>0</v>
      </c>
      <c r="AT454" s="202">
        <v>10</v>
      </c>
      <c r="AU454" s="202">
        <v>0</v>
      </c>
      <c r="AV454" s="202">
        <v>2</v>
      </c>
      <c r="AW454"/>
      <c r="AX454"/>
      <c r="AY454"/>
    </row>
    <row r="455" spans="1:51">
      <c r="A455" s="202" t="str">
        <f t="shared" si="32"/>
        <v>王平</v>
      </c>
      <c r="B455" s="202" t="str">
        <f>IF(C455&lt;&gt;"NA",C455,VLOOKUP(K455,Update_from_YIFIP!$X$2:$AD$174,7,FALSE))</f>
        <v>NA</v>
      </c>
      <c r="C455" s="207" t="str">
        <f t="shared" si="29"/>
        <v>NA</v>
      </c>
      <c r="D455" s="207" t="str">
        <f t="shared" si="30"/>
        <v>NA</v>
      </c>
      <c r="E455" s="202" t="s">
        <v>2658</v>
      </c>
      <c r="F455" s="202" t="s">
        <v>2661</v>
      </c>
      <c r="G455" s="202" t="s">
        <v>2662</v>
      </c>
      <c r="H455" s="207" t="str">
        <f t="shared" si="31"/>
        <v>NA</v>
      </c>
      <c r="I455" s="202" t="s">
        <v>1929</v>
      </c>
      <c r="J455" s="202" t="s">
        <v>1929</v>
      </c>
      <c r="K455" s="202">
        <v>0</v>
      </c>
      <c r="L455" s="202" t="s">
        <v>1316</v>
      </c>
      <c r="M455" s="202">
        <v>11</v>
      </c>
      <c r="N455" s="202">
        <v>0</v>
      </c>
      <c r="O455" s="202">
        <v>171</v>
      </c>
      <c r="P455" s="202">
        <v>11</v>
      </c>
      <c r="Q455" s="202">
        <v>21</v>
      </c>
      <c r="R455" s="202">
        <v>10</v>
      </c>
      <c r="S455" s="202">
        <v>4</v>
      </c>
      <c r="T455" s="202">
        <v>10</v>
      </c>
      <c r="U455" s="202">
        <v>6</v>
      </c>
      <c r="V455" s="202">
        <v>45</v>
      </c>
      <c r="W455" s="202">
        <v>3</v>
      </c>
      <c r="X455" s="202">
        <v>36</v>
      </c>
      <c r="Y455" s="202">
        <v>15</v>
      </c>
      <c r="Z455" s="202">
        <v>10</v>
      </c>
      <c r="AA455" s="202">
        <v>0</v>
      </c>
      <c r="AB455" s="202">
        <v>0</v>
      </c>
      <c r="AC455" s="202">
        <v>0</v>
      </c>
      <c r="AD455" s="202">
        <v>0</v>
      </c>
      <c r="AE455" s="202">
        <v>0</v>
      </c>
      <c r="AF455" s="202">
        <v>0</v>
      </c>
      <c r="AG455" s="202">
        <v>0</v>
      </c>
      <c r="AH455" s="202">
        <v>0</v>
      </c>
      <c r="AI455" s="202">
        <v>0</v>
      </c>
      <c r="AJ455" s="202">
        <v>0</v>
      </c>
      <c r="AK455" s="202">
        <v>0</v>
      </c>
      <c r="AL455" s="202">
        <v>0</v>
      </c>
      <c r="AM455" s="202">
        <v>0</v>
      </c>
      <c r="AN455" s="202">
        <v>0</v>
      </c>
      <c r="AO455" s="202">
        <v>0</v>
      </c>
      <c r="AP455" s="202">
        <v>0</v>
      </c>
      <c r="AQ455" s="202" t="s">
        <v>2664</v>
      </c>
      <c r="AR455" s="202">
        <v>0</v>
      </c>
      <c r="AS455" s="202">
        <v>0</v>
      </c>
      <c r="AT455" s="202">
        <v>30</v>
      </c>
      <c r="AU455" s="202" t="s">
        <v>2665</v>
      </c>
      <c r="AV455" s="202">
        <v>6</v>
      </c>
      <c r="AW455"/>
      <c r="AX455"/>
      <c r="AY455"/>
    </row>
    <row r="456" spans="1:51">
      <c r="A456" s="202" t="str">
        <f t="shared" si="32"/>
        <v>王平</v>
      </c>
      <c r="B456" s="202" t="str">
        <f>IF(C456&lt;&gt;"NA",C456,VLOOKUP(K456,Update_from_YIFIP!$X$2:$AD$174,7,FALSE))</f>
        <v>NA</v>
      </c>
      <c r="C456" s="207" t="str">
        <f t="shared" si="29"/>
        <v>NA</v>
      </c>
      <c r="D456" s="207" t="str">
        <f t="shared" si="30"/>
        <v>NA</v>
      </c>
      <c r="E456" s="202" t="s">
        <v>2658</v>
      </c>
      <c r="F456" s="202" t="s">
        <v>2661</v>
      </c>
      <c r="G456" s="202" t="s">
        <v>2662</v>
      </c>
      <c r="H456" s="207" t="str">
        <f t="shared" si="31"/>
        <v>NA</v>
      </c>
      <c r="I456" s="202" t="s">
        <v>1929</v>
      </c>
      <c r="J456" s="202" t="s">
        <v>1929</v>
      </c>
      <c r="K456" s="202">
        <v>0</v>
      </c>
      <c r="L456" s="202" t="s">
        <v>1317</v>
      </c>
      <c r="M456" s="202">
        <v>10</v>
      </c>
      <c r="N456" s="202">
        <v>0</v>
      </c>
      <c r="O456" s="202">
        <v>37</v>
      </c>
      <c r="P456" s="202">
        <v>2</v>
      </c>
      <c r="Q456" s="202">
        <v>3</v>
      </c>
      <c r="R456" s="202">
        <v>3</v>
      </c>
      <c r="S456" s="202">
        <v>3</v>
      </c>
      <c r="T456" s="202">
        <v>3</v>
      </c>
      <c r="U456" s="202">
        <v>4</v>
      </c>
      <c r="V456" s="202">
        <v>4</v>
      </c>
      <c r="W456" s="202">
        <v>4</v>
      </c>
      <c r="X456" s="202">
        <v>5</v>
      </c>
      <c r="Y456" s="202">
        <v>6</v>
      </c>
      <c r="Z456" s="202">
        <v>0</v>
      </c>
      <c r="AA456" s="202">
        <v>0</v>
      </c>
      <c r="AB456" s="202">
        <v>0</v>
      </c>
      <c r="AC456" s="202">
        <v>0</v>
      </c>
      <c r="AD456" s="202">
        <v>0</v>
      </c>
      <c r="AE456" s="202">
        <v>0</v>
      </c>
      <c r="AF456" s="202">
        <v>0</v>
      </c>
      <c r="AG456" s="202">
        <v>0</v>
      </c>
      <c r="AH456" s="202">
        <v>0</v>
      </c>
      <c r="AI456" s="202">
        <v>0</v>
      </c>
      <c r="AJ456" s="202">
        <v>0</v>
      </c>
      <c r="AK456" s="202">
        <v>0</v>
      </c>
      <c r="AL456" s="202">
        <v>0</v>
      </c>
      <c r="AM456" s="202">
        <v>0</v>
      </c>
      <c r="AN456" s="202">
        <v>0</v>
      </c>
      <c r="AO456" s="202">
        <v>0</v>
      </c>
      <c r="AP456" s="202">
        <v>0</v>
      </c>
      <c r="AQ456" s="202" t="s">
        <v>2666</v>
      </c>
      <c r="AR456" s="202">
        <v>0</v>
      </c>
      <c r="AS456" s="202">
        <v>0</v>
      </c>
      <c r="AT456" s="202">
        <v>6</v>
      </c>
      <c r="AU456" s="202">
        <v>0</v>
      </c>
      <c r="AV456" s="202">
        <v>1.2</v>
      </c>
      <c r="AW456"/>
      <c r="AX456"/>
      <c r="AY456"/>
    </row>
    <row r="457" spans="1:51">
      <c r="A457" s="202" t="str">
        <f t="shared" si="32"/>
        <v>王平</v>
      </c>
      <c r="B457" s="202" t="str">
        <f>IF(C457&lt;&gt;"NA",C457,VLOOKUP(K457,Update_from_YIFIP!$X$2:$AD$174,7,FALSE))</f>
        <v>NA</v>
      </c>
      <c r="C457" s="207" t="str">
        <f t="shared" si="29"/>
        <v>NA</v>
      </c>
      <c r="D457" s="207" t="str">
        <f t="shared" si="30"/>
        <v>NA</v>
      </c>
      <c r="E457" s="202" t="s">
        <v>2658</v>
      </c>
      <c r="F457" s="202" t="s">
        <v>2661</v>
      </c>
      <c r="G457" s="202" t="s">
        <v>2662</v>
      </c>
      <c r="H457" s="207" t="str">
        <f t="shared" si="31"/>
        <v>NA</v>
      </c>
      <c r="I457" s="202" t="s">
        <v>1929</v>
      </c>
      <c r="J457" s="202" t="s">
        <v>2667</v>
      </c>
      <c r="K457" s="202" t="s">
        <v>2668</v>
      </c>
      <c r="L457" s="202" t="s">
        <v>1318</v>
      </c>
      <c r="M457" s="202">
        <v>0</v>
      </c>
      <c r="N457" s="202">
        <v>16</v>
      </c>
      <c r="O457" s="202">
        <v>50</v>
      </c>
      <c r="P457" s="202">
        <v>11</v>
      </c>
      <c r="Q457" s="202">
        <v>10</v>
      </c>
      <c r="R457" s="202">
        <v>1</v>
      </c>
      <c r="S457" s="202">
        <v>1</v>
      </c>
      <c r="T457" s="202">
        <v>1</v>
      </c>
      <c r="U457" s="202">
        <v>1</v>
      </c>
      <c r="V457" s="202">
        <v>1</v>
      </c>
      <c r="W457" s="202">
        <v>1</v>
      </c>
      <c r="X457" s="202">
        <v>1</v>
      </c>
      <c r="Y457" s="202">
        <v>2</v>
      </c>
      <c r="Z457" s="202">
        <v>2</v>
      </c>
      <c r="AA457" s="202">
        <v>3</v>
      </c>
      <c r="AB457" s="202">
        <v>3</v>
      </c>
      <c r="AC457" s="202">
        <v>3</v>
      </c>
      <c r="AD457" s="202">
        <v>4</v>
      </c>
      <c r="AE457" s="202">
        <v>5</v>
      </c>
      <c r="AF457" s="202">
        <v>0</v>
      </c>
      <c r="AG457" s="202">
        <v>0</v>
      </c>
      <c r="AH457" s="202">
        <v>0</v>
      </c>
      <c r="AI457" s="202">
        <v>0</v>
      </c>
      <c r="AJ457" s="202">
        <v>0</v>
      </c>
      <c r="AK457" s="202">
        <v>0</v>
      </c>
      <c r="AL457" s="202">
        <v>0</v>
      </c>
      <c r="AM457" s="202">
        <v>0</v>
      </c>
      <c r="AN457" s="202">
        <v>0</v>
      </c>
      <c r="AO457" s="202">
        <v>0</v>
      </c>
      <c r="AP457" s="202">
        <v>0</v>
      </c>
      <c r="AQ457" s="202" t="s">
        <v>2581</v>
      </c>
      <c r="AR457" s="202">
        <v>0</v>
      </c>
      <c r="AS457" s="202">
        <v>0</v>
      </c>
      <c r="AT457" s="202">
        <v>15</v>
      </c>
      <c r="AU457" s="202">
        <v>0</v>
      </c>
      <c r="AV457" s="202">
        <v>3</v>
      </c>
      <c r="AW457"/>
      <c r="AX457"/>
      <c r="AY457"/>
    </row>
    <row r="458" spans="1:51">
      <c r="A458" s="202" t="str">
        <f t="shared" si="32"/>
        <v>李荣兵</v>
      </c>
      <c r="B458" s="202" t="str">
        <f>IF(C458&lt;&gt;"NA",C458,VLOOKUP(K458,Update_from_YIFIP!$X$2:$AD$174,7,FALSE))</f>
        <v>NA</v>
      </c>
      <c r="C458" s="207" t="str">
        <f t="shared" si="29"/>
        <v>NA</v>
      </c>
      <c r="D458" s="207" t="str">
        <f t="shared" si="30"/>
        <v>NA</v>
      </c>
      <c r="E458" s="202" t="s">
        <v>2669</v>
      </c>
      <c r="F458" s="202" t="s">
        <v>2671</v>
      </c>
      <c r="G458" s="202" t="s">
        <v>2672</v>
      </c>
      <c r="H458" s="207" t="str">
        <f t="shared" si="31"/>
        <v>NA</v>
      </c>
      <c r="I458" s="202" t="s">
        <v>1929</v>
      </c>
      <c r="J458" s="202" t="s">
        <v>463</v>
      </c>
      <c r="K458" s="202" t="s">
        <v>2670</v>
      </c>
      <c r="L458" s="202" t="s">
        <v>1319</v>
      </c>
      <c r="M458" s="202">
        <v>10</v>
      </c>
      <c r="N458" s="202">
        <v>0</v>
      </c>
      <c r="O458" s="202">
        <v>58</v>
      </c>
      <c r="P458" s="202">
        <v>4</v>
      </c>
      <c r="Q458" s="202">
        <v>5</v>
      </c>
      <c r="R458" s="202">
        <v>5</v>
      </c>
      <c r="S458" s="202">
        <v>5</v>
      </c>
      <c r="T458" s="202">
        <v>6</v>
      </c>
      <c r="U458" s="202">
        <v>6</v>
      </c>
      <c r="V458" s="202">
        <v>6</v>
      </c>
      <c r="W458" s="202">
        <v>6</v>
      </c>
      <c r="X458" s="202">
        <v>7</v>
      </c>
      <c r="Y458" s="202">
        <v>8</v>
      </c>
      <c r="Z458" s="202">
        <v>0</v>
      </c>
      <c r="AA458" s="202">
        <v>0</v>
      </c>
      <c r="AB458" s="202">
        <v>0</v>
      </c>
      <c r="AC458" s="202">
        <v>0</v>
      </c>
      <c r="AD458" s="202">
        <v>0</v>
      </c>
      <c r="AE458" s="202">
        <v>0</v>
      </c>
      <c r="AF458" s="202">
        <v>0</v>
      </c>
      <c r="AG458" s="202">
        <v>0</v>
      </c>
      <c r="AH458" s="202">
        <v>0</v>
      </c>
      <c r="AI458" s="202">
        <v>0</v>
      </c>
      <c r="AJ458" s="202">
        <v>0</v>
      </c>
      <c r="AK458" s="202">
        <v>0</v>
      </c>
      <c r="AL458" s="202">
        <v>0</v>
      </c>
      <c r="AM458" s="202">
        <v>0</v>
      </c>
      <c r="AN458" s="202">
        <v>0</v>
      </c>
      <c r="AO458" s="202">
        <v>0</v>
      </c>
      <c r="AP458" s="202">
        <v>0</v>
      </c>
      <c r="AQ458" s="202" t="s">
        <v>2650</v>
      </c>
      <c r="AR458" s="202">
        <v>0</v>
      </c>
      <c r="AS458" s="202">
        <v>0</v>
      </c>
      <c r="AT458" s="202">
        <v>7.5</v>
      </c>
      <c r="AU458" s="202">
        <v>0</v>
      </c>
      <c r="AV458" s="202">
        <v>1.5</v>
      </c>
      <c r="AW458"/>
      <c r="AX458"/>
      <c r="AY458"/>
    </row>
    <row r="459" spans="1:51">
      <c r="A459" s="202" t="str">
        <f t="shared" si="32"/>
        <v>李荣兵</v>
      </c>
      <c r="B459" s="202" t="str">
        <f>IF(C459&lt;&gt;"NA",C459,VLOOKUP(K459,Update_from_YIFIP!$X$2:$AD$174,7,FALSE))</f>
        <v>NA</v>
      </c>
      <c r="C459" s="207" t="str">
        <f t="shared" si="29"/>
        <v>NA</v>
      </c>
      <c r="D459" s="207" t="str">
        <f t="shared" si="30"/>
        <v>NA</v>
      </c>
      <c r="E459" s="202" t="s">
        <v>2669</v>
      </c>
      <c r="F459" s="202" t="s">
        <v>2671</v>
      </c>
      <c r="G459" s="202" t="s">
        <v>2672</v>
      </c>
      <c r="H459" s="207" t="str">
        <f t="shared" si="31"/>
        <v>NA</v>
      </c>
      <c r="I459" s="202" t="s">
        <v>1929</v>
      </c>
      <c r="J459" s="202" t="s">
        <v>2673</v>
      </c>
      <c r="K459" s="202" t="s">
        <v>2674</v>
      </c>
      <c r="L459" s="202" t="s">
        <v>1320</v>
      </c>
      <c r="M459" s="202">
        <v>10</v>
      </c>
      <c r="N459" s="202">
        <v>0</v>
      </c>
      <c r="O459" s="202">
        <v>57</v>
      </c>
      <c r="P459" s="202">
        <v>5</v>
      </c>
      <c r="Q459" s="202">
        <v>5</v>
      </c>
      <c r="R459" s="202">
        <v>5</v>
      </c>
      <c r="S459" s="202">
        <v>6</v>
      </c>
      <c r="T459" s="202">
        <v>6</v>
      </c>
      <c r="U459" s="202">
        <v>6</v>
      </c>
      <c r="V459" s="202">
        <v>6</v>
      </c>
      <c r="W459" s="202">
        <v>6</v>
      </c>
      <c r="X459" s="202">
        <v>6</v>
      </c>
      <c r="Y459" s="202">
        <v>6</v>
      </c>
      <c r="Z459" s="202">
        <v>0</v>
      </c>
      <c r="AA459" s="202">
        <v>0</v>
      </c>
      <c r="AB459" s="202">
        <v>0</v>
      </c>
      <c r="AC459" s="202">
        <v>0</v>
      </c>
      <c r="AD459" s="202">
        <v>0</v>
      </c>
      <c r="AE459" s="202">
        <v>0</v>
      </c>
      <c r="AF459" s="202">
        <v>0</v>
      </c>
      <c r="AG459" s="202">
        <v>0</v>
      </c>
      <c r="AH459" s="202">
        <v>0</v>
      </c>
      <c r="AI459" s="202">
        <v>0</v>
      </c>
      <c r="AJ459" s="202">
        <v>0</v>
      </c>
      <c r="AK459" s="202">
        <v>0</v>
      </c>
      <c r="AL459" s="202">
        <v>0</v>
      </c>
      <c r="AM459" s="202">
        <v>0</v>
      </c>
      <c r="AN459" s="202">
        <v>0</v>
      </c>
      <c r="AO459" s="202">
        <v>0</v>
      </c>
      <c r="AP459" s="202">
        <v>0</v>
      </c>
      <c r="AQ459" s="202" t="s">
        <v>2650</v>
      </c>
      <c r="AR459" s="202">
        <v>0</v>
      </c>
      <c r="AS459" s="202">
        <v>0</v>
      </c>
      <c r="AT459" s="202">
        <v>10</v>
      </c>
      <c r="AU459" s="202">
        <v>0</v>
      </c>
      <c r="AV459" s="202">
        <v>2</v>
      </c>
      <c r="AW459"/>
      <c r="AX459"/>
      <c r="AY459"/>
    </row>
    <row r="460" spans="1:51">
      <c r="A460" s="202" t="str">
        <f t="shared" si="32"/>
        <v>李荣兵</v>
      </c>
      <c r="B460" s="202" t="str">
        <f>IF(C460&lt;&gt;"NA",C460,VLOOKUP(K460,Update_from_YIFIP!$X$2:$AD$174,7,FALSE))</f>
        <v>NA</v>
      </c>
      <c r="C460" s="207" t="str">
        <f t="shared" si="29"/>
        <v>NA</v>
      </c>
      <c r="D460" s="207" t="str">
        <f t="shared" si="30"/>
        <v>NA</v>
      </c>
      <c r="E460" s="202" t="s">
        <v>2669</v>
      </c>
      <c r="F460" s="202" t="s">
        <v>2671</v>
      </c>
      <c r="G460" s="202" t="s">
        <v>2672</v>
      </c>
      <c r="H460" s="207" t="str">
        <f t="shared" si="31"/>
        <v>NA</v>
      </c>
      <c r="I460" s="202" t="s">
        <v>1929</v>
      </c>
      <c r="J460" s="202" t="s">
        <v>2675</v>
      </c>
      <c r="K460" s="202" t="s">
        <v>2676</v>
      </c>
      <c r="L460" s="202" t="s">
        <v>1321</v>
      </c>
      <c r="M460" s="202">
        <v>10</v>
      </c>
      <c r="N460" s="202">
        <v>0</v>
      </c>
      <c r="O460" s="202">
        <v>59</v>
      </c>
      <c r="P460" s="202">
        <v>5</v>
      </c>
      <c r="Q460" s="202">
        <v>5</v>
      </c>
      <c r="R460" s="202">
        <v>6</v>
      </c>
      <c r="S460" s="202">
        <v>6</v>
      </c>
      <c r="T460" s="202">
        <v>6</v>
      </c>
      <c r="U460" s="202">
        <v>6</v>
      </c>
      <c r="V460" s="202">
        <v>6</v>
      </c>
      <c r="W460" s="202">
        <v>6</v>
      </c>
      <c r="X460" s="202">
        <v>6</v>
      </c>
      <c r="Y460" s="202">
        <v>7</v>
      </c>
      <c r="Z460" s="202">
        <v>0</v>
      </c>
      <c r="AA460" s="202">
        <v>0</v>
      </c>
      <c r="AB460" s="202">
        <v>0</v>
      </c>
      <c r="AC460" s="202">
        <v>0</v>
      </c>
      <c r="AD460" s="202">
        <v>0</v>
      </c>
      <c r="AE460" s="202">
        <v>0</v>
      </c>
      <c r="AF460" s="202">
        <v>0</v>
      </c>
      <c r="AG460" s="202">
        <v>0</v>
      </c>
      <c r="AH460" s="202">
        <v>0</v>
      </c>
      <c r="AI460" s="202">
        <v>0</v>
      </c>
      <c r="AJ460" s="202">
        <v>0</v>
      </c>
      <c r="AK460" s="202">
        <v>0</v>
      </c>
      <c r="AL460" s="202">
        <v>0</v>
      </c>
      <c r="AM460" s="202">
        <v>0</v>
      </c>
      <c r="AN460" s="202">
        <v>0</v>
      </c>
      <c r="AO460" s="202">
        <v>0</v>
      </c>
      <c r="AP460" s="202">
        <v>0</v>
      </c>
      <c r="AQ460" s="202" t="s">
        <v>2650</v>
      </c>
      <c r="AR460" s="202">
        <v>0</v>
      </c>
      <c r="AS460" s="202">
        <v>0</v>
      </c>
      <c r="AT460" s="202">
        <v>5</v>
      </c>
      <c r="AU460" s="202">
        <v>0</v>
      </c>
      <c r="AV460" s="202">
        <v>1</v>
      </c>
      <c r="AW460"/>
      <c r="AX460"/>
      <c r="AY460"/>
    </row>
    <row r="461" spans="1:51">
      <c r="A461" s="202" t="str">
        <f t="shared" si="32"/>
        <v>李荣兵</v>
      </c>
      <c r="B461" s="202" t="str">
        <f>IF(C461&lt;&gt;"NA",C461,VLOOKUP(K461,Update_from_YIFIP!$X$2:$AD$174,7,FALSE))</f>
        <v>NA</v>
      </c>
      <c r="C461" s="207" t="str">
        <f t="shared" si="29"/>
        <v>NA</v>
      </c>
      <c r="D461" s="207" t="str">
        <f t="shared" si="30"/>
        <v>NA</v>
      </c>
      <c r="E461" s="202" t="s">
        <v>2669</v>
      </c>
      <c r="F461" s="202" t="s">
        <v>2671</v>
      </c>
      <c r="G461" s="202" t="s">
        <v>2672</v>
      </c>
      <c r="H461" s="207" t="str">
        <f t="shared" si="31"/>
        <v>NA</v>
      </c>
      <c r="I461" s="202" t="s">
        <v>1929</v>
      </c>
      <c r="J461" s="202" t="s">
        <v>2677</v>
      </c>
      <c r="K461" s="202" t="s">
        <v>2678</v>
      </c>
      <c r="L461" s="202" t="s">
        <v>1322</v>
      </c>
      <c r="M461" s="202">
        <v>10</v>
      </c>
      <c r="N461" s="202">
        <v>0</v>
      </c>
      <c r="O461" s="202">
        <v>63</v>
      </c>
      <c r="P461" s="202">
        <v>4</v>
      </c>
      <c r="Q461" s="202">
        <v>5</v>
      </c>
      <c r="R461" s="202">
        <v>5</v>
      </c>
      <c r="S461" s="202">
        <v>5</v>
      </c>
      <c r="T461" s="202">
        <v>5</v>
      </c>
      <c r="U461" s="202">
        <v>6</v>
      </c>
      <c r="V461" s="202">
        <v>8</v>
      </c>
      <c r="W461" s="202">
        <v>8</v>
      </c>
      <c r="X461" s="202">
        <v>8</v>
      </c>
      <c r="Y461" s="202">
        <v>9</v>
      </c>
      <c r="Z461" s="202">
        <v>0</v>
      </c>
      <c r="AA461" s="202">
        <v>0</v>
      </c>
      <c r="AB461" s="202">
        <v>0</v>
      </c>
      <c r="AC461" s="202">
        <v>0</v>
      </c>
      <c r="AD461" s="202">
        <v>0</v>
      </c>
      <c r="AE461" s="202">
        <v>0</v>
      </c>
      <c r="AF461" s="202">
        <v>0</v>
      </c>
      <c r="AG461" s="202">
        <v>0</v>
      </c>
      <c r="AH461" s="202">
        <v>0</v>
      </c>
      <c r="AI461" s="202">
        <v>0</v>
      </c>
      <c r="AJ461" s="202">
        <v>0</v>
      </c>
      <c r="AK461" s="202">
        <v>0</v>
      </c>
      <c r="AL461" s="202">
        <v>0</v>
      </c>
      <c r="AM461" s="202">
        <v>0</v>
      </c>
      <c r="AN461" s="202">
        <v>0</v>
      </c>
      <c r="AO461" s="202">
        <v>0</v>
      </c>
      <c r="AP461" s="202">
        <v>0</v>
      </c>
      <c r="AQ461" s="202" t="s">
        <v>2650</v>
      </c>
      <c r="AR461" s="202">
        <v>0</v>
      </c>
      <c r="AS461" s="202">
        <v>0</v>
      </c>
      <c r="AT461" s="202">
        <v>7.5</v>
      </c>
      <c r="AU461" s="202">
        <v>0</v>
      </c>
      <c r="AV461" s="202">
        <v>1.5</v>
      </c>
      <c r="AW461"/>
      <c r="AX461"/>
      <c r="AY461"/>
    </row>
    <row r="462" spans="1:51">
      <c r="A462" s="202" t="str">
        <f t="shared" si="32"/>
        <v>李荣兵</v>
      </c>
      <c r="B462" s="202" t="str">
        <f>IF(C462&lt;&gt;"NA",C462,VLOOKUP(K462,Update_from_YIFIP!$X$2:$AD$174,7,FALSE))</f>
        <v>NA</v>
      </c>
      <c r="C462" s="207" t="str">
        <f t="shared" si="29"/>
        <v>NA</v>
      </c>
      <c r="D462" s="207" t="str">
        <f t="shared" si="30"/>
        <v>NA</v>
      </c>
      <c r="E462" s="202" t="s">
        <v>2669</v>
      </c>
      <c r="F462" s="202" t="s">
        <v>2671</v>
      </c>
      <c r="G462" s="202" t="s">
        <v>2672</v>
      </c>
      <c r="H462" s="207" t="str">
        <f t="shared" si="31"/>
        <v>NA</v>
      </c>
      <c r="I462" s="202" t="s">
        <v>1929</v>
      </c>
      <c r="J462" s="202" t="s">
        <v>463</v>
      </c>
      <c r="K462" s="202" t="s">
        <v>2676</v>
      </c>
      <c r="L462" s="202" t="s">
        <v>1323</v>
      </c>
      <c r="M462" s="202">
        <v>0</v>
      </c>
      <c r="N462" s="202">
        <v>20</v>
      </c>
      <c r="O462" s="202">
        <v>35</v>
      </c>
      <c r="P462" s="202">
        <v>1</v>
      </c>
      <c r="Q462" s="202">
        <v>1</v>
      </c>
      <c r="R462" s="202">
        <v>1</v>
      </c>
      <c r="S462" s="202">
        <v>1</v>
      </c>
      <c r="T462" s="202">
        <v>1</v>
      </c>
      <c r="U462" s="202">
        <v>1</v>
      </c>
      <c r="V462" s="202">
        <v>1</v>
      </c>
      <c r="W462" s="202">
        <v>1</v>
      </c>
      <c r="X462" s="202">
        <v>1</v>
      </c>
      <c r="Y462" s="202">
        <v>1</v>
      </c>
      <c r="Z462" s="202">
        <v>2</v>
      </c>
      <c r="AA462" s="202">
        <v>2</v>
      </c>
      <c r="AB462" s="202">
        <v>2</v>
      </c>
      <c r="AC462" s="202">
        <v>2</v>
      </c>
      <c r="AD462" s="202">
        <v>2</v>
      </c>
      <c r="AE462" s="202">
        <v>2</v>
      </c>
      <c r="AF462" s="202">
        <v>2</v>
      </c>
      <c r="AG462" s="202">
        <v>3</v>
      </c>
      <c r="AH462" s="202">
        <v>4</v>
      </c>
      <c r="AI462" s="202">
        <v>4</v>
      </c>
      <c r="AJ462" s="202">
        <v>0</v>
      </c>
      <c r="AK462" s="202">
        <v>0</v>
      </c>
      <c r="AL462" s="202">
        <v>0</v>
      </c>
      <c r="AM462" s="202">
        <v>0</v>
      </c>
      <c r="AN462" s="202">
        <v>0</v>
      </c>
      <c r="AO462" s="202">
        <v>0</v>
      </c>
      <c r="AP462" s="202">
        <v>0</v>
      </c>
      <c r="AQ462" s="202" t="s">
        <v>2650</v>
      </c>
      <c r="AR462" s="202">
        <v>0</v>
      </c>
      <c r="AS462" s="202">
        <v>0</v>
      </c>
      <c r="AT462" s="202">
        <v>10</v>
      </c>
      <c r="AU462" s="202">
        <v>0</v>
      </c>
      <c r="AV462" s="202">
        <v>2</v>
      </c>
      <c r="AW462"/>
      <c r="AX462"/>
      <c r="AY462"/>
    </row>
    <row r="463" spans="1:51">
      <c r="A463" s="202" t="str">
        <f t="shared" si="32"/>
        <v>四-李世冲</v>
      </c>
      <c r="B463" s="202" t="str">
        <f>IF(C463&lt;&gt;"NA",C463,VLOOKUP(K463,Update_from_YIFIP!$X$2:$AD$174,7,FALSE))</f>
        <v>NA</v>
      </c>
      <c r="C463" s="207" t="str">
        <f t="shared" si="29"/>
        <v>NA</v>
      </c>
      <c r="D463" s="207" t="str">
        <f t="shared" si="30"/>
        <v>NA</v>
      </c>
      <c r="E463" s="202" t="s">
        <v>3379</v>
      </c>
      <c r="F463" s="202" t="s">
        <v>2682</v>
      </c>
      <c r="G463" s="165">
        <v>15969317098</v>
      </c>
      <c r="H463" s="207" t="str">
        <f t="shared" si="31"/>
        <v>NA</v>
      </c>
      <c r="I463" s="202" t="s">
        <v>1929</v>
      </c>
      <c r="J463" s="202" t="s">
        <v>2679</v>
      </c>
      <c r="K463" s="202" t="s">
        <v>2680</v>
      </c>
      <c r="L463" s="202" t="s">
        <v>1324</v>
      </c>
      <c r="M463" s="202">
        <v>10</v>
      </c>
      <c r="N463" s="202">
        <v>0</v>
      </c>
      <c r="O463" s="202">
        <v>146</v>
      </c>
      <c r="P463" s="202">
        <v>13</v>
      </c>
      <c r="Q463" s="202">
        <v>17</v>
      </c>
      <c r="R463" s="202">
        <v>13</v>
      </c>
      <c r="S463" s="202">
        <v>12</v>
      </c>
      <c r="T463" s="202">
        <v>15</v>
      </c>
      <c r="U463" s="202">
        <v>12</v>
      </c>
      <c r="V463" s="202">
        <v>12</v>
      </c>
      <c r="W463" s="202">
        <v>18</v>
      </c>
      <c r="X463" s="202">
        <v>25</v>
      </c>
      <c r="Y463" s="202">
        <v>9</v>
      </c>
      <c r="Z463" s="202">
        <v>0</v>
      </c>
      <c r="AA463" s="202">
        <v>0</v>
      </c>
      <c r="AB463" s="202">
        <v>0</v>
      </c>
      <c r="AC463" s="202">
        <v>0</v>
      </c>
      <c r="AD463" s="202">
        <v>0</v>
      </c>
      <c r="AE463" s="202">
        <v>0</v>
      </c>
      <c r="AF463" s="202">
        <v>0</v>
      </c>
      <c r="AG463" s="202">
        <v>0</v>
      </c>
      <c r="AH463" s="202">
        <v>0</v>
      </c>
      <c r="AI463" s="202">
        <v>0</v>
      </c>
      <c r="AJ463" s="202">
        <v>0</v>
      </c>
      <c r="AK463" s="202">
        <v>0</v>
      </c>
      <c r="AL463" s="202">
        <v>0</v>
      </c>
      <c r="AM463" s="202">
        <v>0</v>
      </c>
      <c r="AN463" s="202">
        <v>0</v>
      </c>
      <c r="AO463" s="202">
        <v>0</v>
      </c>
      <c r="AP463" s="202">
        <v>0</v>
      </c>
      <c r="AQ463" s="202" t="s">
        <v>2630</v>
      </c>
      <c r="AR463" s="202">
        <v>0</v>
      </c>
      <c r="AS463" s="202">
        <v>0</v>
      </c>
      <c r="AT463" s="202">
        <v>28.500000000000007</v>
      </c>
      <c r="AU463" s="202" t="s">
        <v>2681</v>
      </c>
      <c r="AV463" s="202">
        <v>5.7000000000000011</v>
      </c>
      <c r="AW463"/>
      <c r="AX463"/>
      <c r="AY463"/>
    </row>
    <row r="464" spans="1:51">
      <c r="A464" s="202" t="str">
        <f t="shared" si="32"/>
        <v>四-李世冲</v>
      </c>
      <c r="B464" s="202" t="str">
        <f>IF(C464&lt;&gt;"NA",C464,VLOOKUP(K464,Update_from_YIFIP!$X$2:$AD$174,7,FALSE))</f>
        <v>NA</v>
      </c>
      <c r="C464" s="207" t="str">
        <f t="shared" si="29"/>
        <v>NA</v>
      </c>
      <c r="D464" s="207" t="str">
        <f t="shared" si="30"/>
        <v>NA</v>
      </c>
      <c r="E464" s="202" t="s">
        <v>3379</v>
      </c>
      <c r="F464" s="202" t="s">
        <v>2682</v>
      </c>
      <c r="G464" s="165">
        <v>15969317098</v>
      </c>
      <c r="H464" s="207" t="str">
        <f t="shared" si="31"/>
        <v>NA</v>
      </c>
      <c r="I464" s="202" t="s">
        <v>1929</v>
      </c>
      <c r="J464" s="202" t="s">
        <v>2679</v>
      </c>
      <c r="K464" s="202" t="s">
        <v>2683</v>
      </c>
      <c r="L464" s="202" t="s">
        <v>1325</v>
      </c>
      <c r="M464" s="202">
        <v>0</v>
      </c>
      <c r="N464" s="202">
        <v>20</v>
      </c>
      <c r="O464" s="202">
        <v>129</v>
      </c>
      <c r="P464" s="202">
        <v>4</v>
      </c>
      <c r="Q464" s="202">
        <v>4</v>
      </c>
      <c r="R464" s="202">
        <v>5</v>
      </c>
      <c r="S464" s="202">
        <v>5</v>
      </c>
      <c r="T464" s="202">
        <v>5</v>
      </c>
      <c r="U464" s="202">
        <v>5</v>
      </c>
      <c r="V464" s="202">
        <v>5</v>
      </c>
      <c r="W464" s="202">
        <v>5</v>
      </c>
      <c r="X464" s="202">
        <v>5</v>
      </c>
      <c r="Y464" s="202">
        <v>5</v>
      </c>
      <c r="Z464" s="202">
        <v>6</v>
      </c>
      <c r="AA464" s="202">
        <v>6</v>
      </c>
      <c r="AB464" s="202">
        <v>6</v>
      </c>
      <c r="AC464" s="202">
        <v>6</v>
      </c>
      <c r="AD464" s="202">
        <v>7</v>
      </c>
      <c r="AE464" s="202">
        <v>8</v>
      </c>
      <c r="AF464" s="202">
        <v>8</v>
      </c>
      <c r="AG464" s="202">
        <v>10</v>
      </c>
      <c r="AH464" s="202">
        <v>11</v>
      </c>
      <c r="AI464" s="202">
        <v>13</v>
      </c>
      <c r="AJ464" s="202">
        <v>0</v>
      </c>
      <c r="AK464" s="202">
        <v>0</v>
      </c>
      <c r="AL464" s="202">
        <v>0</v>
      </c>
      <c r="AM464" s="202">
        <v>0</v>
      </c>
      <c r="AN464" s="202">
        <v>0</v>
      </c>
      <c r="AO464" s="202">
        <v>0</v>
      </c>
      <c r="AP464" s="202">
        <v>0</v>
      </c>
      <c r="AQ464" s="202" t="s">
        <v>2630</v>
      </c>
      <c r="AR464" s="202">
        <v>0</v>
      </c>
      <c r="AS464" s="202">
        <v>0</v>
      </c>
      <c r="AT464" s="202">
        <v>35.5</v>
      </c>
      <c r="AU464" s="202" t="s">
        <v>2684</v>
      </c>
      <c r="AV464" s="202">
        <v>7.1</v>
      </c>
      <c r="AW464"/>
      <c r="AX464"/>
      <c r="AY464"/>
    </row>
    <row r="465" spans="1:51">
      <c r="A465" s="202" t="str">
        <f t="shared" si="32"/>
        <v>四-李宗平</v>
      </c>
      <c r="B465" s="202" t="str">
        <f>IF(C465&lt;&gt;"NA",C465,VLOOKUP(K465,Update_from_YIFIP!$X$2:$AD$174,7,FALSE))</f>
        <v>NA</v>
      </c>
      <c r="C465" s="207" t="str">
        <f t="shared" si="29"/>
        <v>NA</v>
      </c>
      <c r="D465" s="207" t="str">
        <f t="shared" si="30"/>
        <v>NA</v>
      </c>
      <c r="E465" s="202" t="s">
        <v>3380</v>
      </c>
      <c r="F465" s="202" t="s">
        <v>2688</v>
      </c>
      <c r="G465" s="165">
        <v>18088911702</v>
      </c>
      <c r="H465" s="207" t="str">
        <f t="shared" si="31"/>
        <v>NA</v>
      </c>
      <c r="I465" s="202" t="s">
        <v>1929</v>
      </c>
      <c r="J465" s="202" t="s">
        <v>2685</v>
      </c>
      <c r="K465" s="202" t="s">
        <v>2686</v>
      </c>
      <c r="L465" s="202" t="s">
        <v>1326</v>
      </c>
      <c r="M465" s="202">
        <v>10</v>
      </c>
      <c r="N465" s="202">
        <v>0</v>
      </c>
      <c r="O465" s="202">
        <v>130</v>
      </c>
      <c r="P465" s="202">
        <v>18</v>
      </c>
      <c r="Q465" s="202">
        <v>20</v>
      </c>
      <c r="R465" s="202">
        <v>9</v>
      </c>
      <c r="S465" s="202">
        <v>6</v>
      </c>
      <c r="T465" s="202">
        <v>11</v>
      </c>
      <c r="U465" s="202">
        <v>17</v>
      </c>
      <c r="V465" s="202">
        <v>15</v>
      </c>
      <c r="W465" s="202">
        <v>9</v>
      </c>
      <c r="X465" s="202">
        <v>12</v>
      </c>
      <c r="Y465" s="202">
        <v>13</v>
      </c>
      <c r="Z465" s="202">
        <v>0</v>
      </c>
      <c r="AA465" s="202">
        <v>0</v>
      </c>
      <c r="AB465" s="202">
        <v>0</v>
      </c>
      <c r="AC465" s="202">
        <v>0</v>
      </c>
      <c r="AD465" s="202">
        <v>0</v>
      </c>
      <c r="AE465" s="202">
        <v>0</v>
      </c>
      <c r="AF465" s="202">
        <v>0</v>
      </c>
      <c r="AG465" s="202">
        <v>0</v>
      </c>
      <c r="AH465" s="202">
        <v>0</v>
      </c>
      <c r="AI465" s="202">
        <v>0</v>
      </c>
      <c r="AJ465" s="202">
        <v>0</v>
      </c>
      <c r="AK465" s="202">
        <v>0</v>
      </c>
      <c r="AL465" s="202">
        <v>0</v>
      </c>
      <c r="AM465" s="202">
        <v>0</v>
      </c>
      <c r="AN465" s="202">
        <v>0</v>
      </c>
      <c r="AO465" s="202">
        <v>0</v>
      </c>
      <c r="AP465" s="202">
        <v>0</v>
      </c>
      <c r="AQ465" s="202" t="s">
        <v>2630</v>
      </c>
      <c r="AR465" s="202">
        <v>0</v>
      </c>
      <c r="AS465" s="202">
        <v>0</v>
      </c>
      <c r="AT465" s="202">
        <v>26.500000000000004</v>
      </c>
      <c r="AU465" s="202" t="s">
        <v>2687</v>
      </c>
      <c r="AV465" s="202">
        <v>5.3000000000000007</v>
      </c>
      <c r="AW465"/>
      <c r="AX465"/>
      <c r="AY465"/>
    </row>
    <row r="466" spans="1:51">
      <c r="A466" s="202" t="str">
        <f t="shared" si="32"/>
        <v>四-李荣昌</v>
      </c>
      <c r="B466" s="202" t="str">
        <f>IF(C466&lt;&gt;"NA",C466,VLOOKUP(K466,Update_from_YIFIP!$X$2:$AD$174,7,FALSE))</f>
        <v>NA</v>
      </c>
      <c r="C466" s="207" t="str">
        <f t="shared" si="29"/>
        <v>NA</v>
      </c>
      <c r="D466" s="207" t="str">
        <f t="shared" si="30"/>
        <v>NA</v>
      </c>
      <c r="E466" s="202" t="s">
        <v>3381</v>
      </c>
      <c r="F466" s="202" t="s">
        <v>2605</v>
      </c>
      <c r="G466" s="165">
        <v>18787771048</v>
      </c>
      <c r="H466" s="207" t="str">
        <f t="shared" si="31"/>
        <v>NA</v>
      </c>
      <c r="I466" s="202" t="s">
        <v>1929</v>
      </c>
      <c r="J466" s="202" t="s">
        <v>2689</v>
      </c>
      <c r="K466" s="202" t="s">
        <v>2690</v>
      </c>
      <c r="L466" s="202" t="s">
        <v>1327</v>
      </c>
      <c r="M466" s="202">
        <v>10</v>
      </c>
      <c r="N466" s="202">
        <v>0</v>
      </c>
      <c r="O466" s="202">
        <v>169</v>
      </c>
      <c r="P466" s="202">
        <v>10</v>
      </c>
      <c r="Q466" s="202">
        <v>18</v>
      </c>
      <c r="R466" s="202">
        <v>17</v>
      </c>
      <c r="S466" s="202">
        <v>21</v>
      </c>
      <c r="T466" s="202">
        <v>19</v>
      </c>
      <c r="U466" s="202">
        <v>15</v>
      </c>
      <c r="V466" s="202">
        <v>25</v>
      </c>
      <c r="W466" s="202">
        <v>16</v>
      </c>
      <c r="X466" s="202">
        <v>10</v>
      </c>
      <c r="Y466" s="202">
        <v>18</v>
      </c>
      <c r="Z466" s="202">
        <v>0</v>
      </c>
      <c r="AA466" s="202">
        <v>0</v>
      </c>
      <c r="AB466" s="202">
        <v>0</v>
      </c>
      <c r="AC466" s="202">
        <v>0</v>
      </c>
      <c r="AD466" s="202">
        <v>0</v>
      </c>
      <c r="AE466" s="202">
        <v>0</v>
      </c>
      <c r="AF466" s="202">
        <v>0</v>
      </c>
      <c r="AG466" s="202">
        <v>0</v>
      </c>
      <c r="AH466" s="202">
        <v>0</v>
      </c>
      <c r="AI466" s="202">
        <v>0</v>
      </c>
      <c r="AJ466" s="202">
        <v>0</v>
      </c>
      <c r="AK466" s="202">
        <v>0</v>
      </c>
      <c r="AL466" s="202">
        <v>0</v>
      </c>
      <c r="AM466" s="202">
        <v>0</v>
      </c>
      <c r="AN466" s="202">
        <v>0</v>
      </c>
      <c r="AO466" s="202">
        <v>0</v>
      </c>
      <c r="AP466" s="202">
        <v>0</v>
      </c>
      <c r="AQ466" s="202" t="s">
        <v>2630</v>
      </c>
      <c r="AR466" s="202">
        <v>0</v>
      </c>
      <c r="AS466" s="202">
        <v>0</v>
      </c>
      <c r="AT466" s="202">
        <v>24.5</v>
      </c>
      <c r="AU466" s="202" t="s">
        <v>2691</v>
      </c>
      <c r="AV466" s="202">
        <v>4.9000000000000004</v>
      </c>
      <c r="AW466"/>
      <c r="AX466"/>
      <c r="AY466"/>
    </row>
    <row r="467" spans="1:51">
      <c r="A467" s="202" t="str">
        <f t="shared" si="32"/>
        <v>四-余朝明</v>
      </c>
      <c r="B467" s="202" t="str">
        <f>IF(C467&lt;&gt;"NA",C467,VLOOKUP(K467,Update_from_YIFIP!$X$2:$AD$174,7,FALSE))</f>
        <v>NA</v>
      </c>
      <c r="C467" s="207" t="str">
        <f t="shared" si="29"/>
        <v>NA</v>
      </c>
      <c r="D467" s="207" t="str">
        <f t="shared" si="30"/>
        <v>NA</v>
      </c>
      <c r="E467" s="202" t="s">
        <v>3382</v>
      </c>
      <c r="F467" s="202" t="s">
        <v>2695</v>
      </c>
      <c r="G467" s="165">
        <v>13577786771</v>
      </c>
      <c r="H467" s="207" t="str">
        <f t="shared" si="31"/>
        <v>NA</v>
      </c>
      <c r="I467" s="202" t="s">
        <v>1929</v>
      </c>
      <c r="J467" s="202" t="s">
        <v>2692</v>
      </c>
      <c r="K467" s="202" t="s">
        <v>2693</v>
      </c>
      <c r="L467" s="202" t="s">
        <v>1328</v>
      </c>
      <c r="M467" s="202">
        <v>10</v>
      </c>
      <c r="N467" s="202">
        <v>0</v>
      </c>
      <c r="O467" s="202">
        <v>110</v>
      </c>
      <c r="P467" s="202">
        <v>7</v>
      </c>
      <c r="Q467" s="202">
        <v>7</v>
      </c>
      <c r="R467" s="202">
        <v>14</v>
      </c>
      <c r="S467" s="202">
        <v>14</v>
      </c>
      <c r="T467" s="202">
        <v>9</v>
      </c>
      <c r="U467" s="202">
        <v>12</v>
      </c>
      <c r="V467" s="202">
        <v>16</v>
      </c>
      <c r="W467" s="202">
        <v>16</v>
      </c>
      <c r="X467" s="202">
        <v>5</v>
      </c>
      <c r="Y467" s="202">
        <v>10</v>
      </c>
      <c r="Z467" s="202">
        <v>0</v>
      </c>
      <c r="AA467" s="202">
        <v>0</v>
      </c>
      <c r="AB467" s="202">
        <v>0</v>
      </c>
      <c r="AC467" s="202">
        <v>0</v>
      </c>
      <c r="AD467" s="202">
        <v>0</v>
      </c>
      <c r="AE467" s="202">
        <v>0</v>
      </c>
      <c r="AF467" s="202">
        <v>0</v>
      </c>
      <c r="AG467" s="202">
        <v>0</v>
      </c>
      <c r="AH467" s="202">
        <v>0</v>
      </c>
      <c r="AI467" s="202">
        <v>0</v>
      </c>
      <c r="AJ467" s="202">
        <v>0</v>
      </c>
      <c r="AK467" s="202">
        <v>0</v>
      </c>
      <c r="AL467" s="202">
        <v>0</v>
      </c>
      <c r="AM467" s="202">
        <v>0</v>
      </c>
      <c r="AN467" s="202">
        <v>0</v>
      </c>
      <c r="AO467" s="202">
        <v>0</v>
      </c>
      <c r="AP467" s="202">
        <v>0</v>
      </c>
      <c r="AQ467" s="202" t="s">
        <v>2630</v>
      </c>
      <c r="AR467" s="202">
        <v>0</v>
      </c>
      <c r="AS467" s="202">
        <v>0</v>
      </c>
      <c r="AT467" s="202">
        <v>24.5</v>
      </c>
      <c r="AU467" s="202" t="s">
        <v>2694</v>
      </c>
      <c r="AV467" s="202">
        <v>4.9000000000000004</v>
      </c>
      <c r="AW467"/>
      <c r="AX467"/>
      <c r="AY467"/>
    </row>
    <row r="468" spans="1:51">
      <c r="A468" s="202" t="str">
        <f t="shared" si="32"/>
        <v>吴丙华</v>
      </c>
      <c r="B468" s="202" t="str">
        <f>IF(C468&lt;&gt;"NA",C468,VLOOKUP(K468,Update_from_YIFIP!$X$2:$AD$174,7,FALSE))</f>
        <v>NA</v>
      </c>
      <c r="C468" s="207" t="str">
        <f t="shared" si="29"/>
        <v>NA</v>
      </c>
      <c r="D468" s="207" t="str">
        <f t="shared" si="30"/>
        <v>NA</v>
      </c>
      <c r="E468" s="202" t="s">
        <v>2763</v>
      </c>
      <c r="F468" s="202" t="s">
        <v>2765</v>
      </c>
      <c r="G468" s="202" t="s">
        <v>2766</v>
      </c>
      <c r="H468" s="207" t="str">
        <f t="shared" si="31"/>
        <v>NA</v>
      </c>
      <c r="I468" s="202" t="s">
        <v>1929</v>
      </c>
      <c r="J468" s="202" t="s">
        <v>2764</v>
      </c>
      <c r="K468" s="202">
        <v>0</v>
      </c>
      <c r="L468" s="202" t="s">
        <v>1463</v>
      </c>
      <c r="M468" s="202">
        <v>1</v>
      </c>
      <c r="N468" s="202">
        <v>0</v>
      </c>
      <c r="O468" s="202">
        <v>22</v>
      </c>
      <c r="P468" s="202">
        <v>22</v>
      </c>
      <c r="Q468" s="202">
        <v>0</v>
      </c>
      <c r="R468" s="202">
        <v>0</v>
      </c>
      <c r="S468" s="202">
        <v>0</v>
      </c>
      <c r="T468" s="202">
        <v>0</v>
      </c>
      <c r="U468" s="202">
        <v>0</v>
      </c>
      <c r="V468" s="202">
        <v>0</v>
      </c>
      <c r="W468" s="202">
        <v>0</v>
      </c>
      <c r="X468" s="202">
        <v>0</v>
      </c>
      <c r="Y468" s="202">
        <v>0</v>
      </c>
      <c r="Z468" s="202">
        <v>0</v>
      </c>
      <c r="AA468" s="202">
        <v>0</v>
      </c>
      <c r="AB468" s="202">
        <v>0</v>
      </c>
      <c r="AC468" s="202">
        <v>0</v>
      </c>
      <c r="AD468" s="202">
        <v>0</v>
      </c>
      <c r="AE468" s="202">
        <v>0</v>
      </c>
      <c r="AF468" s="202">
        <v>0</v>
      </c>
      <c r="AG468" s="202">
        <v>0</v>
      </c>
      <c r="AH468" s="202">
        <v>0</v>
      </c>
      <c r="AI468" s="202">
        <v>0</v>
      </c>
      <c r="AJ468" s="202">
        <v>0</v>
      </c>
      <c r="AK468" s="202">
        <v>0</v>
      </c>
      <c r="AL468" s="202">
        <v>0</v>
      </c>
      <c r="AM468" s="202">
        <v>0</v>
      </c>
      <c r="AN468" s="202">
        <v>0</v>
      </c>
      <c r="AO468" s="202">
        <v>0</v>
      </c>
      <c r="AP468" s="202">
        <v>0</v>
      </c>
      <c r="AQ468" s="202" t="s">
        <v>2461</v>
      </c>
      <c r="AR468" s="202">
        <v>0</v>
      </c>
      <c r="AS468" s="202">
        <v>0</v>
      </c>
      <c r="AT468" s="202">
        <v>7.5</v>
      </c>
      <c r="AU468" s="202">
        <v>0</v>
      </c>
      <c r="AV468" s="202">
        <v>1.5</v>
      </c>
      <c r="AW468"/>
      <c r="AX468"/>
      <c r="AY468"/>
    </row>
    <row r="469" spans="1:51">
      <c r="A469" s="202" t="str">
        <f t="shared" si="32"/>
        <v>吴丙华</v>
      </c>
      <c r="B469" s="202" t="str">
        <f>IF(C469&lt;&gt;"NA",C469,VLOOKUP(K469,Update_from_YIFIP!$X$2:$AD$174,7,FALSE))</f>
        <v>NA</v>
      </c>
      <c r="C469" s="207" t="str">
        <f t="shared" si="29"/>
        <v>NA</v>
      </c>
      <c r="D469" s="207" t="str">
        <f t="shared" si="30"/>
        <v>NA</v>
      </c>
      <c r="E469" s="202" t="s">
        <v>2763</v>
      </c>
      <c r="F469" s="202" t="s">
        <v>2765</v>
      </c>
      <c r="G469" s="202" t="s">
        <v>2766</v>
      </c>
      <c r="H469" s="207" t="str">
        <f t="shared" si="31"/>
        <v>NA</v>
      </c>
      <c r="I469" s="202" t="s">
        <v>1929</v>
      </c>
      <c r="J469" s="202" t="s">
        <v>2767</v>
      </c>
      <c r="K469" s="202">
        <v>0</v>
      </c>
      <c r="L469" s="202" t="s">
        <v>1464</v>
      </c>
      <c r="M469" s="202">
        <v>1</v>
      </c>
      <c r="N469" s="202">
        <v>0</v>
      </c>
      <c r="O469" s="202">
        <v>6</v>
      </c>
      <c r="P469" s="202">
        <v>6</v>
      </c>
      <c r="Q469" s="202">
        <v>0</v>
      </c>
      <c r="R469" s="202">
        <v>0</v>
      </c>
      <c r="S469" s="202">
        <v>0</v>
      </c>
      <c r="T469" s="202">
        <v>0</v>
      </c>
      <c r="U469" s="202">
        <v>0</v>
      </c>
      <c r="V469" s="202">
        <v>0</v>
      </c>
      <c r="W469" s="202">
        <v>0</v>
      </c>
      <c r="X469" s="202">
        <v>0</v>
      </c>
      <c r="Y469" s="202">
        <v>0</v>
      </c>
      <c r="Z469" s="202">
        <v>0</v>
      </c>
      <c r="AA469" s="202">
        <v>0</v>
      </c>
      <c r="AB469" s="202">
        <v>0</v>
      </c>
      <c r="AC469" s="202">
        <v>0</v>
      </c>
      <c r="AD469" s="202">
        <v>0</v>
      </c>
      <c r="AE469" s="202">
        <v>0</v>
      </c>
      <c r="AF469" s="202">
        <v>0</v>
      </c>
      <c r="AG469" s="202">
        <v>0</v>
      </c>
      <c r="AH469" s="202">
        <v>0</v>
      </c>
      <c r="AI469" s="202">
        <v>0</v>
      </c>
      <c r="AJ469" s="202">
        <v>0</v>
      </c>
      <c r="AK469" s="202">
        <v>0</v>
      </c>
      <c r="AL469" s="202">
        <v>0</v>
      </c>
      <c r="AM469" s="202">
        <v>0</v>
      </c>
      <c r="AN469" s="202">
        <v>0</v>
      </c>
      <c r="AO469" s="202">
        <v>0</v>
      </c>
      <c r="AP469" s="202">
        <v>0</v>
      </c>
      <c r="AQ469" s="202" t="s">
        <v>2698</v>
      </c>
      <c r="AR469" s="202">
        <v>0</v>
      </c>
      <c r="AS469" s="202">
        <v>0</v>
      </c>
      <c r="AT469" s="202">
        <v>2</v>
      </c>
      <c r="AU469" s="202">
        <v>0</v>
      </c>
      <c r="AV469" s="202">
        <v>0.4</v>
      </c>
      <c r="AW469"/>
      <c r="AX469"/>
      <c r="AY469"/>
    </row>
    <row r="470" spans="1:51">
      <c r="A470" s="202" t="str">
        <f t="shared" si="32"/>
        <v>吴丙华</v>
      </c>
      <c r="B470" s="202" t="str">
        <f>IF(C470&lt;&gt;"NA",C470,VLOOKUP(K470,Update_from_YIFIP!$X$2:$AD$174,7,FALSE))</f>
        <v>NA</v>
      </c>
      <c r="C470" s="207" t="str">
        <f t="shared" si="29"/>
        <v>NA</v>
      </c>
      <c r="D470" s="207" t="str">
        <f t="shared" si="30"/>
        <v>NA</v>
      </c>
      <c r="E470" s="202" t="s">
        <v>2763</v>
      </c>
      <c r="F470" s="202" t="s">
        <v>2765</v>
      </c>
      <c r="G470" s="202" t="s">
        <v>2766</v>
      </c>
      <c r="H470" s="207" t="str">
        <f t="shared" si="31"/>
        <v>NA</v>
      </c>
      <c r="I470" s="202" t="s">
        <v>1929</v>
      </c>
      <c r="J470" s="202" t="s">
        <v>2768</v>
      </c>
      <c r="K470" s="202">
        <v>0</v>
      </c>
      <c r="L470" s="202" t="s">
        <v>1465</v>
      </c>
      <c r="M470" s="202">
        <v>0</v>
      </c>
      <c r="N470" s="202">
        <v>4</v>
      </c>
      <c r="O470" s="202">
        <v>44</v>
      </c>
      <c r="P470" s="202">
        <v>25</v>
      </c>
      <c r="Q470" s="202">
        <v>15</v>
      </c>
      <c r="R470" s="202">
        <v>3</v>
      </c>
      <c r="S470" s="202">
        <v>1</v>
      </c>
      <c r="T470" s="202">
        <v>0</v>
      </c>
      <c r="U470" s="202">
        <v>0</v>
      </c>
      <c r="V470" s="202">
        <v>0</v>
      </c>
      <c r="W470" s="202">
        <v>0</v>
      </c>
      <c r="X470" s="202">
        <v>0</v>
      </c>
      <c r="Y470" s="202">
        <v>0</v>
      </c>
      <c r="Z470" s="202">
        <v>0</v>
      </c>
      <c r="AA470" s="202">
        <v>0</v>
      </c>
      <c r="AB470" s="202">
        <v>0</v>
      </c>
      <c r="AC470" s="202">
        <v>0</v>
      </c>
      <c r="AD470" s="202">
        <v>0</v>
      </c>
      <c r="AE470" s="202">
        <v>0</v>
      </c>
      <c r="AF470" s="202">
        <v>0</v>
      </c>
      <c r="AG470" s="202">
        <v>0</v>
      </c>
      <c r="AH470" s="202">
        <v>0</v>
      </c>
      <c r="AI470" s="202">
        <v>0</v>
      </c>
      <c r="AJ470" s="202">
        <v>0</v>
      </c>
      <c r="AK470" s="202">
        <v>0</v>
      </c>
      <c r="AL470" s="202">
        <v>0</v>
      </c>
      <c r="AM470" s="202">
        <v>0</v>
      </c>
      <c r="AN470" s="202">
        <v>0</v>
      </c>
      <c r="AO470" s="202">
        <v>0</v>
      </c>
      <c r="AP470" s="202">
        <v>0</v>
      </c>
      <c r="AQ470" s="202" t="s">
        <v>2769</v>
      </c>
      <c r="AR470" s="202">
        <v>0</v>
      </c>
      <c r="AS470" s="202">
        <v>0</v>
      </c>
      <c r="AT470" s="202">
        <v>10</v>
      </c>
      <c r="AU470" s="202">
        <v>0</v>
      </c>
      <c r="AV470" s="202">
        <v>2</v>
      </c>
      <c r="AW470"/>
      <c r="AX470"/>
      <c r="AY470"/>
    </row>
    <row r="471" spans="1:51">
      <c r="A471" s="202" t="str">
        <f t="shared" si="32"/>
        <v>杨华安</v>
      </c>
      <c r="B471" s="202" t="str">
        <f>IF(C471&lt;&gt;"NA",C471,VLOOKUP(K471,Update_from_YIFIP!$X$2:$AD$174,7,FALSE))</f>
        <v>NA</v>
      </c>
      <c r="C471" s="207" t="str">
        <f t="shared" si="29"/>
        <v>NA</v>
      </c>
      <c r="D471" s="207" t="str">
        <f t="shared" si="30"/>
        <v>NA</v>
      </c>
      <c r="E471" s="202" t="s">
        <v>2788</v>
      </c>
      <c r="F471" s="202" t="s">
        <v>2791</v>
      </c>
      <c r="G471" s="202" t="s">
        <v>2792</v>
      </c>
      <c r="H471" s="207" t="str">
        <f t="shared" si="31"/>
        <v>NA</v>
      </c>
      <c r="I471" s="202" t="s">
        <v>1929</v>
      </c>
      <c r="J471" s="202" t="s">
        <v>2789</v>
      </c>
      <c r="K471" s="202">
        <v>0</v>
      </c>
      <c r="L471" s="202" t="s">
        <v>1472</v>
      </c>
      <c r="M471" s="202">
        <v>15</v>
      </c>
      <c r="N471" s="202">
        <v>0</v>
      </c>
      <c r="O471" s="202">
        <v>41</v>
      </c>
      <c r="P471" s="202">
        <v>1</v>
      </c>
      <c r="Q471" s="202">
        <v>1</v>
      </c>
      <c r="R471" s="202">
        <v>1</v>
      </c>
      <c r="S471" s="202">
        <v>1</v>
      </c>
      <c r="T471" s="202">
        <v>1</v>
      </c>
      <c r="U471" s="202">
        <v>1</v>
      </c>
      <c r="V471" s="202">
        <v>1</v>
      </c>
      <c r="W471" s="202">
        <v>1</v>
      </c>
      <c r="X471" s="202">
        <v>1</v>
      </c>
      <c r="Y471" s="202">
        <v>1</v>
      </c>
      <c r="Z471" s="202">
        <v>2</v>
      </c>
      <c r="AA471" s="202">
        <v>4</v>
      </c>
      <c r="AB471" s="202">
        <v>5</v>
      </c>
      <c r="AC471" s="202">
        <v>8</v>
      </c>
      <c r="AD471" s="202">
        <v>12</v>
      </c>
      <c r="AE471" s="202">
        <v>0</v>
      </c>
      <c r="AF471" s="202">
        <v>0</v>
      </c>
      <c r="AG471" s="202">
        <v>0</v>
      </c>
      <c r="AH471" s="202">
        <v>0</v>
      </c>
      <c r="AI471" s="202">
        <v>0</v>
      </c>
      <c r="AJ471" s="202">
        <v>0</v>
      </c>
      <c r="AK471" s="202">
        <v>0</v>
      </c>
      <c r="AL471" s="202">
        <v>0</v>
      </c>
      <c r="AM471" s="202">
        <v>0</v>
      </c>
      <c r="AN471" s="202">
        <v>0</v>
      </c>
      <c r="AO471" s="202">
        <v>0</v>
      </c>
      <c r="AP471" s="202">
        <v>0</v>
      </c>
      <c r="AQ471" s="202" t="s">
        <v>2790</v>
      </c>
      <c r="AR471" s="202">
        <v>0</v>
      </c>
      <c r="AS471" s="202">
        <v>0</v>
      </c>
      <c r="AT471" s="202">
        <v>7.5</v>
      </c>
      <c r="AU471" s="202">
        <v>0</v>
      </c>
      <c r="AV471" s="202">
        <v>1.5</v>
      </c>
      <c r="AW471"/>
      <c r="AX471"/>
      <c r="AY471"/>
    </row>
    <row r="472" spans="1:51">
      <c r="A472" s="202" t="str">
        <f t="shared" si="32"/>
        <v>杨华安</v>
      </c>
      <c r="B472" s="202" t="str">
        <f>IF(C472&lt;&gt;"NA",C472,VLOOKUP(K472,Update_from_YIFIP!$X$2:$AD$174,7,FALSE))</f>
        <v>NA</v>
      </c>
      <c r="C472" s="207" t="str">
        <f t="shared" si="29"/>
        <v>NA</v>
      </c>
      <c r="D472" s="207" t="str">
        <f t="shared" si="30"/>
        <v>NA</v>
      </c>
      <c r="E472" s="202" t="s">
        <v>2788</v>
      </c>
      <c r="F472" s="202" t="s">
        <v>2791</v>
      </c>
      <c r="G472" s="202" t="s">
        <v>2792</v>
      </c>
      <c r="H472" s="207" t="str">
        <f t="shared" si="31"/>
        <v>NA</v>
      </c>
      <c r="I472" s="202" t="s">
        <v>1929</v>
      </c>
      <c r="J472" s="202" t="s">
        <v>2789</v>
      </c>
      <c r="K472" s="202">
        <v>0</v>
      </c>
      <c r="L472" s="202" t="s">
        <v>1473</v>
      </c>
      <c r="M472" s="202">
        <v>0</v>
      </c>
      <c r="N472" s="202">
        <v>2</v>
      </c>
      <c r="O472" s="202">
        <v>11</v>
      </c>
      <c r="P472" s="202">
        <v>5</v>
      </c>
      <c r="Q472" s="202">
        <v>6</v>
      </c>
      <c r="R472" s="202">
        <v>0</v>
      </c>
      <c r="S472" s="202">
        <v>0</v>
      </c>
      <c r="T472" s="202">
        <v>0</v>
      </c>
      <c r="U472" s="202">
        <v>0</v>
      </c>
      <c r="V472" s="202">
        <v>0</v>
      </c>
      <c r="W472" s="202">
        <v>0</v>
      </c>
      <c r="X472" s="202">
        <v>0</v>
      </c>
      <c r="Y472" s="202">
        <v>0</v>
      </c>
      <c r="Z472" s="202">
        <v>0</v>
      </c>
      <c r="AA472" s="202">
        <v>0</v>
      </c>
      <c r="AB472" s="202">
        <v>0</v>
      </c>
      <c r="AC472" s="202">
        <v>0</v>
      </c>
      <c r="AD472" s="202">
        <v>0</v>
      </c>
      <c r="AE472" s="202">
        <v>0</v>
      </c>
      <c r="AF472" s="202">
        <v>0</v>
      </c>
      <c r="AG472" s="202">
        <v>0</v>
      </c>
      <c r="AH472" s="202">
        <v>0</v>
      </c>
      <c r="AI472" s="202">
        <v>0</v>
      </c>
      <c r="AJ472" s="202">
        <v>0</v>
      </c>
      <c r="AK472" s="202">
        <v>0</v>
      </c>
      <c r="AL472" s="202">
        <v>0</v>
      </c>
      <c r="AM472" s="202">
        <v>0</v>
      </c>
      <c r="AN472" s="202">
        <v>0</v>
      </c>
      <c r="AO472" s="202">
        <v>0</v>
      </c>
      <c r="AP472" s="202">
        <v>0</v>
      </c>
      <c r="AQ472" s="202" t="s">
        <v>2793</v>
      </c>
      <c r="AR472" s="202">
        <v>0</v>
      </c>
      <c r="AS472" s="202">
        <v>0</v>
      </c>
      <c r="AT472" s="202">
        <v>0.5</v>
      </c>
      <c r="AU472" s="202">
        <v>0</v>
      </c>
      <c r="AV472" s="202">
        <v>0.1</v>
      </c>
      <c r="AW472"/>
      <c r="AX472"/>
      <c r="AY472"/>
    </row>
    <row r="473" spans="1:51">
      <c r="A473" s="202" t="str">
        <f t="shared" si="32"/>
        <v>杨朝华</v>
      </c>
      <c r="B473" s="202">
        <f>IF(C473&lt;&gt;"NA",C473,VLOOKUP(K473,Update_from_YIFIP!$X$2:$AD$174,7,FALSE))</f>
        <v>107</v>
      </c>
      <c r="C473" s="207" t="str">
        <f t="shared" si="29"/>
        <v>NA</v>
      </c>
      <c r="D473" s="207" t="str">
        <f t="shared" si="30"/>
        <v>NA</v>
      </c>
      <c r="E473" s="202" t="s">
        <v>2845</v>
      </c>
      <c r="F473" s="202" t="s">
        <v>2849</v>
      </c>
      <c r="G473" s="202" t="s">
        <v>2850</v>
      </c>
      <c r="H473" s="207" t="str">
        <f t="shared" si="31"/>
        <v>NA</v>
      </c>
      <c r="I473" s="202" t="s">
        <v>1929</v>
      </c>
      <c r="J473" s="202" t="s">
        <v>2846</v>
      </c>
      <c r="K473" s="202" t="s">
        <v>2848</v>
      </c>
      <c r="L473" s="202" t="s">
        <v>1497</v>
      </c>
      <c r="M473" s="202">
        <v>7</v>
      </c>
      <c r="N473" s="202">
        <v>0</v>
      </c>
      <c r="O473" s="202">
        <v>48</v>
      </c>
      <c r="P473" s="202">
        <v>15</v>
      </c>
      <c r="Q473" s="202">
        <v>15</v>
      </c>
      <c r="R473" s="202">
        <v>4</v>
      </c>
      <c r="S473" s="202">
        <v>5</v>
      </c>
      <c r="T473" s="202">
        <v>4</v>
      </c>
      <c r="U473" s="202">
        <v>1</v>
      </c>
      <c r="V473" s="202">
        <v>4</v>
      </c>
      <c r="W473" s="202">
        <v>0</v>
      </c>
      <c r="X473" s="202">
        <v>0</v>
      </c>
      <c r="Y473" s="202">
        <v>0</v>
      </c>
      <c r="Z473" s="202">
        <v>0</v>
      </c>
      <c r="AA473" s="202">
        <v>0</v>
      </c>
      <c r="AB473" s="202">
        <v>0</v>
      </c>
      <c r="AC473" s="202">
        <v>0</v>
      </c>
      <c r="AD473" s="202">
        <v>0</v>
      </c>
      <c r="AE473" s="202">
        <v>0</v>
      </c>
      <c r="AF473" s="202">
        <v>0</v>
      </c>
      <c r="AG473" s="202">
        <v>0</v>
      </c>
      <c r="AH473" s="202">
        <v>0</v>
      </c>
      <c r="AI473" s="202">
        <v>0</v>
      </c>
      <c r="AJ473" s="202">
        <v>0</v>
      </c>
      <c r="AK473" s="202">
        <v>0</v>
      </c>
      <c r="AL473" s="202">
        <v>0</v>
      </c>
      <c r="AM473" s="202">
        <v>0</v>
      </c>
      <c r="AN473" s="202">
        <v>0</v>
      </c>
      <c r="AO473" s="202">
        <v>0</v>
      </c>
      <c r="AP473" s="202">
        <v>0</v>
      </c>
      <c r="AQ473" s="202" t="s">
        <v>2847</v>
      </c>
      <c r="AR473" s="202">
        <v>0</v>
      </c>
      <c r="AS473" s="202">
        <v>0</v>
      </c>
      <c r="AT473" s="202">
        <v>7.5</v>
      </c>
      <c r="AU473" s="202">
        <v>0</v>
      </c>
      <c r="AV473" s="202">
        <v>1.5</v>
      </c>
      <c r="AW473"/>
      <c r="AX473"/>
      <c r="AY473"/>
    </row>
    <row r="474" spans="1:51">
      <c r="A474" s="202" t="str">
        <f t="shared" si="32"/>
        <v>杨朝华</v>
      </c>
      <c r="B474" s="202">
        <f>IF(C474&lt;&gt;"NA",C474,VLOOKUP(K474,Update_from_YIFIP!$X$2:$AD$174,7,FALSE))</f>
        <v>107</v>
      </c>
      <c r="C474" s="207" t="str">
        <f t="shared" si="29"/>
        <v>NA</v>
      </c>
      <c r="D474" s="207" t="str">
        <f t="shared" si="30"/>
        <v>NA</v>
      </c>
      <c r="E474" s="202" t="s">
        <v>2845</v>
      </c>
      <c r="F474" s="202" t="s">
        <v>2849</v>
      </c>
      <c r="G474" s="202" t="s">
        <v>2850</v>
      </c>
      <c r="H474" s="207" t="str">
        <f t="shared" si="31"/>
        <v>NA</v>
      </c>
      <c r="I474" s="202" t="s">
        <v>1929</v>
      </c>
      <c r="J474" s="202" t="s">
        <v>2846</v>
      </c>
      <c r="K474" s="202" t="s">
        <v>2851</v>
      </c>
      <c r="L474" s="202" t="s">
        <v>1498</v>
      </c>
      <c r="M474" s="202">
        <v>0</v>
      </c>
      <c r="N474" s="202">
        <v>4</v>
      </c>
      <c r="O474" s="202">
        <v>13</v>
      </c>
      <c r="P474" s="202">
        <v>3</v>
      </c>
      <c r="Q474" s="202">
        <v>4</v>
      </c>
      <c r="R474" s="202">
        <v>3</v>
      </c>
      <c r="S474" s="202">
        <v>3</v>
      </c>
      <c r="T474" s="202">
        <v>0</v>
      </c>
      <c r="U474" s="202">
        <v>0</v>
      </c>
      <c r="V474" s="202">
        <v>0</v>
      </c>
      <c r="W474" s="202">
        <v>0</v>
      </c>
      <c r="X474" s="202">
        <v>0</v>
      </c>
      <c r="Y474" s="202">
        <v>0</v>
      </c>
      <c r="Z474" s="202">
        <v>0</v>
      </c>
      <c r="AA474" s="202">
        <v>0</v>
      </c>
      <c r="AB474" s="202">
        <v>0</v>
      </c>
      <c r="AC474" s="202">
        <v>0</v>
      </c>
      <c r="AD474" s="202">
        <v>0</v>
      </c>
      <c r="AE474" s="202">
        <v>0</v>
      </c>
      <c r="AF474" s="202">
        <v>0</v>
      </c>
      <c r="AG474" s="202">
        <v>0</v>
      </c>
      <c r="AH474" s="202">
        <v>0</v>
      </c>
      <c r="AI474" s="202">
        <v>0</v>
      </c>
      <c r="AJ474" s="202">
        <v>0</v>
      </c>
      <c r="AK474" s="202">
        <v>0</v>
      </c>
      <c r="AL474" s="202">
        <v>0</v>
      </c>
      <c r="AM474" s="202">
        <v>0</v>
      </c>
      <c r="AN474" s="202">
        <v>0</v>
      </c>
      <c r="AO474" s="202">
        <v>0</v>
      </c>
      <c r="AP474" s="202">
        <v>0</v>
      </c>
      <c r="AQ474" s="202" t="s">
        <v>2729</v>
      </c>
      <c r="AR474" s="202">
        <v>0</v>
      </c>
      <c r="AS474" s="202">
        <v>0</v>
      </c>
      <c r="AT474" s="202">
        <v>5</v>
      </c>
      <c r="AU474" s="202">
        <v>0</v>
      </c>
      <c r="AV474" s="202">
        <v>1</v>
      </c>
      <c r="AW474"/>
      <c r="AX474"/>
      <c r="AY474"/>
    </row>
    <row r="475" spans="1:51">
      <c r="A475" s="202" t="str">
        <f t="shared" si="32"/>
        <v>杨朝华</v>
      </c>
      <c r="B475" s="202">
        <f>IF(C475&lt;&gt;"NA",C475,VLOOKUP(K475,Update_from_YIFIP!$X$2:$AD$174,7,FALSE))</f>
        <v>107</v>
      </c>
      <c r="C475" s="207" t="str">
        <f t="shared" si="29"/>
        <v>NA</v>
      </c>
      <c r="D475" s="207" t="str">
        <f t="shared" si="30"/>
        <v>NA</v>
      </c>
      <c r="E475" s="202" t="s">
        <v>2845</v>
      </c>
      <c r="F475" s="202" t="s">
        <v>2849</v>
      </c>
      <c r="G475" s="202" t="s">
        <v>2850</v>
      </c>
      <c r="H475" s="207" t="str">
        <f t="shared" si="31"/>
        <v>NA</v>
      </c>
      <c r="I475" s="202" t="s">
        <v>1929</v>
      </c>
      <c r="J475" s="202" t="s">
        <v>2846</v>
      </c>
      <c r="K475" s="202" t="s">
        <v>2852</v>
      </c>
      <c r="L475" s="202" t="s">
        <v>1499</v>
      </c>
      <c r="M475" s="202">
        <v>6</v>
      </c>
      <c r="N475" s="202">
        <v>0</v>
      </c>
      <c r="O475" s="202">
        <v>22</v>
      </c>
      <c r="P475" s="202">
        <v>6</v>
      </c>
      <c r="Q475" s="202">
        <v>6</v>
      </c>
      <c r="R475" s="202">
        <v>1</v>
      </c>
      <c r="S475" s="202">
        <v>1</v>
      </c>
      <c r="T475" s="202">
        <v>5</v>
      </c>
      <c r="U475" s="202">
        <v>3</v>
      </c>
      <c r="V475" s="202">
        <v>0</v>
      </c>
      <c r="W475" s="202">
        <v>0</v>
      </c>
      <c r="X475" s="202">
        <v>0</v>
      </c>
      <c r="Y475" s="202">
        <v>0</v>
      </c>
      <c r="Z475" s="202">
        <v>0</v>
      </c>
      <c r="AA475" s="202">
        <v>0</v>
      </c>
      <c r="AB475" s="202">
        <v>0</v>
      </c>
      <c r="AC475" s="202">
        <v>0</v>
      </c>
      <c r="AD475" s="202">
        <v>0</v>
      </c>
      <c r="AE475" s="202">
        <v>0</v>
      </c>
      <c r="AF475" s="202">
        <v>0</v>
      </c>
      <c r="AG475" s="202">
        <v>0</v>
      </c>
      <c r="AH475" s="202">
        <v>0</v>
      </c>
      <c r="AI475" s="202">
        <v>0</v>
      </c>
      <c r="AJ475" s="202">
        <v>0</v>
      </c>
      <c r="AK475" s="202">
        <v>0</v>
      </c>
      <c r="AL475" s="202">
        <v>0</v>
      </c>
      <c r="AM475" s="202">
        <v>0</v>
      </c>
      <c r="AN475" s="202">
        <v>0</v>
      </c>
      <c r="AO475" s="202">
        <v>0</v>
      </c>
      <c r="AP475" s="202">
        <v>0</v>
      </c>
      <c r="AQ475" s="202" t="s">
        <v>2483</v>
      </c>
      <c r="AR475" s="202">
        <v>0</v>
      </c>
      <c r="AS475" s="202">
        <v>0</v>
      </c>
      <c r="AT475" s="202">
        <v>7.5</v>
      </c>
      <c r="AU475" s="202">
        <v>0</v>
      </c>
      <c r="AV475" s="202">
        <v>1.5</v>
      </c>
      <c r="AW475"/>
      <c r="AX475"/>
      <c r="AY475"/>
    </row>
    <row r="476" spans="1:51">
      <c r="A476" s="202" t="str">
        <f t="shared" si="32"/>
        <v>杨朝华</v>
      </c>
      <c r="B476" s="202">
        <f>IF(C476&lt;&gt;"NA",C476,VLOOKUP(K476,Update_from_YIFIP!$X$2:$AD$174,7,FALSE))</f>
        <v>107</v>
      </c>
      <c r="C476" s="207" t="str">
        <f t="shared" si="29"/>
        <v>NA</v>
      </c>
      <c r="D476" s="207" t="str">
        <f t="shared" si="30"/>
        <v>NA</v>
      </c>
      <c r="E476" s="202" t="s">
        <v>2845</v>
      </c>
      <c r="F476" s="202" t="s">
        <v>2849</v>
      </c>
      <c r="G476" s="202" t="s">
        <v>2850</v>
      </c>
      <c r="H476" s="207" t="str">
        <f t="shared" si="31"/>
        <v>NA</v>
      </c>
      <c r="I476" s="202" t="s">
        <v>1929</v>
      </c>
      <c r="J476" s="202" t="s">
        <v>2846</v>
      </c>
      <c r="K476" s="202" t="s">
        <v>2854</v>
      </c>
      <c r="L476" s="202" t="s">
        <v>1500</v>
      </c>
      <c r="M476" s="202">
        <v>7</v>
      </c>
      <c r="N476" s="202">
        <v>0</v>
      </c>
      <c r="O476" s="202">
        <v>31</v>
      </c>
      <c r="P476" s="202">
        <v>5</v>
      </c>
      <c r="Q476" s="202">
        <v>5</v>
      </c>
      <c r="R476" s="202">
        <v>6</v>
      </c>
      <c r="S476" s="202">
        <v>2</v>
      </c>
      <c r="T476" s="202">
        <v>3</v>
      </c>
      <c r="U476" s="202">
        <v>6</v>
      </c>
      <c r="V476" s="202">
        <v>4</v>
      </c>
      <c r="W476" s="202">
        <v>0</v>
      </c>
      <c r="X476" s="202">
        <v>0</v>
      </c>
      <c r="Y476" s="202">
        <v>0</v>
      </c>
      <c r="Z476" s="202">
        <v>0</v>
      </c>
      <c r="AA476" s="202">
        <v>0</v>
      </c>
      <c r="AB476" s="202">
        <v>0</v>
      </c>
      <c r="AC476" s="202">
        <v>0</v>
      </c>
      <c r="AD476" s="202">
        <v>0</v>
      </c>
      <c r="AE476" s="202">
        <v>0</v>
      </c>
      <c r="AF476" s="202">
        <v>0</v>
      </c>
      <c r="AG476" s="202">
        <v>0</v>
      </c>
      <c r="AH476" s="202">
        <v>0</v>
      </c>
      <c r="AI476" s="202">
        <v>0</v>
      </c>
      <c r="AJ476" s="202">
        <v>0</v>
      </c>
      <c r="AK476" s="202">
        <v>0</v>
      </c>
      <c r="AL476" s="202">
        <v>0</v>
      </c>
      <c r="AM476" s="202">
        <v>0</v>
      </c>
      <c r="AN476" s="202">
        <v>0</v>
      </c>
      <c r="AO476" s="202">
        <v>0</v>
      </c>
      <c r="AP476" s="202">
        <v>0</v>
      </c>
      <c r="AQ476" s="202" t="s">
        <v>2853</v>
      </c>
      <c r="AR476" s="202">
        <v>0</v>
      </c>
      <c r="AS476" s="202">
        <v>0</v>
      </c>
      <c r="AT476" s="202">
        <v>5</v>
      </c>
      <c r="AU476" s="202">
        <v>0</v>
      </c>
      <c r="AV476" s="202">
        <v>1</v>
      </c>
      <c r="AW476"/>
      <c r="AX476"/>
      <c r="AY476"/>
    </row>
    <row r="477" spans="1:51">
      <c r="A477" s="202" t="str">
        <f t="shared" si="32"/>
        <v>王太如</v>
      </c>
      <c r="B477" s="202" t="str">
        <f>IF(C477&lt;&gt;"NA",C477,VLOOKUP(K477,Update_from_YIFIP!$X$2:$AD$174,7,FALSE))</f>
        <v>NA</v>
      </c>
      <c r="C477" s="207" t="str">
        <f t="shared" si="29"/>
        <v>NA</v>
      </c>
      <c r="D477" s="207" t="str">
        <f t="shared" si="30"/>
        <v>NA</v>
      </c>
      <c r="E477" s="202" t="s">
        <v>2986</v>
      </c>
      <c r="F477" s="202" t="s">
        <v>2988</v>
      </c>
      <c r="G477" s="202" t="s">
        <v>2989</v>
      </c>
      <c r="H477" s="207" t="str">
        <f t="shared" si="31"/>
        <v>NA</v>
      </c>
      <c r="I477" s="202" t="s">
        <v>1929</v>
      </c>
      <c r="J477" s="202" t="s">
        <v>2987</v>
      </c>
      <c r="K477" s="202" t="s">
        <v>3344</v>
      </c>
      <c r="L477" s="202" t="s">
        <v>1748</v>
      </c>
      <c r="M477" s="202">
        <v>0</v>
      </c>
      <c r="N477" s="202">
        <v>7</v>
      </c>
      <c r="O477" s="202">
        <v>20</v>
      </c>
      <c r="P477" s="202">
        <v>2</v>
      </c>
      <c r="Q477" s="202">
        <v>2</v>
      </c>
      <c r="R477" s="202">
        <v>2</v>
      </c>
      <c r="S477" s="202">
        <v>2</v>
      </c>
      <c r="T477" s="202">
        <v>3</v>
      </c>
      <c r="U477" s="202">
        <v>4</v>
      </c>
      <c r="V477" s="202">
        <v>5</v>
      </c>
      <c r="W477" s="202">
        <v>0</v>
      </c>
      <c r="X477" s="202">
        <v>0</v>
      </c>
      <c r="Y477" s="202">
        <v>0</v>
      </c>
      <c r="Z477" s="202">
        <v>0</v>
      </c>
      <c r="AA477" s="202">
        <v>0</v>
      </c>
      <c r="AB477" s="202">
        <v>0</v>
      </c>
      <c r="AC477" s="202">
        <v>0</v>
      </c>
      <c r="AD477" s="202">
        <v>0</v>
      </c>
      <c r="AE477" s="202">
        <v>0</v>
      </c>
      <c r="AF477" s="202">
        <v>0</v>
      </c>
      <c r="AG477" s="202">
        <v>0</v>
      </c>
      <c r="AH477" s="202">
        <v>0</v>
      </c>
      <c r="AI477" s="202">
        <v>0</v>
      </c>
      <c r="AJ477" s="202">
        <v>0</v>
      </c>
      <c r="AK477" s="202">
        <v>0</v>
      </c>
      <c r="AL477" s="202">
        <v>0</v>
      </c>
      <c r="AM477" s="202">
        <v>0</v>
      </c>
      <c r="AN477" s="202">
        <v>0</v>
      </c>
      <c r="AO477" s="202">
        <v>0</v>
      </c>
      <c r="AP477" s="202">
        <v>0</v>
      </c>
      <c r="AQ477" s="202" t="s">
        <v>2705</v>
      </c>
      <c r="AR477" s="202">
        <v>0</v>
      </c>
      <c r="AS477" s="202">
        <v>0</v>
      </c>
      <c r="AT477" s="202" t="s">
        <v>2985</v>
      </c>
      <c r="AU477" s="202" t="s">
        <v>2319</v>
      </c>
      <c r="AV477" s="202" t="s">
        <v>1929</v>
      </c>
      <c r="AW477"/>
      <c r="AX477"/>
      <c r="AY477"/>
    </row>
    <row r="478" spans="1:51">
      <c r="A478" s="202" t="str">
        <f t="shared" si="32"/>
        <v>王太如</v>
      </c>
      <c r="B478" s="202">
        <f>IF(C478&lt;&gt;"NA",C478,VLOOKUP(K478,Update_from_YIFIP!$X$2:$AD$174,7,FALSE))</f>
        <v>77</v>
      </c>
      <c r="C478" s="207" t="str">
        <f t="shared" si="29"/>
        <v>NA</v>
      </c>
      <c r="D478" s="207" t="str">
        <f t="shared" si="30"/>
        <v>NA</v>
      </c>
      <c r="E478" s="202" t="s">
        <v>2986</v>
      </c>
      <c r="F478" s="202" t="s">
        <v>2988</v>
      </c>
      <c r="G478" s="202" t="s">
        <v>2989</v>
      </c>
      <c r="H478" s="207" t="str">
        <f t="shared" si="31"/>
        <v>NA</v>
      </c>
      <c r="I478" s="202" t="s">
        <v>1929</v>
      </c>
      <c r="J478" s="202" t="s">
        <v>2987</v>
      </c>
      <c r="K478" s="202" t="s">
        <v>3340</v>
      </c>
      <c r="L478" s="202" t="s">
        <v>1749</v>
      </c>
      <c r="M478" s="202">
        <v>5</v>
      </c>
      <c r="N478" s="202">
        <v>0</v>
      </c>
      <c r="O478" s="202">
        <v>13</v>
      </c>
      <c r="P478" s="202">
        <v>2</v>
      </c>
      <c r="Q478" s="202">
        <v>2</v>
      </c>
      <c r="R478" s="202">
        <v>2</v>
      </c>
      <c r="S478" s="202">
        <v>3</v>
      </c>
      <c r="T478" s="202">
        <v>4</v>
      </c>
      <c r="U478" s="202">
        <v>0</v>
      </c>
      <c r="V478" s="202">
        <v>0</v>
      </c>
      <c r="W478" s="202">
        <v>0</v>
      </c>
      <c r="X478" s="202">
        <v>0</v>
      </c>
      <c r="Y478" s="202">
        <v>0</v>
      </c>
      <c r="Z478" s="202">
        <v>0</v>
      </c>
      <c r="AA478" s="202">
        <v>0</v>
      </c>
      <c r="AB478" s="202">
        <v>0</v>
      </c>
      <c r="AC478" s="202">
        <v>0</v>
      </c>
      <c r="AD478" s="202">
        <v>0</v>
      </c>
      <c r="AE478" s="202">
        <v>0</v>
      </c>
      <c r="AF478" s="202">
        <v>0</v>
      </c>
      <c r="AG478" s="202">
        <v>0</v>
      </c>
      <c r="AH478" s="202">
        <v>0</v>
      </c>
      <c r="AI478" s="202">
        <v>0</v>
      </c>
      <c r="AJ478" s="202">
        <v>0</v>
      </c>
      <c r="AK478" s="202">
        <v>0</v>
      </c>
      <c r="AL478" s="202">
        <v>0</v>
      </c>
      <c r="AM478" s="202">
        <v>0</v>
      </c>
      <c r="AN478" s="202">
        <v>0</v>
      </c>
      <c r="AO478" s="202">
        <v>0</v>
      </c>
      <c r="AP478" s="202">
        <v>0</v>
      </c>
      <c r="AQ478" s="202" t="s">
        <v>2698</v>
      </c>
      <c r="AR478" s="202">
        <v>0</v>
      </c>
      <c r="AS478" s="202">
        <v>0</v>
      </c>
      <c r="AT478" s="202" t="s">
        <v>2985</v>
      </c>
      <c r="AU478" s="202" t="s">
        <v>2319</v>
      </c>
      <c r="AV478" s="202" t="s">
        <v>1929</v>
      </c>
      <c r="AW478"/>
      <c r="AX478"/>
      <c r="AY478"/>
    </row>
    <row r="479" spans="1:51">
      <c r="A479" s="202" t="str">
        <f t="shared" si="32"/>
        <v>王太如</v>
      </c>
      <c r="B479" s="202">
        <f>IF(C479&lt;&gt;"NA",C479,VLOOKUP(K479,Update_from_YIFIP!$X$2:$AD$174,7,FALSE))</f>
        <v>77</v>
      </c>
      <c r="C479" s="207" t="str">
        <f t="shared" si="29"/>
        <v>NA</v>
      </c>
      <c r="D479" s="207" t="str">
        <f t="shared" si="30"/>
        <v>NA</v>
      </c>
      <c r="E479" s="202" t="s">
        <v>2986</v>
      </c>
      <c r="F479" s="202" t="s">
        <v>2988</v>
      </c>
      <c r="G479" s="202" t="s">
        <v>2989</v>
      </c>
      <c r="H479" s="207" t="str">
        <f t="shared" si="31"/>
        <v>NA</v>
      </c>
      <c r="I479" s="202" t="s">
        <v>1929</v>
      </c>
      <c r="J479" s="202" t="s">
        <v>2987</v>
      </c>
      <c r="K479" s="202" t="s">
        <v>3343</v>
      </c>
      <c r="L479" s="202" t="s">
        <v>1750</v>
      </c>
      <c r="M479" s="202">
        <v>4</v>
      </c>
      <c r="N479" s="202">
        <v>0</v>
      </c>
      <c r="O479" s="202">
        <v>11</v>
      </c>
      <c r="P479" s="202">
        <v>2</v>
      </c>
      <c r="Q479" s="202">
        <v>2</v>
      </c>
      <c r="R479" s="202">
        <v>2</v>
      </c>
      <c r="S479" s="202">
        <v>5</v>
      </c>
      <c r="T479" s="202">
        <v>0</v>
      </c>
      <c r="U479" s="202">
        <v>0</v>
      </c>
      <c r="V479" s="202">
        <v>0</v>
      </c>
      <c r="W479" s="202">
        <v>0</v>
      </c>
      <c r="X479" s="202">
        <v>0</v>
      </c>
      <c r="Y479" s="202">
        <v>0</v>
      </c>
      <c r="Z479" s="202">
        <v>0</v>
      </c>
      <c r="AA479" s="202">
        <v>0</v>
      </c>
      <c r="AB479" s="202">
        <v>0</v>
      </c>
      <c r="AC479" s="202">
        <v>0</v>
      </c>
      <c r="AD479" s="202">
        <v>0</v>
      </c>
      <c r="AE479" s="202">
        <v>0</v>
      </c>
      <c r="AF479" s="202">
        <v>0</v>
      </c>
      <c r="AG479" s="202">
        <v>0</v>
      </c>
      <c r="AH479" s="202">
        <v>0</v>
      </c>
      <c r="AI479" s="202">
        <v>0</v>
      </c>
      <c r="AJ479" s="202">
        <v>0</v>
      </c>
      <c r="AK479" s="202">
        <v>0</v>
      </c>
      <c r="AL479" s="202">
        <v>0</v>
      </c>
      <c r="AM479" s="202">
        <v>0</v>
      </c>
      <c r="AN479" s="202">
        <v>0</v>
      </c>
      <c r="AO479" s="202">
        <v>0</v>
      </c>
      <c r="AP479" s="202">
        <v>0</v>
      </c>
      <c r="AQ479" s="202" t="s">
        <v>2834</v>
      </c>
      <c r="AR479" s="202">
        <v>0</v>
      </c>
      <c r="AS479" s="202">
        <v>0</v>
      </c>
      <c r="AT479" s="202" t="s">
        <v>2985</v>
      </c>
      <c r="AU479" s="202" t="s">
        <v>2319</v>
      </c>
      <c r="AV479" s="202" t="s">
        <v>1929</v>
      </c>
      <c r="AW479"/>
      <c r="AX479"/>
      <c r="AY479"/>
    </row>
    <row r="480" spans="1:51">
      <c r="A480" s="202" t="str">
        <f t="shared" si="32"/>
        <v>王太如</v>
      </c>
      <c r="B480" s="202">
        <f>IF(C480&lt;&gt;"NA",C480,VLOOKUP(K480,Update_from_YIFIP!$X$2:$AD$174,7,FALSE))</f>
        <v>77</v>
      </c>
      <c r="C480" s="207" t="str">
        <f t="shared" si="29"/>
        <v>NA</v>
      </c>
      <c r="D480" s="207" t="str">
        <f t="shared" si="30"/>
        <v>NA</v>
      </c>
      <c r="E480" s="202" t="s">
        <v>2986</v>
      </c>
      <c r="F480" s="202" t="s">
        <v>2988</v>
      </c>
      <c r="G480" s="202" t="s">
        <v>2989</v>
      </c>
      <c r="H480" s="207" t="str">
        <f t="shared" si="31"/>
        <v>NA</v>
      </c>
      <c r="I480" s="202" t="s">
        <v>1929</v>
      </c>
      <c r="J480" s="202" t="s">
        <v>2987</v>
      </c>
      <c r="K480" s="202" t="s">
        <v>3342</v>
      </c>
      <c r="L480" s="202" t="s">
        <v>1751</v>
      </c>
      <c r="M480" s="202">
        <v>5</v>
      </c>
      <c r="N480" s="202">
        <v>0</v>
      </c>
      <c r="O480" s="202">
        <v>11</v>
      </c>
      <c r="P480" s="202">
        <v>2</v>
      </c>
      <c r="Q480" s="202">
        <v>2</v>
      </c>
      <c r="R480" s="202">
        <v>2</v>
      </c>
      <c r="S480" s="202">
        <v>3</v>
      </c>
      <c r="T480" s="202">
        <v>2</v>
      </c>
      <c r="U480" s="202">
        <v>0</v>
      </c>
      <c r="V480" s="202">
        <v>0</v>
      </c>
      <c r="W480" s="202">
        <v>0</v>
      </c>
      <c r="X480" s="202">
        <v>0</v>
      </c>
      <c r="Y480" s="202">
        <v>0</v>
      </c>
      <c r="Z480" s="202">
        <v>0</v>
      </c>
      <c r="AA480" s="202">
        <v>0</v>
      </c>
      <c r="AB480" s="202">
        <v>0</v>
      </c>
      <c r="AC480" s="202">
        <v>0</v>
      </c>
      <c r="AD480" s="202">
        <v>0</v>
      </c>
      <c r="AE480" s="202">
        <v>0</v>
      </c>
      <c r="AF480" s="202">
        <v>0</v>
      </c>
      <c r="AG480" s="202">
        <v>0</v>
      </c>
      <c r="AH480" s="202">
        <v>0</v>
      </c>
      <c r="AI480" s="202">
        <v>0</v>
      </c>
      <c r="AJ480" s="202">
        <v>0</v>
      </c>
      <c r="AK480" s="202">
        <v>0</v>
      </c>
      <c r="AL480" s="202">
        <v>0</v>
      </c>
      <c r="AM480" s="202">
        <v>0</v>
      </c>
      <c r="AN480" s="202">
        <v>0</v>
      </c>
      <c r="AO480" s="202">
        <v>0</v>
      </c>
      <c r="AP480" s="202">
        <v>0</v>
      </c>
      <c r="AQ480" s="202" t="s">
        <v>2549</v>
      </c>
      <c r="AR480" s="202">
        <v>0</v>
      </c>
      <c r="AS480" s="202">
        <v>0</v>
      </c>
      <c r="AT480" s="202" t="s">
        <v>2985</v>
      </c>
      <c r="AU480" s="202" t="s">
        <v>2319</v>
      </c>
      <c r="AV480" s="202" t="s">
        <v>1929</v>
      </c>
      <c r="AW480"/>
      <c r="AX480"/>
      <c r="AY480"/>
    </row>
    <row r="481" spans="1:51">
      <c r="A481" s="202" t="str">
        <f t="shared" si="32"/>
        <v>王太如</v>
      </c>
      <c r="B481" s="202">
        <f>IF(C481&lt;&gt;"NA",C481,VLOOKUP(K481,Update_from_YIFIP!$X$2:$AD$174,7,FALSE))</f>
        <v>37</v>
      </c>
      <c r="C481" s="207" t="str">
        <f t="shared" si="29"/>
        <v>NA</v>
      </c>
      <c r="D481" s="207" t="str">
        <f t="shared" si="30"/>
        <v>NA</v>
      </c>
      <c r="E481" s="202" t="s">
        <v>2986</v>
      </c>
      <c r="F481" s="202" t="s">
        <v>2988</v>
      </c>
      <c r="G481" s="202" t="s">
        <v>2989</v>
      </c>
      <c r="H481" s="207" t="str">
        <f t="shared" si="31"/>
        <v>NA</v>
      </c>
      <c r="I481" s="202" t="s">
        <v>1929</v>
      </c>
      <c r="J481" s="202" t="s">
        <v>2987</v>
      </c>
      <c r="K481" s="202" t="s">
        <v>3341</v>
      </c>
      <c r="L481" s="202" t="s">
        <v>1752</v>
      </c>
      <c r="M481" s="202">
        <v>5</v>
      </c>
      <c r="N481" s="202">
        <v>0</v>
      </c>
      <c r="O481" s="202">
        <v>10</v>
      </c>
      <c r="P481" s="202">
        <v>2</v>
      </c>
      <c r="Q481" s="202">
        <v>2</v>
      </c>
      <c r="R481" s="202">
        <v>2</v>
      </c>
      <c r="S481" s="202">
        <v>2</v>
      </c>
      <c r="T481" s="202">
        <v>2</v>
      </c>
      <c r="U481" s="202">
        <v>0</v>
      </c>
      <c r="V481" s="202">
        <v>0</v>
      </c>
      <c r="W481" s="202">
        <v>0</v>
      </c>
      <c r="X481" s="202">
        <v>0</v>
      </c>
      <c r="Y481" s="202">
        <v>0</v>
      </c>
      <c r="Z481" s="202">
        <v>0</v>
      </c>
      <c r="AA481" s="202">
        <v>0</v>
      </c>
      <c r="AB481" s="202">
        <v>0</v>
      </c>
      <c r="AC481" s="202">
        <v>0</v>
      </c>
      <c r="AD481" s="202">
        <v>0</v>
      </c>
      <c r="AE481" s="202">
        <v>0</v>
      </c>
      <c r="AF481" s="202">
        <v>0</v>
      </c>
      <c r="AG481" s="202">
        <v>0</v>
      </c>
      <c r="AH481" s="202">
        <v>0</v>
      </c>
      <c r="AI481" s="202">
        <v>0</v>
      </c>
      <c r="AJ481" s="202">
        <v>0</v>
      </c>
      <c r="AK481" s="202">
        <v>0</v>
      </c>
      <c r="AL481" s="202">
        <v>0</v>
      </c>
      <c r="AM481" s="202">
        <v>0</v>
      </c>
      <c r="AN481" s="202">
        <v>0</v>
      </c>
      <c r="AO481" s="202">
        <v>0</v>
      </c>
      <c r="AP481" s="202">
        <v>0</v>
      </c>
      <c r="AQ481" s="202" t="s">
        <v>2955</v>
      </c>
      <c r="AR481" s="202">
        <v>0</v>
      </c>
      <c r="AS481" s="202">
        <v>0</v>
      </c>
      <c r="AT481" s="202" t="s">
        <v>2985</v>
      </c>
      <c r="AU481" s="202" t="s">
        <v>2319</v>
      </c>
      <c r="AV481" s="202" t="s">
        <v>1929</v>
      </c>
      <c r="AW481"/>
      <c r="AX481"/>
      <c r="AY481"/>
    </row>
    <row r="482" spans="1:51">
      <c r="A482" s="202" t="str">
        <f t="shared" si="32"/>
        <v>李坤</v>
      </c>
      <c r="B482" s="202" t="str">
        <f>IF(C482&lt;&gt;"NA",C482,VLOOKUP(K482,Update_from_YIFIP!$X$2:$AD$174,7,FALSE))</f>
        <v>NA</v>
      </c>
      <c r="C482" s="207" t="str">
        <f t="shared" si="29"/>
        <v>NA</v>
      </c>
      <c r="D482" s="207" t="str">
        <f t="shared" ref="D482:D506" si="33">IF(ISNA(VLOOKUP(E482,$AX$2:$AY$173,2,FALSE)) = TRUE, "NA", VLOOKUP(E482,$AX$2:$AY$173,2,FALSE))</f>
        <v>NA</v>
      </c>
      <c r="E482" s="202" t="s">
        <v>2999</v>
      </c>
      <c r="F482" s="202" t="s">
        <v>1929</v>
      </c>
      <c r="G482" s="202" t="s">
        <v>1929</v>
      </c>
      <c r="H482" s="207" t="str">
        <f t="shared" si="31"/>
        <v>NA</v>
      </c>
      <c r="I482" s="202" t="s">
        <v>1929</v>
      </c>
      <c r="J482" s="202" t="s">
        <v>3000</v>
      </c>
      <c r="K482" s="202">
        <v>0</v>
      </c>
      <c r="L482" s="202" t="s">
        <v>2998</v>
      </c>
      <c r="M482" s="202">
        <v>6</v>
      </c>
      <c r="N482" s="202">
        <v>0</v>
      </c>
      <c r="O482" s="202">
        <v>24</v>
      </c>
      <c r="P482" s="202">
        <v>5</v>
      </c>
      <c r="Q482" s="202">
        <v>5</v>
      </c>
      <c r="R482" s="202">
        <v>3</v>
      </c>
      <c r="S482" s="202">
        <v>4</v>
      </c>
      <c r="T482" s="202">
        <v>4</v>
      </c>
      <c r="U482" s="202">
        <v>3</v>
      </c>
      <c r="V482" s="202">
        <v>0</v>
      </c>
      <c r="W482" s="202">
        <v>0</v>
      </c>
      <c r="X482" s="202">
        <v>0</v>
      </c>
      <c r="Y482" s="202">
        <v>0</v>
      </c>
      <c r="Z482" s="202">
        <v>0</v>
      </c>
      <c r="AA482" s="202">
        <v>0</v>
      </c>
      <c r="AB482" s="202">
        <v>0</v>
      </c>
      <c r="AC482" s="202">
        <v>0</v>
      </c>
      <c r="AD482" s="202">
        <v>0</v>
      </c>
      <c r="AE482" s="202">
        <v>0</v>
      </c>
      <c r="AF482" s="202">
        <v>0</v>
      </c>
      <c r="AG482" s="202">
        <v>0</v>
      </c>
      <c r="AH482" s="202">
        <v>0</v>
      </c>
      <c r="AI482" s="202">
        <v>0</v>
      </c>
      <c r="AJ482" s="202">
        <v>0</v>
      </c>
      <c r="AK482" s="202">
        <v>0</v>
      </c>
      <c r="AL482" s="202">
        <v>0</v>
      </c>
      <c r="AM482" s="202">
        <v>0</v>
      </c>
      <c r="AN482" s="202">
        <v>0</v>
      </c>
      <c r="AO482" s="202">
        <v>0</v>
      </c>
      <c r="AP482" s="202">
        <v>0</v>
      </c>
      <c r="AQ482" s="202" t="s">
        <v>1929</v>
      </c>
      <c r="AR482" s="202">
        <v>0</v>
      </c>
      <c r="AS482" s="202">
        <v>0</v>
      </c>
      <c r="AT482" s="202">
        <v>10</v>
      </c>
      <c r="AU482" s="202">
        <v>0</v>
      </c>
      <c r="AV482" s="202">
        <v>2</v>
      </c>
      <c r="AW482"/>
      <c r="AX482"/>
      <c r="AY482"/>
    </row>
    <row r="483" spans="1:51">
      <c r="A483" s="202" t="str">
        <f t="shared" si="32"/>
        <v>范学恩</v>
      </c>
      <c r="B483" s="202">
        <f>IF(C483&lt;&gt;"NA",C483,VLOOKUP(K483,Update_from_YIFIP!$X$2:$AD$174,7,FALSE))</f>
        <v>163</v>
      </c>
      <c r="C483" s="207">
        <f t="shared" si="29"/>
        <v>163</v>
      </c>
      <c r="D483" s="207">
        <f t="shared" si="33"/>
        <v>163</v>
      </c>
      <c r="E483" s="202" t="s">
        <v>2036</v>
      </c>
      <c r="F483" s="202" t="s">
        <v>3018</v>
      </c>
      <c r="G483" s="202" t="s">
        <v>3019</v>
      </c>
      <c r="H483" s="207" t="str">
        <f t="shared" si="31"/>
        <v>NA</v>
      </c>
      <c r="I483" s="202" t="s">
        <v>1929</v>
      </c>
      <c r="J483" s="202" t="s">
        <v>3014</v>
      </c>
      <c r="K483" s="202">
        <v>0</v>
      </c>
      <c r="L483" s="202" t="s">
        <v>1535</v>
      </c>
      <c r="M483" s="202">
        <v>1</v>
      </c>
      <c r="N483" s="202">
        <v>0</v>
      </c>
      <c r="O483" s="202">
        <v>8</v>
      </c>
      <c r="P483" s="202">
        <v>8</v>
      </c>
      <c r="Q483" s="202">
        <v>0</v>
      </c>
      <c r="R483" s="202">
        <v>0</v>
      </c>
      <c r="S483" s="202">
        <v>0</v>
      </c>
      <c r="T483" s="202">
        <v>0</v>
      </c>
      <c r="U483" s="202">
        <v>0</v>
      </c>
      <c r="V483" s="202">
        <v>0</v>
      </c>
      <c r="W483" s="202">
        <v>0</v>
      </c>
      <c r="X483" s="202">
        <v>0</v>
      </c>
      <c r="Y483" s="202">
        <v>0</v>
      </c>
      <c r="Z483" s="202">
        <v>0</v>
      </c>
      <c r="AA483" s="202">
        <v>0</v>
      </c>
      <c r="AB483" s="202">
        <v>0</v>
      </c>
      <c r="AC483" s="202">
        <v>0</v>
      </c>
      <c r="AD483" s="202">
        <v>0</v>
      </c>
      <c r="AE483" s="202">
        <v>0</v>
      </c>
      <c r="AF483" s="202">
        <v>0</v>
      </c>
      <c r="AG483" s="202">
        <v>0</v>
      </c>
      <c r="AH483" s="202">
        <v>0</v>
      </c>
      <c r="AI483" s="202">
        <v>0</v>
      </c>
      <c r="AJ483" s="202">
        <v>0</v>
      </c>
      <c r="AK483" s="202">
        <v>0</v>
      </c>
      <c r="AL483" s="202">
        <v>0</v>
      </c>
      <c r="AM483" s="202">
        <v>0</v>
      </c>
      <c r="AN483" s="202">
        <v>0</v>
      </c>
      <c r="AO483" s="202">
        <v>0</v>
      </c>
      <c r="AP483" s="202">
        <v>0</v>
      </c>
      <c r="AQ483" s="202" t="s">
        <v>3017</v>
      </c>
      <c r="AR483" s="202">
        <v>0</v>
      </c>
      <c r="AS483" s="202">
        <v>0</v>
      </c>
      <c r="AT483" s="202">
        <v>2</v>
      </c>
      <c r="AU483" s="202">
        <v>0</v>
      </c>
      <c r="AV483" s="202">
        <v>0.4</v>
      </c>
      <c r="AW483"/>
      <c r="AX483"/>
      <c r="AY483"/>
    </row>
    <row r="484" spans="1:51">
      <c r="A484" s="202" t="str">
        <f t="shared" si="32"/>
        <v>周国宇</v>
      </c>
      <c r="B484" s="202" t="str">
        <f>IF(C484&lt;&gt;"NA",C484,VLOOKUP(K484,Update_from_YIFIP!$X$2:$AD$174,7,FALSE))</f>
        <v>NA</v>
      </c>
      <c r="C484" s="207" t="str">
        <f t="shared" si="29"/>
        <v>NA</v>
      </c>
      <c r="D484" s="207" t="str">
        <f t="shared" si="33"/>
        <v>NA</v>
      </c>
      <c r="E484" s="202" t="s">
        <v>3045</v>
      </c>
      <c r="F484" s="202" t="s">
        <v>3047</v>
      </c>
      <c r="G484" s="202" t="s">
        <v>3048</v>
      </c>
      <c r="H484" s="207" t="str">
        <f t="shared" si="31"/>
        <v>NA</v>
      </c>
      <c r="I484" s="202" t="s">
        <v>1929</v>
      </c>
      <c r="J484" s="202" t="s">
        <v>3046</v>
      </c>
      <c r="K484" s="202">
        <v>0</v>
      </c>
      <c r="L484" s="202" t="s">
        <v>1552</v>
      </c>
      <c r="M484" s="202">
        <v>15</v>
      </c>
      <c r="N484" s="202">
        <v>0</v>
      </c>
      <c r="O484" s="202">
        <v>31</v>
      </c>
      <c r="P484" s="202">
        <v>1</v>
      </c>
      <c r="Q484" s="202">
        <v>4</v>
      </c>
      <c r="R484" s="202">
        <v>2</v>
      </c>
      <c r="S484" s="202">
        <v>2</v>
      </c>
      <c r="T484" s="202">
        <v>2</v>
      </c>
      <c r="U484" s="202">
        <v>2</v>
      </c>
      <c r="V484" s="202">
        <v>2</v>
      </c>
      <c r="W484" s="202">
        <v>2</v>
      </c>
      <c r="X484" s="202">
        <v>2</v>
      </c>
      <c r="Y484" s="202">
        <v>2</v>
      </c>
      <c r="Z484" s="202">
        <v>2</v>
      </c>
      <c r="AA484" s="202">
        <v>2</v>
      </c>
      <c r="AB484" s="202">
        <v>2</v>
      </c>
      <c r="AC484" s="202">
        <v>2</v>
      </c>
      <c r="AD484" s="202">
        <v>2</v>
      </c>
      <c r="AE484" s="202">
        <v>0</v>
      </c>
      <c r="AF484" s="202">
        <v>0</v>
      </c>
      <c r="AG484" s="202">
        <v>0</v>
      </c>
      <c r="AH484" s="202">
        <v>0</v>
      </c>
      <c r="AI484" s="202">
        <v>0</v>
      </c>
      <c r="AJ484" s="202">
        <v>0</v>
      </c>
      <c r="AK484" s="202">
        <v>0</v>
      </c>
      <c r="AL484" s="202">
        <v>0</v>
      </c>
      <c r="AM484" s="202">
        <v>0</v>
      </c>
      <c r="AN484" s="202">
        <v>0</v>
      </c>
      <c r="AO484" s="202">
        <v>0</v>
      </c>
      <c r="AP484" s="202">
        <v>0</v>
      </c>
      <c r="AQ484" s="202" t="s">
        <v>2761</v>
      </c>
      <c r="AR484" s="202">
        <v>0</v>
      </c>
      <c r="AS484" s="202">
        <v>0</v>
      </c>
      <c r="AT484" s="202">
        <v>10</v>
      </c>
      <c r="AU484" s="202">
        <v>0</v>
      </c>
      <c r="AV484" s="202">
        <v>2</v>
      </c>
      <c r="AW484"/>
      <c r="AX484"/>
      <c r="AY484"/>
    </row>
    <row r="485" spans="1:51">
      <c r="A485" s="202" t="str">
        <f t="shared" si="32"/>
        <v>周国宇</v>
      </c>
      <c r="B485" s="202" t="str">
        <f>IF(C485&lt;&gt;"NA",C485,VLOOKUP(K485,Update_from_YIFIP!$X$2:$AD$174,7,FALSE))</f>
        <v>NA</v>
      </c>
      <c r="C485" s="207" t="str">
        <f t="shared" si="29"/>
        <v>NA</v>
      </c>
      <c r="D485" s="207" t="str">
        <f t="shared" si="33"/>
        <v>NA</v>
      </c>
      <c r="E485" s="202" t="s">
        <v>3045</v>
      </c>
      <c r="F485" s="202" t="s">
        <v>3047</v>
      </c>
      <c r="G485" s="202" t="s">
        <v>3048</v>
      </c>
      <c r="H485" s="207" t="str">
        <f t="shared" si="31"/>
        <v>NA</v>
      </c>
      <c r="I485" s="202" t="s">
        <v>1929</v>
      </c>
      <c r="J485" s="202" t="s">
        <v>3046</v>
      </c>
      <c r="K485" s="202">
        <v>0</v>
      </c>
      <c r="L485" s="202" t="s">
        <v>1553</v>
      </c>
      <c r="M485" s="202">
        <v>0</v>
      </c>
      <c r="N485" s="202">
        <v>20</v>
      </c>
      <c r="O485" s="202">
        <v>60</v>
      </c>
      <c r="P485" s="202">
        <v>1</v>
      </c>
      <c r="Q485" s="202">
        <v>2</v>
      </c>
      <c r="R485" s="202">
        <v>2</v>
      </c>
      <c r="S485" s="202">
        <v>2</v>
      </c>
      <c r="T485" s="202">
        <v>2</v>
      </c>
      <c r="U485" s="202">
        <v>3</v>
      </c>
      <c r="V485" s="202">
        <v>3</v>
      </c>
      <c r="W485" s="202">
        <v>3</v>
      </c>
      <c r="X485" s="202">
        <v>3</v>
      </c>
      <c r="Y485" s="202">
        <v>3</v>
      </c>
      <c r="Z485" s="202">
        <v>3</v>
      </c>
      <c r="AA485" s="202">
        <v>3</v>
      </c>
      <c r="AB485" s="202">
        <v>3</v>
      </c>
      <c r="AC485" s="202">
        <v>3</v>
      </c>
      <c r="AD485" s="202">
        <v>3</v>
      </c>
      <c r="AE485" s="202">
        <v>4</v>
      </c>
      <c r="AF485" s="202">
        <v>4</v>
      </c>
      <c r="AG485" s="202">
        <v>4</v>
      </c>
      <c r="AH485" s="202">
        <v>4</v>
      </c>
      <c r="AI485" s="202">
        <v>5</v>
      </c>
      <c r="AJ485" s="202">
        <v>0</v>
      </c>
      <c r="AK485" s="202">
        <v>0</v>
      </c>
      <c r="AL485" s="202">
        <v>0</v>
      </c>
      <c r="AM485" s="202">
        <v>0</v>
      </c>
      <c r="AN485" s="202">
        <v>0</v>
      </c>
      <c r="AO485" s="202">
        <v>0</v>
      </c>
      <c r="AP485" s="202">
        <v>0</v>
      </c>
      <c r="AQ485" s="202" t="s">
        <v>3049</v>
      </c>
      <c r="AR485" s="202">
        <v>0</v>
      </c>
      <c r="AS485" s="202">
        <v>0</v>
      </c>
      <c r="AT485" s="202">
        <v>20</v>
      </c>
      <c r="AU485" s="202">
        <v>0</v>
      </c>
      <c r="AV485" s="202">
        <v>4</v>
      </c>
      <c r="AW485"/>
      <c r="AX485"/>
      <c r="AY485"/>
    </row>
    <row r="486" spans="1:51">
      <c r="A486" s="202" t="str">
        <f t="shared" si="32"/>
        <v>周国宇</v>
      </c>
      <c r="B486" s="202" t="str">
        <f>IF(C486&lt;&gt;"NA",C486,VLOOKUP(K486,Update_from_YIFIP!$X$2:$AD$174,7,FALSE))</f>
        <v>NA</v>
      </c>
      <c r="C486" s="207" t="str">
        <f t="shared" si="29"/>
        <v>NA</v>
      </c>
      <c r="D486" s="207" t="str">
        <f t="shared" si="33"/>
        <v>NA</v>
      </c>
      <c r="E486" s="202" t="s">
        <v>3045</v>
      </c>
      <c r="F486" s="202" t="s">
        <v>3047</v>
      </c>
      <c r="G486" s="202" t="s">
        <v>3048</v>
      </c>
      <c r="H486" s="207" t="str">
        <f t="shared" si="31"/>
        <v>NA</v>
      </c>
      <c r="I486" s="202" t="s">
        <v>1929</v>
      </c>
      <c r="J486" s="202" t="s">
        <v>3046</v>
      </c>
      <c r="K486" s="202">
        <v>0</v>
      </c>
      <c r="L486" s="202" t="s">
        <v>1554</v>
      </c>
      <c r="M486" s="202">
        <v>10</v>
      </c>
      <c r="N486" s="202">
        <v>0</v>
      </c>
      <c r="O486" s="202">
        <v>33</v>
      </c>
      <c r="P486" s="202">
        <v>2</v>
      </c>
      <c r="Q486" s="202">
        <v>4</v>
      </c>
      <c r="R486" s="202">
        <v>4</v>
      </c>
      <c r="S486" s="202">
        <v>4</v>
      </c>
      <c r="T486" s="202">
        <v>4</v>
      </c>
      <c r="U486" s="202">
        <v>3</v>
      </c>
      <c r="V486" s="202">
        <v>3</v>
      </c>
      <c r="W486" s="202">
        <v>3</v>
      </c>
      <c r="X486" s="202">
        <v>3</v>
      </c>
      <c r="Y486" s="202">
        <v>3</v>
      </c>
      <c r="Z486" s="202">
        <v>0</v>
      </c>
      <c r="AA486" s="202">
        <v>0</v>
      </c>
      <c r="AB486" s="202">
        <v>0</v>
      </c>
      <c r="AC486" s="202">
        <v>0</v>
      </c>
      <c r="AD486" s="202">
        <v>0</v>
      </c>
      <c r="AE486" s="202">
        <v>0</v>
      </c>
      <c r="AF486" s="202">
        <v>0</v>
      </c>
      <c r="AG486" s="202">
        <v>0</v>
      </c>
      <c r="AH486" s="202">
        <v>0</v>
      </c>
      <c r="AI486" s="202">
        <v>0</v>
      </c>
      <c r="AJ486" s="202">
        <v>0</v>
      </c>
      <c r="AK486" s="202">
        <v>0</v>
      </c>
      <c r="AL486" s="202">
        <v>0</v>
      </c>
      <c r="AM486" s="202">
        <v>0</v>
      </c>
      <c r="AN486" s="202">
        <v>0</v>
      </c>
      <c r="AO486" s="202">
        <v>0</v>
      </c>
      <c r="AP486" s="202">
        <v>0</v>
      </c>
      <c r="AQ486" s="202" t="s">
        <v>2815</v>
      </c>
      <c r="AR486" s="202">
        <v>0</v>
      </c>
      <c r="AS486" s="202">
        <v>0</v>
      </c>
      <c r="AT486" s="202">
        <v>12.5</v>
      </c>
      <c r="AU486" s="202">
        <v>0</v>
      </c>
      <c r="AV486" s="202">
        <v>2.5</v>
      </c>
      <c r="AW486"/>
      <c r="AX486"/>
      <c r="AY486"/>
    </row>
    <row r="487" spans="1:51">
      <c r="A487" s="202" t="str">
        <f t="shared" si="32"/>
        <v>周国宇</v>
      </c>
      <c r="B487" s="202" t="str">
        <f>IF(C487&lt;&gt;"NA",C487,VLOOKUP(K487,Update_from_YIFIP!$X$2:$AD$174,7,FALSE))</f>
        <v>NA</v>
      </c>
      <c r="C487" s="207" t="str">
        <f t="shared" si="29"/>
        <v>NA</v>
      </c>
      <c r="D487" s="207" t="str">
        <f t="shared" si="33"/>
        <v>NA</v>
      </c>
      <c r="E487" s="202" t="s">
        <v>3045</v>
      </c>
      <c r="F487" s="202" t="s">
        <v>3047</v>
      </c>
      <c r="G487" s="202" t="s">
        <v>3048</v>
      </c>
      <c r="H487" s="207" t="str">
        <f t="shared" si="31"/>
        <v>NA</v>
      </c>
      <c r="I487" s="202" t="s">
        <v>1929</v>
      </c>
      <c r="J487" s="202" t="s">
        <v>3046</v>
      </c>
      <c r="K487" s="202">
        <v>0</v>
      </c>
      <c r="L487" s="202" t="s">
        <v>1555</v>
      </c>
      <c r="M487" s="202">
        <v>14</v>
      </c>
      <c r="N487" s="202">
        <v>0</v>
      </c>
      <c r="O487" s="202">
        <v>64</v>
      </c>
      <c r="P487" s="202">
        <v>5</v>
      </c>
      <c r="Q487" s="202">
        <v>5</v>
      </c>
      <c r="R487" s="202">
        <v>5</v>
      </c>
      <c r="S487" s="202">
        <v>5</v>
      </c>
      <c r="T487" s="202">
        <v>5</v>
      </c>
      <c r="U487" s="202">
        <v>5</v>
      </c>
      <c r="V487" s="202">
        <v>5</v>
      </c>
      <c r="W487" s="202">
        <v>5</v>
      </c>
      <c r="X487" s="202">
        <v>4</v>
      </c>
      <c r="Y487" s="202">
        <v>4</v>
      </c>
      <c r="Z487" s="202">
        <v>4</v>
      </c>
      <c r="AA487" s="202">
        <v>3</v>
      </c>
      <c r="AB487" s="202">
        <v>3</v>
      </c>
      <c r="AC487" s="202">
        <v>6</v>
      </c>
      <c r="AD487" s="202">
        <v>0</v>
      </c>
      <c r="AE487" s="202">
        <v>0</v>
      </c>
      <c r="AF487" s="202">
        <v>0</v>
      </c>
      <c r="AG487" s="202">
        <v>0</v>
      </c>
      <c r="AH487" s="202">
        <v>0</v>
      </c>
      <c r="AI487" s="202">
        <v>0</v>
      </c>
      <c r="AJ487" s="202">
        <v>0</v>
      </c>
      <c r="AK487" s="202">
        <v>0</v>
      </c>
      <c r="AL487" s="202">
        <v>0</v>
      </c>
      <c r="AM487" s="202">
        <v>0</v>
      </c>
      <c r="AN487" s="202">
        <v>0</v>
      </c>
      <c r="AO487" s="202">
        <v>0</v>
      </c>
      <c r="AP487" s="202">
        <v>0</v>
      </c>
      <c r="AQ487" s="202" t="s">
        <v>3050</v>
      </c>
      <c r="AR487" s="202">
        <v>0</v>
      </c>
      <c r="AS487" s="202">
        <v>0</v>
      </c>
      <c r="AT487" s="202">
        <v>20</v>
      </c>
      <c r="AU487" s="202">
        <v>0</v>
      </c>
      <c r="AV487" s="202">
        <v>4</v>
      </c>
      <c r="AW487"/>
      <c r="AX487"/>
      <c r="AY487"/>
    </row>
    <row r="488" spans="1:51">
      <c r="A488" s="202" t="str">
        <f t="shared" si="32"/>
        <v>李加坤</v>
      </c>
      <c r="B488" s="202" t="str">
        <f>IF(C488&lt;&gt;"NA",C488,VLOOKUP(K488,Update_from_YIFIP!$X$2:$AD$174,7,FALSE))</f>
        <v>NA</v>
      </c>
      <c r="C488" s="207" t="str">
        <f t="shared" si="29"/>
        <v>NA</v>
      </c>
      <c r="D488" s="207" t="str">
        <f t="shared" si="33"/>
        <v>NA</v>
      </c>
      <c r="E488" s="202" t="s">
        <v>2064</v>
      </c>
      <c r="F488" s="202" t="s">
        <v>3059</v>
      </c>
      <c r="G488" s="202" t="s">
        <v>3060</v>
      </c>
      <c r="H488" s="207" t="str">
        <f t="shared" si="31"/>
        <v>NA</v>
      </c>
      <c r="I488" s="202" t="s">
        <v>1929</v>
      </c>
      <c r="J488" s="202" t="s">
        <v>1066</v>
      </c>
      <c r="K488" s="202">
        <v>0</v>
      </c>
      <c r="L488" s="202" t="s">
        <v>1564</v>
      </c>
      <c r="M488" s="202">
        <v>4</v>
      </c>
      <c r="N488" s="202">
        <v>0</v>
      </c>
      <c r="O488" s="202">
        <v>37</v>
      </c>
      <c r="P488" s="202">
        <v>6</v>
      </c>
      <c r="Q488" s="202">
        <v>19</v>
      </c>
      <c r="R488" s="202">
        <v>5</v>
      </c>
      <c r="S488" s="202">
        <v>7</v>
      </c>
      <c r="T488" s="202">
        <v>0</v>
      </c>
      <c r="U488" s="202">
        <v>0</v>
      </c>
      <c r="V488" s="202">
        <v>0</v>
      </c>
      <c r="W488" s="202">
        <v>0</v>
      </c>
      <c r="X488" s="202">
        <v>0</v>
      </c>
      <c r="Y488" s="202">
        <v>0</v>
      </c>
      <c r="Z488" s="202">
        <v>0</v>
      </c>
      <c r="AA488" s="202">
        <v>0</v>
      </c>
      <c r="AB488" s="202">
        <v>0</v>
      </c>
      <c r="AC488" s="202">
        <v>0</v>
      </c>
      <c r="AD488" s="202">
        <v>0</v>
      </c>
      <c r="AE488" s="202">
        <v>0</v>
      </c>
      <c r="AF488" s="202">
        <v>0</v>
      </c>
      <c r="AG488" s="202">
        <v>0</v>
      </c>
      <c r="AH488" s="202">
        <v>0</v>
      </c>
      <c r="AI488" s="202">
        <v>0</v>
      </c>
      <c r="AJ488" s="202">
        <v>0</v>
      </c>
      <c r="AK488" s="202">
        <v>0</v>
      </c>
      <c r="AL488" s="202">
        <v>0</v>
      </c>
      <c r="AM488" s="202">
        <v>0</v>
      </c>
      <c r="AN488" s="202">
        <v>0</v>
      </c>
      <c r="AO488" s="202">
        <v>0</v>
      </c>
      <c r="AP488" s="202">
        <v>0</v>
      </c>
      <c r="AQ488" s="202" t="s">
        <v>2451</v>
      </c>
      <c r="AR488" s="202">
        <v>0</v>
      </c>
      <c r="AS488" s="202">
        <v>0</v>
      </c>
      <c r="AT488" s="202">
        <v>5</v>
      </c>
      <c r="AU488" s="202">
        <v>0</v>
      </c>
      <c r="AV488" s="202">
        <v>1</v>
      </c>
      <c r="AW488"/>
      <c r="AX488"/>
      <c r="AY488"/>
    </row>
    <row r="489" spans="1:51">
      <c r="A489" s="202" t="str">
        <f t="shared" si="32"/>
        <v>李加坤</v>
      </c>
      <c r="B489" s="202" t="str">
        <f>IF(C489&lt;&gt;"NA",C489,VLOOKUP(K489,Update_from_YIFIP!$X$2:$AD$174,7,FALSE))</f>
        <v>NA</v>
      </c>
      <c r="C489" s="207" t="str">
        <f t="shared" si="29"/>
        <v>NA</v>
      </c>
      <c r="D489" s="207" t="str">
        <f t="shared" si="33"/>
        <v>NA</v>
      </c>
      <c r="E489" s="202" t="s">
        <v>2064</v>
      </c>
      <c r="F489" s="202" t="s">
        <v>3059</v>
      </c>
      <c r="G489" s="202" t="s">
        <v>3060</v>
      </c>
      <c r="H489" s="207" t="str">
        <f t="shared" si="31"/>
        <v>NA</v>
      </c>
      <c r="I489" s="202" t="s">
        <v>1929</v>
      </c>
      <c r="J489" s="202" t="s">
        <v>1066</v>
      </c>
      <c r="K489" s="202">
        <v>0</v>
      </c>
      <c r="L489" s="202" t="s">
        <v>1565</v>
      </c>
      <c r="M489" s="202">
        <v>3</v>
      </c>
      <c r="N489" s="202">
        <v>0</v>
      </c>
      <c r="O489" s="202">
        <v>27</v>
      </c>
      <c r="P489" s="202">
        <v>12</v>
      </c>
      <c r="Q489" s="202">
        <v>7</v>
      </c>
      <c r="R489" s="202">
        <v>8</v>
      </c>
      <c r="S489" s="202">
        <v>0</v>
      </c>
      <c r="T489" s="202">
        <v>0</v>
      </c>
      <c r="U489" s="202">
        <v>0</v>
      </c>
      <c r="V489" s="202">
        <v>0</v>
      </c>
      <c r="W489" s="202">
        <v>0</v>
      </c>
      <c r="X489" s="202">
        <v>0</v>
      </c>
      <c r="Y489" s="202">
        <v>0</v>
      </c>
      <c r="Z489" s="202">
        <v>0</v>
      </c>
      <c r="AA489" s="202">
        <v>0</v>
      </c>
      <c r="AB489" s="202">
        <v>0</v>
      </c>
      <c r="AC489" s="202">
        <v>0</v>
      </c>
      <c r="AD489" s="202">
        <v>0</v>
      </c>
      <c r="AE489" s="202">
        <v>0</v>
      </c>
      <c r="AF489" s="202">
        <v>0</v>
      </c>
      <c r="AG489" s="202">
        <v>0</v>
      </c>
      <c r="AH489" s="202">
        <v>0</v>
      </c>
      <c r="AI489" s="202">
        <v>0</v>
      </c>
      <c r="AJ489" s="202">
        <v>0</v>
      </c>
      <c r="AK489" s="202">
        <v>0</v>
      </c>
      <c r="AL489" s="202">
        <v>0</v>
      </c>
      <c r="AM489" s="202">
        <v>0</v>
      </c>
      <c r="AN489" s="202">
        <v>0</v>
      </c>
      <c r="AO489" s="202">
        <v>0</v>
      </c>
      <c r="AP489" s="202">
        <v>0</v>
      </c>
      <c r="AQ489" s="202" t="s">
        <v>2491</v>
      </c>
      <c r="AR489" s="202">
        <v>0</v>
      </c>
      <c r="AS489" s="202">
        <v>0</v>
      </c>
      <c r="AT489" s="202">
        <v>3</v>
      </c>
      <c r="AU489" s="202">
        <v>0</v>
      </c>
      <c r="AV489" s="202">
        <v>0.6</v>
      </c>
      <c r="AW489"/>
      <c r="AX489"/>
      <c r="AY489"/>
    </row>
    <row r="490" spans="1:51">
      <c r="A490" s="202" t="str">
        <f t="shared" si="32"/>
        <v>李加坤</v>
      </c>
      <c r="B490" s="202" t="str">
        <f>IF(C490&lt;&gt;"NA",C490,VLOOKUP(K490,Update_from_YIFIP!$X$2:$AD$174,7,FALSE))</f>
        <v>NA</v>
      </c>
      <c r="C490" s="207" t="str">
        <f t="shared" si="29"/>
        <v>NA</v>
      </c>
      <c r="D490" s="207" t="str">
        <f t="shared" si="33"/>
        <v>NA</v>
      </c>
      <c r="E490" s="202" t="s">
        <v>2064</v>
      </c>
      <c r="F490" s="202" t="s">
        <v>3059</v>
      </c>
      <c r="G490" s="202" t="s">
        <v>3060</v>
      </c>
      <c r="H490" s="207" t="str">
        <f t="shared" si="31"/>
        <v>NA</v>
      </c>
      <c r="I490" s="202" t="s">
        <v>1929</v>
      </c>
      <c r="J490" s="202" t="s">
        <v>1066</v>
      </c>
      <c r="K490" s="202">
        <v>0</v>
      </c>
      <c r="L490" s="202" t="s">
        <v>1566</v>
      </c>
      <c r="M490" s="202">
        <v>2</v>
      </c>
      <c r="N490" s="202">
        <v>0</v>
      </c>
      <c r="O490" s="202">
        <v>24</v>
      </c>
      <c r="P490" s="202">
        <v>13</v>
      </c>
      <c r="Q490" s="202">
        <v>11</v>
      </c>
      <c r="R490" s="202">
        <v>0</v>
      </c>
      <c r="S490" s="202">
        <v>0</v>
      </c>
      <c r="T490" s="202">
        <v>0</v>
      </c>
      <c r="U490" s="202">
        <v>0</v>
      </c>
      <c r="V490" s="202">
        <v>0</v>
      </c>
      <c r="W490" s="202">
        <v>0</v>
      </c>
      <c r="X490" s="202">
        <v>0</v>
      </c>
      <c r="Y490" s="202">
        <v>0</v>
      </c>
      <c r="Z490" s="202">
        <v>0</v>
      </c>
      <c r="AA490" s="202">
        <v>0</v>
      </c>
      <c r="AB490" s="202">
        <v>0</v>
      </c>
      <c r="AC490" s="202">
        <v>0</v>
      </c>
      <c r="AD490" s="202">
        <v>0</v>
      </c>
      <c r="AE490" s="202">
        <v>0</v>
      </c>
      <c r="AF490" s="202">
        <v>0</v>
      </c>
      <c r="AG490" s="202">
        <v>0</v>
      </c>
      <c r="AH490" s="202">
        <v>0</v>
      </c>
      <c r="AI490" s="202">
        <v>0</v>
      </c>
      <c r="AJ490" s="202">
        <v>0</v>
      </c>
      <c r="AK490" s="202">
        <v>0</v>
      </c>
      <c r="AL490" s="202">
        <v>0</v>
      </c>
      <c r="AM490" s="202">
        <v>0</v>
      </c>
      <c r="AN490" s="202">
        <v>0</v>
      </c>
      <c r="AO490" s="202">
        <v>0</v>
      </c>
      <c r="AP490" s="202">
        <v>0</v>
      </c>
      <c r="AQ490" s="202" t="s">
        <v>2701</v>
      </c>
      <c r="AR490" s="202">
        <v>0</v>
      </c>
      <c r="AS490" s="202">
        <v>0</v>
      </c>
      <c r="AT490" s="202">
        <v>2</v>
      </c>
      <c r="AU490" s="202">
        <v>0</v>
      </c>
      <c r="AV490" s="202">
        <v>0.4</v>
      </c>
      <c r="AW490"/>
      <c r="AX490"/>
      <c r="AY490"/>
    </row>
    <row r="491" spans="1:51">
      <c r="A491" s="202" t="str">
        <f t="shared" si="32"/>
        <v>李加坤</v>
      </c>
      <c r="B491" s="202" t="str">
        <f>IF(C491&lt;&gt;"NA",C491,VLOOKUP(K491,Update_from_YIFIP!$X$2:$AD$174,7,FALSE))</f>
        <v>NA</v>
      </c>
      <c r="C491" s="207" t="str">
        <f t="shared" si="29"/>
        <v>NA</v>
      </c>
      <c r="D491" s="207" t="str">
        <f t="shared" si="33"/>
        <v>NA</v>
      </c>
      <c r="E491" s="202" t="s">
        <v>2064</v>
      </c>
      <c r="F491" s="202" t="s">
        <v>3059</v>
      </c>
      <c r="G491" s="202" t="s">
        <v>3060</v>
      </c>
      <c r="H491" s="207" t="str">
        <f t="shared" si="31"/>
        <v>NA</v>
      </c>
      <c r="I491" s="202" t="s">
        <v>1929</v>
      </c>
      <c r="J491" s="202" t="s">
        <v>1066</v>
      </c>
      <c r="K491" s="202">
        <v>0</v>
      </c>
      <c r="L491" s="202" t="s">
        <v>1567</v>
      </c>
      <c r="M491" s="202">
        <v>6</v>
      </c>
      <c r="N491" s="202">
        <v>0</v>
      </c>
      <c r="O491" s="202">
        <v>33</v>
      </c>
      <c r="P491" s="202">
        <v>11</v>
      </c>
      <c r="Q491" s="202">
        <v>6</v>
      </c>
      <c r="R491" s="202">
        <v>6</v>
      </c>
      <c r="S491" s="202">
        <v>4</v>
      </c>
      <c r="T491" s="202">
        <v>3</v>
      </c>
      <c r="U491" s="202">
        <v>3</v>
      </c>
      <c r="V491" s="202">
        <v>0</v>
      </c>
      <c r="W491" s="202">
        <v>0</v>
      </c>
      <c r="X491" s="202">
        <v>0</v>
      </c>
      <c r="Y491" s="202">
        <v>0</v>
      </c>
      <c r="Z491" s="202">
        <v>0</v>
      </c>
      <c r="AA491" s="202">
        <v>0</v>
      </c>
      <c r="AB491" s="202">
        <v>0</v>
      </c>
      <c r="AC491" s="202">
        <v>0</v>
      </c>
      <c r="AD491" s="202">
        <v>0</v>
      </c>
      <c r="AE491" s="202">
        <v>0</v>
      </c>
      <c r="AF491" s="202">
        <v>0</v>
      </c>
      <c r="AG491" s="202">
        <v>0</v>
      </c>
      <c r="AH491" s="202">
        <v>0</v>
      </c>
      <c r="AI491" s="202">
        <v>0</v>
      </c>
      <c r="AJ491" s="202">
        <v>0</v>
      </c>
      <c r="AK491" s="202">
        <v>0</v>
      </c>
      <c r="AL491" s="202">
        <v>0</v>
      </c>
      <c r="AM491" s="202">
        <v>0</v>
      </c>
      <c r="AN491" s="202">
        <v>0</v>
      </c>
      <c r="AO491" s="202">
        <v>0</v>
      </c>
      <c r="AP491" s="202">
        <v>0</v>
      </c>
      <c r="AQ491" s="202" t="s">
        <v>3061</v>
      </c>
      <c r="AR491" s="202">
        <v>0</v>
      </c>
      <c r="AS491" s="202">
        <v>0</v>
      </c>
      <c r="AT491" s="202">
        <v>15</v>
      </c>
      <c r="AU491" s="202">
        <v>0</v>
      </c>
      <c r="AV491" s="202">
        <v>3</v>
      </c>
      <c r="AW491"/>
      <c r="AX491"/>
      <c r="AY491"/>
    </row>
    <row r="492" spans="1:51">
      <c r="A492" s="202" t="str">
        <f t="shared" si="32"/>
        <v>普宁</v>
      </c>
      <c r="B492" s="202" t="str">
        <f>IF(C492&lt;&gt;"NA",C492,VLOOKUP(K492,Update_from_YIFIP!$X$2:$AD$174,7,FALSE))</f>
        <v>89 or 90</v>
      </c>
      <c r="C492" s="207" t="str">
        <f t="shared" si="29"/>
        <v>NA</v>
      </c>
      <c r="D492" s="207" t="str">
        <f t="shared" si="33"/>
        <v>NA</v>
      </c>
      <c r="E492" s="202" t="s">
        <v>3066</v>
      </c>
      <c r="F492" s="202" t="s">
        <v>1929</v>
      </c>
      <c r="G492" s="202" t="s">
        <v>3068</v>
      </c>
      <c r="H492" s="207" t="str">
        <f t="shared" si="31"/>
        <v>NA</v>
      </c>
      <c r="I492" s="202" t="s">
        <v>1929</v>
      </c>
      <c r="J492" s="202" t="s">
        <v>1068</v>
      </c>
      <c r="K492" s="202" t="s">
        <v>3067</v>
      </c>
      <c r="L492" s="202" t="s">
        <v>1572</v>
      </c>
      <c r="M492" s="202">
        <v>10</v>
      </c>
      <c r="N492" s="202">
        <v>0</v>
      </c>
      <c r="O492" s="202">
        <v>26</v>
      </c>
      <c r="P492" s="202">
        <v>2</v>
      </c>
      <c r="Q492" s="202">
        <v>2</v>
      </c>
      <c r="R492" s="202">
        <v>2</v>
      </c>
      <c r="S492" s="202">
        <v>2</v>
      </c>
      <c r="T492" s="202">
        <v>2</v>
      </c>
      <c r="U492" s="202">
        <v>3</v>
      </c>
      <c r="V492" s="202">
        <v>3</v>
      </c>
      <c r="W492" s="202">
        <v>3</v>
      </c>
      <c r="X492" s="202">
        <v>3</v>
      </c>
      <c r="Y492" s="202">
        <v>4</v>
      </c>
      <c r="Z492" s="202">
        <v>0</v>
      </c>
      <c r="AA492" s="202">
        <v>0</v>
      </c>
      <c r="AB492" s="202">
        <v>0</v>
      </c>
      <c r="AC492" s="202">
        <v>0</v>
      </c>
      <c r="AD492" s="202">
        <v>0</v>
      </c>
      <c r="AE492" s="202">
        <v>0</v>
      </c>
      <c r="AF492" s="202">
        <v>0</v>
      </c>
      <c r="AG492" s="202">
        <v>0</v>
      </c>
      <c r="AH492" s="202">
        <v>0</v>
      </c>
      <c r="AI492" s="202">
        <v>0</v>
      </c>
      <c r="AJ492" s="202">
        <v>0</v>
      </c>
      <c r="AK492" s="202">
        <v>0</v>
      </c>
      <c r="AL492" s="202">
        <v>0</v>
      </c>
      <c r="AM492" s="202">
        <v>0</v>
      </c>
      <c r="AN492" s="202">
        <v>0</v>
      </c>
      <c r="AO492" s="202">
        <v>0</v>
      </c>
      <c r="AP492" s="202">
        <v>0</v>
      </c>
      <c r="AQ492" s="202" t="s">
        <v>2650</v>
      </c>
      <c r="AR492" s="202">
        <v>0</v>
      </c>
      <c r="AS492" s="202">
        <v>0</v>
      </c>
      <c r="AT492" s="202">
        <v>4</v>
      </c>
      <c r="AU492" s="202">
        <v>0</v>
      </c>
      <c r="AV492" s="202">
        <v>0.8</v>
      </c>
      <c r="AW492"/>
      <c r="AX492"/>
      <c r="AY492"/>
    </row>
    <row r="493" spans="1:51">
      <c r="A493" s="202" t="str">
        <f t="shared" si="32"/>
        <v>普宁</v>
      </c>
      <c r="B493" s="202" t="str">
        <f>IF(C493&lt;&gt;"NA",C493,VLOOKUP(K493,Update_from_YIFIP!$X$2:$AD$174,7,FALSE))</f>
        <v>89 or 90</v>
      </c>
      <c r="C493" s="207" t="str">
        <f t="shared" si="29"/>
        <v>NA</v>
      </c>
      <c r="D493" s="207" t="str">
        <f t="shared" si="33"/>
        <v>NA</v>
      </c>
      <c r="E493" s="202" t="s">
        <v>3066</v>
      </c>
      <c r="F493" s="202" t="s">
        <v>1929</v>
      </c>
      <c r="G493" s="202" t="s">
        <v>3068</v>
      </c>
      <c r="H493" s="207" t="str">
        <f t="shared" si="31"/>
        <v>NA</v>
      </c>
      <c r="I493" s="202" t="s">
        <v>1929</v>
      </c>
      <c r="J493" s="202" t="s">
        <v>1068</v>
      </c>
      <c r="K493" s="202" t="s">
        <v>3069</v>
      </c>
      <c r="L493" s="202" t="s">
        <v>1573</v>
      </c>
      <c r="M493" s="202">
        <v>10</v>
      </c>
      <c r="N493" s="202">
        <v>0</v>
      </c>
      <c r="O493" s="202">
        <v>28</v>
      </c>
      <c r="P493" s="202">
        <v>3</v>
      </c>
      <c r="Q493" s="202">
        <v>3</v>
      </c>
      <c r="R493" s="202">
        <v>3</v>
      </c>
      <c r="S493" s="202">
        <v>3</v>
      </c>
      <c r="T493" s="202">
        <v>3</v>
      </c>
      <c r="U493" s="202">
        <v>3</v>
      </c>
      <c r="V493" s="202">
        <v>3</v>
      </c>
      <c r="W493" s="202">
        <v>3</v>
      </c>
      <c r="X493" s="202">
        <v>3</v>
      </c>
      <c r="Y493" s="202">
        <v>1</v>
      </c>
      <c r="Z493" s="202">
        <v>0</v>
      </c>
      <c r="AA493" s="202">
        <v>0</v>
      </c>
      <c r="AB493" s="202">
        <v>0</v>
      </c>
      <c r="AC493" s="202">
        <v>0</v>
      </c>
      <c r="AD493" s="202">
        <v>0</v>
      </c>
      <c r="AE493" s="202">
        <v>0</v>
      </c>
      <c r="AF493" s="202">
        <v>0</v>
      </c>
      <c r="AG493" s="202">
        <v>0</v>
      </c>
      <c r="AH493" s="202">
        <v>0</v>
      </c>
      <c r="AI493" s="202">
        <v>0</v>
      </c>
      <c r="AJ493" s="202">
        <v>0</v>
      </c>
      <c r="AK493" s="202">
        <v>0</v>
      </c>
      <c r="AL493" s="202">
        <v>0</v>
      </c>
      <c r="AM493" s="202">
        <v>0</v>
      </c>
      <c r="AN493" s="202">
        <v>0</v>
      </c>
      <c r="AO493" s="202">
        <v>0</v>
      </c>
      <c r="AP493" s="202">
        <v>0</v>
      </c>
      <c r="AQ493" s="202" t="s">
        <v>2650</v>
      </c>
      <c r="AR493" s="202">
        <v>0</v>
      </c>
      <c r="AS493" s="202">
        <v>0</v>
      </c>
      <c r="AT493" s="202">
        <v>4</v>
      </c>
      <c r="AU493" s="202">
        <v>0</v>
      </c>
      <c r="AV493" s="202">
        <v>0.8</v>
      </c>
      <c r="AW493"/>
      <c r="AX493"/>
      <c r="AY493"/>
    </row>
    <row r="494" spans="1:51">
      <c r="A494" s="202" t="str">
        <f t="shared" si="32"/>
        <v>NA</v>
      </c>
      <c r="B494" s="202" t="str">
        <f>IF(C494&lt;&gt;"NA",C494,VLOOKUP(K494,Update_from_YIFIP!$X$2:$AD$174,7,FALSE))</f>
        <v>NA</v>
      </c>
      <c r="C494" s="207" t="str">
        <f t="shared" si="29"/>
        <v>NA</v>
      </c>
      <c r="D494" s="207" t="str">
        <f t="shared" si="33"/>
        <v>NA</v>
      </c>
      <c r="E494" s="202" t="s">
        <v>10</v>
      </c>
      <c r="F494" s="202" t="s">
        <v>1929</v>
      </c>
      <c r="G494" s="202" t="s">
        <v>1929</v>
      </c>
      <c r="H494" s="207" t="str">
        <f t="shared" si="31"/>
        <v>NA</v>
      </c>
      <c r="I494" s="202" t="s">
        <v>1929</v>
      </c>
      <c r="J494" s="202" t="s">
        <v>1068</v>
      </c>
      <c r="K494" s="202" t="s">
        <v>3062</v>
      </c>
      <c r="L494" s="202" t="s">
        <v>1574</v>
      </c>
      <c r="M494" s="202">
        <v>0</v>
      </c>
      <c r="N494" s="202">
        <v>9</v>
      </c>
      <c r="O494" s="202">
        <v>29</v>
      </c>
      <c r="P494" s="202">
        <v>2</v>
      </c>
      <c r="Q494" s="202">
        <v>2</v>
      </c>
      <c r="R494" s="202">
        <v>3</v>
      </c>
      <c r="S494" s="202">
        <v>3</v>
      </c>
      <c r="T494" s="202">
        <v>3</v>
      </c>
      <c r="U494" s="202">
        <v>4</v>
      </c>
      <c r="V494" s="202">
        <v>4</v>
      </c>
      <c r="W494" s="202">
        <v>4</v>
      </c>
      <c r="X494" s="202">
        <v>4</v>
      </c>
      <c r="Y494" s="202">
        <v>0</v>
      </c>
      <c r="Z494" s="202">
        <v>0</v>
      </c>
      <c r="AA494" s="202">
        <v>0</v>
      </c>
      <c r="AB494" s="202">
        <v>0</v>
      </c>
      <c r="AC494" s="202">
        <v>0</v>
      </c>
      <c r="AD494" s="202">
        <v>0</v>
      </c>
      <c r="AE494" s="202">
        <v>0</v>
      </c>
      <c r="AF494" s="202">
        <v>0</v>
      </c>
      <c r="AG494" s="202">
        <v>0</v>
      </c>
      <c r="AH494" s="202">
        <v>0</v>
      </c>
      <c r="AI494" s="202">
        <v>0</v>
      </c>
      <c r="AJ494" s="202">
        <v>0</v>
      </c>
      <c r="AK494" s="202">
        <v>0</v>
      </c>
      <c r="AL494" s="202">
        <v>0</v>
      </c>
      <c r="AM494" s="202">
        <v>0</v>
      </c>
      <c r="AN494" s="202">
        <v>0</v>
      </c>
      <c r="AO494" s="202">
        <v>0</v>
      </c>
      <c r="AP494" s="202">
        <v>0</v>
      </c>
      <c r="AQ494" s="202" t="s">
        <v>2650</v>
      </c>
      <c r="AR494" s="202">
        <v>0</v>
      </c>
      <c r="AS494" s="202">
        <v>0</v>
      </c>
      <c r="AT494" s="202">
        <v>4</v>
      </c>
      <c r="AU494" s="202">
        <v>0</v>
      </c>
      <c r="AV494" s="202">
        <v>0.8</v>
      </c>
      <c r="AW494"/>
      <c r="AX494"/>
      <c r="AY494"/>
    </row>
    <row r="495" spans="1:51">
      <c r="A495" s="202" t="str">
        <f t="shared" si="32"/>
        <v>李昌恩</v>
      </c>
      <c r="B495" s="202" t="str">
        <f>IF(C495&lt;&gt;"NA",C495,VLOOKUP(K495,Update_from_YIFIP!$X$2:$AD$174,7,FALSE))</f>
        <v>NA</v>
      </c>
      <c r="C495" s="207" t="str">
        <f t="shared" si="29"/>
        <v>NA</v>
      </c>
      <c r="D495" s="207" t="str">
        <f t="shared" si="33"/>
        <v>NA</v>
      </c>
      <c r="E495" s="202" t="s">
        <v>2054</v>
      </c>
      <c r="F495" s="202" t="s">
        <v>3082</v>
      </c>
      <c r="G495" s="202" t="s">
        <v>3083</v>
      </c>
      <c r="H495" s="207" t="str">
        <f t="shared" si="31"/>
        <v>NA</v>
      </c>
      <c r="I495" s="202" t="s">
        <v>1929</v>
      </c>
      <c r="J495" s="202" t="s">
        <v>1051</v>
      </c>
      <c r="K495" s="202">
        <v>0</v>
      </c>
      <c r="L495" s="202" t="s">
        <v>1583</v>
      </c>
      <c r="M495" s="202">
        <v>0</v>
      </c>
      <c r="N495" s="202">
        <v>2</v>
      </c>
      <c r="O495" s="202">
        <v>8</v>
      </c>
      <c r="P495" s="202">
        <v>6</v>
      </c>
      <c r="Q495" s="202">
        <v>2</v>
      </c>
      <c r="R495" s="202">
        <v>0</v>
      </c>
      <c r="S495" s="202">
        <v>0</v>
      </c>
      <c r="T495" s="202">
        <v>0</v>
      </c>
      <c r="U495" s="202">
        <v>0</v>
      </c>
      <c r="V495" s="202">
        <v>0</v>
      </c>
      <c r="W495" s="202">
        <v>0</v>
      </c>
      <c r="X495" s="202">
        <v>0</v>
      </c>
      <c r="Y495" s="202">
        <v>0</v>
      </c>
      <c r="Z495" s="202">
        <v>0</v>
      </c>
      <c r="AA495" s="202">
        <v>0</v>
      </c>
      <c r="AB495" s="202">
        <v>0</v>
      </c>
      <c r="AC495" s="202">
        <v>0</v>
      </c>
      <c r="AD495" s="202">
        <v>0</v>
      </c>
      <c r="AE495" s="202">
        <v>0</v>
      </c>
      <c r="AF495" s="202">
        <v>0</v>
      </c>
      <c r="AG495" s="202">
        <v>0</v>
      </c>
      <c r="AH495" s="202">
        <v>0</v>
      </c>
      <c r="AI495" s="202">
        <v>0</v>
      </c>
      <c r="AJ495" s="202">
        <v>0</v>
      </c>
      <c r="AK495" s="202">
        <v>0</v>
      </c>
      <c r="AL495" s="202">
        <v>0</v>
      </c>
      <c r="AM495" s="202">
        <v>0</v>
      </c>
      <c r="AN495" s="202">
        <v>0</v>
      </c>
      <c r="AO495" s="202">
        <v>0</v>
      </c>
      <c r="AP495" s="202">
        <v>0</v>
      </c>
      <c r="AQ495" s="202" t="s">
        <v>2650</v>
      </c>
      <c r="AR495" s="202">
        <v>0</v>
      </c>
      <c r="AS495" s="202">
        <v>0</v>
      </c>
      <c r="AT495" s="202">
        <v>2</v>
      </c>
      <c r="AU495" s="202">
        <v>0</v>
      </c>
      <c r="AV495" s="202">
        <v>0.4</v>
      </c>
      <c r="AW495"/>
      <c r="AX495"/>
      <c r="AY495"/>
    </row>
    <row r="496" spans="1:51">
      <c r="A496" s="202" t="str">
        <f t="shared" si="32"/>
        <v>李昌恩</v>
      </c>
      <c r="B496" s="202" t="str">
        <f>IF(C496&lt;&gt;"NA",C496,VLOOKUP(K496,Update_from_YIFIP!$X$2:$AD$174,7,FALSE))</f>
        <v>NA</v>
      </c>
      <c r="C496" s="207" t="str">
        <f t="shared" si="29"/>
        <v>NA</v>
      </c>
      <c r="D496" s="207" t="str">
        <f t="shared" si="33"/>
        <v>NA</v>
      </c>
      <c r="E496" s="202" t="s">
        <v>2054</v>
      </c>
      <c r="F496" s="202" t="s">
        <v>3082</v>
      </c>
      <c r="G496" s="202" t="s">
        <v>3083</v>
      </c>
      <c r="H496" s="207" t="str">
        <f t="shared" si="31"/>
        <v>NA</v>
      </c>
      <c r="I496" s="202" t="s">
        <v>1929</v>
      </c>
      <c r="J496" s="202" t="s">
        <v>1051</v>
      </c>
      <c r="K496" s="202">
        <v>0</v>
      </c>
      <c r="L496" s="202" t="s">
        <v>1584</v>
      </c>
      <c r="M496" s="202">
        <v>4</v>
      </c>
      <c r="N496" s="202">
        <v>0</v>
      </c>
      <c r="O496" s="202">
        <v>24</v>
      </c>
      <c r="P496" s="202">
        <v>9</v>
      </c>
      <c r="Q496" s="202">
        <v>5</v>
      </c>
      <c r="R496" s="202">
        <v>8</v>
      </c>
      <c r="S496" s="202">
        <v>2</v>
      </c>
      <c r="T496" s="202">
        <v>0</v>
      </c>
      <c r="U496" s="202">
        <v>0</v>
      </c>
      <c r="V496" s="202">
        <v>0</v>
      </c>
      <c r="W496" s="202">
        <v>0</v>
      </c>
      <c r="X496" s="202">
        <v>0</v>
      </c>
      <c r="Y496" s="202">
        <v>0</v>
      </c>
      <c r="Z496" s="202">
        <v>0</v>
      </c>
      <c r="AA496" s="202">
        <v>0</v>
      </c>
      <c r="AB496" s="202">
        <v>0</v>
      </c>
      <c r="AC496" s="202">
        <v>0</v>
      </c>
      <c r="AD496" s="202">
        <v>0</v>
      </c>
      <c r="AE496" s="202">
        <v>0</v>
      </c>
      <c r="AF496" s="202">
        <v>0</v>
      </c>
      <c r="AG496" s="202">
        <v>0</v>
      </c>
      <c r="AH496" s="202">
        <v>0</v>
      </c>
      <c r="AI496" s="202">
        <v>0</v>
      </c>
      <c r="AJ496" s="202">
        <v>0</v>
      </c>
      <c r="AK496" s="202">
        <v>0</v>
      </c>
      <c r="AL496" s="202">
        <v>0</v>
      </c>
      <c r="AM496" s="202">
        <v>0</v>
      </c>
      <c r="AN496" s="202">
        <v>0</v>
      </c>
      <c r="AO496" s="202">
        <v>0</v>
      </c>
      <c r="AP496" s="202">
        <v>0</v>
      </c>
      <c r="AQ496" s="202" t="s">
        <v>2889</v>
      </c>
      <c r="AR496" s="202">
        <v>0</v>
      </c>
      <c r="AS496" s="202">
        <v>0</v>
      </c>
      <c r="AT496" s="202">
        <v>3</v>
      </c>
      <c r="AU496" s="202">
        <v>0</v>
      </c>
      <c r="AV496" s="202">
        <v>0.6</v>
      </c>
      <c r="AW496"/>
      <c r="AX496"/>
      <c r="AY496"/>
    </row>
    <row r="497" spans="1:51">
      <c r="A497" s="202" t="str">
        <f t="shared" si="32"/>
        <v>施国强</v>
      </c>
      <c r="B497" s="202" t="str">
        <f>IF(C497&lt;&gt;"NA",C497,VLOOKUP(K497,Update_from_YIFIP!$X$2:$AD$174,7,FALSE))</f>
        <v>NA</v>
      </c>
      <c r="C497" s="207" t="str">
        <f t="shared" si="29"/>
        <v>NA</v>
      </c>
      <c r="D497" s="207" t="str">
        <f t="shared" si="33"/>
        <v>NA</v>
      </c>
      <c r="E497" s="202" t="s">
        <v>3092</v>
      </c>
      <c r="F497" s="202" t="s">
        <v>1929</v>
      </c>
      <c r="G497" s="202" t="s">
        <v>1929</v>
      </c>
      <c r="H497" s="207" t="str">
        <f t="shared" si="31"/>
        <v>NA</v>
      </c>
      <c r="I497" s="202" t="s">
        <v>1929</v>
      </c>
      <c r="J497" s="202" t="s">
        <v>3093</v>
      </c>
      <c r="K497" s="202">
        <v>0</v>
      </c>
      <c r="L497" s="202" t="s">
        <v>1762</v>
      </c>
      <c r="M497" s="202">
        <v>1</v>
      </c>
      <c r="N497" s="202">
        <v>0</v>
      </c>
      <c r="O497" s="202">
        <v>1</v>
      </c>
      <c r="P497" s="202">
        <v>1</v>
      </c>
      <c r="Q497" s="202">
        <v>0</v>
      </c>
      <c r="R497" s="202">
        <v>0</v>
      </c>
      <c r="S497" s="202">
        <v>0</v>
      </c>
      <c r="T497" s="202">
        <v>0</v>
      </c>
      <c r="U497" s="202">
        <v>0</v>
      </c>
      <c r="V497" s="202">
        <v>0</v>
      </c>
      <c r="W497" s="202">
        <v>0</v>
      </c>
      <c r="X497" s="202">
        <v>0</v>
      </c>
      <c r="Y497" s="202">
        <v>0</v>
      </c>
      <c r="Z497" s="202">
        <v>0</v>
      </c>
      <c r="AA497" s="202">
        <v>0</v>
      </c>
      <c r="AB497" s="202">
        <v>0</v>
      </c>
      <c r="AC497" s="202">
        <v>0</v>
      </c>
      <c r="AD497" s="202">
        <v>0</v>
      </c>
      <c r="AE497" s="202">
        <v>0</v>
      </c>
      <c r="AF497" s="202">
        <v>0</v>
      </c>
      <c r="AG497" s="202">
        <v>0</v>
      </c>
      <c r="AH497" s="202">
        <v>0</v>
      </c>
      <c r="AI497" s="202">
        <v>0</v>
      </c>
      <c r="AJ497" s="202">
        <v>0</v>
      </c>
      <c r="AK497" s="202">
        <v>0</v>
      </c>
      <c r="AL497" s="202">
        <v>0</v>
      </c>
      <c r="AM497" s="202">
        <v>0</v>
      </c>
      <c r="AN497" s="202">
        <v>0</v>
      </c>
      <c r="AO497" s="202">
        <v>0</v>
      </c>
      <c r="AP497" s="202">
        <v>0</v>
      </c>
      <c r="AQ497" s="202" t="s">
        <v>2795</v>
      </c>
      <c r="AR497" s="202">
        <v>0</v>
      </c>
      <c r="AS497" s="202">
        <v>0</v>
      </c>
      <c r="AT497" s="202">
        <v>0.5</v>
      </c>
      <c r="AU497" s="202" t="s">
        <v>2319</v>
      </c>
      <c r="AV497" s="202">
        <v>1</v>
      </c>
      <c r="AW497"/>
      <c r="AX497"/>
      <c r="AY497"/>
    </row>
    <row r="498" spans="1:51">
      <c r="A498" s="202" t="str">
        <f t="shared" si="32"/>
        <v>罗文洪</v>
      </c>
      <c r="B498" s="202" t="str">
        <f>IF(C498&lt;&gt;"NA",C498,VLOOKUP(K498,Update_from_YIFIP!$X$2:$AD$174,7,FALSE))</f>
        <v>NA</v>
      </c>
      <c r="C498" s="207" t="str">
        <f t="shared" si="29"/>
        <v>NA</v>
      </c>
      <c r="D498" s="207" t="str">
        <f t="shared" si="33"/>
        <v>NA</v>
      </c>
      <c r="E498" s="202" t="s">
        <v>3096</v>
      </c>
      <c r="F498" s="202" t="s">
        <v>1929</v>
      </c>
      <c r="G498" s="202" t="s">
        <v>1929</v>
      </c>
      <c r="H498" s="207" t="str">
        <f t="shared" si="31"/>
        <v>NA</v>
      </c>
      <c r="I498" s="202" t="s">
        <v>1929</v>
      </c>
      <c r="J498" s="202" t="s">
        <v>3093</v>
      </c>
      <c r="K498" s="202">
        <v>0</v>
      </c>
      <c r="L498" s="202" t="s">
        <v>1764</v>
      </c>
      <c r="M498" s="202">
        <v>2</v>
      </c>
      <c r="N498" s="202">
        <v>0</v>
      </c>
      <c r="O498" s="202">
        <v>5</v>
      </c>
      <c r="P498" s="202">
        <v>3</v>
      </c>
      <c r="Q498" s="202">
        <v>2</v>
      </c>
      <c r="R498" s="202">
        <v>0</v>
      </c>
      <c r="S498" s="202">
        <v>0</v>
      </c>
      <c r="T498" s="202">
        <v>0</v>
      </c>
      <c r="U498" s="202">
        <v>0</v>
      </c>
      <c r="V498" s="202">
        <v>0</v>
      </c>
      <c r="W498" s="202">
        <v>0</v>
      </c>
      <c r="X498" s="202">
        <v>0</v>
      </c>
      <c r="Y498" s="202">
        <v>0</v>
      </c>
      <c r="Z498" s="202">
        <v>0</v>
      </c>
      <c r="AA498" s="202">
        <v>0</v>
      </c>
      <c r="AB498" s="202">
        <v>0</v>
      </c>
      <c r="AC498" s="202">
        <v>0</v>
      </c>
      <c r="AD498" s="202">
        <v>0</v>
      </c>
      <c r="AE498" s="202">
        <v>0</v>
      </c>
      <c r="AF498" s="202">
        <v>0</v>
      </c>
      <c r="AG498" s="202">
        <v>0</v>
      </c>
      <c r="AH498" s="202">
        <v>0</v>
      </c>
      <c r="AI498" s="202">
        <v>0</v>
      </c>
      <c r="AJ498" s="202">
        <v>0</v>
      </c>
      <c r="AK498" s="202">
        <v>0</v>
      </c>
      <c r="AL498" s="202">
        <v>0</v>
      </c>
      <c r="AM498" s="202">
        <v>0</v>
      </c>
      <c r="AN498" s="202">
        <v>0</v>
      </c>
      <c r="AO498" s="202">
        <v>0</v>
      </c>
      <c r="AP498" s="202">
        <v>0</v>
      </c>
      <c r="AQ498" s="202" t="s">
        <v>2795</v>
      </c>
      <c r="AR498" s="202">
        <v>0</v>
      </c>
      <c r="AS498" s="202">
        <v>0</v>
      </c>
      <c r="AT498" s="202">
        <v>1.5</v>
      </c>
      <c r="AU498" s="202">
        <v>0</v>
      </c>
      <c r="AV498" s="202">
        <v>3</v>
      </c>
      <c r="AW498"/>
      <c r="AX498"/>
      <c r="AY498"/>
    </row>
    <row r="499" spans="1:51">
      <c r="A499" s="202" t="str">
        <f t="shared" si="32"/>
        <v>李茂天</v>
      </c>
      <c r="B499" s="202" t="str">
        <f>IF(C499&lt;&gt;"NA",C499,VLOOKUP(K499,Update_from_YIFIP!$X$2:$AD$174,7,FALSE))</f>
        <v>NA</v>
      </c>
      <c r="C499" s="207" t="str">
        <f t="shared" si="29"/>
        <v>NA</v>
      </c>
      <c r="D499" s="207" t="str">
        <f t="shared" si="33"/>
        <v>NA</v>
      </c>
      <c r="E499" s="202" t="s">
        <v>3097</v>
      </c>
      <c r="F499" s="202" t="s">
        <v>3099</v>
      </c>
      <c r="G499" s="202" t="s">
        <v>3100</v>
      </c>
      <c r="H499" s="207" t="str">
        <f t="shared" si="31"/>
        <v>NA</v>
      </c>
      <c r="I499" s="202" t="s">
        <v>1929</v>
      </c>
      <c r="J499" s="202" t="s">
        <v>3098</v>
      </c>
      <c r="K499" s="202">
        <v>0</v>
      </c>
      <c r="L499" s="202" t="s">
        <v>1765</v>
      </c>
      <c r="M499" s="202">
        <v>0</v>
      </c>
      <c r="N499" s="202">
        <v>2</v>
      </c>
      <c r="O499" s="202">
        <v>2</v>
      </c>
      <c r="P499" s="202">
        <v>1</v>
      </c>
      <c r="Q499" s="202">
        <v>1</v>
      </c>
      <c r="R499" s="202">
        <v>0</v>
      </c>
      <c r="S499" s="202">
        <v>0</v>
      </c>
      <c r="T499" s="202">
        <v>0</v>
      </c>
      <c r="U499" s="202">
        <v>0</v>
      </c>
      <c r="V499" s="202">
        <v>0</v>
      </c>
      <c r="W499" s="202">
        <v>0</v>
      </c>
      <c r="X499" s="202">
        <v>0</v>
      </c>
      <c r="Y499" s="202">
        <v>0</v>
      </c>
      <c r="Z499" s="202">
        <v>0</v>
      </c>
      <c r="AA499" s="202">
        <v>0</v>
      </c>
      <c r="AB499" s="202">
        <v>0</v>
      </c>
      <c r="AC499" s="202">
        <v>0</v>
      </c>
      <c r="AD499" s="202">
        <v>0</v>
      </c>
      <c r="AE499" s="202">
        <v>0</v>
      </c>
      <c r="AF499" s="202">
        <v>0</v>
      </c>
      <c r="AG499" s="202">
        <v>0</v>
      </c>
      <c r="AH499" s="202">
        <v>0</v>
      </c>
      <c r="AI499" s="202">
        <v>0</v>
      </c>
      <c r="AJ499" s="202">
        <v>0</v>
      </c>
      <c r="AK499" s="202">
        <v>0</v>
      </c>
      <c r="AL499" s="202">
        <v>0</v>
      </c>
      <c r="AM499" s="202">
        <v>0</v>
      </c>
      <c r="AN499" s="202">
        <v>0</v>
      </c>
      <c r="AO499" s="202">
        <v>0</v>
      </c>
      <c r="AP499" s="202">
        <v>0</v>
      </c>
      <c r="AQ499" s="202">
        <v>20160706</v>
      </c>
      <c r="AR499" s="202">
        <v>0</v>
      </c>
      <c r="AS499" s="202">
        <v>0</v>
      </c>
      <c r="AT499" s="202">
        <v>1</v>
      </c>
      <c r="AU499" s="202">
        <v>0</v>
      </c>
      <c r="AV499" s="202">
        <v>1</v>
      </c>
      <c r="AW499"/>
      <c r="AX499"/>
      <c r="AY499"/>
    </row>
    <row r="500" spans="1:51">
      <c r="A500" s="202" t="str">
        <f t="shared" si="32"/>
        <v>李桂芳</v>
      </c>
      <c r="B500" s="202">
        <f>IF(C500&lt;&gt;"NA",C500,VLOOKUP(K500,Update_from_YIFIP!$X$2:$AD$174,7,FALSE))</f>
        <v>58</v>
      </c>
      <c r="C500" s="207">
        <f t="shared" si="29"/>
        <v>58</v>
      </c>
      <c r="D500" s="207">
        <f t="shared" si="33"/>
        <v>58</v>
      </c>
      <c r="E500" s="202" t="s">
        <v>3105</v>
      </c>
      <c r="F500" s="202" t="s">
        <v>1929</v>
      </c>
      <c r="G500" s="202" t="s">
        <v>3106</v>
      </c>
      <c r="H500" s="207" t="str">
        <f t="shared" si="31"/>
        <v>NA</v>
      </c>
      <c r="I500" s="202" t="s">
        <v>1929</v>
      </c>
      <c r="J500" s="202" t="s">
        <v>3094</v>
      </c>
      <c r="K500" s="202">
        <v>0</v>
      </c>
      <c r="L500" s="202" t="s">
        <v>1768</v>
      </c>
      <c r="M500" s="202">
        <v>0</v>
      </c>
      <c r="N500" s="202">
        <v>10</v>
      </c>
      <c r="O500" s="202">
        <v>11</v>
      </c>
      <c r="P500" s="202">
        <v>1</v>
      </c>
      <c r="Q500" s="202">
        <v>1</v>
      </c>
      <c r="R500" s="202">
        <v>1</v>
      </c>
      <c r="S500" s="202">
        <v>1</v>
      </c>
      <c r="T500" s="202">
        <v>1</v>
      </c>
      <c r="U500" s="202">
        <v>1</v>
      </c>
      <c r="V500" s="202">
        <v>1</v>
      </c>
      <c r="W500" s="202">
        <v>1</v>
      </c>
      <c r="X500" s="202">
        <v>1</v>
      </c>
      <c r="Y500" s="202">
        <v>2</v>
      </c>
      <c r="Z500" s="202">
        <v>0</v>
      </c>
      <c r="AA500" s="202">
        <v>0</v>
      </c>
      <c r="AB500" s="202">
        <v>0</v>
      </c>
      <c r="AC500" s="202">
        <v>0</v>
      </c>
      <c r="AD500" s="202">
        <v>0</v>
      </c>
      <c r="AE500" s="202">
        <v>0</v>
      </c>
      <c r="AF500" s="202">
        <v>0</v>
      </c>
      <c r="AG500" s="202">
        <v>0</v>
      </c>
      <c r="AH500" s="202">
        <v>0</v>
      </c>
      <c r="AI500" s="202">
        <v>0</v>
      </c>
      <c r="AJ500" s="202">
        <v>0</v>
      </c>
      <c r="AK500" s="202">
        <v>0</v>
      </c>
      <c r="AL500" s="202">
        <v>0</v>
      </c>
      <c r="AM500" s="202">
        <v>0</v>
      </c>
      <c r="AN500" s="202">
        <v>0</v>
      </c>
      <c r="AO500" s="202">
        <v>0</v>
      </c>
      <c r="AP500" s="202">
        <v>0</v>
      </c>
      <c r="AQ500" s="202">
        <v>20160812</v>
      </c>
      <c r="AR500" s="202">
        <v>0</v>
      </c>
      <c r="AS500" s="202">
        <v>0</v>
      </c>
      <c r="AT500" s="202">
        <v>10</v>
      </c>
      <c r="AU500" s="202">
        <v>0</v>
      </c>
      <c r="AV500" s="202">
        <v>1</v>
      </c>
      <c r="AW500"/>
      <c r="AX500"/>
      <c r="AY500"/>
    </row>
    <row r="501" spans="1:51">
      <c r="A501" s="202" t="str">
        <f t="shared" si="32"/>
        <v>何成富</v>
      </c>
      <c r="B501" s="202">
        <f>IF(C501&lt;&gt;"NA",C501,VLOOKUP(K501,Update_from_YIFIP!$X$2:$AD$174,7,FALSE))</f>
        <v>56</v>
      </c>
      <c r="C501" s="207">
        <f t="shared" si="29"/>
        <v>56</v>
      </c>
      <c r="D501" s="207">
        <f t="shared" si="33"/>
        <v>56</v>
      </c>
      <c r="E501" s="202" t="s">
        <v>3117</v>
      </c>
      <c r="F501" s="202" t="s">
        <v>1929</v>
      </c>
      <c r="G501" s="202" t="s">
        <v>3119</v>
      </c>
      <c r="H501" s="207" t="str">
        <f t="shared" si="31"/>
        <v>NA</v>
      </c>
      <c r="I501" s="202" t="s">
        <v>1929</v>
      </c>
      <c r="J501" s="202" t="s">
        <v>3118</v>
      </c>
      <c r="K501" s="202">
        <v>0</v>
      </c>
      <c r="L501" s="202" t="s">
        <v>1773</v>
      </c>
      <c r="M501" s="202">
        <v>1</v>
      </c>
      <c r="N501" s="202">
        <v>0</v>
      </c>
      <c r="O501" s="202">
        <v>1</v>
      </c>
      <c r="P501" s="202">
        <v>1</v>
      </c>
      <c r="Q501" s="202">
        <v>0</v>
      </c>
      <c r="R501" s="202">
        <v>0</v>
      </c>
      <c r="S501" s="202">
        <v>0</v>
      </c>
      <c r="T501" s="202">
        <v>0</v>
      </c>
      <c r="U501" s="202">
        <v>0</v>
      </c>
      <c r="V501" s="202">
        <v>0</v>
      </c>
      <c r="W501" s="202">
        <v>0</v>
      </c>
      <c r="X501" s="202">
        <v>0</v>
      </c>
      <c r="Y501" s="202">
        <v>0</v>
      </c>
      <c r="Z501" s="202">
        <v>0</v>
      </c>
      <c r="AA501" s="202">
        <v>0</v>
      </c>
      <c r="AB501" s="202">
        <v>0</v>
      </c>
      <c r="AC501" s="202">
        <v>0</v>
      </c>
      <c r="AD501" s="202">
        <v>0</v>
      </c>
      <c r="AE501" s="202">
        <v>0</v>
      </c>
      <c r="AF501" s="202">
        <v>0</v>
      </c>
      <c r="AG501" s="202">
        <v>0</v>
      </c>
      <c r="AH501" s="202">
        <v>0</v>
      </c>
      <c r="AI501" s="202">
        <v>0</v>
      </c>
      <c r="AJ501" s="202">
        <v>0</v>
      </c>
      <c r="AK501" s="202">
        <v>0</v>
      </c>
      <c r="AL501" s="202">
        <v>0</v>
      </c>
      <c r="AM501" s="202">
        <v>0</v>
      </c>
      <c r="AN501" s="202">
        <v>0</v>
      </c>
      <c r="AO501" s="202">
        <v>0</v>
      </c>
      <c r="AP501" s="202">
        <v>0</v>
      </c>
      <c r="AQ501" s="202" t="s">
        <v>2795</v>
      </c>
      <c r="AR501" s="202">
        <v>0</v>
      </c>
      <c r="AS501" s="202">
        <v>0</v>
      </c>
      <c r="AT501" s="202">
        <v>0.5</v>
      </c>
      <c r="AU501" s="202" t="s">
        <v>2319</v>
      </c>
      <c r="AV501" s="202">
        <v>1</v>
      </c>
      <c r="AW501"/>
      <c r="AX501"/>
      <c r="AY501"/>
    </row>
    <row r="502" spans="1:51">
      <c r="A502" s="202" t="str">
        <f t="shared" si="32"/>
        <v>自国先</v>
      </c>
      <c r="B502" s="202" t="str">
        <f>IF(C502&lt;&gt;"NA",C502,VLOOKUP(K502,Update_from_YIFIP!$X$2:$AD$174,7,FALSE))</f>
        <v>NA</v>
      </c>
      <c r="C502" s="207" t="str">
        <f t="shared" si="29"/>
        <v>NA</v>
      </c>
      <c r="D502" s="207" t="str">
        <f t="shared" si="33"/>
        <v>NA</v>
      </c>
      <c r="E502" s="202" t="s">
        <v>3124</v>
      </c>
      <c r="F502" s="202" t="s">
        <v>3127</v>
      </c>
      <c r="G502" s="202" t="s">
        <v>3128</v>
      </c>
      <c r="H502" s="207" t="str">
        <f t="shared" si="31"/>
        <v>NA</v>
      </c>
      <c r="I502" s="202" t="s">
        <v>1929</v>
      </c>
      <c r="J502" s="202" t="s">
        <v>3125</v>
      </c>
      <c r="K502" s="202">
        <v>0</v>
      </c>
      <c r="L502" s="202" t="s">
        <v>1776</v>
      </c>
      <c r="M502" s="202">
        <v>5</v>
      </c>
      <c r="N502" s="202">
        <v>0</v>
      </c>
      <c r="O502" s="202">
        <v>5</v>
      </c>
      <c r="P502" s="202">
        <v>1</v>
      </c>
      <c r="Q502" s="202">
        <v>1</v>
      </c>
      <c r="R502" s="202">
        <v>1</v>
      </c>
      <c r="S502" s="202">
        <v>1</v>
      </c>
      <c r="T502" s="202">
        <v>1</v>
      </c>
      <c r="U502" s="202">
        <v>0</v>
      </c>
      <c r="V502" s="202">
        <v>0</v>
      </c>
      <c r="W502" s="202">
        <v>0</v>
      </c>
      <c r="X502" s="202">
        <v>0</v>
      </c>
      <c r="Y502" s="202">
        <v>0</v>
      </c>
      <c r="Z502" s="202">
        <v>0</v>
      </c>
      <c r="AA502" s="202">
        <v>0</v>
      </c>
      <c r="AB502" s="202">
        <v>0</v>
      </c>
      <c r="AC502" s="202">
        <v>0</v>
      </c>
      <c r="AD502" s="202">
        <v>0</v>
      </c>
      <c r="AE502" s="202">
        <v>0</v>
      </c>
      <c r="AF502" s="202">
        <v>0</v>
      </c>
      <c r="AG502" s="202">
        <v>0</v>
      </c>
      <c r="AH502" s="202">
        <v>0</v>
      </c>
      <c r="AI502" s="202">
        <v>0</v>
      </c>
      <c r="AJ502" s="202">
        <v>0</v>
      </c>
      <c r="AK502" s="202">
        <v>0</v>
      </c>
      <c r="AL502" s="202">
        <v>0</v>
      </c>
      <c r="AM502" s="202">
        <v>0</v>
      </c>
      <c r="AN502" s="202">
        <v>0</v>
      </c>
      <c r="AO502" s="202">
        <v>0</v>
      </c>
      <c r="AP502" s="202">
        <v>0</v>
      </c>
      <c r="AQ502" s="202" t="s">
        <v>3126</v>
      </c>
      <c r="AR502" s="202">
        <v>0</v>
      </c>
      <c r="AS502" s="202">
        <v>0</v>
      </c>
      <c r="AT502" s="202">
        <v>1.5</v>
      </c>
      <c r="AU502" s="202">
        <v>0</v>
      </c>
      <c r="AV502" s="202">
        <v>1</v>
      </c>
      <c r="AW502"/>
      <c r="AX502"/>
      <c r="AY502"/>
    </row>
    <row r="503" spans="1:51">
      <c r="A503" s="202" t="str">
        <f t="shared" si="32"/>
        <v>自国先</v>
      </c>
      <c r="B503" s="202" t="str">
        <f>IF(C503&lt;&gt;"NA",C503,VLOOKUP(K503,Update_from_YIFIP!$X$2:$AD$174,7,FALSE))</f>
        <v>NA</v>
      </c>
      <c r="C503" s="207" t="str">
        <f t="shared" si="29"/>
        <v>NA</v>
      </c>
      <c r="D503" s="207" t="str">
        <f t="shared" si="33"/>
        <v>NA</v>
      </c>
      <c r="E503" s="202" t="s">
        <v>3124</v>
      </c>
      <c r="F503" s="202" t="s">
        <v>3127</v>
      </c>
      <c r="G503" s="202" t="s">
        <v>3128</v>
      </c>
      <c r="H503" s="207" t="str">
        <f t="shared" si="31"/>
        <v>NA</v>
      </c>
      <c r="I503" s="202" t="s">
        <v>1929</v>
      </c>
      <c r="J503" s="202" t="s">
        <v>3125</v>
      </c>
      <c r="K503" s="202">
        <v>0</v>
      </c>
      <c r="L503" s="202" t="s">
        <v>1777</v>
      </c>
      <c r="M503" s="202">
        <v>5</v>
      </c>
      <c r="N503" s="202">
        <v>0</v>
      </c>
      <c r="O503" s="202">
        <v>5</v>
      </c>
      <c r="P503" s="202">
        <v>1</v>
      </c>
      <c r="Q503" s="202">
        <v>1</v>
      </c>
      <c r="R503" s="202">
        <v>1</v>
      </c>
      <c r="S503" s="202">
        <v>1</v>
      </c>
      <c r="T503" s="202">
        <v>1</v>
      </c>
      <c r="U503" s="202">
        <v>0</v>
      </c>
      <c r="V503" s="202">
        <v>0</v>
      </c>
      <c r="W503" s="202">
        <v>0</v>
      </c>
      <c r="X503" s="202">
        <v>0</v>
      </c>
      <c r="Y503" s="202">
        <v>0</v>
      </c>
      <c r="Z503" s="202">
        <v>0</v>
      </c>
      <c r="AA503" s="202">
        <v>0</v>
      </c>
      <c r="AB503" s="202">
        <v>0</v>
      </c>
      <c r="AC503" s="202">
        <v>0</v>
      </c>
      <c r="AD503" s="202">
        <v>0</v>
      </c>
      <c r="AE503" s="202">
        <v>0</v>
      </c>
      <c r="AF503" s="202">
        <v>0</v>
      </c>
      <c r="AG503" s="202">
        <v>0</v>
      </c>
      <c r="AH503" s="202">
        <v>0</v>
      </c>
      <c r="AI503" s="202">
        <v>0</v>
      </c>
      <c r="AJ503" s="202">
        <v>0</v>
      </c>
      <c r="AK503" s="202">
        <v>0</v>
      </c>
      <c r="AL503" s="202">
        <v>0</v>
      </c>
      <c r="AM503" s="202">
        <v>0</v>
      </c>
      <c r="AN503" s="202">
        <v>0</v>
      </c>
      <c r="AO503" s="202">
        <v>0</v>
      </c>
      <c r="AP503" s="202">
        <v>0</v>
      </c>
      <c r="AQ503" s="202" t="s">
        <v>3129</v>
      </c>
      <c r="AR503" s="202">
        <v>0</v>
      </c>
      <c r="AS503" s="202">
        <v>0</v>
      </c>
      <c r="AT503" s="202">
        <v>1.5</v>
      </c>
      <c r="AU503" s="202">
        <v>0</v>
      </c>
      <c r="AV503" s="202">
        <v>1</v>
      </c>
      <c r="AW503"/>
      <c r="AX503"/>
      <c r="AY503"/>
    </row>
    <row r="504" spans="1:51">
      <c r="A504" s="202" t="str">
        <f t="shared" si="32"/>
        <v>鲁新正</v>
      </c>
      <c r="B504" s="202" t="str">
        <f>IF(C504&lt;&gt;"NA",C504,VLOOKUP(K504,Update_from_YIFIP!$X$2:$AD$174,7,FALSE))</f>
        <v>NA</v>
      </c>
      <c r="C504" s="207" t="str">
        <f t="shared" si="29"/>
        <v>NA</v>
      </c>
      <c r="D504" s="207" t="str">
        <f t="shared" si="33"/>
        <v>NA</v>
      </c>
      <c r="E504" s="202" t="s">
        <v>3140</v>
      </c>
      <c r="F504" s="202" t="s">
        <v>3142</v>
      </c>
      <c r="G504" s="202" t="s">
        <v>3143</v>
      </c>
      <c r="H504" s="207" t="str">
        <f t="shared" si="31"/>
        <v>NA</v>
      </c>
      <c r="I504" s="202" t="s">
        <v>1929</v>
      </c>
      <c r="J504" s="202" t="s">
        <v>3141</v>
      </c>
      <c r="K504" s="202">
        <v>0</v>
      </c>
      <c r="L504" s="202" t="s">
        <v>1784</v>
      </c>
      <c r="M504" s="202">
        <v>10</v>
      </c>
      <c r="N504" s="202">
        <v>0</v>
      </c>
      <c r="O504" s="202">
        <v>10</v>
      </c>
      <c r="P504" s="202">
        <v>1</v>
      </c>
      <c r="Q504" s="202">
        <v>1</v>
      </c>
      <c r="R504" s="202">
        <v>1</v>
      </c>
      <c r="S504" s="202">
        <v>1</v>
      </c>
      <c r="T504" s="202">
        <v>1</v>
      </c>
      <c r="U504" s="202">
        <v>1</v>
      </c>
      <c r="V504" s="202">
        <v>1</v>
      </c>
      <c r="W504" s="202">
        <v>1</v>
      </c>
      <c r="X504" s="202">
        <v>1</v>
      </c>
      <c r="Y504" s="202">
        <v>1</v>
      </c>
      <c r="Z504" s="202">
        <v>0</v>
      </c>
      <c r="AA504" s="202">
        <v>0</v>
      </c>
      <c r="AB504" s="202">
        <v>0</v>
      </c>
      <c r="AC504" s="202">
        <v>0</v>
      </c>
      <c r="AD504" s="202">
        <v>0</v>
      </c>
      <c r="AE504" s="202">
        <v>0</v>
      </c>
      <c r="AF504" s="202">
        <v>0</v>
      </c>
      <c r="AG504" s="202">
        <v>0</v>
      </c>
      <c r="AH504" s="202">
        <v>0</v>
      </c>
      <c r="AI504" s="202">
        <v>0</v>
      </c>
      <c r="AJ504" s="202">
        <v>0</v>
      </c>
      <c r="AK504" s="202">
        <v>0</v>
      </c>
      <c r="AL504" s="202">
        <v>0</v>
      </c>
      <c r="AM504" s="202">
        <v>0</v>
      </c>
      <c r="AN504" s="202">
        <v>0</v>
      </c>
      <c r="AO504" s="202">
        <v>0</v>
      </c>
      <c r="AP504" s="202">
        <v>0</v>
      </c>
      <c r="AQ504" s="202">
        <v>20160730</v>
      </c>
      <c r="AR504" s="202">
        <v>0</v>
      </c>
      <c r="AS504" s="202">
        <v>0</v>
      </c>
      <c r="AT504" s="202">
        <v>7.5</v>
      </c>
      <c r="AU504" s="202">
        <v>0</v>
      </c>
      <c r="AV504" s="202">
        <v>1</v>
      </c>
      <c r="AW504"/>
      <c r="AX504"/>
      <c r="AY504"/>
    </row>
    <row r="505" spans="1:51">
      <c r="A505" s="202" t="str">
        <f t="shared" si="32"/>
        <v>鲁新正</v>
      </c>
      <c r="B505" s="202" t="str">
        <f>IF(C505&lt;&gt;"NA",C505,VLOOKUP(K505,Update_from_YIFIP!$X$2:$AD$174,7,FALSE))</f>
        <v>NA</v>
      </c>
      <c r="C505" s="207" t="str">
        <f t="shared" si="29"/>
        <v>NA</v>
      </c>
      <c r="D505" s="207" t="str">
        <f t="shared" si="33"/>
        <v>NA</v>
      </c>
      <c r="E505" s="202" t="s">
        <v>3140</v>
      </c>
      <c r="F505" s="202" t="s">
        <v>3142</v>
      </c>
      <c r="G505" s="202" t="s">
        <v>3143</v>
      </c>
      <c r="H505" s="207" t="str">
        <f t="shared" si="31"/>
        <v>NA</v>
      </c>
      <c r="I505" s="202" t="s">
        <v>1929</v>
      </c>
      <c r="J505" s="202" t="s">
        <v>3141</v>
      </c>
      <c r="K505" s="202">
        <v>0</v>
      </c>
      <c r="L505" s="202" t="s">
        <v>1785</v>
      </c>
      <c r="M505" s="202">
        <v>4</v>
      </c>
      <c r="N505" s="202">
        <v>0</v>
      </c>
      <c r="O505" s="202">
        <v>4</v>
      </c>
      <c r="P505" s="202">
        <v>1</v>
      </c>
      <c r="Q505" s="202">
        <v>1</v>
      </c>
      <c r="R505" s="202">
        <v>1</v>
      </c>
      <c r="S505" s="202">
        <v>1</v>
      </c>
      <c r="T505" s="202">
        <v>0</v>
      </c>
      <c r="U505" s="202">
        <v>0</v>
      </c>
      <c r="V505" s="202">
        <v>0</v>
      </c>
      <c r="W505" s="202">
        <v>0</v>
      </c>
      <c r="X505" s="202">
        <v>0</v>
      </c>
      <c r="Y505" s="202">
        <v>0</v>
      </c>
      <c r="Z505" s="202">
        <v>0</v>
      </c>
      <c r="AA505" s="202">
        <v>0</v>
      </c>
      <c r="AB505" s="202">
        <v>0</v>
      </c>
      <c r="AC505" s="202">
        <v>0</v>
      </c>
      <c r="AD505" s="202">
        <v>0</v>
      </c>
      <c r="AE505" s="202">
        <v>0</v>
      </c>
      <c r="AF505" s="202">
        <v>0</v>
      </c>
      <c r="AG505" s="202">
        <v>0</v>
      </c>
      <c r="AH505" s="202">
        <v>0</v>
      </c>
      <c r="AI505" s="202">
        <v>0</v>
      </c>
      <c r="AJ505" s="202">
        <v>0</v>
      </c>
      <c r="AK505" s="202">
        <v>0</v>
      </c>
      <c r="AL505" s="202">
        <v>0</v>
      </c>
      <c r="AM505" s="202">
        <v>0</v>
      </c>
      <c r="AN505" s="202">
        <v>0</v>
      </c>
      <c r="AO505" s="202">
        <v>0</v>
      </c>
      <c r="AP505" s="202">
        <v>0</v>
      </c>
      <c r="AQ505" s="202">
        <v>20160801</v>
      </c>
      <c r="AR505" s="202">
        <v>0</v>
      </c>
      <c r="AS505" s="202">
        <v>0</v>
      </c>
      <c r="AT505" s="202">
        <v>4</v>
      </c>
      <c r="AU505" s="202">
        <v>0</v>
      </c>
      <c r="AV505" s="202">
        <v>10</v>
      </c>
      <c r="AW505"/>
      <c r="AX505"/>
      <c r="AY505"/>
    </row>
    <row r="506" spans="1:51">
      <c r="A506" s="202" t="str">
        <f t="shared" si="32"/>
        <v>张应有</v>
      </c>
      <c r="B506" s="202">
        <f>IF(C506&lt;&gt;"NA",C506,VLOOKUP(K506,Update_from_YIFIP!$X$2:$AD$174,7,FALSE))</f>
        <v>67</v>
      </c>
      <c r="C506" s="207">
        <f t="shared" si="29"/>
        <v>67</v>
      </c>
      <c r="D506" s="207">
        <f t="shared" si="33"/>
        <v>67</v>
      </c>
      <c r="E506" s="202" t="s">
        <v>2151</v>
      </c>
      <c r="F506" s="202" t="s">
        <v>3145</v>
      </c>
      <c r="G506" s="202" t="s">
        <v>3146</v>
      </c>
      <c r="H506" s="207" t="str">
        <f t="shared" si="31"/>
        <v>NA</v>
      </c>
      <c r="I506" s="202" t="s">
        <v>1929</v>
      </c>
      <c r="J506" s="202" t="s">
        <v>3144</v>
      </c>
      <c r="K506" s="202">
        <v>0</v>
      </c>
      <c r="L506" s="202" t="s">
        <v>1786</v>
      </c>
      <c r="M506" s="202">
        <v>1</v>
      </c>
      <c r="N506" s="202">
        <v>0</v>
      </c>
      <c r="O506" s="202">
        <v>3</v>
      </c>
      <c r="P506" s="202">
        <v>3</v>
      </c>
      <c r="Q506" s="202">
        <v>0</v>
      </c>
      <c r="R506" s="202">
        <v>0</v>
      </c>
      <c r="S506" s="202">
        <v>0</v>
      </c>
      <c r="T506" s="202">
        <v>0</v>
      </c>
      <c r="U506" s="202">
        <v>0</v>
      </c>
      <c r="V506" s="202">
        <v>0</v>
      </c>
      <c r="W506" s="202">
        <v>0</v>
      </c>
      <c r="X506" s="202">
        <v>0</v>
      </c>
      <c r="Y506" s="202">
        <v>0</v>
      </c>
      <c r="Z506" s="202">
        <v>0</v>
      </c>
      <c r="AA506" s="202">
        <v>0</v>
      </c>
      <c r="AB506" s="202">
        <v>0</v>
      </c>
      <c r="AC506" s="202">
        <v>0</v>
      </c>
      <c r="AD506" s="202">
        <v>0</v>
      </c>
      <c r="AE506" s="202">
        <v>0</v>
      </c>
      <c r="AF506" s="202">
        <v>0</v>
      </c>
      <c r="AG506" s="202">
        <v>0</v>
      </c>
      <c r="AH506" s="202">
        <v>0</v>
      </c>
      <c r="AI506" s="202">
        <v>0</v>
      </c>
      <c r="AJ506" s="202">
        <v>0</v>
      </c>
      <c r="AK506" s="202">
        <v>0</v>
      </c>
      <c r="AL506" s="202">
        <v>0</v>
      </c>
      <c r="AM506" s="202">
        <v>0</v>
      </c>
      <c r="AN506" s="202">
        <v>0</v>
      </c>
      <c r="AO506" s="202">
        <v>0</v>
      </c>
      <c r="AP506" s="202">
        <v>0</v>
      </c>
      <c r="AQ506" s="202">
        <v>20160810</v>
      </c>
      <c r="AR506" s="202">
        <v>0</v>
      </c>
      <c r="AS506" s="202">
        <v>0</v>
      </c>
      <c r="AT506" s="202">
        <v>1</v>
      </c>
      <c r="AU506" s="202">
        <v>0</v>
      </c>
      <c r="AV506" s="202">
        <v>3</v>
      </c>
      <c r="AW506"/>
      <c r="AX506"/>
      <c r="AY506"/>
    </row>
  </sheetData>
  <autoFilter ref="B1:AY1" xr:uid="{00000000-0009-0000-0000-000009000000}"/>
  <sortState xmlns:xlrd2="http://schemas.microsoft.com/office/spreadsheetml/2017/richdata2" ref="AX2:AY173">
    <sortCondition ref="AY2:AY173"/>
  </sortState>
  <phoneticPr fontId="2"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6"/>
  <sheetViews>
    <sheetView zoomScale="120" zoomScaleNormal="120" workbookViewId="0">
      <pane ySplit="1" topLeftCell="A2" activePane="bottomLeft" state="frozen"/>
      <selection pane="bottomLeft" activeCell="E20" sqref="E20"/>
    </sheetView>
  </sheetViews>
  <sheetFormatPr baseColWidth="10" defaultColWidth="11.5" defaultRowHeight="19"/>
  <cols>
    <col min="1" max="1" width="20" style="216" bestFit="1" customWidth="1"/>
    <col min="2" max="2" width="21.6640625" style="208" bestFit="1" customWidth="1"/>
    <col min="3" max="3" width="21.1640625" style="219" bestFit="1" customWidth="1"/>
    <col min="4" max="4" width="24.1640625" style="165" customWidth="1"/>
    <col min="5" max="5" width="28" style="165" customWidth="1"/>
    <col min="6" max="6" width="41.5" style="165" bestFit="1" customWidth="1"/>
    <col min="7" max="7" width="26.83203125" style="209" customWidth="1"/>
    <col min="8" max="8" width="23.5" style="209" customWidth="1"/>
  </cols>
  <sheetData>
    <row r="1" spans="1:8" s="205" customFormat="1" ht="15">
      <c r="A1" s="213" t="str">
        <f>sample_database!C1</f>
        <v>polygonID_consensus</v>
      </c>
      <c r="B1" s="213" t="str">
        <f>sample_database!D1</f>
        <v>polygon_ranger_name1</v>
      </c>
      <c r="C1" s="212" t="str">
        <f>sample_database!E1</f>
        <v>姓名1_ranger_1_name</v>
      </c>
      <c r="D1" s="212" t="str">
        <f>sample_database!F1</f>
        <v>身份证号码</v>
      </c>
      <c r="E1" s="212" t="str">
        <f>sample_database!G1</f>
        <v>电话号码</v>
      </c>
      <c r="F1" s="212" t="str">
        <f>sample_database!J1</f>
        <v>地址</v>
      </c>
      <c r="G1" s="212" t="str">
        <f>sample_database!H1</f>
        <v>polygon_ranger_2_name</v>
      </c>
      <c r="H1" s="212" t="str">
        <f>sample_database!I1</f>
        <v>姓名2_ranger_2_name</v>
      </c>
    </row>
    <row r="2" spans="1:8">
      <c r="A2" s="218">
        <f>sample_database!C2</f>
        <v>0</v>
      </c>
      <c r="B2" s="209">
        <f>sample_database!D2</f>
        <v>0</v>
      </c>
      <c r="C2" s="219" t="str">
        <f>sample_database!E2</f>
        <v>李天荣</v>
      </c>
      <c r="D2" s="165" t="str">
        <f>sample_database!F2</f>
        <v>532428196402021910</v>
      </c>
      <c r="E2" s="165" t="str">
        <f>sample_database!G2</f>
        <v>15987718497</v>
      </c>
      <c r="F2" s="165" t="str">
        <f>sample_database!J2</f>
        <v>新平者竜庆丰社区</v>
      </c>
      <c r="G2" s="209" t="str">
        <f>sample_database!H2</f>
        <v>NA</v>
      </c>
      <c r="H2" s="209" t="str">
        <f>sample_database!I2</f>
        <v>NA</v>
      </c>
    </row>
    <row r="3" spans="1:8">
      <c r="A3" s="218">
        <f>sample_database!C6</f>
        <v>2</v>
      </c>
      <c r="B3" s="209">
        <f>sample_database!D6</f>
        <v>2</v>
      </c>
      <c r="C3" s="219" t="str">
        <f>sample_database!E6</f>
        <v>张学良</v>
      </c>
      <c r="D3" s="165" t="str">
        <f>sample_database!F6</f>
        <v>532301198011063133</v>
      </c>
      <c r="E3" s="165" t="str">
        <f>sample_database!G6</f>
        <v>13769279751</v>
      </c>
      <c r="F3" s="165" t="str">
        <f>sample_database!J6</f>
        <v>楚雄西舍路新华村委会</v>
      </c>
      <c r="G3" s="209" t="str">
        <f>sample_database!H6</f>
        <v>NA</v>
      </c>
      <c r="H3" s="209" t="str">
        <f>sample_database!I6</f>
        <v>NA</v>
      </c>
    </row>
    <row r="4" spans="1:8">
      <c r="A4" s="218">
        <f>sample_database!C11</f>
        <v>3</v>
      </c>
      <c r="B4" s="209">
        <f>sample_database!D11</f>
        <v>3</v>
      </c>
      <c r="C4" s="219" t="str">
        <f>sample_database!E11</f>
        <v>李明祥</v>
      </c>
      <c r="D4" s="165" t="str">
        <f>sample_database!F11</f>
        <v>532724196410061212</v>
      </c>
      <c r="E4" s="165" t="str">
        <f>sample_database!G11</f>
        <v>15912973126</v>
      </c>
      <c r="F4" s="165" t="str">
        <f>sample_database!J11</f>
        <v>景东县花山镇苫山村大楚雄村民小组</v>
      </c>
      <c r="G4" s="209" t="str">
        <f>sample_database!H11</f>
        <v>NA</v>
      </c>
      <c r="H4" s="209" t="str">
        <f>sample_database!I11</f>
        <v>NA</v>
      </c>
    </row>
    <row r="5" spans="1:8">
      <c r="A5" s="218">
        <f>sample_database!C15</f>
        <v>4</v>
      </c>
      <c r="B5" s="209">
        <f>sample_database!D15</f>
        <v>4</v>
      </c>
      <c r="C5" s="219" t="str">
        <f>sample_database!E15</f>
        <v>李开应</v>
      </c>
      <c r="D5" s="165" t="str">
        <f>sample_database!F15</f>
        <v>53232219640207051X</v>
      </c>
      <c r="E5" s="165" t="str">
        <f>sample_database!G15</f>
        <v>13769254755&amp;15288511032</v>
      </c>
      <c r="F5" s="165" t="str">
        <f>sample_database!J15</f>
        <v>双柏县鄂嘉镇新树村</v>
      </c>
      <c r="G5" s="210" t="str">
        <f>sample_database!H15</f>
        <v>NA</v>
      </c>
      <c r="H5" s="209" t="str">
        <f>sample_database!I15</f>
        <v>苏连发</v>
      </c>
    </row>
    <row r="6" spans="1:8">
      <c r="A6" s="218">
        <f>sample_database!C19</f>
        <v>5</v>
      </c>
      <c r="B6" s="209">
        <f>sample_database!D19</f>
        <v>5</v>
      </c>
      <c r="C6" s="219" t="str">
        <f>sample_database!E19</f>
        <v>黄正先</v>
      </c>
      <c r="D6" s="167" t="str">
        <f>sample_database!F19</f>
        <v>NA</v>
      </c>
      <c r="E6" s="165" t="str">
        <f>sample_database!G19</f>
        <v>15925281740</v>
      </c>
      <c r="F6" s="165" t="str">
        <f>sample_database!J19</f>
        <v>镇沅县九甲镇和平村往南</v>
      </c>
      <c r="G6" s="209" t="str">
        <f>sample_database!H19</f>
        <v>NA</v>
      </c>
      <c r="H6" s="209" t="str">
        <f>sample_database!I19</f>
        <v>NA</v>
      </c>
    </row>
    <row r="7" spans="1:8">
      <c r="A7" s="218">
        <f>sample_database!C24</f>
        <v>6</v>
      </c>
      <c r="B7" s="209">
        <f>sample_database!D24</f>
        <v>6</v>
      </c>
      <c r="C7" s="219" t="str">
        <f>sample_database!E24</f>
        <v>王光鹏</v>
      </c>
      <c r="D7" s="165" t="str">
        <f>sample_database!F24</f>
        <v>532322198911130516</v>
      </c>
      <c r="E7" s="165" t="str">
        <f>sample_database!G24</f>
        <v>15368550436</v>
      </c>
      <c r="F7" s="165" t="str">
        <f>sample_database!J24</f>
        <v>双柏县鄂嘉镇茶叶村委会茶叶山下村三岔河管护点</v>
      </c>
      <c r="G7" s="210" t="str">
        <f>sample_database!H24</f>
        <v>NA</v>
      </c>
      <c r="H7" s="209" t="str">
        <f>sample_database!I24</f>
        <v>王开岳</v>
      </c>
    </row>
    <row r="8" spans="1:8">
      <c r="A8" s="218">
        <f>sample_database!C29</f>
        <v>7</v>
      </c>
      <c r="B8" s="209">
        <f>sample_database!D29</f>
        <v>7</v>
      </c>
      <c r="C8" s="219" t="str">
        <f>sample_database!E29</f>
        <v>王开远</v>
      </c>
      <c r="D8" s="165" t="str">
        <f>sample_database!F29</f>
        <v>532322197305030510</v>
      </c>
      <c r="E8" s="165" t="str">
        <f>sample_database!G29</f>
        <v>15368553240</v>
      </c>
      <c r="F8" s="165" t="str">
        <f>sample_database!J29</f>
        <v>双柏县鄂嘉镇茶叶村委会三岔河管护点</v>
      </c>
      <c r="G8" s="210" t="str">
        <f>sample_database!H29</f>
        <v>NA</v>
      </c>
      <c r="H8" s="209" t="str">
        <f>sample_database!I29</f>
        <v>周开军</v>
      </c>
    </row>
    <row r="9" spans="1:8">
      <c r="A9" s="218">
        <f>sample_database!C33</f>
        <v>8</v>
      </c>
      <c r="B9" s="210" t="str">
        <f>sample_database!D33</f>
        <v>NA</v>
      </c>
      <c r="C9" s="219" t="str">
        <f>sample_database!E33</f>
        <v>徐丕芳</v>
      </c>
      <c r="D9" s="165" t="str">
        <f>sample_database!F33</f>
        <v>532322196704040519</v>
      </c>
      <c r="E9" s="165" t="str">
        <f>sample_database!G33</f>
        <v>18187834612</v>
      </c>
      <c r="F9" s="165" t="str">
        <f>sample_database!J33</f>
        <v>双柏县鄂嘉镇茶叶村委会三岔河管护点</v>
      </c>
      <c r="G9" s="210">
        <f>sample_database!H33</f>
        <v>8</v>
      </c>
      <c r="H9" s="209" t="str">
        <f>sample_database!I33</f>
        <v>王开定</v>
      </c>
    </row>
    <row r="10" spans="1:8">
      <c r="A10" s="218">
        <f>sample_database!C38</f>
        <v>9</v>
      </c>
      <c r="B10" s="209">
        <f>sample_database!D38</f>
        <v>9</v>
      </c>
      <c r="C10" s="219" t="str">
        <f>sample_database!E38</f>
        <v>郭万明</v>
      </c>
      <c r="D10" s="165" t="str">
        <f>sample_database!F38</f>
        <v>532322197306090515</v>
      </c>
      <c r="E10" s="165" t="str">
        <f>sample_database!G38</f>
        <v>13368782547</v>
      </c>
      <c r="F10" s="165" t="str">
        <f>sample_database!J38</f>
        <v>双柏县鄂嘉镇麻旺村委会三岔河</v>
      </c>
      <c r="G10" s="209" t="str">
        <f>sample_database!H38</f>
        <v>NA</v>
      </c>
      <c r="H10" s="209" t="str">
        <f>sample_database!I38</f>
        <v>NA</v>
      </c>
    </row>
    <row r="11" spans="1:8">
      <c r="A11" s="218">
        <f>sample_database!C42</f>
        <v>10</v>
      </c>
      <c r="B11" s="209">
        <f>sample_database!D42</f>
        <v>10</v>
      </c>
      <c r="C11" s="219" t="str">
        <f>sample_database!E42</f>
        <v>罗永良</v>
      </c>
      <c r="D11" s="165" t="str">
        <f>sample_database!F42</f>
        <v>532322197610050550</v>
      </c>
      <c r="E11" s="165" t="str">
        <f>sample_database!G42</f>
        <v>13529710376</v>
      </c>
      <c r="F11" s="165" t="str">
        <f>sample_database!J42</f>
        <v>双柏县鄂嘉镇麻旺村委会上丕坡</v>
      </c>
      <c r="G11" s="209" t="str">
        <f>sample_database!H42</f>
        <v>NA</v>
      </c>
      <c r="H11" s="209" t="str">
        <f>sample_database!I42</f>
        <v>NA</v>
      </c>
    </row>
    <row r="12" spans="1:8">
      <c r="A12" s="218">
        <f>sample_database!C46</f>
        <v>13</v>
      </c>
      <c r="B12" s="209">
        <f>sample_database!D46</f>
        <v>13</v>
      </c>
      <c r="C12" s="219" t="str">
        <f>sample_database!E46</f>
        <v>朱荣兴</v>
      </c>
      <c r="D12" s="165" t="str">
        <f>sample_database!F46</f>
        <v>532322197010120519</v>
      </c>
      <c r="E12" s="165" t="str">
        <f>sample_database!G46</f>
        <v>15912923610</v>
      </c>
      <c r="F12" s="165" t="str">
        <f>sample_database!J46</f>
        <v>双柏县鄂嘉镇新厂村中厂</v>
      </c>
      <c r="G12" s="209" t="str">
        <f>sample_database!H46</f>
        <v>NA</v>
      </c>
      <c r="H12" s="209" t="str">
        <f>sample_database!I46</f>
        <v>NA</v>
      </c>
    </row>
    <row r="13" spans="1:8">
      <c r="A13" s="218">
        <f>sample_database!C49</f>
        <v>14</v>
      </c>
      <c r="B13" s="209">
        <f>sample_database!D49</f>
        <v>14</v>
      </c>
      <c r="C13" s="219" t="str">
        <f>sample_database!E49</f>
        <v>黄丕山</v>
      </c>
      <c r="D13" s="165" t="str">
        <f>sample_database!F49</f>
        <v>532322196404060534</v>
      </c>
      <c r="E13" s="165" t="str">
        <f>sample_database!G49</f>
        <v>18183781341</v>
      </c>
      <c r="F13" s="165" t="str">
        <f>sample_database!J49</f>
        <v>双柏县鄂嘉镇麻旺村委会大麻旧村</v>
      </c>
      <c r="G13" s="209" t="str">
        <f>sample_database!H49</f>
        <v>NA</v>
      </c>
      <c r="H13" s="209" t="str">
        <f>sample_database!I49</f>
        <v>NA</v>
      </c>
    </row>
    <row r="14" spans="1:8">
      <c r="A14" s="218">
        <f>sample_database!C53</f>
        <v>19</v>
      </c>
      <c r="B14" s="209">
        <f>sample_database!D53</f>
        <v>19</v>
      </c>
      <c r="C14" s="219" t="str">
        <f>sample_database!E53</f>
        <v>郭存义</v>
      </c>
      <c r="D14" s="165" t="str">
        <f>sample_database!F53</f>
        <v>53232219721207053X</v>
      </c>
      <c r="E14" s="165" t="str">
        <f>sample_database!G53</f>
        <v>15987861510</v>
      </c>
      <c r="F14" s="165" t="str">
        <f>sample_database!J53</f>
        <v>双柏县老厂三岔河村</v>
      </c>
      <c r="G14" s="209" t="str">
        <f>sample_database!H53</f>
        <v>NA</v>
      </c>
      <c r="H14" s="209" t="str">
        <f>sample_database!I53</f>
        <v>NA</v>
      </c>
    </row>
    <row r="15" spans="1:8">
      <c r="A15" s="218">
        <f>sample_database!C58</f>
        <v>21</v>
      </c>
      <c r="B15" s="209">
        <f>sample_database!D58</f>
        <v>21</v>
      </c>
      <c r="C15" s="219" t="str">
        <f>sample_database!E58</f>
        <v>陈家发</v>
      </c>
      <c r="D15" s="165" t="str">
        <f>sample_database!F58</f>
        <v>532322198006250518</v>
      </c>
      <c r="E15" s="165" t="str">
        <f>sample_database!G58</f>
        <v>13987891571</v>
      </c>
      <c r="F15" s="165" t="str">
        <f>sample_database!J58</f>
        <v>双柏县鄂嘉镇密架村委会岔河森林管护点</v>
      </c>
      <c r="G15" s="209" t="str">
        <f>sample_database!H58</f>
        <v>NA</v>
      </c>
      <c r="H15" s="209" t="str">
        <f>sample_database!I58</f>
        <v>NA</v>
      </c>
    </row>
    <row r="16" spans="1:8">
      <c r="A16" s="218">
        <f>sample_database!C62</f>
        <v>22</v>
      </c>
      <c r="B16" s="209">
        <f>sample_database!D62</f>
        <v>22</v>
      </c>
      <c r="C16" s="219" t="str">
        <f>sample_database!E62</f>
        <v>王贵友</v>
      </c>
      <c r="D16" s="165" t="str">
        <f>sample_database!F62</f>
        <v>532322196404170514</v>
      </c>
      <c r="E16" s="165" t="str">
        <f>sample_database!G62</f>
        <v>15125722369</v>
      </c>
      <c r="F16" s="165" t="str">
        <f>sample_database!J62</f>
        <v>双柏县鄂嘉镇老厂村岔河</v>
      </c>
      <c r="G16" s="209" t="str">
        <f>sample_database!H62</f>
        <v>NA</v>
      </c>
      <c r="H16" s="209" t="str">
        <f>sample_database!I62</f>
        <v>NA</v>
      </c>
    </row>
    <row r="17" spans="1:8">
      <c r="A17" s="218">
        <f>sample_database!C66</f>
        <v>26</v>
      </c>
      <c r="B17" s="209">
        <f>sample_database!D66</f>
        <v>26</v>
      </c>
      <c r="C17" s="219" t="str">
        <f>sample_database!E66</f>
        <v>王炳兴</v>
      </c>
      <c r="D17" s="165" t="str">
        <f>sample_database!F66</f>
        <v>532322197607070518</v>
      </c>
      <c r="E17" s="165" t="str">
        <f>sample_database!G66</f>
        <v>15288574990&amp;15758311346</v>
      </c>
      <c r="F17" s="165" t="str">
        <f>sample_database!J66</f>
        <v>双柏县鄂嘉镇新树村</v>
      </c>
      <c r="G17" s="210" t="str">
        <f>sample_database!H66</f>
        <v>NA</v>
      </c>
      <c r="H17" s="209" t="str">
        <f>sample_database!I66</f>
        <v>李廷华</v>
      </c>
    </row>
    <row r="18" spans="1:8">
      <c r="A18" s="218">
        <f>sample_database!C70</f>
        <v>29</v>
      </c>
      <c r="B18" s="209" t="str">
        <f>sample_database!D70</f>
        <v>NA</v>
      </c>
      <c r="C18" s="219" t="str">
        <f>sample_database!E70</f>
        <v>鲁兴连</v>
      </c>
      <c r="D18" s="165" t="str">
        <f>sample_database!F70</f>
        <v>532322196511060548</v>
      </c>
      <c r="E18" s="165" t="str">
        <f>sample_database!G70</f>
        <v>14769315809</v>
      </c>
      <c r="F18" s="165" t="str">
        <f>sample_database!J70</f>
        <v>双柏县鄂嘉镇新树村委会</v>
      </c>
      <c r="G18" s="210">
        <f>sample_database!H70</f>
        <v>29</v>
      </c>
      <c r="H18" s="209" t="str">
        <f>sample_database!I70</f>
        <v>祝正贵</v>
      </c>
    </row>
    <row r="19" spans="1:8">
      <c r="A19" s="218">
        <f>sample_database!C74</f>
        <v>30</v>
      </c>
      <c r="B19" s="209">
        <f>sample_database!D74</f>
        <v>30</v>
      </c>
      <c r="C19" s="219" t="str">
        <f>sample_database!E74</f>
        <v>黄中学</v>
      </c>
      <c r="D19" s="165" t="str">
        <f>sample_database!F74</f>
        <v>532322197507090511</v>
      </c>
      <c r="E19" s="165" t="str">
        <f>sample_database!G74</f>
        <v>18387810209</v>
      </c>
      <c r="F19" s="165" t="str">
        <f>sample_database!J74</f>
        <v>双柏县鄂嘉镇新树村委会旧垄山</v>
      </c>
      <c r="G19" s="209" t="str">
        <f>sample_database!H74</f>
        <v>NA</v>
      </c>
      <c r="H19" s="209" t="str">
        <f>sample_database!I74</f>
        <v>NA</v>
      </c>
    </row>
    <row r="20" spans="1:8">
      <c r="A20" s="218">
        <f>sample_database!C79</f>
        <v>31</v>
      </c>
      <c r="B20" s="209">
        <f>sample_database!D79</f>
        <v>31</v>
      </c>
      <c r="C20" s="219" t="str">
        <f>sample_database!E79</f>
        <v>王贵海</v>
      </c>
      <c r="D20" s="165" t="str">
        <f>sample_database!F79</f>
        <v>532322198610100516</v>
      </c>
      <c r="E20" s="165" t="str">
        <f>sample_database!G79</f>
        <v>13368786046</v>
      </c>
      <c r="F20" s="165" t="str">
        <f>sample_database!J79</f>
        <v>双柏县老厂岔河站</v>
      </c>
      <c r="G20" s="209" t="str">
        <f>sample_database!H79</f>
        <v>NA</v>
      </c>
      <c r="H20" s="209" t="str">
        <f>sample_database!I79</f>
        <v>NA</v>
      </c>
    </row>
    <row r="21" spans="1:8">
      <c r="A21" s="218">
        <f>sample_database!C81</f>
        <v>32</v>
      </c>
      <c r="B21" s="209">
        <f>sample_database!D81</f>
        <v>32</v>
      </c>
      <c r="C21" s="219" t="str">
        <f>sample_database!E81</f>
        <v>王贵永</v>
      </c>
      <c r="D21" s="165" t="str">
        <f>sample_database!F81</f>
        <v>532322196209090519</v>
      </c>
      <c r="E21" s="165" t="str">
        <f>sample_database!G81</f>
        <v>15026017075</v>
      </c>
      <c r="F21" s="165" t="str">
        <f>sample_database!J81</f>
        <v>双柏县鄂嘉镇老厂村委会松树林</v>
      </c>
      <c r="G21" s="209" t="str">
        <f>sample_database!H81</f>
        <v>NA</v>
      </c>
      <c r="H21" s="209" t="str">
        <f>sample_database!I81</f>
        <v>NA</v>
      </c>
    </row>
    <row r="22" spans="1:8">
      <c r="A22" s="218">
        <f>sample_database!C83</f>
        <v>33</v>
      </c>
      <c r="B22" s="209">
        <f>sample_database!D83</f>
        <v>33</v>
      </c>
      <c r="C22" s="219" t="str">
        <f>sample_database!E83</f>
        <v>王贵元</v>
      </c>
      <c r="D22" s="165" t="str">
        <f>sample_database!F83</f>
        <v>532322196308180536</v>
      </c>
      <c r="E22" s="165" t="str">
        <f>sample_database!G83</f>
        <v>15096478414</v>
      </c>
      <c r="F22" s="165" t="str">
        <f>sample_database!J83</f>
        <v>双柏县鄂嘉镇岔河</v>
      </c>
      <c r="G22" s="209" t="str">
        <f>sample_database!H83</f>
        <v>NA</v>
      </c>
      <c r="H22" s="209" t="str">
        <f>sample_database!I83</f>
        <v>NA</v>
      </c>
    </row>
    <row r="23" spans="1:8">
      <c r="A23" s="218">
        <f>sample_database!C86</f>
        <v>35</v>
      </c>
      <c r="B23" s="209">
        <f>sample_database!D86</f>
        <v>35</v>
      </c>
      <c r="C23" s="219" t="str">
        <f>sample_database!E86</f>
        <v>李贵华</v>
      </c>
      <c r="D23" s="165" t="str">
        <f>sample_database!F86</f>
        <v>53232219801007536</v>
      </c>
      <c r="E23" s="165" t="str">
        <f>sample_database!G86</f>
        <v>15987245764</v>
      </c>
      <c r="F23" s="165" t="str">
        <f>sample_database!J86</f>
        <v>双柏县鄂嘉镇义隆村</v>
      </c>
      <c r="G23" s="210" t="str">
        <f>sample_database!H86</f>
        <v>NA</v>
      </c>
      <c r="H23" s="209" t="str">
        <f>sample_database!I86</f>
        <v>李富全</v>
      </c>
    </row>
    <row r="24" spans="1:8">
      <c r="A24" s="218">
        <f>sample_database!C91</f>
        <v>37</v>
      </c>
      <c r="B24" s="209">
        <f>sample_database!D91</f>
        <v>37</v>
      </c>
      <c r="C24" s="219" t="str">
        <f>sample_database!E91</f>
        <v>茶建成</v>
      </c>
      <c r="D24" s="165" t="str">
        <f>sample_database!F91</f>
        <v>532301198510293110</v>
      </c>
      <c r="E24" s="165" t="str">
        <f>sample_database!G91</f>
        <v>15125865578</v>
      </c>
      <c r="F24" s="165" t="str">
        <f>sample_database!J91</f>
        <v>楚雄西舍路闸上村</v>
      </c>
      <c r="G24" s="209" t="str">
        <f>sample_database!H91</f>
        <v>NA</v>
      </c>
      <c r="H24" s="209" t="str">
        <f>sample_database!I91</f>
        <v>NA</v>
      </c>
    </row>
    <row r="25" spans="1:8">
      <c r="A25" s="218">
        <f>sample_database!C96</f>
        <v>38</v>
      </c>
      <c r="B25" s="209">
        <f>sample_database!D96</f>
        <v>38</v>
      </c>
      <c r="C25" s="219" t="str">
        <f>sample_database!E96</f>
        <v>张存付</v>
      </c>
      <c r="D25" s="165" t="str">
        <f>sample_database!F96</f>
        <v>532301198702263118</v>
      </c>
      <c r="E25" s="165" t="str">
        <f>sample_database!G96</f>
        <v>15912941971</v>
      </c>
      <c r="F25" s="165" t="str">
        <f>sample_database!J96</f>
        <v>楚雄西舍路下岔河村委会</v>
      </c>
      <c r="G25" s="209" t="str">
        <f>sample_database!H96</f>
        <v>NA</v>
      </c>
      <c r="H25" s="209" t="str">
        <f>sample_database!I96</f>
        <v>NA</v>
      </c>
    </row>
    <row r="26" spans="1:8">
      <c r="A26" s="218">
        <f>sample_database!C100</f>
        <v>39</v>
      </c>
      <c r="B26" s="209">
        <f>sample_database!D100</f>
        <v>39</v>
      </c>
      <c r="C26" s="219" t="str">
        <f>sample_database!E100</f>
        <v>罗荣</v>
      </c>
      <c r="D26" s="165" t="str">
        <f>sample_database!F100</f>
        <v>532301198403063132</v>
      </c>
      <c r="E26" s="165" t="str">
        <f>sample_database!G100</f>
        <v>18287842698</v>
      </c>
      <c r="F26" s="165" t="str">
        <f>sample_database!J100</f>
        <v>楚雄西舍路朵苴村</v>
      </c>
      <c r="G26" s="209" t="str">
        <f>sample_database!H100</f>
        <v>NA</v>
      </c>
      <c r="H26" s="209" t="str">
        <f>sample_database!I100</f>
        <v>NA</v>
      </c>
    </row>
    <row r="27" spans="1:8">
      <c r="A27" s="218">
        <f>sample_database!C105</f>
        <v>40</v>
      </c>
      <c r="B27" s="209">
        <f>sample_database!D105</f>
        <v>40</v>
      </c>
      <c r="C27" s="219" t="str">
        <f>sample_database!E105</f>
        <v>王平昌</v>
      </c>
      <c r="D27" s="165" t="str">
        <f>sample_database!F105</f>
        <v>532301197308203112</v>
      </c>
      <c r="E27" s="165" t="str">
        <f>sample_database!G105</f>
        <v>13987884167</v>
      </c>
      <c r="F27" s="165" t="str">
        <f>sample_database!J105</f>
        <v>德波箐大中山村</v>
      </c>
      <c r="G27" s="209" t="str">
        <f>sample_database!H105</f>
        <v>NA</v>
      </c>
      <c r="H27" s="209" t="str">
        <f>sample_database!I105</f>
        <v>NA</v>
      </c>
    </row>
    <row r="28" spans="1:8">
      <c r="A28" s="218">
        <f>sample_database!C115</f>
        <v>48</v>
      </c>
      <c r="B28" s="209">
        <f>sample_database!D115</f>
        <v>48</v>
      </c>
      <c r="C28" s="219" t="str">
        <f>sample_database!E115</f>
        <v>杨兆清</v>
      </c>
      <c r="D28" s="165" t="str">
        <f>sample_database!F115</f>
        <v>532324196407272316</v>
      </c>
      <c r="E28" s="165" t="str">
        <f>sample_database!G115</f>
        <v>15125782152</v>
      </c>
      <c r="F28" s="165" t="str">
        <f>sample_database!J115</f>
        <v>南华县马街镇上村马街管理站</v>
      </c>
      <c r="G28" s="209" t="str">
        <f>sample_database!H115</f>
        <v>NA</v>
      </c>
      <c r="H28" s="209" t="str">
        <f>sample_database!I115</f>
        <v>NA</v>
      </c>
    </row>
    <row r="29" spans="1:8">
      <c r="A29" s="218">
        <f>sample_database!C116</f>
        <v>50</v>
      </c>
      <c r="B29" s="209">
        <f>sample_database!D116</f>
        <v>50</v>
      </c>
      <c r="C29" s="219" t="str">
        <f>sample_database!E116</f>
        <v>李乾明</v>
      </c>
      <c r="D29" s="165" t="str">
        <f>sample_database!F116</f>
        <v>532324198101062534</v>
      </c>
      <c r="E29" s="165" t="str">
        <f>sample_database!G116</f>
        <v>18787824181</v>
      </c>
      <c r="F29" s="165" t="str">
        <f>sample_database!J116</f>
        <v>南华县兔街镇半坡村委会郭份田村</v>
      </c>
      <c r="G29" s="209" t="str">
        <f>sample_database!H116</f>
        <v>NA</v>
      </c>
      <c r="H29" s="209" t="str">
        <f>sample_database!I116</f>
        <v>NA</v>
      </c>
    </row>
    <row r="30" spans="1:8">
      <c r="A30" s="218">
        <f>sample_database!C118</f>
        <v>51</v>
      </c>
      <c r="B30" s="209">
        <f>sample_database!D118</f>
        <v>51</v>
      </c>
      <c r="C30" s="219" t="str">
        <f>sample_database!E118</f>
        <v>杨子光</v>
      </c>
      <c r="D30" s="165" t="str">
        <f>sample_database!F118</f>
        <v>532324197405042511</v>
      </c>
      <c r="E30" s="165" t="str">
        <f>sample_database!G118</f>
        <v>15096465131</v>
      </c>
      <c r="F30" s="165" t="str">
        <f>sample_database!J118</f>
        <v>南华县兔街镇长梁孜村委会长梁孜村19号</v>
      </c>
      <c r="G30" s="209" t="str">
        <f>sample_database!H118</f>
        <v>NA</v>
      </c>
      <c r="H30" s="209" t="str">
        <f>sample_database!I118</f>
        <v>NA</v>
      </c>
    </row>
    <row r="31" spans="1:8">
      <c r="A31" s="218">
        <f>sample_database!C119</f>
        <v>52</v>
      </c>
      <c r="B31" s="209">
        <f>sample_database!D119</f>
        <v>52</v>
      </c>
      <c r="C31" s="219" t="str">
        <f>sample_database!E119</f>
        <v>涂思学</v>
      </c>
      <c r="D31" s="165" t="str">
        <f>sample_database!F119</f>
        <v>53232419820629231X</v>
      </c>
      <c r="E31" s="165" t="str">
        <f>sample_database!G119</f>
        <v>15969321758</v>
      </c>
      <c r="F31" s="165" t="str">
        <f>sample_database!J119</f>
        <v>南华县马街镇沙坦郎村</v>
      </c>
      <c r="G31" s="209" t="str">
        <f>sample_database!H119</f>
        <v>NA</v>
      </c>
      <c r="H31" s="209" t="str">
        <f>sample_database!I119</f>
        <v>NA</v>
      </c>
    </row>
    <row r="32" spans="1:8">
      <c r="A32" s="218">
        <f>sample_database!C120</f>
        <v>53</v>
      </c>
      <c r="B32" s="209">
        <f>sample_database!D120</f>
        <v>53</v>
      </c>
      <c r="C32" s="219" t="str">
        <f>sample_database!E120</f>
        <v>李先明</v>
      </c>
      <c r="D32" s="165" t="str">
        <f>sample_database!F120</f>
        <v>532324197306082358</v>
      </c>
      <c r="E32" s="165" t="str">
        <f>sample_database!G120</f>
        <v>15887520320</v>
      </c>
      <c r="F32" s="165" t="str">
        <f>sample_database!J120</f>
        <v>南华管理局马街管理站</v>
      </c>
      <c r="G32" s="209" t="str">
        <f>sample_database!H120</f>
        <v>NA</v>
      </c>
      <c r="H32" s="209" t="str">
        <f>sample_database!I120</f>
        <v>NA</v>
      </c>
    </row>
    <row r="33" spans="1:8">
      <c r="A33" s="218">
        <f>sample_database!C126</f>
        <v>64</v>
      </c>
      <c r="B33" s="209">
        <f>sample_database!D126</f>
        <v>64</v>
      </c>
      <c r="C33" s="219" t="str">
        <f>sample_database!E126</f>
        <v>鲁发清</v>
      </c>
      <c r="D33" s="165" t="str">
        <f>sample_database!F126</f>
        <v>532324196304142519</v>
      </c>
      <c r="E33" s="165" t="str">
        <f>sample_database!G126</f>
        <v>15125835818</v>
      </c>
      <c r="F33" s="165" t="str">
        <f>sample_database!J126</f>
        <v>南华县兔街镇小戈瓦村委会大村</v>
      </c>
      <c r="G33" s="209" t="str">
        <f>sample_database!H126</f>
        <v>NA</v>
      </c>
      <c r="H33" s="209" t="str">
        <f>sample_database!I126</f>
        <v>NA</v>
      </c>
    </row>
    <row r="34" spans="1:8">
      <c r="A34" s="218">
        <f>sample_database!C127</f>
        <v>66</v>
      </c>
      <c r="B34" s="209">
        <f>sample_database!D127</f>
        <v>66</v>
      </c>
      <c r="C34" s="219" t="str">
        <f>sample_database!E127</f>
        <v>汪华才</v>
      </c>
      <c r="D34" s="165" t="str">
        <f>sample_database!F127</f>
        <v>53230119770317311X</v>
      </c>
      <c r="E34" s="165" t="str">
        <f>sample_database!G127</f>
        <v>18787814424</v>
      </c>
      <c r="F34" s="165" t="str">
        <f>sample_database!J127</f>
        <v>南华县马街镇后山村委会芹菜塘村，南华管理局</v>
      </c>
      <c r="G34" s="209" t="str">
        <f>sample_database!H127</f>
        <v>NA</v>
      </c>
      <c r="H34" s="209" t="str">
        <f>sample_database!I127</f>
        <v>NA</v>
      </c>
    </row>
    <row r="35" spans="1:8">
      <c r="A35" s="218">
        <f>sample_database!C128</f>
        <v>71</v>
      </c>
      <c r="B35" s="209">
        <f>sample_database!D128</f>
        <v>71</v>
      </c>
      <c r="C35" s="219" t="str">
        <f>sample_database!E128</f>
        <v>罗先华</v>
      </c>
      <c r="D35" s="165" t="str">
        <f>sample_database!F128</f>
        <v>532324197601103331</v>
      </c>
      <c r="E35" s="165" t="str">
        <f>sample_database!G128</f>
        <v>15057230320</v>
      </c>
      <c r="F35" s="165" t="str">
        <f>sample_database!J128</f>
        <v>南华管理局马街管理站</v>
      </c>
      <c r="G35" s="209" t="str">
        <f>sample_database!H128</f>
        <v>NA</v>
      </c>
      <c r="H35" s="209" t="str">
        <f>sample_database!I128</f>
        <v>NA</v>
      </c>
    </row>
    <row r="36" spans="1:8">
      <c r="A36" s="218">
        <f>sample_database!C129</f>
        <v>72</v>
      </c>
      <c r="B36" s="209">
        <f>sample_database!D129</f>
        <v>72</v>
      </c>
      <c r="C36" s="219" t="str">
        <f>sample_database!E129</f>
        <v>王彪</v>
      </c>
      <c r="D36" s="165" t="str">
        <f>sample_database!F129</f>
        <v>532726197806252434</v>
      </c>
      <c r="E36" s="165" t="str">
        <f>sample_database!G129</f>
        <v>15125604726</v>
      </c>
      <c r="F36" s="165" t="str">
        <f>sample_database!J129</f>
        <v>镇沅县麦地村</v>
      </c>
      <c r="G36" s="209" t="str">
        <f>sample_database!H129</f>
        <v>NA</v>
      </c>
      <c r="H36" s="209" t="str">
        <f>sample_database!I129</f>
        <v>NA</v>
      </c>
    </row>
    <row r="37" spans="1:8">
      <c r="A37" s="218">
        <f>sample_database!C130</f>
        <v>73</v>
      </c>
      <c r="B37" s="209">
        <f>sample_database!D130</f>
        <v>73</v>
      </c>
      <c r="C37" s="219" t="str">
        <f>sample_database!E130</f>
        <v>王云武</v>
      </c>
      <c r="D37" s="165" t="str">
        <f>sample_database!F130</f>
        <v>532726196501132410</v>
      </c>
      <c r="E37" s="165" t="str">
        <f>sample_database!G130</f>
        <v>13577961712</v>
      </c>
      <c r="F37" s="165" t="str">
        <f>sample_database!J130</f>
        <v>镇沅县者东镇凹龙村二社</v>
      </c>
      <c r="G37" s="209" t="str">
        <f>sample_database!H130</f>
        <v>NA</v>
      </c>
      <c r="H37" s="209" t="str">
        <f>sample_database!I130</f>
        <v>NA</v>
      </c>
    </row>
    <row r="38" spans="1:8">
      <c r="A38" s="218">
        <f>sample_database!C138</f>
        <v>75</v>
      </c>
      <c r="B38" s="209">
        <f>sample_database!D138</f>
        <v>75</v>
      </c>
      <c r="C38" s="219" t="str">
        <f>sample_database!E138</f>
        <v>杨春昌</v>
      </c>
      <c r="D38" s="165" t="str">
        <f>sample_database!F138</f>
        <v>532726196103102419</v>
      </c>
      <c r="E38" s="167" t="str">
        <f>sample_database!G138</f>
        <v>NA</v>
      </c>
      <c r="F38" s="167" t="str">
        <f>sample_database!J138</f>
        <v>NA</v>
      </c>
      <c r="G38" s="209" t="str">
        <f>sample_database!H138</f>
        <v>NA</v>
      </c>
      <c r="H38" s="209" t="str">
        <f>sample_database!I138</f>
        <v>NA</v>
      </c>
    </row>
    <row r="39" spans="1:8">
      <c r="A39" s="218">
        <f>sample_database!C144</f>
        <v>76</v>
      </c>
      <c r="B39" s="209">
        <f>sample_database!D144</f>
        <v>76</v>
      </c>
      <c r="C39" s="219" t="str">
        <f>sample_database!E144</f>
        <v>龙存发</v>
      </c>
      <c r="D39" s="165" t="str">
        <f>sample_database!F144</f>
        <v>532301197512173133</v>
      </c>
      <c r="E39" s="165" t="str">
        <f>sample_database!G144</f>
        <v>13987878719</v>
      </c>
      <c r="F39" s="165" t="str">
        <f>sample_database!J144</f>
        <v>楚雄管理局朵苴村委会</v>
      </c>
      <c r="G39" s="209" t="str">
        <f>sample_database!H144</f>
        <v>NA</v>
      </c>
      <c r="H39" s="209" t="str">
        <f>sample_database!I144</f>
        <v>NA</v>
      </c>
    </row>
    <row r="40" spans="1:8">
      <c r="A40" s="218">
        <f>sample_database!C149</f>
        <v>77</v>
      </c>
      <c r="B40" s="209">
        <f>sample_database!D149</f>
        <v>77</v>
      </c>
      <c r="C40" s="219" t="str">
        <f>sample_database!E149</f>
        <v>郭洪富</v>
      </c>
      <c r="D40" s="165" t="str">
        <f>sample_database!F149</f>
        <v>532301197402203135</v>
      </c>
      <c r="E40" s="165" t="str">
        <f>sample_database!G149</f>
        <v>13638744286</v>
      </c>
      <c r="F40" s="165" t="str">
        <f>sample_database!J149</f>
        <v>哀牢山国家级自然保护区楚雄管理局保甸管护点</v>
      </c>
      <c r="G40" s="209" t="str">
        <f>sample_database!H149</f>
        <v>NA</v>
      </c>
      <c r="H40" s="209" t="str">
        <f>sample_database!I149</f>
        <v>NA</v>
      </c>
    </row>
    <row r="41" spans="1:8">
      <c r="A41" s="218">
        <f>sample_database!C154</f>
        <v>78</v>
      </c>
      <c r="B41" s="209">
        <f>sample_database!D154</f>
        <v>78</v>
      </c>
      <c r="C41" s="219" t="str">
        <f>sample_database!E154</f>
        <v>肖子云</v>
      </c>
      <c r="D41" s="165" t="str">
        <f>sample_database!F154</f>
        <v>53272619780514241X</v>
      </c>
      <c r="E41" s="165" t="str">
        <f>sample_database!G154</f>
        <v>15154888456</v>
      </c>
      <c r="F41" s="165" t="str">
        <f>sample_database!J154</f>
        <v>镇沅县者东镇木丁村中山组</v>
      </c>
      <c r="G41" s="209" t="str">
        <f>sample_database!H154</f>
        <v>NA</v>
      </c>
      <c r="H41" s="209" t="str">
        <f>sample_database!I154</f>
        <v>NA</v>
      </c>
    </row>
    <row r="42" spans="1:8">
      <c r="A42" s="218">
        <f>sample_database!C158</f>
        <v>83</v>
      </c>
      <c r="B42" s="209">
        <f>sample_database!D158</f>
        <v>83</v>
      </c>
      <c r="C42" s="219" t="str">
        <f>sample_database!E158</f>
        <v>罗权章</v>
      </c>
      <c r="D42" s="165" t="str">
        <f>sample_database!F158</f>
        <v>532726195903062115</v>
      </c>
      <c r="E42" s="165" t="str">
        <f>sample_database!G158</f>
        <v>13769902526</v>
      </c>
      <c r="F42" s="165" t="str">
        <f>sample_database!J158</f>
        <v>镇沅东洒村</v>
      </c>
      <c r="G42" s="209" t="str">
        <f>sample_database!H158</f>
        <v>NA</v>
      </c>
      <c r="H42" s="209" t="str">
        <f>sample_database!I158</f>
        <v>NA</v>
      </c>
    </row>
    <row r="43" spans="1:8">
      <c r="A43" s="218">
        <f>sample_database!C160</f>
        <v>85</v>
      </c>
      <c r="B43" s="209">
        <f>sample_database!D160</f>
        <v>85</v>
      </c>
      <c r="C43" s="219" t="str">
        <f>sample_database!E160</f>
        <v>刘永</v>
      </c>
      <c r="D43" s="165" t="str">
        <f>sample_database!F160</f>
        <v>532726199008132111</v>
      </c>
      <c r="E43" s="165" t="str">
        <f>sample_database!G160</f>
        <v>13649692948</v>
      </c>
      <c r="F43" s="165" t="str">
        <f>sample_database!J160</f>
        <v>镇沅县九甲镇勐真村</v>
      </c>
      <c r="G43" s="209" t="str">
        <f>sample_database!H160</f>
        <v>NA</v>
      </c>
      <c r="H43" s="209" t="str">
        <f>sample_database!I160</f>
        <v>NA</v>
      </c>
    </row>
    <row r="44" spans="1:8">
      <c r="A44" s="218">
        <f>sample_database!C161</f>
        <v>86</v>
      </c>
      <c r="B44" s="209">
        <f>sample_database!D161</f>
        <v>86</v>
      </c>
      <c r="C44" s="219" t="str">
        <f>sample_database!E161</f>
        <v>田子云</v>
      </c>
      <c r="D44" s="165" t="str">
        <f>sample_database!F161</f>
        <v>53272619800405211X</v>
      </c>
      <c r="E44" s="165" t="str">
        <f>sample_database!G161</f>
        <v>13577954998</v>
      </c>
      <c r="F44" s="165" t="str">
        <f>sample_database!J161</f>
        <v>镇沅县九甲镇勐真村文工村民小组</v>
      </c>
      <c r="G44" s="209" t="str">
        <f>sample_database!H161</f>
        <v>NA</v>
      </c>
      <c r="H44" s="209" t="str">
        <f>sample_database!I161</f>
        <v>NA</v>
      </c>
    </row>
    <row r="45" spans="1:8">
      <c r="A45" s="218">
        <f>sample_database!C162</f>
        <v>87</v>
      </c>
      <c r="B45" s="209">
        <f>sample_database!D162</f>
        <v>87</v>
      </c>
      <c r="C45" s="219" t="str">
        <f>sample_database!E162</f>
        <v>王开昌</v>
      </c>
      <c r="D45" s="165" t="str">
        <f>sample_database!F162</f>
        <v>532726197505162136</v>
      </c>
      <c r="E45" s="165" t="str">
        <f>sample_database!G162</f>
        <v>13759009851</v>
      </c>
      <c r="F45" s="165" t="str">
        <f>sample_database!J162</f>
        <v>镇沅九甲甸坑村民委员会</v>
      </c>
      <c r="G45" s="209" t="str">
        <f>sample_database!H162</f>
        <v>NA</v>
      </c>
      <c r="H45" s="209" t="str">
        <f>sample_database!I162</f>
        <v>NA</v>
      </c>
    </row>
    <row r="46" spans="1:8">
      <c r="A46" s="218">
        <f>sample_database!C164</f>
        <v>88</v>
      </c>
      <c r="B46" s="209">
        <f>sample_database!D164</f>
        <v>88</v>
      </c>
      <c r="C46" s="219" t="str">
        <f>sample_database!E164</f>
        <v>普明文</v>
      </c>
      <c r="D46" s="165" t="str">
        <f>sample_database!F164</f>
        <v>532726197208282115</v>
      </c>
      <c r="E46" s="165" t="str">
        <f>sample_database!G164</f>
        <v>13578185348</v>
      </c>
      <c r="F46" s="165" t="str">
        <f>sample_database!J164</f>
        <v>镇沅县九甲镇文岗村朵山小组</v>
      </c>
      <c r="G46" s="209" t="str">
        <f>sample_database!H164</f>
        <v>NA</v>
      </c>
      <c r="H46" s="209" t="str">
        <f>sample_database!I164</f>
        <v>NA</v>
      </c>
    </row>
    <row r="47" spans="1:8">
      <c r="A47" s="218">
        <f>sample_database!C175</f>
        <v>94</v>
      </c>
      <c r="B47" s="209">
        <f>sample_database!D175</f>
        <v>94</v>
      </c>
      <c r="C47" s="219" t="str">
        <f>sample_database!E175</f>
        <v>李红伟</v>
      </c>
      <c r="D47" s="165" t="str">
        <f>sample_database!F175</f>
        <v>532726195702122118</v>
      </c>
      <c r="E47" s="165" t="str">
        <f>sample_database!G175</f>
        <v>15658794271</v>
      </c>
      <c r="F47" s="165" t="str">
        <f>sample_database!J175</f>
        <v>镇沅县九甲镇和平村</v>
      </c>
      <c r="G47" s="209" t="str">
        <f>sample_database!H175</f>
        <v>NA</v>
      </c>
      <c r="H47" s="209" t="str">
        <f>sample_database!I175</f>
        <v>NA</v>
      </c>
    </row>
    <row r="48" spans="1:8">
      <c r="A48" s="218">
        <f>sample_database!C177</f>
        <v>95</v>
      </c>
      <c r="B48" s="209">
        <f>sample_database!D177</f>
        <v>95</v>
      </c>
      <c r="C48" s="219" t="str">
        <f>sample_database!E177</f>
        <v>何忠云</v>
      </c>
      <c r="D48" s="165" t="str">
        <f>sample_database!F177</f>
        <v>53272619860928241X</v>
      </c>
      <c r="E48" s="165" t="str">
        <f>sample_database!G177</f>
        <v>13987901549</v>
      </c>
      <c r="F48" s="165" t="str">
        <f>sample_database!J177</f>
        <v>镇沅县九甲镇和平村千家寨</v>
      </c>
      <c r="G48" s="209" t="str">
        <f>sample_database!H177</f>
        <v>NA</v>
      </c>
      <c r="H48" s="209" t="str">
        <f>sample_database!I177</f>
        <v>NA</v>
      </c>
    </row>
    <row r="49" spans="1:8">
      <c r="A49" s="218">
        <f>sample_database!C178</f>
        <v>97</v>
      </c>
      <c r="B49" s="209">
        <f>sample_database!D178</f>
        <v>97</v>
      </c>
      <c r="C49" s="219" t="str">
        <f>sample_database!E178</f>
        <v>李廷峰</v>
      </c>
      <c r="D49" s="165" t="str">
        <f>sample_database!F178</f>
        <v>532724197806192117</v>
      </c>
      <c r="E49" s="165" t="str">
        <f>sample_database!G178</f>
        <v>13608799334</v>
      </c>
      <c r="F49" s="165" t="str">
        <f>sample_database!J178</f>
        <v>景东县龙街乡东山村民委员会</v>
      </c>
      <c r="G49" s="209" t="str">
        <f>sample_database!H178</f>
        <v>NA</v>
      </c>
      <c r="H49" s="209" t="str">
        <f>sample_database!I178</f>
        <v>NA</v>
      </c>
    </row>
    <row r="50" spans="1:8">
      <c r="A50" s="218">
        <f>sample_database!C183</f>
        <v>98</v>
      </c>
      <c r="B50" s="209">
        <f>sample_database!D183</f>
        <v>98</v>
      </c>
      <c r="C50" s="219" t="str">
        <f>sample_database!E183</f>
        <v>张汝志</v>
      </c>
      <c r="D50" s="165" t="str">
        <f>sample_database!F183</f>
        <v>532724196583872113？</v>
      </c>
      <c r="E50" s="165" t="str">
        <f>sample_database!G183</f>
        <v>13577959513</v>
      </c>
      <c r="F50" s="165" t="str">
        <f>sample_database!J183</f>
        <v>景东县龙街乡竹者村</v>
      </c>
      <c r="G50" s="209" t="str">
        <f>sample_database!H183</f>
        <v>NA</v>
      </c>
      <c r="H50" s="209" t="str">
        <f>sample_database!I183</f>
        <v>NA</v>
      </c>
    </row>
    <row r="51" spans="1:8">
      <c r="A51" s="218">
        <f>sample_database!C184</f>
        <v>100</v>
      </c>
      <c r="B51" s="209">
        <f>sample_database!D184</f>
        <v>100</v>
      </c>
      <c r="C51" s="219" t="str">
        <f>sample_database!E184</f>
        <v>者付华</v>
      </c>
      <c r="D51" s="165" t="str">
        <f>sample_database!F184</f>
        <v>532724197007132139</v>
      </c>
      <c r="E51" s="165" t="str">
        <f>sample_database!G184</f>
        <v>15912958748</v>
      </c>
      <c r="F51" s="165" t="str">
        <f>sample_database!J184</f>
        <v>景东县龙街乡寿府水？一组，小沙水大白水</v>
      </c>
      <c r="G51" s="209" t="str">
        <f>sample_database!H184</f>
        <v>NA</v>
      </c>
      <c r="H51" s="209" t="str">
        <f>sample_database!I184</f>
        <v>NA</v>
      </c>
    </row>
    <row r="52" spans="1:8">
      <c r="A52" s="218">
        <f>sample_database!C185</f>
        <v>101</v>
      </c>
      <c r="B52" s="209">
        <f>sample_database!D185</f>
        <v>101</v>
      </c>
      <c r="C52" s="219" t="str">
        <f>sample_database!E185</f>
        <v>周开伸</v>
      </c>
      <c r="D52" s="165" t="str">
        <f>sample_database!F185</f>
        <v>532724196406222116</v>
      </c>
      <c r="E52" s="165" t="str">
        <f>sample_database!G185</f>
        <v>13987924932</v>
      </c>
      <c r="F52" s="165" t="str">
        <f>sample_database!J185</f>
        <v>景东县小龙街多依树村二组</v>
      </c>
      <c r="G52" s="209" t="str">
        <f>sample_database!H185</f>
        <v>NA</v>
      </c>
      <c r="H52" s="209" t="str">
        <f>sample_database!I185</f>
        <v>NA</v>
      </c>
    </row>
    <row r="53" spans="1:8">
      <c r="A53" s="218">
        <f>sample_database!C189</f>
        <v>102</v>
      </c>
      <c r="B53" s="209">
        <f>sample_database!D189</f>
        <v>102</v>
      </c>
      <c r="C53" s="219" t="str">
        <f>sample_database!E189</f>
        <v>张开堂</v>
      </c>
      <c r="D53" s="165" t="str">
        <f>sample_database!F189</f>
        <v>532724196901172136</v>
      </c>
      <c r="E53" s="165" t="str">
        <f>sample_database!G189</f>
        <v>138887949236</v>
      </c>
      <c r="F53" s="165" t="str">
        <f>sample_database!J189</f>
        <v>景东县小龙乡锅瓦张家组</v>
      </c>
      <c r="G53" s="209" t="str">
        <f>sample_database!H189</f>
        <v>NA</v>
      </c>
      <c r="H53" s="209" t="str">
        <f>sample_database!I189</f>
        <v>NA</v>
      </c>
    </row>
    <row r="54" spans="1:8">
      <c r="A54" s="218">
        <f>sample_database!C190</f>
        <v>103</v>
      </c>
      <c r="B54" s="209">
        <f>sample_database!D190</f>
        <v>103</v>
      </c>
      <c r="C54" s="219" t="str">
        <f>sample_database!E190</f>
        <v>李荣发</v>
      </c>
      <c r="D54" s="165" t="str">
        <f>sample_database!F190</f>
        <v>53272419640814211X</v>
      </c>
      <c r="E54" s="165" t="str">
        <f>sample_database!G190</f>
        <v>13759007385</v>
      </c>
      <c r="F54" s="165" t="str">
        <f>sample_database!J190</f>
        <v>龙街垭口</v>
      </c>
      <c r="G54" s="209" t="str">
        <f>sample_database!H190</f>
        <v>NA</v>
      </c>
      <c r="H54" s="209" t="str">
        <f>sample_database!I190</f>
        <v>NA</v>
      </c>
    </row>
    <row r="55" spans="1:8">
      <c r="A55" s="218">
        <f>sample_database!C192</f>
        <v>104</v>
      </c>
      <c r="B55" s="209">
        <f>sample_database!D192</f>
        <v>104</v>
      </c>
      <c r="C55" s="219" t="str">
        <f>sample_database!E192</f>
        <v>祝发贵</v>
      </c>
      <c r="D55" s="165" t="str">
        <f>sample_database!F192</f>
        <v>532724195903162113</v>
      </c>
      <c r="E55" s="165" t="str">
        <f>sample_database!G192</f>
        <v>18287956453</v>
      </c>
      <c r="F55" s="165" t="str">
        <f>sample_database!J192</f>
        <v>景东县小龙街乡小村村民委员会肖井组</v>
      </c>
      <c r="G55" s="209" t="str">
        <f>sample_database!H192</f>
        <v>NA</v>
      </c>
      <c r="H55" s="209" t="str">
        <f>sample_database!I192</f>
        <v>NA</v>
      </c>
    </row>
    <row r="56" spans="1:8">
      <c r="A56" s="218">
        <f>sample_database!C195</f>
        <v>105</v>
      </c>
      <c r="B56" s="209">
        <f>sample_database!D195</f>
        <v>105</v>
      </c>
      <c r="C56" s="219" t="str">
        <f>sample_database!E195</f>
        <v>李新荣</v>
      </c>
      <c r="D56" s="165" t="str">
        <f>sample_database!F195</f>
        <v>532724198411121810</v>
      </c>
      <c r="E56" s="165" t="str">
        <f>sample_database!G195</f>
        <v>15125673626</v>
      </c>
      <c r="F56" s="165" t="str">
        <f>sample_database!J195</f>
        <v>景东太忠镇嘎仰村委会二道河小组</v>
      </c>
      <c r="G56" s="209" t="str">
        <f>sample_database!H195</f>
        <v>NA</v>
      </c>
      <c r="H56" s="209" t="str">
        <f>sample_database!I195</f>
        <v>NA</v>
      </c>
    </row>
    <row r="57" spans="1:8">
      <c r="A57" s="218">
        <f>sample_database!C199</f>
        <v>106</v>
      </c>
      <c r="B57" s="209">
        <f>sample_database!D199</f>
        <v>106</v>
      </c>
      <c r="C57" s="219" t="str">
        <f>sample_database!E199</f>
        <v>李明德</v>
      </c>
      <c r="D57" s="165" t="str">
        <f>sample_database!F199</f>
        <v>53272419660720183X</v>
      </c>
      <c r="E57" s="165" t="str">
        <f>sample_database!G199</f>
        <v>13769992749</v>
      </c>
      <c r="F57" s="165" t="str">
        <f>sample_database!J199</f>
        <v>景东县太忠镇平掌村柏树组</v>
      </c>
      <c r="G57" s="209" t="str">
        <f>sample_database!H199</f>
        <v>NA</v>
      </c>
      <c r="H57" s="209" t="str">
        <f>sample_database!I199</f>
        <v>NA</v>
      </c>
    </row>
    <row r="58" spans="1:8">
      <c r="A58" s="218">
        <f>sample_database!C203</f>
        <v>109</v>
      </c>
      <c r="B58" s="209">
        <f>sample_database!D203</f>
        <v>109</v>
      </c>
      <c r="C58" s="219" t="str">
        <f>sample_database!E203</f>
        <v>李应付</v>
      </c>
      <c r="D58" s="165" t="str">
        <f>sample_database!F203</f>
        <v>532724198309201814</v>
      </c>
      <c r="E58" s="165" t="str">
        <f>sample_database!G203</f>
        <v>15891987207</v>
      </c>
      <c r="F58" s="165" t="str">
        <f>sample_database!J203</f>
        <v>景东县太忠镇麦地村</v>
      </c>
      <c r="G58" s="209" t="str">
        <f>sample_database!H203</f>
        <v>NA</v>
      </c>
      <c r="H58" s="209" t="str">
        <f>sample_database!I203</f>
        <v>NA</v>
      </c>
    </row>
    <row r="59" spans="1:8">
      <c r="A59" s="218">
        <f>sample_database!C208</f>
        <v>110</v>
      </c>
      <c r="B59" s="209">
        <f>sample_database!D208</f>
        <v>110</v>
      </c>
      <c r="C59" s="219" t="str">
        <f>sample_database!E208</f>
        <v>自付文</v>
      </c>
      <c r="D59" s="165" t="str">
        <f>sample_database!F208</f>
        <v>532724198410121819</v>
      </c>
      <c r="E59" s="165" t="str">
        <f>sample_database!G208</f>
        <v>15125657367</v>
      </c>
      <c r="F59" s="165" t="str">
        <f>sample_database!J208</f>
        <v>景东县麦地村黄风箐小组</v>
      </c>
      <c r="G59" s="209" t="str">
        <f>sample_database!H208</f>
        <v>NA</v>
      </c>
      <c r="H59" s="209" t="str">
        <f>sample_database!I208</f>
        <v>NA</v>
      </c>
    </row>
    <row r="60" spans="1:8">
      <c r="A60" s="218">
        <f>sample_database!C213</f>
        <v>111</v>
      </c>
      <c r="B60" s="209">
        <f>sample_database!D213</f>
        <v>111</v>
      </c>
      <c r="C60" s="219" t="str">
        <f>sample_database!E213</f>
        <v>李发文</v>
      </c>
      <c r="D60" s="165" t="str">
        <f>sample_database!F213</f>
        <v>532724197201141835</v>
      </c>
      <c r="E60" s="165" t="str">
        <f>sample_database!G213</f>
        <v>15925267413</v>
      </c>
      <c r="F60" s="165" t="str">
        <f>sample_database!J213</f>
        <v>景东县太忠镇麦地村委会大村小组</v>
      </c>
      <c r="G60" s="209" t="str">
        <f>sample_database!H213</f>
        <v>NA</v>
      </c>
      <c r="H60" s="209" t="str">
        <f>sample_database!I213</f>
        <v>NA</v>
      </c>
    </row>
    <row r="61" spans="1:8">
      <c r="A61" s="218">
        <f>sample_database!C217</f>
        <v>112</v>
      </c>
      <c r="B61" s="209">
        <f>sample_database!D217</f>
        <v>112</v>
      </c>
      <c r="C61" s="219" t="str">
        <f>sample_database!E217</f>
        <v>李志国</v>
      </c>
      <c r="D61" s="165" t="str">
        <f>sample_database!F217</f>
        <v>532724198511271517</v>
      </c>
      <c r="E61" s="165" t="str">
        <f>sample_database!G217</f>
        <v>15008811738</v>
      </c>
      <c r="F61" s="165" t="str">
        <f>sample_database!J217</f>
        <v>景东县大街镇平地上村</v>
      </c>
      <c r="G61" s="209" t="str">
        <f>sample_database!H217</f>
        <v>NA</v>
      </c>
      <c r="H61" s="209" t="str">
        <f>sample_database!I217</f>
        <v>NA</v>
      </c>
    </row>
    <row r="62" spans="1:8">
      <c r="A62" s="218">
        <f>sample_database!C222</f>
        <v>114</v>
      </c>
      <c r="B62" s="209">
        <f>sample_database!D222</f>
        <v>114</v>
      </c>
      <c r="C62" s="219" t="str">
        <f>sample_database!E222</f>
        <v>鲁顺福</v>
      </c>
      <c r="D62" s="165" t="str">
        <f>sample_database!F222</f>
        <v>532724197001091511</v>
      </c>
      <c r="E62" s="165" t="str">
        <f>sample_database!G222</f>
        <v>13577954774</v>
      </c>
      <c r="F62" s="165" t="str">
        <f>sample_database!J222</f>
        <v>景东县大街镇昆岗村山头组，大草坝</v>
      </c>
      <c r="G62" s="209" t="str">
        <f>sample_database!H222</f>
        <v>NA</v>
      </c>
      <c r="H62" s="209" t="str">
        <f>sample_database!I222</f>
        <v>NA</v>
      </c>
    </row>
    <row r="63" spans="1:8">
      <c r="A63" s="218">
        <f>sample_database!C226</f>
        <v>115</v>
      </c>
      <c r="B63" s="209">
        <f>sample_database!D226</f>
        <v>115</v>
      </c>
      <c r="C63" s="219" t="str">
        <f>sample_database!E226</f>
        <v>詹清平</v>
      </c>
      <c r="D63" s="165" t="str">
        <f>sample_database!F226</f>
        <v>532724197401281517</v>
      </c>
      <c r="E63" s="165" t="str">
        <f>sample_database!G226</f>
        <v>15987976882</v>
      </c>
      <c r="F63" s="165" t="str">
        <f>sample_database!J226</f>
        <v>景东县大街镇气力村箐门口小组，白沙井</v>
      </c>
      <c r="G63" s="209" t="str">
        <f>sample_database!H226</f>
        <v>NA</v>
      </c>
      <c r="H63" s="209" t="str">
        <f>sample_database!I226</f>
        <v>NA</v>
      </c>
    </row>
    <row r="64" spans="1:8">
      <c r="A64" s="218">
        <f>sample_database!C231</f>
        <v>119</v>
      </c>
      <c r="B64" s="209">
        <f>sample_database!D231</f>
        <v>119</v>
      </c>
      <c r="C64" s="219" t="str">
        <f>sample_database!E231</f>
        <v>鲁开福</v>
      </c>
      <c r="D64" s="165" t="str">
        <f>sample_database!F231</f>
        <v>532724198412051236</v>
      </c>
      <c r="E64" s="165" t="str">
        <f>sample_database!G231</f>
        <v>13154887030</v>
      </c>
      <c r="F64" s="165" t="str">
        <f>sample_database!J231</f>
        <v>景东花山镇文明村岩头组</v>
      </c>
      <c r="G64" s="209" t="str">
        <f>sample_database!H231</f>
        <v>NA</v>
      </c>
      <c r="H64" s="209" t="str">
        <f>sample_database!I231</f>
        <v>NA</v>
      </c>
    </row>
    <row r="65" spans="1:8">
      <c r="A65" s="218">
        <f>sample_database!C236</f>
        <v>121</v>
      </c>
      <c r="B65" s="209">
        <f>sample_database!D236</f>
        <v>121</v>
      </c>
      <c r="C65" s="219" t="str">
        <f>sample_database!E236</f>
        <v>李开愉</v>
      </c>
      <c r="D65" s="165" t="str">
        <f>sample_database!F236</f>
        <v>532427195609021213</v>
      </c>
      <c r="E65" s="165" t="str">
        <f>sample_database!G236</f>
        <v>15912997087</v>
      </c>
      <c r="F65" s="165" t="str">
        <f>sample_database!J236</f>
        <v>景东县花山镇文岗村箐边组</v>
      </c>
      <c r="G65" s="209" t="str">
        <f>sample_database!H236</f>
        <v>NA</v>
      </c>
      <c r="H65" s="209" t="str">
        <f>sample_database!I236</f>
        <v>NA</v>
      </c>
    </row>
    <row r="66" spans="1:8">
      <c r="A66" s="218">
        <f>sample_database!C238</f>
        <v>122</v>
      </c>
      <c r="B66" s="209">
        <f>sample_database!D238</f>
        <v>122</v>
      </c>
      <c r="C66" s="219" t="str">
        <f>sample_database!E238</f>
        <v>李忠燕</v>
      </c>
      <c r="D66" s="165" t="str">
        <f>sample_database!F238</f>
        <v>532724196804151237</v>
      </c>
      <c r="E66" s="165" t="str">
        <f>sample_database!G238</f>
        <v>14769359259</v>
      </c>
      <c r="F66" s="165" t="str">
        <f>sample_database!J238</f>
        <v>景东县花山镇小勺村</v>
      </c>
      <c r="G66" s="209" t="str">
        <f>sample_database!H238</f>
        <v>NA</v>
      </c>
      <c r="H66" s="209" t="str">
        <f>sample_database!I238</f>
        <v>NA</v>
      </c>
    </row>
    <row r="67" spans="1:8">
      <c r="A67" s="218">
        <f>sample_database!C242</f>
        <v>123</v>
      </c>
      <c r="B67" s="209">
        <f>sample_database!D242</f>
        <v>123</v>
      </c>
      <c r="C67" s="219" t="str">
        <f>sample_database!E242</f>
        <v>陈春礼</v>
      </c>
      <c r="D67" s="165" t="str">
        <f>sample_database!F242</f>
        <v>532724196608131212</v>
      </c>
      <c r="E67" s="165" t="str">
        <f>sample_database!G242</f>
        <v>15008735389</v>
      </c>
      <c r="F67" s="165" t="str">
        <f>sample_database!J242</f>
        <v>景东县花山镇撇罗村民委员会龙树小组</v>
      </c>
      <c r="G67" s="209" t="str">
        <f>sample_database!H242</f>
        <v>NA</v>
      </c>
      <c r="H67" s="209" t="str">
        <f>sample_database!I242</f>
        <v>NA</v>
      </c>
    </row>
    <row r="68" spans="1:8">
      <c r="A68" s="218">
        <f>sample_database!C244</f>
        <v>124</v>
      </c>
      <c r="B68" s="209">
        <f>sample_database!D244</f>
        <v>124</v>
      </c>
      <c r="C68" s="219" t="str">
        <f>sample_database!E244</f>
        <v>罗德勇</v>
      </c>
      <c r="D68" s="165" t="str">
        <f>sample_database!F244</f>
        <v>532724196409241232</v>
      </c>
      <c r="E68" s="165" t="str">
        <f>sample_database!G244</f>
        <v>15154839262</v>
      </c>
      <c r="F68" s="165" t="str">
        <f>sample_database!J244</f>
        <v>景东县花山镇淇海村大山组</v>
      </c>
      <c r="G68" s="209" t="str">
        <f>sample_database!H244</f>
        <v>NA</v>
      </c>
      <c r="H68" s="209" t="str">
        <f>sample_database!I244</f>
        <v>NA</v>
      </c>
    </row>
    <row r="69" spans="1:8">
      <c r="A69" s="218">
        <f>sample_database!C247</f>
        <v>125</v>
      </c>
      <c r="B69" s="209">
        <f>sample_database!D247</f>
        <v>125</v>
      </c>
      <c r="C69" s="219" t="str">
        <f>sample_database!E247</f>
        <v>李廷万</v>
      </c>
      <c r="D69" s="165" t="str">
        <f>sample_database!F247</f>
        <v>532724196401021219</v>
      </c>
      <c r="E69" s="165" t="str">
        <f>sample_database!G247</f>
        <v>15287665605</v>
      </c>
      <c r="F69" s="165" t="str">
        <f>sample_database!J247</f>
        <v>景东县花山乡芦山村碱水组</v>
      </c>
      <c r="G69" s="209" t="str">
        <f>sample_database!H247</f>
        <v>NA</v>
      </c>
      <c r="H69" s="209" t="str">
        <f>sample_database!I247</f>
        <v>NA</v>
      </c>
    </row>
    <row r="70" spans="1:8">
      <c r="A70" s="218">
        <f>sample_database!C252</f>
        <v>130</v>
      </c>
      <c r="B70" s="209">
        <f>sample_database!D252</f>
        <v>130</v>
      </c>
      <c r="C70" s="219" t="str">
        <f>sample_database!E252</f>
        <v>罗正贵</v>
      </c>
      <c r="D70" s="165" t="str">
        <f>sample_database!F252</f>
        <v>532428195712101552</v>
      </c>
      <c r="E70" s="165" t="str">
        <f>sample_database!G252</f>
        <v>15894298336</v>
      </c>
      <c r="F70" s="165" t="str">
        <f>sample_database!J252</f>
        <v>新平水塘旧哈村</v>
      </c>
      <c r="G70" s="209" t="str">
        <f>sample_database!H252</f>
        <v>NA</v>
      </c>
      <c r="H70" s="209" t="str">
        <f>sample_database!I252</f>
        <v>NA</v>
      </c>
    </row>
    <row r="71" spans="1:8">
      <c r="A71" s="218">
        <f>sample_database!C257</f>
        <v>136</v>
      </c>
      <c r="B71" s="209">
        <f>sample_database!D257</f>
        <v>136</v>
      </c>
      <c r="C71" s="219" t="str">
        <f>sample_database!E257</f>
        <v>普学忠</v>
      </c>
      <c r="D71" s="165" t="str">
        <f>sample_database!F257</f>
        <v>530427196301231535</v>
      </c>
      <c r="E71" s="165" t="str">
        <f>sample_database!G257</f>
        <v>13529991363</v>
      </c>
      <c r="F71" s="165" t="str">
        <f>sample_database!J257</f>
        <v>红柒林</v>
      </c>
      <c r="G71" s="209" t="str">
        <f>sample_database!H257</f>
        <v>NA</v>
      </c>
      <c r="H71" s="209" t="str">
        <f>sample_database!I257</f>
        <v>NA</v>
      </c>
    </row>
    <row r="72" spans="1:8">
      <c r="A72" s="218">
        <f>sample_database!C260</f>
        <v>138</v>
      </c>
      <c r="B72" s="209">
        <f>sample_database!D260</f>
        <v>138</v>
      </c>
      <c r="C72" s="219" t="str">
        <f>sample_database!E260</f>
        <v>陈德忠</v>
      </c>
      <c r="D72" s="165" t="str">
        <f>sample_database!F260</f>
        <v>532428196903291939</v>
      </c>
      <c r="E72" s="165" t="str">
        <f>sample_database!G260</f>
        <v>18088911760</v>
      </c>
      <c r="F72" s="165" t="str">
        <f>sample_database!J260</f>
        <v>新平县者竜乡竹箐村</v>
      </c>
      <c r="G72" s="209" t="str">
        <f>sample_database!H260</f>
        <v>NA</v>
      </c>
      <c r="H72" s="209" t="str">
        <f>sample_database!I260</f>
        <v>NA</v>
      </c>
    </row>
    <row r="73" spans="1:8">
      <c r="A73" s="218">
        <f>sample_database!C264</f>
        <v>140</v>
      </c>
      <c r="B73" s="209">
        <f>sample_database!D264</f>
        <v>140</v>
      </c>
      <c r="C73" s="219" t="str">
        <f>sample_database!E264</f>
        <v>谢天华</v>
      </c>
      <c r="D73" s="165" t="str">
        <f>sample_database!F264</f>
        <v>532428196202221911</v>
      </c>
      <c r="E73" s="165" t="str">
        <f>sample_database!G264</f>
        <v>18088911750</v>
      </c>
      <c r="F73" s="165" t="str">
        <f>sample_database!J264</f>
        <v>新平者竜竹箐村</v>
      </c>
      <c r="G73" s="209" t="str">
        <f>sample_database!H264</f>
        <v>NA</v>
      </c>
      <c r="H73" s="209" t="str">
        <f>sample_database!I264</f>
        <v>NA</v>
      </c>
    </row>
    <row r="74" spans="1:8">
      <c r="A74" s="218">
        <f>sample_database!C268</f>
        <v>141</v>
      </c>
      <c r="B74" s="209">
        <f>sample_database!D268</f>
        <v>141</v>
      </c>
      <c r="C74" s="219" t="str">
        <f>sample_database!E268</f>
        <v>毕勇</v>
      </c>
      <c r="D74" s="165" t="str">
        <f>sample_database!F268</f>
        <v>532428197506021913</v>
      </c>
      <c r="E74" s="165" t="str">
        <f>sample_database!G268</f>
        <v>18088911758</v>
      </c>
      <c r="F74" s="165" t="str">
        <f>sample_database!J268</f>
        <v>新平者竜庆丰社区</v>
      </c>
      <c r="G74" s="209" t="str">
        <f>sample_database!H268</f>
        <v>NA</v>
      </c>
      <c r="H74" s="209" t="str">
        <f>sample_database!I268</f>
        <v>NA</v>
      </c>
    </row>
    <row r="75" spans="1:8">
      <c r="A75" s="214" t="str">
        <f>sample_database!C408</f>
        <v>NA</v>
      </c>
      <c r="B75" s="209" t="str">
        <f>sample_database!D408</f>
        <v>NA</v>
      </c>
      <c r="C75" s="219" t="str">
        <f>sample_database!E408</f>
        <v>李发新</v>
      </c>
      <c r="D75" s="165" t="str">
        <f>sample_database!F408</f>
        <v>532428197303171911</v>
      </c>
      <c r="E75" s="165" t="str">
        <f>sample_database!G408</f>
        <v>18088911760</v>
      </c>
      <c r="F75" s="165" t="str">
        <f>sample_database!J408</f>
        <v>新平县者竜乡者竜村</v>
      </c>
      <c r="G75" s="209" t="str">
        <f>sample_database!H408</f>
        <v>NA</v>
      </c>
      <c r="H75" s="209" t="str">
        <f>sample_database!I408</f>
        <v>NA</v>
      </c>
    </row>
    <row r="76" spans="1:8">
      <c r="A76" s="218">
        <f>sample_database!C275</f>
        <v>146</v>
      </c>
      <c r="B76" s="209">
        <f>sample_database!D275</f>
        <v>146</v>
      </c>
      <c r="C76" s="219" t="str">
        <f>sample_database!E275</f>
        <v>罗有明</v>
      </c>
      <c r="D76" s="165" t="str">
        <f>sample_database!F275</f>
        <v>53042719610909231X</v>
      </c>
      <c r="E76" s="165" t="str">
        <f>sample_database!G275</f>
        <v>13529698316</v>
      </c>
      <c r="F76" s="165" t="str">
        <f>sample_database!J275</f>
        <v>新平水塘管理所波村干龙坝</v>
      </c>
      <c r="G76" s="209" t="str">
        <f>sample_database!H275</f>
        <v>NA</v>
      </c>
      <c r="H76" s="209" t="str">
        <f>sample_database!I275</f>
        <v>NA</v>
      </c>
    </row>
    <row r="77" spans="1:8">
      <c r="A77" s="218">
        <f>sample_database!C285</f>
        <v>148</v>
      </c>
      <c r="B77" s="209">
        <f>sample_database!D285</f>
        <v>148</v>
      </c>
      <c r="C77" s="219" t="str">
        <f>sample_database!E285</f>
        <v>李林东</v>
      </c>
      <c r="D77" s="165" t="str">
        <f>sample_database!F285</f>
        <v>530427198307101511</v>
      </c>
      <c r="E77" s="165" t="str">
        <f>sample_database!G285</f>
        <v>15894289134</v>
      </c>
      <c r="F77" s="165" t="str">
        <f>sample_database!J285</f>
        <v>大口，保家堰</v>
      </c>
      <c r="G77" s="209" t="str">
        <f>sample_database!H285</f>
        <v>NA</v>
      </c>
      <c r="H77" s="209" t="str">
        <f>sample_database!I285</f>
        <v>NA</v>
      </c>
    </row>
    <row r="78" spans="1:8">
      <c r="A78" s="218">
        <f>sample_database!C290</f>
        <v>151</v>
      </c>
      <c r="B78" s="209">
        <f>sample_database!D290</f>
        <v>151</v>
      </c>
      <c r="C78" s="219" t="str">
        <f>sample_database!E290</f>
        <v>钟应兴</v>
      </c>
      <c r="D78" s="165" t="str">
        <f>sample_database!F290</f>
        <v>532428197103181912</v>
      </c>
      <c r="E78" s="165" t="str">
        <f>sample_database!G290</f>
        <v>18088911757</v>
      </c>
      <c r="F78" s="165" t="str">
        <f>sample_database!J290</f>
        <v>新平者竜春元村</v>
      </c>
      <c r="G78" s="209" t="str">
        <f>sample_database!H290</f>
        <v>NA</v>
      </c>
      <c r="H78" s="209" t="str">
        <f>sample_database!I290</f>
        <v>NA</v>
      </c>
    </row>
    <row r="79" spans="1:8">
      <c r="A79" s="218">
        <f>sample_database!C294</f>
        <v>152</v>
      </c>
      <c r="B79" s="209">
        <f>sample_database!D294</f>
        <v>152</v>
      </c>
      <c r="C79" s="219" t="str">
        <f>sample_database!E294</f>
        <v>李家平</v>
      </c>
      <c r="D79" s="165" t="str">
        <f>sample_database!F294</f>
        <v>532428196806131917</v>
      </c>
      <c r="E79" s="165" t="str">
        <f>sample_database!G294</f>
        <v>18088911752</v>
      </c>
      <c r="F79" s="165" t="str">
        <f>sample_database!J294</f>
        <v>新平者竜渔科村</v>
      </c>
      <c r="G79" s="209" t="str">
        <f>sample_database!H294</f>
        <v>NA</v>
      </c>
      <c r="H79" s="209" t="str">
        <f>sample_database!I294</f>
        <v>NA</v>
      </c>
    </row>
    <row r="80" spans="1:8">
      <c r="A80" s="218">
        <f>sample_database!C303</f>
        <v>153</v>
      </c>
      <c r="B80" s="209">
        <f>sample_database!D303</f>
        <v>153</v>
      </c>
      <c r="C80" s="219" t="str">
        <f>sample_database!E303</f>
        <v>李文顺</v>
      </c>
      <c r="D80" s="165" t="str">
        <f>sample_database!F303</f>
        <v>532428195703121930</v>
      </c>
      <c r="E80" s="165" t="str">
        <f>sample_database!G303</f>
        <v>18088911755</v>
      </c>
      <c r="F80" s="165" t="str">
        <f>sample_database!J303</f>
        <v>新平县者竜乡者竜村</v>
      </c>
      <c r="G80" s="209" t="str">
        <f>sample_database!H303</f>
        <v>NA</v>
      </c>
      <c r="H80" s="209" t="str">
        <f>sample_database!I303</f>
        <v>NA</v>
      </c>
    </row>
    <row r="81" spans="1:8">
      <c r="A81" s="218">
        <f>sample_database!C307</f>
        <v>156</v>
      </c>
      <c r="B81" s="209">
        <f>sample_database!D307</f>
        <v>156</v>
      </c>
      <c r="C81" s="219" t="str">
        <f>sample_database!E307</f>
        <v>张贵昌</v>
      </c>
      <c r="D81" s="165" t="str">
        <f>sample_database!F307</f>
        <v>53242819650217191X</v>
      </c>
      <c r="E81" s="165" t="str">
        <f>sample_database!G307</f>
        <v>18088911762</v>
      </c>
      <c r="F81" s="165" t="str">
        <f>sample_database!J307</f>
        <v>新平者竜春元村</v>
      </c>
      <c r="G81" s="209" t="str">
        <f>sample_database!H307</f>
        <v>NA</v>
      </c>
      <c r="H81" s="209" t="str">
        <f>sample_database!I307</f>
        <v>NA</v>
      </c>
    </row>
    <row r="82" spans="1:8">
      <c r="A82" s="214">
        <f>sample_database!C483</f>
        <v>163</v>
      </c>
      <c r="B82" s="209">
        <f>sample_database!D483</f>
        <v>163</v>
      </c>
      <c r="C82" s="219" t="str">
        <f>sample_database!E483</f>
        <v>范学恩</v>
      </c>
      <c r="D82" s="165" t="str">
        <f>sample_database!F483</f>
        <v>532726196904061254</v>
      </c>
      <c r="E82" s="165" t="str">
        <f>sample_database!G483</f>
        <v>13648795316</v>
      </c>
      <c r="F82" s="165" t="str">
        <f>sample_database!J483</f>
        <v>镇沅东洒村</v>
      </c>
      <c r="G82" s="209" t="str">
        <f>sample_database!H483</f>
        <v>NA</v>
      </c>
      <c r="H82" s="209" t="str">
        <f>sample_database!I483</f>
        <v>NA</v>
      </c>
    </row>
    <row r="83" spans="1:8">
      <c r="A83" s="218">
        <f>sample_database!C311</f>
        <v>169</v>
      </c>
      <c r="B83" s="209">
        <f>sample_database!D311</f>
        <v>169</v>
      </c>
      <c r="C83" s="219" t="str">
        <f>sample_database!E311</f>
        <v>钟其德</v>
      </c>
      <c r="D83" s="165" t="str">
        <f>sample_database!F311</f>
        <v>532724195509151213</v>
      </c>
      <c r="E83" s="165" t="str">
        <f>sample_database!G311</f>
        <v>18214041646</v>
      </c>
      <c r="F83" s="165" t="str">
        <f>sample_database!J311</f>
        <v>景东县芦山村</v>
      </c>
      <c r="G83" s="209" t="str">
        <f>sample_database!H311</f>
        <v>NA</v>
      </c>
      <c r="H83" s="209" t="str">
        <f>sample_database!I311</f>
        <v>NA</v>
      </c>
    </row>
    <row r="84" spans="1:8">
      <c r="A84" s="218">
        <f>sample_database!C317</f>
        <v>171</v>
      </c>
      <c r="B84" s="209">
        <f>sample_database!D317</f>
        <v>171</v>
      </c>
      <c r="C84" s="219" t="str">
        <f>sample_database!E317</f>
        <v>李富平</v>
      </c>
      <c r="D84" s="165" t="str">
        <f>sample_database!F317</f>
        <v>532724197001221830</v>
      </c>
      <c r="E84" s="165" t="str">
        <f>sample_database!G317</f>
        <v>13577946258</v>
      </c>
      <c r="F84" s="165" t="str">
        <f>sample_database!J317</f>
        <v>景东县太忠镇嘎仰村民委员会明子山村民小组</v>
      </c>
      <c r="G84" s="209" t="str">
        <f>sample_database!H317</f>
        <v>NA</v>
      </c>
      <c r="H84" s="209" t="str">
        <f>sample_database!I317</f>
        <v>NA</v>
      </c>
    </row>
    <row r="85" spans="1:8">
      <c r="A85" s="217" t="str">
        <f>sample_database!C325</f>
        <v>25 or 24</v>
      </c>
      <c r="B85" s="211">
        <f>sample_database!D325</f>
        <v>24</v>
      </c>
      <c r="C85" s="219" t="str">
        <f>sample_database!E325</f>
        <v>周强</v>
      </c>
      <c r="D85" s="165" t="str">
        <f>sample_database!F325</f>
        <v>532322198604170518</v>
      </c>
      <c r="E85" s="165" t="str">
        <f>sample_database!G325</f>
        <v>13638703405</v>
      </c>
      <c r="F85" s="165" t="str">
        <f>sample_database!J325</f>
        <v>双柏县鄂嘉镇新树村委会</v>
      </c>
      <c r="G85" s="210">
        <f>sample_database!H325</f>
        <v>25</v>
      </c>
      <c r="H85" s="209" t="str">
        <f>sample_database!I325</f>
        <v>李有国</v>
      </c>
    </row>
    <row r="86" spans="1:8">
      <c r="A86" s="217" t="str">
        <f>sample_database!C329</f>
        <v>28 or 27</v>
      </c>
      <c r="B86" s="211">
        <f>sample_database!D329</f>
        <v>27</v>
      </c>
      <c r="C86" s="219" t="str">
        <f>sample_database!E329</f>
        <v>王炳富</v>
      </c>
      <c r="D86" s="165" t="str">
        <f>sample_database!F329</f>
        <v>532322197804160555</v>
      </c>
      <c r="E86" s="165" t="str">
        <f>sample_database!G329</f>
        <v>15125740848&amp;15288509201</v>
      </c>
      <c r="F86" s="165" t="str">
        <f>sample_database!J329</f>
        <v>双柏县鄂嘉镇新树村委会尖石头村民小组</v>
      </c>
      <c r="G86" s="210">
        <f>sample_database!H329</f>
        <v>28</v>
      </c>
      <c r="H86" s="209" t="str">
        <f>sample_database!I329</f>
        <v>李开华</v>
      </c>
    </row>
    <row r="87" spans="1:8">
      <c r="A87" s="214" t="str">
        <f>sample_database!C334</f>
        <v>NA</v>
      </c>
      <c r="B87" s="209" t="str">
        <f>sample_database!D334</f>
        <v>NA</v>
      </c>
      <c r="C87" s="219" t="str">
        <f>sample_database!E334</f>
        <v>王景法</v>
      </c>
      <c r="D87" s="165" t="str">
        <f>sample_database!F334</f>
        <v>532322196404110538</v>
      </c>
      <c r="E87" s="165" t="str">
        <f>sample_database!G334</f>
        <v>13354690369&amp;18183876459</v>
      </c>
      <c r="F87" s="165" t="str">
        <f>sample_database!J334</f>
        <v>双柏县鄂嘉镇麻旺村委会下村7号</v>
      </c>
      <c r="G87" s="210" t="str">
        <f>sample_database!H334</f>
        <v>NA</v>
      </c>
      <c r="H87" s="209" t="str">
        <f>sample_database!I334</f>
        <v>刘文明</v>
      </c>
    </row>
    <row r="88" spans="1:8">
      <c r="A88" s="214" t="str">
        <f>sample_database!C338</f>
        <v>NA</v>
      </c>
      <c r="B88" s="209" t="str">
        <f>sample_database!D338</f>
        <v>NA</v>
      </c>
      <c r="C88" s="219" t="str">
        <f>sample_database!E338</f>
        <v>李有华</v>
      </c>
      <c r="D88" s="165" t="str">
        <f>sample_database!F338</f>
        <v>532322196812100515</v>
      </c>
      <c r="E88" s="165" t="str">
        <f>sample_database!G338</f>
        <v>15288564767</v>
      </c>
      <c r="F88" s="165" t="str">
        <f>sample_database!J338</f>
        <v>双柏县鄂嘉镇新树村委会</v>
      </c>
      <c r="G88" s="210" t="str">
        <f>sample_database!H338</f>
        <v>NA</v>
      </c>
      <c r="H88" s="209" t="str">
        <f>sample_database!I338</f>
        <v>李廷梅</v>
      </c>
    </row>
    <row r="89" spans="1:8">
      <c r="A89" s="214" t="str">
        <f>sample_database!C342</f>
        <v>NA</v>
      </c>
      <c r="B89" s="209" t="str">
        <f>sample_database!D342</f>
        <v>NA</v>
      </c>
      <c r="C89" s="219" t="str">
        <f>sample_database!E342</f>
        <v>杨荣高</v>
      </c>
      <c r="D89" s="165" t="str">
        <f>sample_database!F342</f>
        <v>532322196401260514</v>
      </c>
      <c r="E89" s="165" t="str">
        <f>sample_database!G342</f>
        <v>13987859414</v>
      </c>
      <c r="F89" s="165" t="str">
        <f>sample_database!J342</f>
        <v>双柏县鄂嘉镇义隆村</v>
      </c>
      <c r="G89" s="210" t="str">
        <f>sample_database!H342</f>
        <v>NA</v>
      </c>
      <c r="H89" s="209" t="str">
        <f>sample_database!I342</f>
        <v>李波</v>
      </c>
    </row>
    <row r="90" spans="1:8">
      <c r="A90" s="214" t="str">
        <f>sample_database!C347</f>
        <v>NA</v>
      </c>
      <c r="B90" s="209" t="str">
        <f>sample_database!D347</f>
        <v>NA</v>
      </c>
      <c r="C90" s="219" t="str">
        <f>sample_database!E347</f>
        <v>郭存祥</v>
      </c>
      <c r="D90" s="165" t="str">
        <f>sample_database!F347</f>
        <v>53232219690801059X</v>
      </c>
      <c r="E90" s="165" t="str">
        <f>sample_database!G347</f>
        <v>15987213626</v>
      </c>
      <c r="F90" s="165" t="str">
        <f>sample_database!J347</f>
        <v>双柏县老厂岔河站</v>
      </c>
      <c r="G90" s="209" t="str">
        <f>sample_database!H347</f>
        <v>NA</v>
      </c>
      <c r="H90" s="209" t="str">
        <f>sample_database!I347</f>
        <v>NA</v>
      </c>
    </row>
    <row r="91" spans="1:8">
      <c r="A91" s="214" t="str">
        <f>sample_database!C349</f>
        <v>NA</v>
      </c>
      <c r="B91" s="209" t="str">
        <f>sample_database!D349</f>
        <v>NA</v>
      </c>
      <c r="C91" s="219" t="str">
        <f>sample_database!E349</f>
        <v>王贵学</v>
      </c>
      <c r="D91" s="165" t="str">
        <f>sample_database!F349</f>
        <v>532322196009120510</v>
      </c>
      <c r="E91" s="165" t="str">
        <f>sample_database!G349</f>
        <v>18164783532</v>
      </c>
      <c r="F91" s="165" t="str">
        <f>sample_database!J349</f>
        <v>双柏县鄂嘉镇老厂村委会茶树村10号</v>
      </c>
      <c r="G91" s="209" t="str">
        <f>sample_database!H349</f>
        <v>NA</v>
      </c>
      <c r="H91" s="209" t="str">
        <f>sample_database!I349</f>
        <v>NA</v>
      </c>
    </row>
    <row r="92" spans="1:8">
      <c r="A92" s="214" t="str">
        <f>sample_database!C354</f>
        <v>NA</v>
      </c>
      <c r="B92" s="209" t="str">
        <f>sample_database!D354</f>
        <v>NA</v>
      </c>
      <c r="C92" s="219" t="str">
        <f>sample_database!E354</f>
        <v>李先富</v>
      </c>
      <c r="D92" s="165" t="str">
        <f>sample_database!F354</f>
        <v>532322195909080514</v>
      </c>
      <c r="E92" s="165" t="str">
        <f>sample_database!G354</f>
        <v>13987886798</v>
      </c>
      <c r="F92" s="165" t="str">
        <f>sample_database!J354</f>
        <v>双柏县鄂嘉镇义隆村钠嫩村民小组</v>
      </c>
      <c r="G92" s="210" t="str">
        <f>sample_database!H354</f>
        <v>NA</v>
      </c>
      <c r="H92" s="209" t="str">
        <f>sample_database!I354</f>
        <v>何学会</v>
      </c>
    </row>
    <row r="93" spans="1:8">
      <c r="A93" s="214" t="str">
        <f>sample_database!C359</f>
        <v>NA</v>
      </c>
      <c r="B93" s="209" t="str">
        <f>sample_database!D359</f>
        <v>NA</v>
      </c>
      <c r="C93" s="219" t="str">
        <f>sample_database!E359</f>
        <v>李进才</v>
      </c>
      <c r="D93" s="165" t="str">
        <f>sample_database!F359</f>
        <v>53232219671115053X</v>
      </c>
      <c r="E93" s="165" t="str">
        <f>sample_database!G359</f>
        <v>15987207162</v>
      </c>
      <c r="F93" s="165" t="str">
        <f>sample_database!J359</f>
        <v>双柏县鄂嘉镇义隆村</v>
      </c>
      <c r="G93" s="209" t="str">
        <f>sample_database!H359</f>
        <v>NA</v>
      </c>
      <c r="H93" s="209" t="str">
        <f>sample_database!I359</f>
        <v>NA</v>
      </c>
    </row>
    <row r="94" spans="1:8">
      <c r="A94" s="214" t="str">
        <f>sample_database!C364</f>
        <v>NA</v>
      </c>
      <c r="B94" s="209" t="str">
        <f>sample_database!D364</f>
        <v>NA</v>
      </c>
      <c r="C94" s="219" t="str">
        <f>sample_database!E364</f>
        <v>李荣</v>
      </c>
      <c r="D94" s="165" t="str">
        <f>sample_database!F364</f>
        <v>532322196110080556</v>
      </c>
      <c r="E94" s="165" t="str">
        <f>sample_database!G364</f>
        <v>15987222209</v>
      </c>
      <c r="F94" s="165" t="str">
        <f>sample_database!J364</f>
        <v>双柏县鄂嘉镇鄂嘉村成外小组</v>
      </c>
      <c r="G94" s="209" t="str">
        <f>sample_database!H364</f>
        <v>NA</v>
      </c>
      <c r="H94" s="209" t="str">
        <f>sample_database!I364</f>
        <v>NA</v>
      </c>
    </row>
    <row r="95" spans="1:8">
      <c r="A95" s="214" t="str">
        <f>sample_database!C368</f>
        <v>NA</v>
      </c>
      <c r="B95" s="209" t="str">
        <f>sample_database!D368</f>
        <v>NA</v>
      </c>
      <c r="C95" s="219" t="str">
        <f>sample_database!E368</f>
        <v>王开丙</v>
      </c>
      <c r="D95" s="165" t="str">
        <f>sample_database!F368</f>
        <v>532322197508260551</v>
      </c>
      <c r="E95" s="165" t="str">
        <f>sample_database!G368</f>
        <v>18183788915</v>
      </c>
      <c r="F95" s="165" t="str">
        <f>sample_database!J368</f>
        <v>双柏县鄂嘉镇茶叶村委会三岔河管护点</v>
      </c>
      <c r="G95" s="210" t="str">
        <f>sample_database!H368</f>
        <v>NA</v>
      </c>
      <c r="H95" s="209" t="str">
        <f>sample_database!I368</f>
        <v>董应付</v>
      </c>
    </row>
    <row r="96" spans="1:8">
      <c r="A96" s="214" t="str">
        <f>sample_database!C372</f>
        <v>NA</v>
      </c>
      <c r="B96" s="209" t="str">
        <f>sample_database!D372</f>
        <v>NA</v>
      </c>
      <c r="C96" s="219" t="str">
        <f>sample_database!E372</f>
        <v>郭存寿</v>
      </c>
      <c r="D96" s="165" t="str">
        <f>sample_database!F372</f>
        <v>53232219770802051x</v>
      </c>
      <c r="E96" s="165" t="str">
        <f>sample_database!G372</f>
        <v>13987885572</v>
      </c>
      <c r="F96" s="165" t="str">
        <f>sample_database!J372</f>
        <v>双柏县鄂嘉镇老厂村委会杏子树</v>
      </c>
      <c r="G96" s="210" t="str">
        <f>sample_database!H372</f>
        <v>NA</v>
      </c>
      <c r="H96" s="209" t="str">
        <f>sample_database!I372</f>
        <v>王培有</v>
      </c>
    </row>
    <row r="97" spans="1:8">
      <c r="A97" s="214" t="str">
        <f>sample_database!C377</f>
        <v>NA</v>
      </c>
      <c r="B97" s="209" t="str">
        <f>sample_database!D377</f>
        <v>NA</v>
      </c>
      <c r="C97" s="219" t="str">
        <f>sample_database!E377</f>
        <v>李福安</v>
      </c>
      <c r="D97" s="165" t="str">
        <f>sample_database!F377</f>
        <v>532322196403090339</v>
      </c>
      <c r="E97" s="165" t="str">
        <f>sample_database!G377</f>
        <v>15891827894</v>
      </c>
      <c r="F97" s="165" t="str">
        <f>sample_database!J377</f>
        <v>双柏县鄂嘉镇老厂村委会龙打坝小组</v>
      </c>
      <c r="G97" s="209" t="str">
        <f>sample_database!H377</f>
        <v>NA</v>
      </c>
      <c r="H97" s="209" t="str">
        <f>sample_database!I377</f>
        <v>NA</v>
      </c>
    </row>
    <row r="98" spans="1:8">
      <c r="A98" s="214" t="str">
        <f>sample_database!C381</f>
        <v>NA</v>
      </c>
      <c r="B98" s="209" t="str">
        <f>sample_database!D381</f>
        <v>NA</v>
      </c>
      <c r="C98" s="219" t="str">
        <f>sample_database!E381</f>
        <v>代发荣</v>
      </c>
      <c r="D98" s="165" t="str">
        <f>sample_database!F381</f>
        <v>532322196406160512</v>
      </c>
      <c r="E98" s="165" t="str">
        <f>sample_database!G381</f>
        <v>18182984872</v>
      </c>
      <c r="F98" s="165" t="str">
        <f>sample_database!J381</f>
        <v>双柏县鄂嘉镇义隆村委会上村村民小组</v>
      </c>
      <c r="G98" s="210" t="str">
        <f>sample_database!H381</f>
        <v>NA</v>
      </c>
      <c r="H98" s="209" t="str">
        <f>sample_database!I381</f>
        <v>李学良</v>
      </c>
    </row>
    <row r="99" spans="1:8">
      <c r="A99" s="214" t="str">
        <f>sample_database!C386</f>
        <v>NA</v>
      </c>
      <c r="B99" s="209" t="str">
        <f>sample_database!D386</f>
        <v>NA</v>
      </c>
      <c r="C99" s="219" t="str">
        <f>sample_database!E386</f>
        <v>刘文祥</v>
      </c>
      <c r="D99" s="165" t="str">
        <f>sample_database!F386</f>
        <v>53232219810509053X</v>
      </c>
      <c r="E99" s="165" t="str">
        <f>sample_database!G386</f>
        <v>18308789745</v>
      </c>
      <c r="F99" s="165" t="str">
        <f>sample_database!J386</f>
        <v>双柏县鄂嘉镇新厂村大龙汤1号</v>
      </c>
      <c r="G99" s="209" t="str">
        <f>sample_database!H386</f>
        <v>NA</v>
      </c>
      <c r="H99" s="209" t="str">
        <f>sample_database!I386</f>
        <v>NA</v>
      </c>
    </row>
    <row r="100" spans="1:8">
      <c r="A100" s="214" t="str">
        <f>sample_database!C390</f>
        <v>NA</v>
      </c>
      <c r="B100" s="209" t="str">
        <f>sample_database!D390</f>
        <v>NA</v>
      </c>
      <c r="C100" s="219" t="str">
        <f>sample_database!E390</f>
        <v>王以华</v>
      </c>
      <c r="D100" s="165" t="str">
        <f>sample_database!F390</f>
        <v>532322196606240517</v>
      </c>
      <c r="E100" s="165" t="str">
        <f>sample_database!G390</f>
        <v>18787867656</v>
      </c>
      <c r="F100" s="165" t="str">
        <f>sample_database!J390</f>
        <v>双柏县鄂嘉镇老厂村委会岔河大亳山</v>
      </c>
      <c r="G100" s="210" t="str">
        <f>sample_database!H390</f>
        <v>NA</v>
      </c>
      <c r="H100" s="209" t="str">
        <f>sample_database!I390</f>
        <v>鲁光荣</v>
      </c>
    </row>
    <row r="101" spans="1:8">
      <c r="A101" s="214" t="str">
        <f>sample_database!C395</f>
        <v>NA</v>
      </c>
      <c r="B101" s="209" t="str">
        <f>sample_database!D395</f>
        <v>NA</v>
      </c>
      <c r="C101" s="219" t="str">
        <f>sample_database!E395</f>
        <v>王开佐</v>
      </c>
      <c r="D101" s="165" t="str">
        <f>sample_database!F395</f>
        <v>53232219660611051X</v>
      </c>
      <c r="E101" s="165" t="str">
        <f>sample_database!G395</f>
        <v>15987828019</v>
      </c>
      <c r="F101" s="165" t="str">
        <f>sample_database!J395</f>
        <v>双柏县鄂嘉镇茶叶村委会三岔河管护点</v>
      </c>
      <c r="G101" s="210" t="str">
        <f>sample_database!H395</f>
        <v>NA</v>
      </c>
      <c r="H101" s="209" t="str">
        <f>sample_database!I395</f>
        <v>周开洪</v>
      </c>
    </row>
    <row r="102" spans="1:8">
      <c r="A102" s="214" t="str">
        <f>sample_database!C399</f>
        <v>NA</v>
      </c>
      <c r="B102" s="209" t="str">
        <f>sample_database!D399</f>
        <v>NA</v>
      </c>
      <c r="C102" s="219" t="str">
        <f>sample_database!E399</f>
        <v>张玉龙</v>
      </c>
      <c r="D102" s="165" t="str">
        <f>sample_database!F399</f>
        <v>532322196411020514</v>
      </c>
      <c r="E102" s="165" t="str">
        <f>sample_database!G399</f>
        <v>15288546609</v>
      </c>
      <c r="F102" s="165" t="str">
        <f>sample_database!J399</f>
        <v>双柏县鄂嘉镇新厂村委会张家社</v>
      </c>
      <c r="G102" s="209" t="str">
        <f>sample_database!H399</f>
        <v>NA</v>
      </c>
      <c r="H102" s="209" t="str">
        <f>sample_database!I399</f>
        <v>NA</v>
      </c>
    </row>
    <row r="103" spans="1:8">
      <c r="A103" s="214" t="str">
        <f>sample_database!C403</f>
        <v>NA</v>
      </c>
      <c r="B103" s="209" t="str">
        <f>sample_database!D403</f>
        <v>NA</v>
      </c>
      <c r="C103" s="219" t="str">
        <f>sample_database!E403</f>
        <v>王开宽</v>
      </c>
      <c r="D103" s="165" t="str">
        <f>sample_database!F403</f>
        <v>532322196912020512</v>
      </c>
      <c r="E103" s="165" t="str">
        <f>sample_database!G403</f>
        <v>13368784380</v>
      </c>
      <c r="F103" s="165" t="str">
        <f>sample_database!J403</f>
        <v>双柏县鄂嘉镇茶叶村委会三岔河管护点</v>
      </c>
      <c r="G103" s="210" t="str">
        <f>sample_database!H403</f>
        <v>NA</v>
      </c>
      <c r="H103" s="209" t="str">
        <f>sample_database!I403</f>
        <v>王开润</v>
      </c>
    </row>
    <row r="104" spans="1:8">
      <c r="A104" s="214" t="str">
        <f>sample_database!C416</f>
        <v>NA</v>
      </c>
      <c r="B104" s="209" t="str">
        <f>sample_database!D416</f>
        <v>NA</v>
      </c>
      <c r="C104" s="219" t="str">
        <f>sample_database!E416</f>
        <v>张学林</v>
      </c>
      <c r="D104" s="165" t="str">
        <f>sample_database!F416</f>
        <v>530427197312242314</v>
      </c>
      <c r="E104" s="165" t="str">
        <f>sample_database!G416</f>
        <v>18088911726</v>
      </c>
      <c r="F104" s="165" t="str">
        <f>sample_database!J416</f>
        <v>新平县戛沙镇小坝多村阴波黑组</v>
      </c>
      <c r="G104" s="209" t="str">
        <f>sample_database!H416</f>
        <v>NA</v>
      </c>
      <c r="H104" s="209" t="str">
        <f>sample_database!I416</f>
        <v>NA</v>
      </c>
    </row>
    <row r="105" spans="1:8">
      <c r="A105" s="214" t="str">
        <f>sample_database!C423</f>
        <v>NA</v>
      </c>
      <c r="B105" s="209" t="str">
        <f>sample_database!D423</f>
        <v>NA</v>
      </c>
      <c r="C105" s="219" t="str">
        <f>sample_database!E423</f>
        <v>张立德</v>
      </c>
      <c r="D105" s="165" t="str">
        <f>sample_database!F423</f>
        <v>530427197904142114</v>
      </c>
      <c r="E105" s="165" t="str">
        <f>sample_database!G423</f>
        <v>15284433862</v>
      </c>
      <c r="F105" s="167" t="str">
        <f>sample_database!J423</f>
        <v>NA</v>
      </c>
      <c r="G105" s="209" t="str">
        <f>sample_database!H423</f>
        <v>NA</v>
      </c>
      <c r="H105" s="209" t="str">
        <f>sample_database!I423</f>
        <v>NA</v>
      </c>
    </row>
    <row r="106" spans="1:8">
      <c r="A106" s="214" t="str">
        <f>sample_database!C428</f>
        <v>NA</v>
      </c>
      <c r="B106" s="209" t="str">
        <f>sample_database!D428</f>
        <v>NA</v>
      </c>
      <c r="C106" s="219" t="str">
        <f>sample_database!E428</f>
        <v>李荣昌</v>
      </c>
      <c r="D106" s="165" t="str">
        <f>sample_database!F428</f>
        <v>530427197009161351</v>
      </c>
      <c r="E106" s="165" t="str">
        <f>sample_database!G428</f>
        <v>18787771048</v>
      </c>
      <c r="F106" s="165" t="str">
        <f>sample_database!J428</f>
        <v>新平县戛洒镇发启盘龙</v>
      </c>
      <c r="G106" s="209" t="str">
        <f>sample_database!H428</f>
        <v>NA</v>
      </c>
      <c r="H106" s="209" t="str">
        <f>sample_database!I428</f>
        <v>NA</v>
      </c>
    </row>
    <row r="107" spans="1:8">
      <c r="A107" s="214" t="str">
        <f>sample_database!C433</f>
        <v>NA</v>
      </c>
      <c r="B107" s="209" t="str">
        <f>sample_database!D433</f>
        <v>NA</v>
      </c>
      <c r="C107" s="219" t="str">
        <f>sample_database!E433</f>
        <v>张春应</v>
      </c>
      <c r="D107" s="165" t="str">
        <f>sample_database!F433</f>
        <v>530427197801080950</v>
      </c>
      <c r="E107" s="165" t="str">
        <f>sample_database!G433</f>
        <v>18088911725</v>
      </c>
      <c r="F107" s="167" t="str">
        <f>sample_database!J433</f>
        <v>NA</v>
      </c>
      <c r="G107" s="209" t="str">
        <f>sample_database!H433</f>
        <v>NA</v>
      </c>
      <c r="H107" s="209" t="str">
        <f>sample_database!I433</f>
        <v>NA</v>
      </c>
    </row>
    <row r="108" spans="1:8">
      <c r="A108" s="214" t="str">
        <f>sample_database!C438</f>
        <v>NA</v>
      </c>
      <c r="B108" s="209" t="str">
        <f>sample_database!D438</f>
        <v>NA</v>
      </c>
      <c r="C108" s="219" t="str">
        <f>sample_database!E438</f>
        <v>张明忠</v>
      </c>
      <c r="D108" s="165" t="str">
        <f>sample_database!F438</f>
        <v>532428196404082139</v>
      </c>
      <c r="E108" s="165" t="str">
        <f>sample_database!G438</f>
        <v>13988455214</v>
      </c>
      <c r="F108" s="165" t="str">
        <f>sample_database!J438</f>
        <v>新平县戛洒镇耀南村金山原始森林</v>
      </c>
      <c r="G108" s="209" t="str">
        <f>sample_database!H438</f>
        <v>NA</v>
      </c>
      <c r="H108" s="209" t="str">
        <f>sample_database!I438</f>
        <v>NA</v>
      </c>
    </row>
    <row r="109" spans="1:8">
      <c r="A109" s="214" t="str">
        <f>sample_database!C443</f>
        <v>NA</v>
      </c>
      <c r="B109" s="209" t="str">
        <f>sample_database!D443</f>
        <v>NA</v>
      </c>
      <c r="C109" s="219" t="str">
        <f>sample_database!E443</f>
        <v>自正荣</v>
      </c>
      <c r="D109" s="165" t="str">
        <f>sample_database!F443</f>
        <v>532428196808241116</v>
      </c>
      <c r="E109" s="165" t="str">
        <f>sample_database!G443</f>
        <v>18088911723</v>
      </c>
      <c r="F109" s="165" t="str">
        <f>sample_database!J443</f>
        <v>新平县建兴乡磨味村狗头坡组</v>
      </c>
      <c r="G109" s="209" t="str">
        <f>sample_database!H443</f>
        <v>NA</v>
      </c>
      <c r="H109" s="209" t="str">
        <f>sample_database!I443</f>
        <v>NA</v>
      </c>
    </row>
    <row r="110" spans="1:8">
      <c r="A110" s="214" t="str">
        <f>sample_database!C448</f>
        <v>NA</v>
      </c>
      <c r="B110" s="209" t="str">
        <f>sample_database!D448</f>
        <v>NA</v>
      </c>
      <c r="C110" s="219" t="str">
        <f>sample_database!E448</f>
        <v>普国全</v>
      </c>
      <c r="D110" s="165" t="str">
        <f>sample_database!F448</f>
        <v>530427197601131311</v>
      </c>
      <c r="E110" s="165" t="str">
        <f>sample_database!G448</f>
        <v>18724831039</v>
      </c>
      <c r="F110" s="165" t="str">
        <f>sample_database!J448</f>
        <v>新平县戛洒镇耀南村（长臂猿听点）</v>
      </c>
      <c r="G110" s="209" t="str">
        <f>sample_database!H448</f>
        <v>NA</v>
      </c>
      <c r="H110" s="209" t="str">
        <f>sample_database!I448</f>
        <v>NA</v>
      </c>
    </row>
    <row r="111" spans="1:8">
      <c r="A111" s="214" t="str">
        <f>sample_database!C453</f>
        <v>NA</v>
      </c>
      <c r="B111" s="209" t="str">
        <f>sample_database!D453</f>
        <v>NA</v>
      </c>
      <c r="C111" s="219" t="str">
        <f>sample_database!E453</f>
        <v>王平</v>
      </c>
      <c r="D111" s="165" t="str">
        <f>sample_database!F453</f>
        <v>532428197510250911</v>
      </c>
      <c r="E111" s="165" t="str">
        <f>sample_database!G453</f>
        <v>18088911719</v>
      </c>
      <c r="F111" s="167" t="str">
        <f>sample_database!J453</f>
        <v>NA</v>
      </c>
      <c r="G111" s="209" t="str">
        <f>sample_database!H453</f>
        <v>NA</v>
      </c>
      <c r="H111" s="209" t="str">
        <f>sample_database!I453</f>
        <v>NA</v>
      </c>
    </row>
    <row r="112" spans="1:8">
      <c r="A112" s="214" t="str">
        <f>sample_database!C458</f>
        <v>NA</v>
      </c>
      <c r="B112" s="209" t="str">
        <f>sample_database!D458</f>
        <v>NA</v>
      </c>
      <c r="C112" s="219" t="str">
        <f>sample_database!E458</f>
        <v>李荣兵</v>
      </c>
      <c r="D112" s="165" t="str">
        <f>sample_database!F458</f>
        <v>532428197211161310</v>
      </c>
      <c r="E112" s="165" t="str">
        <f>sample_database!G458</f>
        <v>13577769875</v>
      </c>
      <c r="F112" s="165" t="str">
        <f>sample_database!J458</f>
        <v>新平县戛洒镇耀南村</v>
      </c>
      <c r="G112" s="209" t="str">
        <f>sample_database!H458</f>
        <v>NA</v>
      </c>
      <c r="H112" s="209" t="str">
        <f>sample_database!I458</f>
        <v>NA</v>
      </c>
    </row>
    <row r="113" spans="1:8">
      <c r="A113" s="214" t="str">
        <f>sample_database!C463</f>
        <v>NA</v>
      </c>
      <c r="B113" s="209" t="str">
        <f>sample_database!D463</f>
        <v>NA</v>
      </c>
      <c r="C113" s="219" t="str">
        <f>sample_database!E463</f>
        <v>四-李世冲</v>
      </c>
      <c r="D113" s="165" t="str">
        <f>sample_database!F463</f>
        <v>532428197512191337</v>
      </c>
      <c r="E113" s="165">
        <f>sample_database!G463</f>
        <v>15969317098</v>
      </c>
      <c r="F113" s="165" t="str">
        <f>sample_database!J463</f>
        <v>新平县戛洒发启火山</v>
      </c>
      <c r="G113" s="209" t="str">
        <f>sample_database!H463</f>
        <v>NA</v>
      </c>
      <c r="H113" s="209" t="str">
        <f>sample_database!I463</f>
        <v>NA</v>
      </c>
    </row>
    <row r="114" spans="1:8">
      <c r="A114" s="214" t="str">
        <f>sample_database!C465</f>
        <v>NA</v>
      </c>
      <c r="B114" s="209" t="str">
        <f>sample_database!D465</f>
        <v>NA</v>
      </c>
      <c r="C114" s="219" t="str">
        <f>sample_database!E465</f>
        <v>四-李宗平</v>
      </c>
      <c r="D114" s="165" t="str">
        <f>sample_database!F465</f>
        <v>532428198209091311</v>
      </c>
      <c r="E114" s="165">
        <f>sample_database!G465</f>
        <v>18088911702</v>
      </c>
      <c r="F114" s="165" t="str">
        <f>sample_database!J465</f>
        <v>新平县戛洒镇耀南村云盘</v>
      </c>
      <c r="G114" s="209" t="str">
        <f>sample_database!H465</f>
        <v>NA</v>
      </c>
      <c r="H114" s="209" t="str">
        <f>sample_database!I465</f>
        <v>NA</v>
      </c>
    </row>
    <row r="115" spans="1:8">
      <c r="A115" s="214" t="str">
        <f>sample_database!C467</f>
        <v>NA</v>
      </c>
      <c r="B115" s="209" t="str">
        <f>sample_database!D467</f>
        <v>NA</v>
      </c>
      <c r="C115" s="219" t="str">
        <f>sample_database!E467</f>
        <v>四-余朝明</v>
      </c>
      <c r="D115" s="165" t="str">
        <f>sample_database!F467</f>
        <v>532428196006121331</v>
      </c>
      <c r="E115" s="165">
        <f>sample_database!G467</f>
        <v>13577786771</v>
      </c>
      <c r="F115" s="165" t="str">
        <f>sample_database!J467</f>
        <v>新平县戛洒镇耀南村徐？草塘22号</v>
      </c>
      <c r="G115" s="209" t="str">
        <f>sample_database!H467</f>
        <v>NA</v>
      </c>
      <c r="H115" s="209" t="str">
        <f>sample_database!I467</f>
        <v>NA</v>
      </c>
    </row>
    <row r="116" spans="1:8">
      <c r="A116" s="214" t="str">
        <f>sample_database!C468</f>
        <v>NA</v>
      </c>
      <c r="B116" s="209" t="str">
        <f>sample_database!D468</f>
        <v>NA</v>
      </c>
      <c r="C116" s="219" t="str">
        <f>sample_database!E468</f>
        <v>吴丙华</v>
      </c>
      <c r="D116" s="165" t="str">
        <f>sample_database!F468</f>
        <v>532724197507121212</v>
      </c>
      <c r="E116" s="165" t="str">
        <f>sample_database!G468</f>
        <v>15925295292</v>
      </c>
      <c r="F116" s="165" t="str">
        <f>sample_database!J468</f>
        <v>景东花山秀龙大山组苦桥地洞</v>
      </c>
      <c r="G116" s="209" t="str">
        <f>sample_database!H468</f>
        <v>NA</v>
      </c>
      <c r="H116" s="209" t="str">
        <f>sample_database!I468</f>
        <v>NA</v>
      </c>
    </row>
    <row r="117" spans="1:8">
      <c r="A117" s="214" t="str">
        <f>sample_database!C471</f>
        <v>NA</v>
      </c>
      <c r="B117" s="209" t="str">
        <f>sample_database!D471</f>
        <v>NA</v>
      </c>
      <c r="C117" s="219" t="str">
        <f>sample_database!E471</f>
        <v>杨华安</v>
      </c>
      <c r="D117" s="165" t="str">
        <f>sample_database!F471</f>
        <v>532724197908142110</v>
      </c>
      <c r="E117" s="165" t="str">
        <f>sample_database!G471</f>
        <v>13577971579</v>
      </c>
      <c r="F117" s="165" t="str">
        <f>sample_database!J471</f>
        <v>龙街乡垭口村小看马组</v>
      </c>
      <c r="G117" s="209" t="str">
        <f>sample_database!H471</f>
        <v>NA</v>
      </c>
      <c r="H117" s="209" t="str">
        <f>sample_database!I471</f>
        <v>NA</v>
      </c>
    </row>
    <row r="118" spans="1:8">
      <c r="A118" s="214" t="str">
        <f>sample_database!C473</f>
        <v>NA</v>
      </c>
      <c r="B118" s="209" t="str">
        <f>sample_database!D473</f>
        <v>NA</v>
      </c>
      <c r="C118" s="219" t="str">
        <f>sample_database!E473</f>
        <v>杨朝华</v>
      </c>
      <c r="D118" s="165" t="str">
        <f>sample_database!F473</f>
        <v>532724198511291833</v>
      </c>
      <c r="E118" s="165" t="str">
        <f>sample_database!G473</f>
        <v>15125342326</v>
      </c>
      <c r="F118" s="165" t="str">
        <f>sample_database!J473</f>
        <v>景东县太忠镇方家箐村上村组</v>
      </c>
      <c r="G118" s="209" t="str">
        <f>sample_database!H473</f>
        <v>NA</v>
      </c>
      <c r="H118" s="209" t="str">
        <f>sample_database!I473</f>
        <v>NA</v>
      </c>
    </row>
    <row r="119" spans="1:8">
      <c r="A119" s="214" t="str">
        <f>sample_database!C477</f>
        <v>NA</v>
      </c>
      <c r="B119" s="209" t="str">
        <f>sample_database!D477</f>
        <v>NA</v>
      </c>
      <c r="C119" s="219" t="str">
        <f>sample_database!E477</f>
        <v>王太如</v>
      </c>
      <c r="D119" s="165" t="str">
        <f>sample_database!F477</f>
        <v>532301198610053113</v>
      </c>
      <c r="E119" s="165" t="str">
        <f>sample_database!G477</f>
        <v>15891821981</v>
      </c>
      <c r="F119" s="165" t="str">
        <f>sample_database!J477</f>
        <v>楚雄西舍路闸上村委会苍铺塘村</v>
      </c>
      <c r="G119" s="209" t="str">
        <f>sample_database!H477</f>
        <v>NA</v>
      </c>
      <c r="H119" s="209" t="str">
        <f>sample_database!I477</f>
        <v>NA</v>
      </c>
    </row>
    <row r="120" spans="1:8">
      <c r="A120" s="214" t="str">
        <f>sample_database!C484</f>
        <v>NA</v>
      </c>
      <c r="B120" s="209" t="str">
        <f>sample_database!D484</f>
        <v>NA</v>
      </c>
      <c r="C120" s="219" t="str">
        <f>sample_database!E484</f>
        <v>周国宇</v>
      </c>
      <c r="D120" s="165" t="str">
        <f>sample_database!F484</f>
        <v>532726195812282411</v>
      </c>
      <c r="E120" s="165" t="str">
        <f>sample_database!G484</f>
        <v>13987907342</v>
      </c>
      <c r="F120" s="165" t="str">
        <f>sample_database!J484</f>
        <v>镇沅县者东镇木丁村大山小组</v>
      </c>
      <c r="G120" s="209" t="str">
        <f>sample_database!H484</f>
        <v>NA</v>
      </c>
      <c r="H120" s="209" t="str">
        <f>sample_database!I484</f>
        <v>NA</v>
      </c>
    </row>
    <row r="121" spans="1:8">
      <c r="A121" s="214" t="str">
        <f>sample_database!C488</f>
        <v>NA</v>
      </c>
      <c r="B121" s="209" t="str">
        <f>sample_database!D488</f>
        <v>NA</v>
      </c>
      <c r="C121" s="219" t="str">
        <f>sample_database!E488</f>
        <v>李加坤</v>
      </c>
      <c r="D121" s="165" t="str">
        <f>sample_database!F488</f>
        <v>532726196205242412</v>
      </c>
      <c r="E121" s="165" t="str">
        <f>sample_database!G488</f>
        <v>15987982717</v>
      </c>
      <c r="F121" s="165" t="str">
        <f>sample_database!J488</f>
        <v>镇沅县者东镇樟盆村延樟盆组</v>
      </c>
      <c r="G121" s="209" t="str">
        <f>sample_database!H488</f>
        <v>NA</v>
      </c>
      <c r="H121" s="209" t="str">
        <f>sample_database!I488</f>
        <v>NA</v>
      </c>
    </row>
    <row r="122" spans="1:8">
      <c r="A122" s="214" t="str">
        <f>sample_database!C495</f>
        <v>NA</v>
      </c>
      <c r="B122" s="209" t="str">
        <f>sample_database!D495</f>
        <v>NA</v>
      </c>
      <c r="C122" s="219" t="str">
        <f>sample_database!E495</f>
        <v>李昌恩</v>
      </c>
      <c r="D122" s="165" t="str">
        <f>sample_database!F495</f>
        <v>53272619740801211X</v>
      </c>
      <c r="E122" s="165" t="str">
        <f>sample_database!G495</f>
        <v>15125687717</v>
      </c>
      <c r="F122" s="165" t="str">
        <f>sample_database!J495</f>
        <v>镇沅县九甲镇果吉村</v>
      </c>
      <c r="G122" s="209" t="str">
        <f>sample_database!H495</f>
        <v>NA</v>
      </c>
      <c r="H122" s="209" t="str">
        <f>sample_database!I495</f>
        <v>NA</v>
      </c>
    </row>
    <row r="123" spans="1:8">
      <c r="A123" s="214" t="str">
        <f>sample_database!C499</f>
        <v>NA</v>
      </c>
      <c r="B123" s="209" t="str">
        <f>sample_database!D499</f>
        <v>NA</v>
      </c>
      <c r="C123" s="219" t="str">
        <f>sample_database!E499</f>
        <v>李茂天</v>
      </c>
      <c r="D123" s="165" t="str">
        <f>sample_database!F499</f>
        <v>532324197705112112</v>
      </c>
      <c r="E123" s="165" t="str">
        <f>sample_database!G499</f>
        <v>13769251821</v>
      </c>
      <c r="F123" s="165" t="str">
        <f>sample_database!J499</f>
        <v>南华县五顶山乡王家村委会山花地小组</v>
      </c>
      <c r="G123" s="209" t="str">
        <f>sample_database!H499</f>
        <v>NA</v>
      </c>
      <c r="H123" s="209" t="str">
        <f>sample_database!I499</f>
        <v>NA</v>
      </c>
    </row>
    <row r="124" spans="1:8">
      <c r="A124" s="214" t="str">
        <f>sample_database!C502</f>
        <v>NA</v>
      </c>
      <c r="B124" s="209" t="str">
        <f>sample_database!D502</f>
        <v>NA</v>
      </c>
      <c r="C124" s="219" t="str">
        <f>sample_database!E502</f>
        <v>自国先</v>
      </c>
      <c r="D124" s="165" t="str">
        <f>sample_database!F502</f>
        <v>532324196808102553</v>
      </c>
      <c r="E124" s="165" t="str">
        <f>sample_database!G502</f>
        <v>13987848860</v>
      </c>
      <c r="F124" s="165" t="str">
        <f>sample_database!J502</f>
        <v>南华县兔街镇长梁孜中山村</v>
      </c>
      <c r="G124" s="209" t="str">
        <f>sample_database!H502</f>
        <v>NA</v>
      </c>
      <c r="H124" s="209" t="str">
        <f>sample_database!I502</f>
        <v>NA</v>
      </c>
    </row>
    <row r="125" spans="1:8">
      <c r="A125" s="214" t="str">
        <f>sample_database!C504</f>
        <v>NA</v>
      </c>
      <c r="B125" s="209" t="str">
        <f>sample_database!D504</f>
        <v>NA</v>
      </c>
      <c r="C125" s="219" t="str">
        <f>sample_database!E504</f>
        <v>鲁新正</v>
      </c>
      <c r="D125" s="165" t="str">
        <f>sample_database!F504</f>
        <v>532324197611072519</v>
      </c>
      <c r="E125" s="165" t="str">
        <f>sample_database!G504</f>
        <v>15974785742</v>
      </c>
      <c r="F125" s="165" t="str">
        <f>sample_database!J504</f>
        <v>南华县兔街镇干龙潭村委会上村</v>
      </c>
      <c r="G125" s="209" t="str">
        <f>sample_database!H504</f>
        <v>NA</v>
      </c>
      <c r="H125" s="209" t="str">
        <f>sample_database!I504</f>
        <v>NA</v>
      </c>
    </row>
    <row r="126" spans="1:8">
      <c r="A126" s="214">
        <f>sample_database!C506</f>
        <v>67</v>
      </c>
      <c r="B126" s="209">
        <f>sample_database!D506</f>
        <v>67</v>
      </c>
      <c r="C126" s="219" t="str">
        <f>sample_database!E506</f>
        <v>张应有</v>
      </c>
      <c r="D126" s="165" t="str">
        <f>sample_database!F506</f>
        <v>532324197002172514</v>
      </c>
      <c r="E126" s="165" t="str">
        <f>sample_database!G506</f>
        <v>15096454725</v>
      </c>
      <c r="F126" s="165" t="str">
        <f>sample_database!J506</f>
        <v>南华县兔街镇嘴孜村兔街站</v>
      </c>
      <c r="G126" s="209" t="str">
        <f>sample_database!H506</f>
        <v>NA</v>
      </c>
      <c r="H126" s="209" t="str">
        <f>sample_database!I506</f>
        <v>NA</v>
      </c>
    </row>
    <row r="127" spans="1:8">
      <c r="A127" s="215"/>
      <c r="B127"/>
      <c r="C127" s="220"/>
      <c r="G127" s="165"/>
      <c r="H127" s="165"/>
    </row>
    <row r="128" spans="1:8">
      <c r="A128" s="215"/>
      <c r="B128"/>
      <c r="C128" s="225"/>
      <c r="G128" s="165"/>
      <c r="H128" s="165"/>
    </row>
    <row r="129" spans="1:8">
      <c r="A129" s="215"/>
      <c r="B129"/>
      <c r="C129" s="220"/>
      <c r="G129" s="165"/>
      <c r="H129" s="165"/>
    </row>
    <row r="130" spans="1:8">
      <c r="A130" s="215"/>
      <c r="B130"/>
      <c r="C130" s="220"/>
      <c r="G130" s="165"/>
      <c r="H130" s="165"/>
    </row>
    <row r="131" spans="1:8">
      <c r="A131" s="215"/>
      <c r="B131"/>
      <c r="C131" s="220"/>
      <c r="G131" s="165"/>
      <c r="H131" s="165"/>
    </row>
    <row r="132" spans="1:8">
      <c r="A132" s="215"/>
      <c r="B132"/>
      <c r="C132" s="220"/>
      <c r="G132" s="165"/>
      <c r="H132" s="165"/>
    </row>
    <row r="133" spans="1:8">
      <c r="A133" s="215"/>
      <c r="B133"/>
      <c r="C133" s="220"/>
      <c r="G133" s="165"/>
      <c r="H133" s="165"/>
    </row>
    <row r="134" spans="1:8">
      <c r="A134" s="215"/>
      <c r="B134"/>
      <c r="C134" s="220"/>
      <c r="G134" s="165"/>
      <c r="H134" s="165"/>
    </row>
    <row r="135" spans="1:8">
      <c r="A135" s="215"/>
      <c r="B135"/>
      <c r="C135" s="220"/>
      <c r="G135" s="165"/>
      <c r="H135" s="165"/>
    </row>
    <row r="136" spans="1:8">
      <c r="A136" s="215"/>
      <c r="B136"/>
      <c r="C136" s="220"/>
      <c r="G136" s="165"/>
      <c r="H136" s="165"/>
    </row>
    <row r="137" spans="1:8">
      <c r="A137" s="215"/>
      <c r="B137"/>
      <c r="C137" s="220"/>
      <c r="G137" s="165"/>
      <c r="H137" s="165"/>
    </row>
    <row r="138" spans="1:8">
      <c r="A138" s="215"/>
      <c r="B138"/>
      <c r="C138" s="220"/>
      <c r="G138" s="165"/>
      <c r="H138" s="165"/>
    </row>
    <row r="139" spans="1:8">
      <c r="A139" s="215"/>
      <c r="B139"/>
      <c r="C139" s="220"/>
      <c r="G139" s="165"/>
      <c r="H139" s="165"/>
    </row>
    <row r="140" spans="1:8">
      <c r="A140" s="215"/>
      <c r="B140"/>
      <c r="C140" s="220"/>
      <c r="G140" s="165"/>
      <c r="H140" s="165"/>
    </row>
    <row r="141" spans="1:8">
      <c r="A141" s="215"/>
      <c r="B141"/>
      <c r="C141" s="220"/>
      <c r="G141" s="165"/>
      <c r="H141" s="165"/>
    </row>
    <row r="142" spans="1:8">
      <c r="A142" s="215"/>
      <c r="B142"/>
      <c r="C142" s="220"/>
      <c r="G142" s="165"/>
      <c r="H142" s="165"/>
    </row>
    <row r="143" spans="1:8">
      <c r="A143" s="215"/>
      <c r="B143"/>
      <c r="C143" s="220"/>
      <c r="G143" s="165"/>
      <c r="H143" s="165"/>
    </row>
    <row r="144" spans="1:8">
      <c r="A144" s="215"/>
      <c r="B144"/>
      <c r="C144" s="220"/>
      <c r="G144" s="165"/>
      <c r="H144" s="165"/>
    </row>
    <row r="145" spans="1:8">
      <c r="A145" s="215"/>
      <c r="B145"/>
      <c r="C145" s="220"/>
      <c r="G145" s="165"/>
      <c r="H145" s="165"/>
    </row>
    <row r="146" spans="1:8">
      <c r="A146" s="215"/>
      <c r="B146"/>
      <c r="C146" s="220"/>
      <c r="G146" s="165"/>
      <c r="H146" s="165"/>
    </row>
    <row r="147" spans="1:8">
      <c r="A147" s="215"/>
      <c r="B147"/>
      <c r="C147" s="220"/>
      <c r="G147" s="165"/>
      <c r="H147" s="165"/>
    </row>
    <row r="148" spans="1:8">
      <c r="A148" s="215"/>
      <c r="B148"/>
      <c r="C148" s="220"/>
      <c r="G148" s="165"/>
      <c r="H148" s="165"/>
    </row>
    <row r="149" spans="1:8">
      <c r="A149" s="215"/>
      <c r="B149"/>
      <c r="C149" s="220"/>
      <c r="G149" s="165"/>
      <c r="H149" s="165"/>
    </row>
    <row r="150" spans="1:8">
      <c r="A150" s="215"/>
      <c r="B150"/>
      <c r="C150" s="220"/>
      <c r="G150" s="165"/>
      <c r="H150" s="165"/>
    </row>
    <row r="151" spans="1:8">
      <c r="A151" s="215"/>
      <c r="B151"/>
      <c r="C151" s="220"/>
      <c r="G151" s="165"/>
      <c r="H151" s="165"/>
    </row>
    <row r="152" spans="1:8">
      <c r="A152" s="215"/>
      <c r="B152"/>
      <c r="C152" s="220"/>
      <c r="G152" s="165"/>
      <c r="H152" s="165"/>
    </row>
    <row r="153" spans="1:8">
      <c r="A153" s="215"/>
      <c r="B153"/>
      <c r="C153" s="220"/>
      <c r="G153" s="165"/>
      <c r="H153" s="165"/>
    </row>
    <row r="154" spans="1:8">
      <c r="A154" s="215"/>
      <c r="B154"/>
      <c r="C154" s="220"/>
      <c r="G154" s="165"/>
      <c r="H154" s="165"/>
    </row>
    <row r="155" spans="1:8">
      <c r="A155" s="215"/>
      <c r="B155"/>
      <c r="C155" s="220"/>
      <c r="G155" s="165"/>
      <c r="H155" s="165"/>
    </row>
    <row r="156" spans="1:8">
      <c r="A156" s="215"/>
      <c r="B156"/>
      <c r="C156" s="220"/>
      <c r="G156" s="165"/>
      <c r="H156" s="165"/>
    </row>
    <row r="157" spans="1:8">
      <c r="A157" s="215"/>
      <c r="B157"/>
      <c r="C157" s="220"/>
      <c r="G157" s="165"/>
      <c r="H157" s="165"/>
    </row>
    <row r="158" spans="1:8">
      <c r="A158" s="215"/>
      <c r="B158"/>
      <c r="C158" s="220"/>
      <c r="G158" s="165"/>
      <c r="H158" s="165"/>
    </row>
    <row r="159" spans="1:8">
      <c r="A159" s="215"/>
      <c r="B159"/>
      <c r="C159" s="220"/>
      <c r="G159" s="165"/>
      <c r="H159" s="165"/>
    </row>
    <row r="160" spans="1:8">
      <c r="A160" s="215"/>
      <c r="B160"/>
      <c r="C160" s="220"/>
      <c r="G160" s="165"/>
      <c r="H160" s="165"/>
    </row>
    <row r="161" spans="1:8">
      <c r="A161" s="215"/>
      <c r="B161"/>
      <c r="C161" s="220"/>
      <c r="G161" s="165"/>
      <c r="H161" s="165"/>
    </row>
    <row r="162" spans="1:8">
      <c r="A162" s="215"/>
      <c r="B162"/>
      <c r="C162" s="220"/>
      <c r="G162" s="165"/>
      <c r="H162" s="165"/>
    </row>
    <row r="163" spans="1:8">
      <c r="A163" s="215"/>
      <c r="B163"/>
      <c r="C163" s="220"/>
      <c r="G163" s="165"/>
      <c r="H163" s="165"/>
    </row>
    <row r="164" spans="1:8">
      <c r="A164" s="215"/>
      <c r="B164"/>
      <c r="C164" s="220"/>
      <c r="G164" s="165"/>
      <c r="H164" s="165"/>
    </row>
    <row r="165" spans="1:8">
      <c r="A165" s="215"/>
      <c r="B165"/>
      <c r="C165" s="220"/>
      <c r="G165" s="165"/>
      <c r="H165" s="165"/>
    </row>
    <row r="166" spans="1:8">
      <c r="A166" s="215"/>
      <c r="B166"/>
      <c r="C166" s="220"/>
      <c r="G166" s="165"/>
      <c r="H166" s="165"/>
    </row>
    <row r="167" spans="1:8">
      <c r="A167" s="215"/>
      <c r="B167"/>
      <c r="C167" s="220"/>
      <c r="G167" s="165"/>
      <c r="H167" s="165"/>
    </row>
    <row r="168" spans="1:8">
      <c r="A168" s="215"/>
      <c r="B168"/>
      <c r="C168" s="220"/>
      <c r="G168" s="165"/>
      <c r="H168" s="165"/>
    </row>
    <row r="169" spans="1:8">
      <c r="A169" s="215"/>
      <c r="B169"/>
      <c r="C169" s="220"/>
      <c r="G169" s="165"/>
      <c r="H169" s="165"/>
    </row>
    <row r="170" spans="1:8">
      <c r="A170" s="215"/>
      <c r="B170"/>
      <c r="C170" s="220"/>
      <c r="G170" s="165"/>
      <c r="H170" s="165"/>
    </row>
    <row r="171" spans="1:8">
      <c r="A171" s="215"/>
      <c r="B171"/>
      <c r="C171" s="220"/>
      <c r="G171" s="165"/>
      <c r="H171" s="165"/>
    </row>
    <row r="172" spans="1:8">
      <c r="A172" s="215"/>
      <c r="B172"/>
      <c r="C172" s="220"/>
      <c r="G172" s="165"/>
      <c r="H172" s="165"/>
    </row>
    <row r="173" spans="1:8">
      <c r="A173" s="215"/>
      <c r="B173"/>
      <c r="C173" s="220"/>
      <c r="G173" s="165"/>
      <c r="H173" s="165"/>
    </row>
    <row r="174" spans="1:8">
      <c r="A174" s="215"/>
      <c r="B174"/>
      <c r="C174" s="220"/>
      <c r="G174" s="165"/>
      <c r="H174" s="165"/>
    </row>
    <row r="175" spans="1:8">
      <c r="A175" s="215"/>
      <c r="B175"/>
      <c r="C175" s="220"/>
      <c r="G175" s="165"/>
      <c r="H175" s="165"/>
    </row>
    <row r="176" spans="1:8">
      <c r="A176" s="215"/>
      <c r="B176"/>
      <c r="C176" s="220"/>
      <c r="G176" s="165"/>
      <c r="H176" s="165"/>
    </row>
    <row r="177" spans="1:8">
      <c r="A177" s="215"/>
      <c r="B177"/>
      <c r="C177" s="220"/>
      <c r="G177" s="165"/>
      <c r="H177" s="165"/>
    </row>
    <row r="178" spans="1:8">
      <c r="A178" s="215"/>
      <c r="B178"/>
      <c r="C178" s="220"/>
      <c r="G178" s="165"/>
      <c r="H178" s="165"/>
    </row>
    <row r="179" spans="1:8">
      <c r="A179" s="215"/>
      <c r="B179"/>
      <c r="C179" s="220"/>
      <c r="G179" s="165"/>
      <c r="H179" s="165"/>
    </row>
    <row r="180" spans="1:8">
      <c r="A180" s="215"/>
      <c r="B180"/>
      <c r="C180" s="220"/>
      <c r="G180" s="165"/>
      <c r="H180" s="165"/>
    </row>
    <row r="181" spans="1:8">
      <c r="A181" s="215"/>
      <c r="B181"/>
      <c r="C181" s="220"/>
      <c r="G181" s="165"/>
      <c r="H181" s="165"/>
    </row>
    <row r="182" spans="1:8">
      <c r="A182" s="215"/>
      <c r="B182"/>
      <c r="C182" s="220"/>
      <c r="G182" s="165"/>
      <c r="H182" s="165"/>
    </row>
    <row r="183" spans="1:8">
      <c r="A183" s="215"/>
      <c r="B183"/>
      <c r="C183" s="220"/>
      <c r="G183" s="165"/>
      <c r="H183" s="165"/>
    </row>
    <row r="184" spans="1:8">
      <c r="A184" s="215"/>
      <c r="B184"/>
      <c r="C184" s="220"/>
      <c r="G184" s="165"/>
      <c r="H184" s="165"/>
    </row>
    <row r="185" spans="1:8">
      <c r="A185" s="215"/>
      <c r="B185"/>
      <c r="C185" s="220"/>
      <c r="G185" s="165"/>
      <c r="H185" s="165"/>
    </row>
    <row r="186" spans="1:8">
      <c r="A186" s="215"/>
      <c r="B186"/>
      <c r="C186" s="220"/>
      <c r="G186" s="165"/>
      <c r="H186" s="165"/>
    </row>
    <row r="187" spans="1:8">
      <c r="A187" s="215"/>
      <c r="B187"/>
      <c r="C187" s="220"/>
      <c r="G187" s="165"/>
      <c r="H187" s="165"/>
    </row>
    <row r="188" spans="1:8">
      <c r="A188" s="215"/>
      <c r="B188"/>
      <c r="C188" s="220"/>
      <c r="G188" s="165"/>
      <c r="H188" s="165"/>
    </row>
    <row r="189" spans="1:8">
      <c r="A189" s="215"/>
      <c r="B189"/>
      <c r="C189" s="220"/>
      <c r="G189" s="165"/>
      <c r="H189" s="165"/>
    </row>
    <row r="190" spans="1:8">
      <c r="A190" s="215"/>
      <c r="B190"/>
      <c r="C190" s="220"/>
      <c r="G190" s="165"/>
      <c r="H190" s="165"/>
    </row>
    <row r="191" spans="1:8">
      <c r="A191" s="215"/>
      <c r="B191"/>
      <c r="C191" s="220"/>
      <c r="G191" s="165"/>
      <c r="H191" s="165"/>
    </row>
    <row r="192" spans="1:8">
      <c r="A192" s="215"/>
      <c r="B192"/>
      <c r="C192" s="220"/>
      <c r="G192" s="165"/>
      <c r="H192" s="165"/>
    </row>
    <row r="193" spans="1:8">
      <c r="A193" s="215"/>
      <c r="B193"/>
      <c r="C193" s="220"/>
      <c r="G193" s="165"/>
      <c r="H193" s="165"/>
    </row>
    <row r="194" spans="1:8">
      <c r="A194" s="215"/>
      <c r="B194"/>
      <c r="C194" s="220"/>
      <c r="G194" s="165"/>
      <c r="H194" s="165"/>
    </row>
    <row r="195" spans="1:8">
      <c r="A195" s="215"/>
      <c r="B195"/>
      <c r="C195" s="220"/>
      <c r="G195" s="165"/>
      <c r="H195" s="165"/>
    </row>
    <row r="196" spans="1:8">
      <c r="A196" s="215"/>
      <c r="B196"/>
      <c r="C196" s="220"/>
      <c r="G196" s="165"/>
      <c r="H196" s="165"/>
    </row>
    <row r="197" spans="1:8">
      <c r="A197" s="215"/>
      <c r="B197"/>
      <c r="C197" s="220"/>
      <c r="G197" s="165"/>
      <c r="H197" s="165"/>
    </row>
    <row r="198" spans="1:8">
      <c r="A198" s="215"/>
      <c r="B198"/>
      <c r="C198" s="220"/>
      <c r="G198" s="165"/>
      <c r="H198" s="165"/>
    </row>
    <row r="199" spans="1:8">
      <c r="A199" s="215"/>
      <c r="B199"/>
      <c r="C199" s="220"/>
      <c r="G199" s="165"/>
      <c r="H199" s="165"/>
    </row>
    <row r="200" spans="1:8">
      <c r="A200" s="215"/>
      <c r="B200"/>
      <c r="C200" s="220"/>
      <c r="G200" s="165"/>
      <c r="H200" s="165"/>
    </row>
    <row r="201" spans="1:8">
      <c r="A201" s="215"/>
      <c r="B201"/>
      <c r="C201" s="220"/>
      <c r="G201" s="165"/>
      <c r="H201" s="165"/>
    </row>
    <row r="202" spans="1:8">
      <c r="A202" s="215"/>
      <c r="B202"/>
      <c r="C202" s="220"/>
      <c r="G202" s="165"/>
      <c r="H202" s="165"/>
    </row>
    <row r="203" spans="1:8">
      <c r="A203" s="215"/>
      <c r="B203"/>
      <c r="C203" s="220"/>
      <c r="G203" s="165"/>
      <c r="H203" s="165"/>
    </row>
    <row r="204" spans="1:8">
      <c r="A204" s="215"/>
      <c r="B204"/>
      <c r="C204" s="220"/>
      <c r="G204" s="165"/>
      <c r="H204" s="165"/>
    </row>
    <row r="205" spans="1:8">
      <c r="A205" s="215"/>
      <c r="B205"/>
      <c r="C205" s="220"/>
      <c r="G205" s="165"/>
      <c r="H205" s="165"/>
    </row>
    <row r="206" spans="1:8">
      <c r="A206" s="215"/>
      <c r="B206"/>
      <c r="C206" s="220"/>
      <c r="G206" s="165"/>
      <c r="H206" s="165"/>
    </row>
    <row r="207" spans="1:8">
      <c r="A207" s="215"/>
      <c r="B207"/>
      <c r="C207" s="220"/>
      <c r="G207" s="165"/>
      <c r="H207" s="165"/>
    </row>
    <row r="208" spans="1:8">
      <c r="A208" s="215"/>
      <c r="B208"/>
      <c r="C208" s="220"/>
      <c r="G208" s="165"/>
      <c r="H208" s="165"/>
    </row>
    <row r="209" spans="1:8">
      <c r="A209" s="215"/>
      <c r="B209"/>
      <c r="C209" s="220"/>
      <c r="G209" s="165"/>
      <c r="H209" s="165"/>
    </row>
    <row r="210" spans="1:8">
      <c r="A210" s="215"/>
      <c r="B210"/>
      <c r="C210" s="220"/>
      <c r="G210" s="165"/>
      <c r="H210" s="165"/>
    </row>
    <row r="211" spans="1:8">
      <c r="A211" s="215"/>
      <c r="B211"/>
      <c r="C211" s="220"/>
      <c r="G211" s="165"/>
      <c r="H211" s="165"/>
    </row>
    <row r="212" spans="1:8">
      <c r="A212" s="215"/>
      <c r="B212"/>
      <c r="C212" s="220"/>
      <c r="G212" s="165"/>
      <c r="H212" s="165"/>
    </row>
    <row r="213" spans="1:8">
      <c r="A213" s="215"/>
      <c r="B213"/>
      <c r="C213" s="220"/>
      <c r="G213" s="165"/>
      <c r="H213" s="165"/>
    </row>
    <row r="214" spans="1:8">
      <c r="A214" s="215"/>
      <c r="B214"/>
      <c r="C214" s="220"/>
      <c r="G214" s="165"/>
      <c r="H214" s="165"/>
    </row>
    <row r="215" spans="1:8">
      <c r="A215" s="215"/>
      <c r="B215"/>
      <c r="C215" s="220"/>
      <c r="G215" s="165"/>
      <c r="H215" s="165"/>
    </row>
    <row r="216" spans="1:8">
      <c r="A216" s="215"/>
      <c r="B216"/>
      <c r="C216" s="220"/>
      <c r="G216" s="165"/>
      <c r="H216" s="165"/>
    </row>
    <row r="217" spans="1:8">
      <c r="A217" s="215"/>
      <c r="B217"/>
      <c r="C217" s="220"/>
      <c r="G217" s="165"/>
      <c r="H217" s="165"/>
    </row>
    <row r="218" spans="1:8">
      <c r="A218" s="215"/>
      <c r="B218"/>
      <c r="C218" s="220"/>
      <c r="G218" s="165"/>
      <c r="H218" s="165"/>
    </row>
    <row r="219" spans="1:8">
      <c r="A219" s="215"/>
      <c r="B219"/>
      <c r="C219" s="220"/>
      <c r="G219" s="165"/>
      <c r="H219" s="165"/>
    </row>
    <row r="220" spans="1:8">
      <c r="A220" s="215"/>
      <c r="B220"/>
      <c r="C220" s="220"/>
      <c r="G220" s="165"/>
      <c r="H220" s="165"/>
    </row>
    <row r="221" spans="1:8">
      <c r="A221" s="215"/>
      <c r="B221"/>
      <c r="C221" s="220"/>
      <c r="G221" s="165"/>
      <c r="H221" s="165"/>
    </row>
    <row r="222" spans="1:8">
      <c r="A222" s="215"/>
      <c r="B222"/>
      <c r="C222" s="220"/>
      <c r="G222" s="165"/>
      <c r="H222" s="165"/>
    </row>
    <row r="223" spans="1:8">
      <c r="A223" s="215"/>
      <c r="B223"/>
      <c r="C223" s="220"/>
      <c r="G223" s="165"/>
      <c r="H223" s="165"/>
    </row>
    <row r="224" spans="1:8">
      <c r="A224" s="215"/>
      <c r="B224"/>
      <c r="C224" s="220"/>
      <c r="G224" s="165"/>
      <c r="H224" s="165"/>
    </row>
    <row r="225" spans="1:8">
      <c r="A225" s="215"/>
      <c r="B225"/>
      <c r="C225" s="220"/>
      <c r="G225" s="165"/>
      <c r="H225" s="165"/>
    </row>
    <row r="226" spans="1:8">
      <c r="A226" s="215"/>
      <c r="B226"/>
      <c r="C226" s="220"/>
      <c r="G226" s="165"/>
      <c r="H226" s="165"/>
    </row>
    <row r="227" spans="1:8">
      <c r="A227" s="215"/>
      <c r="B227"/>
      <c r="C227" s="220"/>
      <c r="G227" s="165"/>
      <c r="H227" s="165"/>
    </row>
    <row r="228" spans="1:8">
      <c r="A228" s="215"/>
      <c r="B228"/>
      <c r="C228" s="220"/>
      <c r="G228" s="165"/>
      <c r="H228" s="165"/>
    </row>
    <row r="229" spans="1:8">
      <c r="A229" s="215"/>
      <c r="B229"/>
      <c r="C229" s="220"/>
      <c r="G229" s="165"/>
      <c r="H229" s="165"/>
    </row>
    <row r="230" spans="1:8">
      <c r="A230" s="215"/>
      <c r="B230"/>
      <c r="C230" s="220"/>
      <c r="G230" s="165"/>
      <c r="H230" s="165"/>
    </row>
    <row r="231" spans="1:8">
      <c r="A231" s="215"/>
      <c r="B231"/>
      <c r="C231" s="220"/>
      <c r="G231" s="165"/>
      <c r="H231" s="165"/>
    </row>
    <row r="232" spans="1:8">
      <c r="A232" s="215"/>
      <c r="B232"/>
      <c r="C232" s="220"/>
      <c r="G232" s="165"/>
      <c r="H232" s="165"/>
    </row>
    <row r="233" spans="1:8">
      <c r="A233" s="215"/>
      <c r="B233"/>
      <c r="C233" s="220"/>
      <c r="G233" s="165"/>
      <c r="H233" s="165"/>
    </row>
    <row r="234" spans="1:8">
      <c r="A234" s="215"/>
      <c r="B234"/>
      <c r="C234" s="220"/>
      <c r="G234" s="165"/>
      <c r="H234" s="165"/>
    </row>
    <row r="235" spans="1:8">
      <c r="A235" s="215"/>
      <c r="B235"/>
      <c r="C235" s="220"/>
      <c r="G235" s="165"/>
      <c r="H235" s="165"/>
    </row>
    <row r="236" spans="1:8">
      <c r="A236" s="215"/>
      <c r="B236"/>
      <c r="C236" s="220"/>
      <c r="G236" s="165"/>
      <c r="H236" s="165"/>
    </row>
    <row r="237" spans="1:8">
      <c r="A237" s="215"/>
      <c r="B237"/>
      <c r="C237" s="220"/>
      <c r="G237" s="165"/>
      <c r="H237" s="165"/>
    </row>
    <row r="238" spans="1:8">
      <c r="A238" s="215"/>
      <c r="B238"/>
      <c r="C238" s="220"/>
      <c r="G238" s="165"/>
      <c r="H238" s="165"/>
    </row>
    <row r="239" spans="1:8">
      <c r="A239" s="215"/>
      <c r="B239"/>
      <c r="C239" s="220"/>
      <c r="G239" s="165"/>
      <c r="H239" s="165"/>
    </row>
    <row r="240" spans="1:8">
      <c r="A240" s="215"/>
      <c r="B240"/>
      <c r="C240" s="220"/>
      <c r="G240" s="165"/>
      <c r="H240" s="165"/>
    </row>
    <row r="241" spans="1:8">
      <c r="A241" s="215"/>
      <c r="B241"/>
      <c r="C241" s="220"/>
      <c r="G241" s="165"/>
      <c r="H241" s="165"/>
    </row>
    <row r="242" spans="1:8">
      <c r="A242" s="215"/>
      <c r="B242"/>
      <c r="C242" s="220"/>
      <c r="G242" s="165"/>
      <c r="H242" s="165"/>
    </row>
    <row r="243" spans="1:8">
      <c r="A243" s="215"/>
      <c r="B243"/>
      <c r="C243" s="220"/>
      <c r="G243" s="165"/>
      <c r="H243" s="165"/>
    </row>
    <row r="244" spans="1:8">
      <c r="A244" s="215"/>
      <c r="B244"/>
      <c r="C244" s="220"/>
      <c r="G244" s="165"/>
      <c r="H244" s="165"/>
    </row>
    <row r="245" spans="1:8">
      <c r="A245" s="215"/>
      <c r="B245"/>
      <c r="C245" s="220"/>
      <c r="G245" s="165"/>
      <c r="H245" s="165"/>
    </row>
    <row r="246" spans="1:8">
      <c r="A246" s="215"/>
      <c r="B246"/>
      <c r="C246" s="220"/>
      <c r="G246" s="165"/>
      <c r="H246" s="165"/>
    </row>
    <row r="247" spans="1:8">
      <c r="A247" s="215"/>
      <c r="B247"/>
      <c r="C247" s="220"/>
      <c r="G247" s="165"/>
      <c r="H247" s="165"/>
    </row>
    <row r="248" spans="1:8">
      <c r="A248" s="215"/>
      <c r="B248"/>
      <c r="C248" s="220"/>
      <c r="G248" s="165"/>
      <c r="H248" s="165"/>
    </row>
    <row r="249" spans="1:8">
      <c r="A249" s="215"/>
      <c r="B249"/>
      <c r="C249" s="220"/>
      <c r="G249" s="165"/>
      <c r="H249" s="165"/>
    </row>
    <row r="250" spans="1:8">
      <c r="A250" s="215"/>
      <c r="B250"/>
      <c r="C250" s="220"/>
      <c r="G250" s="165"/>
      <c r="H250" s="165"/>
    </row>
    <row r="251" spans="1:8">
      <c r="A251" s="215"/>
      <c r="B251"/>
      <c r="C251" s="220"/>
      <c r="G251" s="165"/>
      <c r="H251" s="165"/>
    </row>
    <row r="252" spans="1:8">
      <c r="A252" s="215"/>
      <c r="B252"/>
      <c r="C252" s="220"/>
      <c r="G252" s="165"/>
      <c r="H252" s="165"/>
    </row>
    <row r="253" spans="1:8">
      <c r="A253" s="215"/>
      <c r="B253"/>
      <c r="C253" s="220"/>
      <c r="G253" s="165"/>
      <c r="H253" s="165"/>
    </row>
    <row r="254" spans="1:8">
      <c r="A254" s="215"/>
      <c r="B254"/>
      <c r="C254" s="220"/>
      <c r="G254" s="165"/>
      <c r="H254" s="165"/>
    </row>
    <row r="255" spans="1:8">
      <c r="A255" s="215"/>
      <c r="B255"/>
      <c r="C255" s="220"/>
      <c r="G255" s="165"/>
      <c r="H255" s="165"/>
    </row>
    <row r="256" spans="1:8">
      <c r="A256" s="215"/>
      <c r="B256"/>
      <c r="C256" s="220"/>
      <c r="G256" s="165"/>
      <c r="H256" s="165"/>
    </row>
    <row r="257" spans="1:8">
      <c r="A257" s="215"/>
      <c r="B257"/>
      <c r="C257" s="220"/>
      <c r="G257" s="165"/>
      <c r="H257" s="165"/>
    </row>
    <row r="258" spans="1:8">
      <c r="A258" s="215"/>
      <c r="B258"/>
      <c r="C258" s="220"/>
      <c r="G258" s="165"/>
      <c r="H258" s="165"/>
    </row>
    <row r="259" spans="1:8">
      <c r="A259" s="215"/>
      <c r="B259"/>
      <c r="C259" s="220"/>
      <c r="G259" s="165"/>
      <c r="H259" s="165"/>
    </row>
    <row r="260" spans="1:8">
      <c r="A260" s="215"/>
      <c r="B260"/>
      <c r="C260" s="220"/>
      <c r="G260" s="165"/>
      <c r="H260" s="165"/>
    </row>
    <row r="261" spans="1:8">
      <c r="A261" s="215"/>
      <c r="B261"/>
      <c r="C261" s="220"/>
      <c r="G261" s="165"/>
      <c r="H261" s="165"/>
    </row>
    <row r="262" spans="1:8">
      <c r="A262" s="215"/>
      <c r="B262"/>
      <c r="C262" s="220"/>
      <c r="G262" s="165"/>
      <c r="H262" s="165"/>
    </row>
    <row r="263" spans="1:8">
      <c r="A263" s="215"/>
      <c r="B263"/>
      <c r="C263" s="220"/>
      <c r="G263" s="165"/>
      <c r="H263" s="165"/>
    </row>
    <row r="264" spans="1:8">
      <c r="A264" s="215"/>
      <c r="B264"/>
      <c r="C264" s="220"/>
      <c r="G264" s="165"/>
      <c r="H264" s="165"/>
    </row>
    <row r="265" spans="1:8">
      <c r="A265" s="215"/>
      <c r="B265"/>
      <c r="C265" s="220"/>
      <c r="G265" s="165"/>
      <c r="H265" s="165"/>
    </row>
    <row r="266" spans="1:8">
      <c r="A266" s="215"/>
      <c r="B266"/>
      <c r="C266" s="220"/>
      <c r="G266" s="165"/>
      <c r="H266" s="165"/>
    </row>
    <row r="267" spans="1:8">
      <c r="A267" s="215"/>
      <c r="B267"/>
      <c r="C267" s="220"/>
      <c r="G267" s="165"/>
      <c r="H267" s="165"/>
    </row>
    <row r="268" spans="1:8">
      <c r="A268" s="215"/>
      <c r="B268"/>
      <c r="C268" s="220"/>
      <c r="G268" s="165"/>
      <c r="H268" s="165"/>
    </row>
    <row r="269" spans="1:8">
      <c r="A269" s="215"/>
      <c r="B269"/>
      <c r="C269" s="220"/>
      <c r="G269" s="165"/>
      <c r="H269" s="165"/>
    </row>
    <row r="270" spans="1:8">
      <c r="A270" s="215"/>
      <c r="B270"/>
      <c r="C270" s="220"/>
      <c r="G270" s="165"/>
      <c r="H270" s="165"/>
    </row>
    <row r="271" spans="1:8">
      <c r="A271" s="215"/>
      <c r="B271"/>
      <c r="C271" s="220"/>
      <c r="G271" s="165"/>
      <c r="H271" s="165"/>
    </row>
    <row r="272" spans="1:8">
      <c r="A272" s="215"/>
      <c r="B272"/>
      <c r="C272" s="220"/>
      <c r="G272" s="165"/>
      <c r="H272" s="165"/>
    </row>
    <row r="273" spans="1:8">
      <c r="A273" s="215"/>
      <c r="B273"/>
      <c r="C273" s="220"/>
      <c r="G273" s="165"/>
      <c r="H273" s="165"/>
    </row>
    <row r="274" spans="1:8">
      <c r="A274" s="215"/>
      <c r="B274"/>
      <c r="C274" s="220"/>
      <c r="G274" s="165"/>
      <c r="H274" s="165"/>
    </row>
    <row r="275" spans="1:8">
      <c r="A275" s="215"/>
      <c r="B275"/>
      <c r="C275" s="220"/>
      <c r="G275" s="165"/>
      <c r="H275" s="165"/>
    </row>
    <row r="276" spans="1:8">
      <c r="A276" s="215"/>
      <c r="B276"/>
      <c r="C276" s="220"/>
      <c r="G276" s="165"/>
      <c r="H276" s="165"/>
    </row>
    <row r="277" spans="1:8">
      <c r="A277" s="215"/>
      <c r="B277"/>
      <c r="C277" s="220"/>
      <c r="G277" s="165"/>
      <c r="H277" s="165"/>
    </row>
    <row r="278" spans="1:8">
      <c r="A278" s="215"/>
      <c r="B278"/>
      <c r="C278" s="220"/>
      <c r="G278" s="165"/>
      <c r="H278" s="165"/>
    </row>
    <row r="279" spans="1:8">
      <c r="A279" s="215"/>
      <c r="B279"/>
      <c r="C279" s="220"/>
      <c r="G279" s="165"/>
      <c r="H279" s="165"/>
    </row>
    <row r="280" spans="1:8">
      <c r="A280" s="215"/>
      <c r="B280"/>
      <c r="C280" s="220"/>
      <c r="G280" s="165"/>
      <c r="H280" s="165"/>
    </row>
    <row r="281" spans="1:8">
      <c r="A281" s="215"/>
      <c r="B281"/>
      <c r="C281" s="220"/>
      <c r="G281" s="165"/>
      <c r="H281" s="165"/>
    </row>
    <row r="282" spans="1:8">
      <c r="A282" s="215"/>
      <c r="B282"/>
      <c r="C282" s="220"/>
      <c r="G282" s="165"/>
      <c r="H282" s="165"/>
    </row>
    <row r="283" spans="1:8">
      <c r="A283" s="215"/>
      <c r="B283"/>
      <c r="C283" s="220"/>
      <c r="G283" s="165"/>
      <c r="H283" s="165"/>
    </row>
    <row r="284" spans="1:8">
      <c r="A284" s="215"/>
      <c r="B284"/>
      <c r="C284" s="220"/>
      <c r="G284" s="165"/>
      <c r="H284" s="165"/>
    </row>
    <row r="285" spans="1:8">
      <c r="A285" s="215"/>
      <c r="B285"/>
      <c r="C285" s="220"/>
      <c r="G285" s="165"/>
      <c r="H285" s="165"/>
    </row>
    <row r="286" spans="1:8">
      <c r="A286" s="215"/>
      <c r="B286"/>
      <c r="C286" s="220"/>
      <c r="G286" s="165"/>
      <c r="H286" s="165"/>
    </row>
    <row r="287" spans="1:8">
      <c r="A287" s="215"/>
      <c r="B287"/>
      <c r="C287" s="220"/>
      <c r="G287" s="165"/>
      <c r="H287" s="165"/>
    </row>
    <row r="288" spans="1:8">
      <c r="A288" s="215"/>
      <c r="B288"/>
      <c r="C288" s="220"/>
      <c r="G288" s="165"/>
      <c r="H288" s="165"/>
    </row>
    <row r="289" spans="1:8">
      <c r="A289" s="215"/>
      <c r="B289"/>
      <c r="C289" s="220"/>
      <c r="G289" s="165"/>
      <c r="H289" s="165"/>
    </row>
    <row r="290" spans="1:8">
      <c r="A290" s="215"/>
      <c r="B290"/>
      <c r="C290" s="220"/>
      <c r="G290" s="165"/>
      <c r="H290" s="165"/>
    </row>
    <row r="291" spans="1:8">
      <c r="A291" s="215"/>
      <c r="B291"/>
      <c r="C291" s="220"/>
      <c r="G291" s="165"/>
      <c r="H291" s="165"/>
    </row>
    <row r="292" spans="1:8">
      <c r="A292" s="215"/>
      <c r="B292"/>
      <c r="C292" s="220"/>
      <c r="G292" s="165"/>
      <c r="H292" s="165"/>
    </row>
    <row r="293" spans="1:8">
      <c r="A293" s="215"/>
      <c r="B293"/>
      <c r="C293" s="220"/>
      <c r="G293" s="165"/>
      <c r="H293" s="165"/>
    </row>
    <row r="294" spans="1:8">
      <c r="A294" s="215"/>
      <c r="B294"/>
      <c r="C294" s="220"/>
      <c r="G294" s="165"/>
      <c r="H294" s="165"/>
    </row>
    <row r="295" spans="1:8">
      <c r="A295" s="215"/>
      <c r="B295"/>
      <c r="C295" s="220"/>
      <c r="G295" s="165"/>
      <c r="H295" s="165"/>
    </row>
    <row r="296" spans="1:8">
      <c r="A296" s="215"/>
      <c r="B296"/>
      <c r="C296" s="220"/>
      <c r="G296" s="165"/>
      <c r="H296" s="165"/>
    </row>
    <row r="297" spans="1:8">
      <c r="A297" s="215"/>
      <c r="B297"/>
      <c r="C297" s="220"/>
      <c r="G297" s="165"/>
      <c r="H297" s="165"/>
    </row>
    <row r="298" spans="1:8">
      <c r="A298" s="215"/>
      <c r="B298"/>
      <c r="C298" s="220"/>
      <c r="G298" s="165"/>
      <c r="H298" s="165"/>
    </row>
    <row r="299" spans="1:8">
      <c r="A299" s="215"/>
      <c r="B299"/>
      <c r="C299" s="220"/>
      <c r="G299" s="165"/>
      <c r="H299" s="165"/>
    </row>
    <row r="300" spans="1:8">
      <c r="A300" s="215"/>
      <c r="B300"/>
      <c r="C300" s="220"/>
      <c r="G300" s="165"/>
      <c r="H300" s="165"/>
    </row>
    <row r="301" spans="1:8">
      <c r="A301" s="215"/>
      <c r="B301"/>
      <c r="C301" s="220"/>
      <c r="G301" s="165"/>
      <c r="H301" s="165"/>
    </row>
    <row r="302" spans="1:8">
      <c r="A302" s="215"/>
      <c r="B302"/>
      <c r="C302" s="220"/>
      <c r="G302" s="165"/>
      <c r="H302" s="165"/>
    </row>
    <row r="303" spans="1:8">
      <c r="A303" s="215"/>
      <c r="B303"/>
      <c r="C303" s="220"/>
      <c r="G303" s="165"/>
      <c r="H303" s="165"/>
    </row>
    <row r="304" spans="1:8">
      <c r="A304" s="215"/>
      <c r="B304"/>
      <c r="C304" s="220"/>
      <c r="G304" s="165"/>
      <c r="H304" s="165"/>
    </row>
    <row r="305" spans="1:8">
      <c r="A305" s="215"/>
      <c r="B305"/>
      <c r="C305" s="220"/>
      <c r="G305" s="165"/>
      <c r="H305" s="165"/>
    </row>
    <row r="306" spans="1:8">
      <c r="A306" s="215"/>
      <c r="B306"/>
      <c r="C306" s="220"/>
      <c r="G306" s="165"/>
      <c r="H306" s="165"/>
    </row>
    <row r="307" spans="1:8">
      <c r="A307" s="215"/>
      <c r="B307"/>
      <c r="C307" s="220"/>
      <c r="G307" s="165"/>
      <c r="H307" s="165"/>
    </row>
    <row r="308" spans="1:8">
      <c r="A308" s="215"/>
      <c r="B308"/>
      <c r="C308" s="220"/>
      <c r="G308" s="165"/>
      <c r="H308" s="165"/>
    </row>
    <row r="309" spans="1:8">
      <c r="A309" s="215"/>
      <c r="B309"/>
      <c r="C309" s="220"/>
      <c r="G309" s="165"/>
      <c r="H309" s="165"/>
    </row>
    <row r="310" spans="1:8">
      <c r="A310" s="215"/>
      <c r="B310"/>
      <c r="C310" s="220"/>
      <c r="G310" s="165"/>
      <c r="H310" s="165"/>
    </row>
    <row r="311" spans="1:8">
      <c r="A311" s="215"/>
      <c r="B311"/>
      <c r="C311" s="220"/>
      <c r="G311" s="165"/>
      <c r="H311" s="165"/>
    </row>
    <row r="312" spans="1:8">
      <c r="A312" s="215"/>
      <c r="B312"/>
      <c r="C312" s="220"/>
      <c r="G312" s="165"/>
      <c r="H312" s="165"/>
    </row>
    <row r="313" spans="1:8">
      <c r="A313" s="215"/>
      <c r="B313"/>
      <c r="C313" s="220"/>
      <c r="G313" s="165"/>
      <c r="H313" s="165"/>
    </row>
    <row r="314" spans="1:8">
      <c r="A314" s="215"/>
      <c r="B314"/>
      <c r="C314" s="220"/>
      <c r="G314" s="165"/>
      <c r="H314" s="165"/>
    </row>
    <row r="315" spans="1:8">
      <c r="A315" s="215"/>
      <c r="B315"/>
      <c r="C315" s="220"/>
      <c r="G315" s="165"/>
      <c r="H315" s="165"/>
    </row>
    <row r="316" spans="1:8">
      <c r="A316" s="215"/>
      <c r="B316"/>
      <c r="C316" s="220"/>
      <c r="G316" s="165"/>
      <c r="H316" s="165"/>
    </row>
    <row r="317" spans="1:8">
      <c r="A317" s="215"/>
      <c r="B317"/>
      <c r="C317" s="220"/>
      <c r="G317" s="165"/>
      <c r="H317" s="165"/>
    </row>
    <row r="318" spans="1:8">
      <c r="A318" s="215"/>
      <c r="B318"/>
      <c r="C318" s="220"/>
      <c r="G318" s="165"/>
      <c r="H318" s="165"/>
    </row>
    <row r="319" spans="1:8">
      <c r="A319" s="215"/>
      <c r="B319"/>
      <c r="C319" s="220"/>
      <c r="G319" s="165"/>
      <c r="H319" s="165"/>
    </row>
    <row r="320" spans="1:8">
      <c r="A320" s="215"/>
      <c r="B320"/>
      <c r="C320" s="220"/>
      <c r="G320" s="165"/>
      <c r="H320" s="165"/>
    </row>
    <row r="321" spans="1:8">
      <c r="A321" s="215"/>
      <c r="B321"/>
      <c r="C321" s="220"/>
      <c r="G321" s="165"/>
      <c r="H321" s="165"/>
    </row>
    <row r="322" spans="1:8">
      <c r="A322" s="215"/>
      <c r="B322"/>
      <c r="C322" s="220"/>
      <c r="G322" s="165"/>
      <c r="H322" s="165"/>
    </row>
    <row r="323" spans="1:8">
      <c r="A323" s="215"/>
      <c r="B323"/>
      <c r="C323" s="220"/>
      <c r="G323" s="165"/>
      <c r="H323" s="165"/>
    </row>
    <row r="324" spans="1:8">
      <c r="A324" s="215"/>
      <c r="B324"/>
      <c r="C324" s="220"/>
      <c r="G324" s="165"/>
      <c r="H324" s="165"/>
    </row>
    <row r="325" spans="1:8">
      <c r="A325" s="215"/>
      <c r="B325"/>
      <c r="C325" s="220"/>
      <c r="G325" s="165"/>
      <c r="H325" s="165"/>
    </row>
    <row r="326" spans="1:8">
      <c r="A326" s="215"/>
      <c r="B326"/>
      <c r="C326" s="220"/>
      <c r="G326" s="165"/>
      <c r="H326" s="165"/>
    </row>
    <row r="327" spans="1:8">
      <c r="A327" s="215"/>
      <c r="B327"/>
      <c r="C327" s="220"/>
      <c r="G327" s="165"/>
      <c r="H327" s="165"/>
    </row>
    <row r="328" spans="1:8">
      <c r="A328" s="215"/>
      <c r="B328"/>
      <c r="C328" s="220"/>
      <c r="G328" s="165"/>
      <c r="H328" s="165"/>
    </row>
    <row r="329" spans="1:8">
      <c r="A329" s="215"/>
      <c r="B329"/>
      <c r="C329" s="220"/>
      <c r="G329" s="165"/>
      <c r="H329" s="165"/>
    </row>
    <row r="330" spans="1:8">
      <c r="A330" s="215"/>
      <c r="B330"/>
      <c r="C330" s="220"/>
      <c r="G330" s="165"/>
      <c r="H330" s="165"/>
    </row>
    <row r="331" spans="1:8">
      <c r="A331" s="215"/>
      <c r="B331"/>
      <c r="C331" s="220"/>
      <c r="G331" s="165"/>
      <c r="H331" s="165"/>
    </row>
    <row r="332" spans="1:8">
      <c r="A332" s="215"/>
      <c r="B332"/>
      <c r="C332" s="220"/>
      <c r="G332" s="165"/>
      <c r="H332" s="165"/>
    </row>
    <row r="333" spans="1:8">
      <c r="A333" s="215"/>
      <c r="B333"/>
      <c r="C333" s="220"/>
      <c r="G333" s="165"/>
      <c r="H333" s="165"/>
    </row>
    <row r="334" spans="1:8">
      <c r="A334" s="215"/>
      <c r="B334"/>
      <c r="C334" s="220"/>
      <c r="G334" s="165"/>
      <c r="H334" s="165"/>
    </row>
    <row r="335" spans="1:8">
      <c r="A335" s="215"/>
      <c r="B335"/>
      <c r="C335" s="220"/>
      <c r="G335" s="165"/>
      <c r="H335" s="165"/>
    </row>
    <row r="336" spans="1:8">
      <c r="A336" s="215"/>
      <c r="B336"/>
      <c r="C336" s="220"/>
      <c r="G336" s="165"/>
      <c r="H336" s="165"/>
    </row>
    <row r="337" spans="1:8">
      <c r="A337" s="215"/>
      <c r="B337"/>
      <c r="C337" s="220"/>
      <c r="G337" s="165"/>
      <c r="H337" s="165"/>
    </row>
    <row r="338" spans="1:8">
      <c r="A338" s="215"/>
      <c r="B338"/>
      <c r="C338" s="220"/>
      <c r="G338" s="165"/>
      <c r="H338" s="165"/>
    </row>
    <row r="339" spans="1:8">
      <c r="A339" s="215"/>
      <c r="B339"/>
      <c r="C339" s="220"/>
      <c r="G339" s="165"/>
      <c r="H339" s="165"/>
    </row>
    <row r="340" spans="1:8">
      <c r="A340" s="215"/>
      <c r="B340"/>
      <c r="C340" s="220"/>
      <c r="G340" s="165"/>
      <c r="H340" s="165"/>
    </row>
    <row r="341" spans="1:8">
      <c r="A341" s="215"/>
      <c r="B341"/>
      <c r="C341" s="220"/>
      <c r="G341" s="165"/>
      <c r="H341" s="165"/>
    </row>
    <row r="342" spans="1:8">
      <c r="A342" s="215"/>
      <c r="B342"/>
      <c r="C342" s="220"/>
      <c r="G342" s="165"/>
      <c r="H342" s="165"/>
    </row>
    <row r="343" spans="1:8">
      <c r="A343" s="215"/>
      <c r="B343"/>
      <c r="C343" s="220"/>
      <c r="G343" s="165"/>
      <c r="H343" s="165"/>
    </row>
    <row r="344" spans="1:8">
      <c r="A344" s="215"/>
      <c r="B344"/>
      <c r="C344" s="220"/>
      <c r="G344" s="165"/>
      <c r="H344" s="165"/>
    </row>
    <row r="345" spans="1:8">
      <c r="A345" s="215"/>
      <c r="B345"/>
      <c r="C345" s="220"/>
      <c r="G345" s="165"/>
      <c r="H345" s="165"/>
    </row>
    <row r="346" spans="1:8">
      <c r="A346" s="215"/>
      <c r="B346"/>
      <c r="C346" s="220"/>
      <c r="G346" s="165"/>
      <c r="H346" s="165"/>
    </row>
    <row r="347" spans="1:8">
      <c r="A347" s="215"/>
      <c r="B347"/>
      <c r="C347" s="220"/>
      <c r="G347" s="165"/>
      <c r="H347" s="165"/>
    </row>
    <row r="348" spans="1:8">
      <c r="A348" s="215"/>
      <c r="B348"/>
      <c r="C348" s="220"/>
      <c r="G348" s="165"/>
      <c r="H348" s="165"/>
    </row>
    <row r="349" spans="1:8">
      <c r="A349" s="215"/>
      <c r="B349"/>
      <c r="C349" s="220"/>
      <c r="G349" s="165"/>
      <c r="H349" s="165"/>
    </row>
    <row r="350" spans="1:8">
      <c r="A350" s="215"/>
      <c r="B350"/>
      <c r="C350" s="220"/>
      <c r="G350" s="165"/>
      <c r="H350" s="165"/>
    </row>
    <row r="351" spans="1:8">
      <c r="A351" s="215"/>
      <c r="B351"/>
      <c r="C351" s="220"/>
      <c r="G351" s="165"/>
      <c r="H351" s="165"/>
    </row>
    <row r="352" spans="1:8">
      <c r="A352" s="215"/>
      <c r="B352"/>
      <c r="C352" s="220"/>
      <c r="G352" s="165"/>
      <c r="H352" s="165"/>
    </row>
    <row r="353" spans="1:8">
      <c r="A353" s="215"/>
      <c r="B353"/>
      <c r="C353" s="220"/>
      <c r="G353" s="165"/>
      <c r="H353" s="165"/>
    </row>
    <row r="354" spans="1:8">
      <c r="A354" s="215"/>
      <c r="B354"/>
      <c r="C354" s="220"/>
      <c r="G354" s="165"/>
      <c r="H354" s="165"/>
    </row>
    <row r="355" spans="1:8">
      <c r="A355" s="215"/>
      <c r="B355"/>
      <c r="C355" s="220"/>
      <c r="G355" s="165"/>
      <c r="H355" s="165"/>
    </row>
    <row r="356" spans="1:8">
      <c r="A356" s="215"/>
      <c r="B356"/>
      <c r="C356" s="220"/>
      <c r="G356" s="165"/>
      <c r="H356" s="165"/>
    </row>
    <row r="357" spans="1:8">
      <c r="A357" s="215"/>
      <c r="B357"/>
      <c r="C357" s="220"/>
      <c r="G357" s="165"/>
      <c r="H357" s="165"/>
    </row>
    <row r="358" spans="1:8">
      <c r="A358" s="215"/>
      <c r="B358"/>
      <c r="C358" s="220"/>
      <c r="G358" s="165"/>
      <c r="H358" s="165"/>
    </row>
    <row r="359" spans="1:8">
      <c r="A359" s="215"/>
      <c r="B359"/>
      <c r="C359" s="220"/>
      <c r="G359" s="165"/>
      <c r="H359" s="165"/>
    </row>
    <row r="360" spans="1:8">
      <c r="A360" s="215"/>
      <c r="B360"/>
      <c r="C360" s="220"/>
      <c r="G360" s="165"/>
      <c r="H360" s="165"/>
    </row>
    <row r="361" spans="1:8">
      <c r="A361" s="215"/>
      <c r="B361"/>
      <c r="C361" s="220"/>
      <c r="G361" s="165"/>
      <c r="H361" s="165"/>
    </row>
    <row r="362" spans="1:8">
      <c r="A362" s="215"/>
      <c r="B362"/>
      <c r="C362" s="220"/>
      <c r="G362" s="165"/>
      <c r="H362" s="165"/>
    </row>
    <row r="363" spans="1:8">
      <c r="A363" s="215"/>
      <c r="B363"/>
      <c r="C363" s="220"/>
      <c r="G363" s="165"/>
      <c r="H363" s="165"/>
    </row>
    <row r="364" spans="1:8">
      <c r="A364" s="215"/>
      <c r="B364"/>
      <c r="C364" s="220"/>
      <c r="G364" s="165"/>
      <c r="H364" s="165"/>
    </row>
    <row r="365" spans="1:8">
      <c r="A365" s="215"/>
      <c r="B365"/>
      <c r="C365" s="220"/>
      <c r="G365" s="165"/>
      <c r="H365" s="165"/>
    </row>
    <row r="366" spans="1:8">
      <c r="A366" s="215"/>
      <c r="B366"/>
      <c r="C366" s="220"/>
      <c r="G366" s="165"/>
      <c r="H366" s="165"/>
    </row>
    <row r="367" spans="1:8">
      <c r="A367" s="215"/>
      <c r="B367"/>
      <c r="C367" s="220"/>
      <c r="G367" s="165"/>
      <c r="H367" s="165"/>
    </row>
    <row r="368" spans="1:8">
      <c r="A368" s="215"/>
      <c r="B368"/>
      <c r="C368" s="220"/>
      <c r="G368" s="165"/>
      <c r="H368" s="165"/>
    </row>
    <row r="369" spans="1:8">
      <c r="A369" s="215"/>
      <c r="B369"/>
      <c r="C369" s="220"/>
      <c r="G369" s="165"/>
      <c r="H369" s="165"/>
    </row>
    <row r="370" spans="1:8">
      <c r="A370" s="215"/>
      <c r="B370"/>
      <c r="C370" s="220"/>
      <c r="G370" s="165"/>
      <c r="H370" s="165"/>
    </row>
    <row r="371" spans="1:8">
      <c r="A371" s="215"/>
      <c r="B371"/>
      <c r="C371" s="220"/>
      <c r="G371" s="165"/>
      <c r="H371" s="165"/>
    </row>
    <row r="372" spans="1:8">
      <c r="A372" s="215"/>
      <c r="B372"/>
      <c r="C372" s="220"/>
      <c r="G372" s="165"/>
      <c r="H372" s="165"/>
    </row>
    <row r="373" spans="1:8">
      <c r="A373" s="215"/>
      <c r="B373"/>
      <c r="C373" s="220"/>
      <c r="G373" s="165"/>
      <c r="H373" s="165"/>
    </row>
    <row r="374" spans="1:8">
      <c r="A374" s="215"/>
      <c r="B374"/>
      <c r="C374" s="220"/>
      <c r="G374" s="165"/>
      <c r="H374" s="165"/>
    </row>
    <row r="375" spans="1:8">
      <c r="A375" s="215"/>
      <c r="B375"/>
      <c r="C375" s="220"/>
      <c r="G375" s="165"/>
      <c r="H375" s="165"/>
    </row>
    <row r="376" spans="1:8">
      <c r="A376" s="215"/>
      <c r="B376"/>
      <c r="C376" s="220"/>
      <c r="G376" s="165"/>
      <c r="H376" s="165"/>
    </row>
    <row r="377" spans="1:8">
      <c r="A377" s="215"/>
      <c r="B377"/>
      <c r="C377" s="220"/>
      <c r="G377" s="165"/>
      <c r="H377" s="165"/>
    </row>
    <row r="378" spans="1:8">
      <c r="A378" s="215"/>
      <c r="B378"/>
      <c r="C378" s="220"/>
      <c r="G378" s="165"/>
      <c r="H378" s="165"/>
    </row>
    <row r="379" spans="1:8">
      <c r="A379" s="215"/>
      <c r="B379"/>
      <c r="C379" s="220"/>
      <c r="G379" s="165"/>
      <c r="H379" s="165"/>
    </row>
    <row r="380" spans="1:8">
      <c r="A380" s="215"/>
      <c r="B380"/>
      <c r="C380" s="220"/>
      <c r="G380" s="165"/>
      <c r="H380" s="165"/>
    </row>
    <row r="381" spans="1:8">
      <c r="A381" s="215"/>
      <c r="B381"/>
      <c r="C381" s="220"/>
      <c r="G381" s="165"/>
      <c r="H381" s="165"/>
    </row>
    <row r="382" spans="1:8">
      <c r="A382" s="215"/>
      <c r="B382"/>
      <c r="C382" s="220"/>
      <c r="G382" s="165"/>
      <c r="H382" s="165"/>
    </row>
    <row r="383" spans="1:8">
      <c r="A383" s="215"/>
      <c r="B383"/>
      <c r="C383" s="220"/>
      <c r="G383" s="165"/>
      <c r="H383" s="165"/>
    </row>
    <row r="384" spans="1:8">
      <c r="A384" s="215"/>
      <c r="B384"/>
      <c r="C384" s="220"/>
      <c r="G384" s="165"/>
      <c r="H384" s="165"/>
    </row>
    <row r="385" spans="1:8">
      <c r="A385" s="215"/>
      <c r="B385"/>
      <c r="C385" s="220"/>
      <c r="G385" s="165"/>
      <c r="H385" s="165"/>
    </row>
    <row r="386" spans="1:8">
      <c r="A386" s="215"/>
      <c r="B386"/>
      <c r="C386" s="220"/>
      <c r="G386" s="165"/>
      <c r="H386" s="165"/>
    </row>
    <row r="387" spans="1:8">
      <c r="A387" s="215"/>
      <c r="B387"/>
      <c r="C387" s="220"/>
      <c r="G387" s="165"/>
      <c r="H387" s="165"/>
    </row>
    <row r="388" spans="1:8">
      <c r="A388" s="215"/>
      <c r="B388"/>
      <c r="C388" s="220"/>
      <c r="G388" s="165"/>
      <c r="H388" s="165"/>
    </row>
    <row r="389" spans="1:8">
      <c r="A389" s="215"/>
      <c r="B389"/>
      <c r="C389" s="220"/>
      <c r="G389" s="165"/>
      <c r="H389" s="165"/>
    </row>
    <row r="390" spans="1:8">
      <c r="A390" s="215"/>
      <c r="B390"/>
      <c r="C390" s="220"/>
      <c r="G390" s="165"/>
      <c r="H390" s="165"/>
    </row>
    <row r="391" spans="1:8">
      <c r="A391" s="215"/>
      <c r="B391"/>
      <c r="C391" s="220"/>
      <c r="G391" s="165"/>
      <c r="H391" s="165"/>
    </row>
    <row r="392" spans="1:8">
      <c r="A392" s="215"/>
      <c r="B392"/>
      <c r="C392" s="220"/>
      <c r="G392" s="165"/>
      <c r="H392" s="165"/>
    </row>
    <row r="393" spans="1:8">
      <c r="A393" s="215"/>
      <c r="B393"/>
      <c r="C393" s="220"/>
      <c r="G393" s="165"/>
      <c r="H393" s="165"/>
    </row>
    <row r="394" spans="1:8">
      <c r="A394" s="215"/>
      <c r="B394"/>
      <c r="C394" s="220"/>
      <c r="G394" s="165"/>
      <c r="H394" s="165"/>
    </row>
    <row r="395" spans="1:8">
      <c r="A395" s="215"/>
      <c r="B395"/>
      <c r="C395" s="220"/>
      <c r="G395" s="165"/>
      <c r="H395" s="165"/>
    </row>
    <row r="396" spans="1:8">
      <c r="A396" s="215"/>
      <c r="B396"/>
      <c r="C396" s="220"/>
      <c r="G396" s="165"/>
      <c r="H396" s="165"/>
    </row>
    <row r="397" spans="1:8">
      <c r="A397" s="215"/>
      <c r="B397"/>
      <c r="C397" s="220"/>
      <c r="G397" s="165"/>
      <c r="H397" s="165"/>
    </row>
    <row r="398" spans="1:8">
      <c r="A398" s="215"/>
      <c r="B398"/>
      <c r="C398" s="220"/>
      <c r="G398" s="165"/>
      <c r="H398" s="165"/>
    </row>
    <row r="399" spans="1:8">
      <c r="A399" s="215"/>
      <c r="B399"/>
      <c r="C399" s="220"/>
      <c r="G399" s="165"/>
      <c r="H399" s="165"/>
    </row>
    <row r="400" spans="1:8">
      <c r="A400" s="215"/>
      <c r="B400"/>
      <c r="C400" s="220"/>
      <c r="G400" s="165"/>
      <c r="H400" s="165"/>
    </row>
    <row r="401" spans="1:8">
      <c r="A401" s="215"/>
      <c r="B401"/>
      <c r="C401" s="220"/>
      <c r="G401" s="165"/>
      <c r="H401" s="165"/>
    </row>
    <row r="402" spans="1:8">
      <c r="A402" s="215"/>
      <c r="B402"/>
      <c r="C402" s="220"/>
      <c r="G402" s="165"/>
      <c r="H402" s="165"/>
    </row>
    <row r="403" spans="1:8">
      <c r="A403" s="215"/>
      <c r="B403"/>
      <c r="C403" s="220"/>
      <c r="G403" s="165"/>
      <c r="H403" s="165"/>
    </row>
    <row r="404" spans="1:8">
      <c r="A404" s="215"/>
      <c r="B404"/>
      <c r="C404" s="220"/>
      <c r="G404" s="165"/>
      <c r="H404" s="165"/>
    </row>
    <row r="405" spans="1:8">
      <c r="A405" s="215"/>
      <c r="B405"/>
      <c r="C405" s="220"/>
      <c r="G405" s="165"/>
      <c r="H405" s="165"/>
    </row>
    <row r="406" spans="1:8">
      <c r="A406" s="215"/>
      <c r="B406"/>
      <c r="C406" s="220"/>
      <c r="G406" s="165"/>
      <c r="H406" s="165"/>
    </row>
    <row r="407" spans="1:8">
      <c r="A407" s="215"/>
      <c r="B407"/>
      <c r="C407" s="220"/>
      <c r="G407" s="165"/>
      <c r="H407" s="165"/>
    </row>
    <row r="408" spans="1:8">
      <c r="A408" s="215"/>
      <c r="B408"/>
      <c r="C408" s="220"/>
      <c r="G408" s="165"/>
      <c r="H408" s="165"/>
    </row>
    <row r="409" spans="1:8">
      <c r="A409" s="215"/>
      <c r="B409"/>
      <c r="C409" s="220"/>
      <c r="G409" s="165"/>
      <c r="H409" s="165"/>
    </row>
    <row r="410" spans="1:8">
      <c r="A410" s="215"/>
      <c r="B410"/>
      <c r="C410" s="220"/>
      <c r="G410" s="165"/>
      <c r="H410" s="165"/>
    </row>
    <row r="411" spans="1:8">
      <c r="A411" s="215"/>
      <c r="B411"/>
      <c r="C411" s="220"/>
      <c r="G411" s="165"/>
      <c r="H411" s="165"/>
    </row>
    <row r="412" spans="1:8">
      <c r="A412" s="215"/>
      <c r="B412"/>
      <c r="C412" s="220"/>
      <c r="G412" s="165"/>
      <c r="H412" s="165"/>
    </row>
    <row r="413" spans="1:8">
      <c r="A413" s="215"/>
      <c r="B413"/>
      <c r="C413" s="220"/>
      <c r="G413" s="165"/>
      <c r="H413" s="165"/>
    </row>
    <row r="414" spans="1:8">
      <c r="A414" s="215"/>
      <c r="B414"/>
      <c r="C414" s="220"/>
      <c r="G414" s="165"/>
      <c r="H414" s="165"/>
    </row>
    <row r="415" spans="1:8">
      <c r="A415" s="215"/>
      <c r="B415"/>
      <c r="C415" s="220"/>
      <c r="G415" s="165"/>
      <c r="H415" s="165"/>
    </row>
    <row r="416" spans="1:8">
      <c r="A416" s="215"/>
      <c r="B416"/>
      <c r="C416" s="220"/>
      <c r="G416" s="165"/>
      <c r="H416" s="165"/>
    </row>
    <row r="417" spans="1:8">
      <c r="A417" s="215"/>
      <c r="B417"/>
      <c r="C417" s="220"/>
      <c r="G417" s="165"/>
      <c r="H417" s="165"/>
    </row>
    <row r="418" spans="1:8">
      <c r="A418" s="215"/>
      <c r="B418"/>
      <c r="C418" s="220"/>
      <c r="G418" s="165"/>
      <c r="H418" s="165"/>
    </row>
    <row r="419" spans="1:8">
      <c r="A419" s="215"/>
      <c r="B419"/>
      <c r="C419" s="220"/>
      <c r="G419" s="165"/>
      <c r="H419" s="165"/>
    </row>
    <row r="420" spans="1:8">
      <c r="A420" s="215"/>
      <c r="B420"/>
      <c r="C420" s="220"/>
      <c r="G420" s="165"/>
      <c r="H420" s="165"/>
    </row>
    <row r="421" spans="1:8">
      <c r="A421" s="215"/>
      <c r="B421"/>
      <c r="C421" s="220"/>
      <c r="G421" s="165"/>
      <c r="H421" s="165"/>
    </row>
    <row r="422" spans="1:8">
      <c r="A422" s="215"/>
      <c r="B422"/>
      <c r="C422" s="220"/>
      <c r="G422" s="165"/>
      <c r="H422" s="165"/>
    </row>
    <row r="423" spans="1:8">
      <c r="A423" s="215"/>
      <c r="B423"/>
      <c r="C423" s="220"/>
      <c r="G423" s="165"/>
      <c r="H423" s="165"/>
    </row>
    <row r="424" spans="1:8">
      <c r="A424" s="215"/>
      <c r="B424"/>
      <c r="C424" s="220"/>
      <c r="G424" s="165"/>
      <c r="H424" s="165"/>
    </row>
    <row r="425" spans="1:8">
      <c r="A425" s="215"/>
      <c r="B425"/>
      <c r="C425" s="220"/>
      <c r="G425" s="165"/>
      <c r="H425" s="165"/>
    </row>
    <row r="426" spans="1:8">
      <c r="A426" s="215"/>
      <c r="B426"/>
      <c r="C426" s="220"/>
      <c r="G426" s="165"/>
      <c r="H426" s="165"/>
    </row>
    <row r="427" spans="1:8">
      <c r="A427" s="215"/>
      <c r="B427"/>
      <c r="C427" s="220"/>
      <c r="G427" s="165"/>
      <c r="H427" s="165"/>
    </row>
    <row r="428" spans="1:8">
      <c r="A428" s="215"/>
      <c r="B428"/>
      <c r="C428" s="220"/>
      <c r="G428" s="165"/>
      <c r="H428" s="165"/>
    </row>
    <row r="429" spans="1:8">
      <c r="A429" s="215"/>
      <c r="B429"/>
      <c r="C429" s="220"/>
      <c r="G429" s="165"/>
      <c r="H429" s="165"/>
    </row>
    <row r="430" spans="1:8">
      <c r="A430" s="215"/>
      <c r="B430"/>
      <c r="C430" s="220"/>
      <c r="G430" s="165"/>
      <c r="H430" s="165"/>
    </row>
    <row r="431" spans="1:8">
      <c r="A431" s="215"/>
      <c r="B431"/>
      <c r="C431" s="220"/>
      <c r="G431" s="165"/>
      <c r="H431" s="165"/>
    </row>
    <row r="432" spans="1:8">
      <c r="A432" s="215"/>
      <c r="B432"/>
      <c r="C432" s="220"/>
      <c r="G432" s="165"/>
      <c r="H432" s="165"/>
    </row>
    <row r="433" spans="1:8">
      <c r="A433" s="215"/>
      <c r="B433"/>
      <c r="C433" s="220"/>
      <c r="G433" s="165"/>
      <c r="H433" s="165"/>
    </row>
    <row r="434" spans="1:8">
      <c r="A434" s="215"/>
      <c r="B434"/>
      <c r="C434" s="220"/>
      <c r="G434" s="165"/>
      <c r="H434" s="165"/>
    </row>
    <row r="435" spans="1:8">
      <c r="A435" s="215"/>
      <c r="B435"/>
      <c r="C435" s="220"/>
      <c r="G435" s="165"/>
      <c r="H435" s="165"/>
    </row>
    <row r="436" spans="1:8">
      <c r="A436" s="215"/>
      <c r="B436"/>
      <c r="C436" s="220"/>
      <c r="G436" s="165"/>
      <c r="H436" s="165"/>
    </row>
    <row r="437" spans="1:8">
      <c r="A437" s="215"/>
      <c r="B437"/>
      <c r="C437" s="220"/>
      <c r="G437" s="165"/>
      <c r="H437" s="165"/>
    </row>
    <row r="438" spans="1:8">
      <c r="A438" s="215"/>
      <c r="B438"/>
      <c r="C438" s="220"/>
      <c r="G438" s="165"/>
      <c r="H438" s="165"/>
    </row>
    <row r="439" spans="1:8">
      <c r="A439" s="215"/>
      <c r="B439"/>
      <c r="C439" s="220"/>
      <c r="G439" s="165"/>
      <c r="H439" s="165"/>
    </row>
    <row r="440" spans="1:8">
      <c r="A440" s="215"/>
      <c r="B440"/>
      <c r="C440" s="220"/>
      <c r="G440" s="165"/>
      <c r="H440" s="165"/>
    </row>
    <row r="441" spans="1:8">
      <c r="A441" s="215"/>
      <c r="B441"/>
      <c r="C441" s="220"/>
      <c r="G441" s="165"/>
      <c r="H441" s="165"/>
    </row>
    <row r="442" spans="1:8">
      <c r="A442" s="215"/>
      <c r="B442"/>
      <c r="C442" s="220"/>
      <c r="G442" s="165"/>
      <c r="H442" s="165"/>
    </row>
    <row r="443" spans="1:8">
      <c r="A443" s="215"/>
      <c r="B443"/>
      <c r="C443" s="220"/>
      <c r="G443" s="165"/>
      <c r="H443" s="165"/>
    </row>
    <row r="444" spans="1:8">
      <c r="A444" s="215"/>
      <c r="B444"/>
      <c r="C444" s="220"/>
      <c r="G444" s="165"/>
      <c r="H444" s="165"/>
    </row>
    <row r="445" spans="1:8">
      <c r="A445" s="215"/>
      <c r="B445"/>
      <c r="C445" s="220"/>
      <c r="G445" s="165"/>
      <c r="H445" s="165"/>
    </row>
    <row r="446" spans="1:8">
      <c r="A446" s="215"/>
      <c r="B446"/>
      <c r="C446" s="220"/>
      <c r="G446" s="165"/>
      <c r="H446" s="165"/>
    </row>
    <row r="447" spans="1:8">
      <c r="A447" s="215"/>
      <c r="B447"/>
      <c r="C447" s="220"/>
      <c r="G447" s="165"/>
      <c r="H447" s="165"/>
    </row>
    <row r="448" spans="1:8">
      <c r="A448" s="215"/>
      <c r="B448"/>
      <c r="C448" s="220"/>
      <c r="G448" s="165"/>
      <c r="H448" s="165"/>
    </row>
    <row r="449" spans="1:8">
      <c r="A449" s="215"/>
      <c r="B449"/>
      <c r="C449" s="220"/>
      <c r="G449" s="165"/>
      <c r="H449" s="165"/>
    </row>
    <row r="450" spans="1:8">
      <c r="A450" s="215"/>
      <c r="B450"/>
      <c r="C450" s="220"/>
      <c r="G450" s="165"/>
      <c r="H450" s="165"/>
    </row>
    <row r="451" spans="1:8">
      <c r="A451" s="215"/>
      <c r="B451"/>
      <c r="C451" s="220"/>
      <c r="G451" s="165"/>
      <c r="H451" s="165"/>
    </row>
    <row r="452" spans="1:8">
      <c r="A452" s="215"/>
      <c r="B452"/>
      <c r="C452" s="220"/>
      <c r="G452" s="165"/>
      <c r="H452" s="165"/>
    </row>
    <row r="453" spans="1:8">
      <c r="A453" s="215"/>
      <c r="B453"/>
      <c r="C453" s="220"/>
      <c r="G453" s="165"/>
      <c r="H453" s="165"/>
    </row>
    <row r="454" spans="1:8">
      <c r="A454" s="215"/>
      <c r="B454"/>
      <c r="C454" s="220"/>
      <c r="G454" s="165"/>
      <c r="H454" s="165"/>
    </row>
    <row r="455" spans="1:8">
      <c r="A455" s="215"/>
      <c r="B455"/>
      <c r="C455" s="220"/>
      <c r="G455" s="165"/>
      <c r="H455" s="165"/>
    </row>
    <row r="456" spans="1:8">
      <c r="A456" s="215"/>
      <c r="B456"/>
      <c r="C456" s="220"/>
      <c r="G456" s="165"/>
      <c r="H456" s="165"/>
    </row>
    <row r="457" spans="1:8">
      <c r="A457" s="215"/>
      <c r="B457"/>
      <c r="C457" s="220"/>
      <c r="G457" s="165"/>
      <c r="H457" s="165"/>
    </row>
    <row r="458" spans="1:8">
      <c r="A458" s="215"/>
      <c r="B458"/>
      <c r="C458" s="220"/>
      <c r="G458" s="165"/>
      <c r="H458" s="165"/>
    </row>
    <row r="459" spans="1:8">
      <c r="A459" s="215"/>
      <c r="B459"/>
      <c r="C459" s="220"/>
      <c r="G459" s="165"/>
      <c r="H459" s="165"/>
    </row>
    <row r="460" spans="1:8">
      <c r="A460" s="215"/>
      <c r="B460"/>
      <c r="C460" s="220"/>
      <c r="G460" s="165"/>
      <c r="H460" s="165"/>
    </row>
    <row r="461" spans="1:8">
      <c r="A461" s="215"/>
      <c r="B461"/>
      <c r="C461" s="220"/>
      <c r="G461" s="165"/>
      <c r="H461" s="165"/>
    </row>
    <row r="462" spans="1:8">
      <c r="A462" s="215"/>
      <c r="B462"/>
      <c r="C462" s="220"/>
      <c r="G462" s="165"/>
      <c r="H462" s="165"/>
    </row>
    <row r="463" spans="1:8">
      <c r="A463" s="215"/>
      <c r="B463"/>
      <c r="C463" s="220"/>
      <c r="G463" s="165"/>
      <c r="H463" s="165"/>
    </row>
    <row r="464" spans="1:8">
      <c r="A464" s="215"/>
      <c r="B464"/>
      <c r="C464" s="220"/>
      <c r="G464" s="165"/>
      <c r="H464" s="165"/>
    </row>
    <row r="465" spans="1:8">
      <c r="A465" s="215"/>
      <c r="B465"/>
      <c r="C465" s="220"/>
      <c r="G465" s="165"/>
      <c r="H465" s="165"/>
    </row>
    <row r="466" spans="1:8">
      <c r="A466" s="215"/>
      <c r="B466"/>
      <c r="C466" s="220"/>
      <c r="G466" s="165"/>
      <c r="H466" s="165"/>
    </row>
    <row r="467" spans="1:8">
      <c r="A467" s="215"/>
      <c r="B467"/>
      <c r="C467" s="220"/>
      <c r="G467" s="165"/>
      <c r="H467" s="165"/>
    </row>
    <row r="468" spans="1:8">
      <c r="A468" s="215"/>
      <c r="B468"/>
      <c r="C468" s="220"/>
      <c r="G468" s="165"/>
      <c r="H468" s="165"/>
    </row>
    <row r="469" spans="1:8">
      <c r="A469" s="215"/>
      <c r="B469"/>
      <c r="C469" s="220"/>
      <c r="G469" s="165"/>
      <c r="H469" s="165"/>
    </row>
    <row r="470" spans="1:8">
      <c r="A470" s="215"/>
      <c r="B470"/>
      <c r="C470" s="220"/>
      <c r="G470" s="165"/>
      <c r="H470" s="165"/>
    </row>
    <row r="471" spans="1:8">
      <c r="A471" s="215"/>
      <c r="B471"/>
      <c r="C471" s="220"/>
      <c r="G471" s="165"/>
      <c r="H471" s="165"/>
    </row>
    <row r="472" spans="1:8">
      <c r="A472" s="215"/>
      <c r="B472"/>
      <c r="C472" s="220"/>
      <c r="G472" s="165"/>
      <c r="H472" s="165"/>
    </row>
    <row r="473" spans="1:8">
      <c r="A473" s="215"/>
      <c r="B473"/>
      <c r="C473" s="220"/>
      <c r="G473" s="165"/>
      <c r="H473" s="165"/>
    </row>
    <row r="474" spans="1:8">
      <c r="A474" s="215"/>
      <c r="B474"/>
      <c r="C474" s="220"/>
      <c r="G474" s="165"/>
      <c r="H474" s="165"/>
    </row>
    <row r="475" spans="1:8">
      <c r="A475" s="215"/>
      <c r="B475"/>
      <c r="C475" s="220"/>
      <c r="G475" s="165"/>
      <c r="H475" s="165"/>
    </row>
    <row r="476" spans="1:8">
      <c r="A476" s="215"/>
      <c r="B476"/>
      <c r="C476" s="220"/>
      <c r="G476" s="165"/>
      <c r="H476" s="165"/>
    </row>
    <row r="477" spans="1:8">
      <c r="A477" s="215"/>
      <c r="B477"/>
      <c r="C477" s="220"/>
      <c r="G477" s="165"/>
      <c r="H477" s="165"/>
    </row>
    <row r="478" spans="1:8">
      <c r="A478" s="215"/>
      <c r="B478"/>
      <c r="C478" s="220"/>
      <c r="G478" s="165"/>
      <c r="H478" s="165"/>
    </row>
    <row r="479" spans="1:8">
      <c r="A479" s="215"/>
      <c r="B479"/>
      <c r="C479" s="220"/>
      <c r="G479" s="165"/>
      <c r="H479" s="165"/>
    </row>
    <row r="480" spans="1:8">
      <c r="A480" s="215"/>
      <c r="B480"/>
      <c r="C480" s="220"/>
      <c r="G480" s="165"/>
      <c r="H480" s="165"/>
    </row>
    <row r="481" spans="1:8">
      <c r="A481" s="215"/>
      <c r="B481"/>
      <c r="C481" s="220"/>
      <c r="G481" s="165"/>
      <c r="H481" s="165"/>
    </row>
    <row r="482" spans="1:8">
      <c r="A482" s="215"/>
      <c r="B482"/>
      <c r="C482" s="220"/>
      <c r="G482" s="165"/>
      <c r="H482" s="165"/>
    </row>
    <row r="483" spans="1:8">
      <c r="A483" s="215"/>
      <c r="B483"/>
      <c r="C483" s="220"/>
      <c r="G483" s="165"/>
      <c r="H483" s="165"/>
    </row>
    <row r="484" spans="1:8">
      <c r="A484" s="215"/>
      <c r="B484"/>
      <c r="C484" s="220"/>
      <c r="G484" s="165"/>
      <c r="H484" s="165"/>
    </row>
    <row r="485" spans="1:8">
      <c r="A485" s="215"/>
      <c r="B485"/>
      <c r="C485" s="220"/>
      <c r="G485" s="165"/>
      <c r="H485" s="165"/>
    </row>
    <row r="486" spans="1:8">
      <c r="A486" s="215"/>
      <c r="B486"/>
      <c r="C486" s="220"/>
      <c r="G486" s="165"/>
      <c r="H486" s="165"/>
    </row>
    <row r="487" spans="1:8">
      <c r="A487" s="215"/>
      <c r="B487"/>
      <c r="C487" s="220"/>
      <c r="G487" s="165"/>
      <c r="H487" s="165"/>
    </row>
    <row r="488" spans="1:8">
      <c r="A488" s="215"/>
      <c r="B488"/>
      <c r="C488" s="220"/>
      <c r="G488" s="165"/>
      <c r="H488" s="165"/>
    </row>
    <row r="489" spans="1:8">
      <c r="A489" s="215"/>
      <c r="B489"/>
      <c r="C489" s="220"/>
      <c r="G489" s="165"/>
      <c r="H489" s="165"/>
    </row>
    <row r="490" spans="1:8">
      <c r="A490" s="215"/>
      <c r="B490"/>
      <c r="C490" s="220"/>
      <c r="G490" s="165"/>
      <c r="H490" s="165"/>
    </row>
    <row r="491" spans="1:8">
      <c r="A491" s="215"/>
      <c r="B491"/>
      <c r="C491" s="220"/>
      <c r="G491" s="165"/>
      <c r="H491" s="165"/>
    </row>
    <row r="492" spans="1:8">
      <c r="A492" s="215"/>
      <c r="B492"/>
      <c r="C492" s="220"/>
      <c r="G492" s="165"/>
      <c r="H492" s="165"/>
    </row>
    <row r="493" spans="1:8">
      <c r="A493" s="215"/>
      <c r="B493"/>
      <c r="C493" s="220"/>
      <c r="G493" s="165"/>
      <c r="H493" s="165"/>
    </row>
    <row r="494" spans="1:8">
      <c r="A494" s="215"/>
      <c r="B494"/>
      <c r="C494" s="220"/>
      <c r="G494" s="165"/>
      <c r="H494" s="165"/>
    </row>
    <row r="495" spans="1:8">
      <c r="A495" s="215"/>
      <c r="B495"/>
      <c r="C495" s="220"/>
      <c r="G495" s="165"/>
      <c r="H495" s="165"/>
    </row>
    <row r="496" spans="1:8">
      <c r="A496" s="215"/>
      <c r="B496"/>
      <c r="C496" s="220"/>
      <c r="G496" s="165"/>
      <c r="H496" s="165"/>
    </row>
    <row r="497" spans="1:8">
      <c r="A497" s="215"/>
      <c r="B497"/>
      <c r="C497" s="220"/>
      <c r="G497" s="165"/>
      <c r="H497" s="165"/>
    </row>
    <row r="498" spans="1:8">
      <c r="A498" s="215"/>
      <c r="B498"/>
      <c r="C498" s="220"/>
      <c r="G498" s="165"/>
      <c r="H498" s="165"/>
    </row>
    <row r="499" spans="1:8">
      <c r="A499" s="215"/>
      <c r="B499"/>
      <c r="C499" s="220"/>
      <c r="G499" s="165"/>
      <c r="H499" s="165"/>
    </row>
    <row r="500" spans="1:8">
      <c r="A500" s="215"/>
      <c r="B500"/>
      <c r="C500" s="220"/>
      <c r="G500" s="165"/>
      <c r="H500" s="165"/>
    </row>
    <row r="501" spans="1:8">
      <c r="A501" s="215"/>
      <c r="B501"/>
      <c r="C501" s="220"/>
      <c r="G501" s="165"/>
      <c r="H501" s="165"/>
    </row>
    <row r="502" spans="1:8">
      <c r="A502" s="215"/>
      <c r="B502"/>
      <c r="C502" s="220"/>
      <c r="G502" s="165"/>
      <c r="H502" s="165"/>
    </row>
    <row r="503" spans="1:8">
      <c r="A503" s="215"/>
      <c r="B503"/>
      <c r="C503" s="220"/>
      <c r="G503" s="165"/>
      <c r="H503" s="165"/>
    </row>
    <row r="504" spans="1:8">
      <c r="A504" s="215"/>
      <c r="B504"/>
      <c r="C504" s="220"/>
      <c r="G504" s="165"/>
      <c r="H504" s="165"/>
    </row>
    <row r="505" spans="1:8">
      <c r="A505" s="215"/>
      <c r="B505"/>
      <c r="C505" s="220"/>
      <c r="G505" s="165"/>
      <c r="H505" s="165"/>
    </row>
    <row r="506" spans="1:8">
      <c r="A506" s="215"/>
      <c r="B506"/>
      <c r="C506" s="220"/>
      <c r="G506" s="165"/>
      <c r="H506" s="165"/>
    </row>
  </sheetData>
  <autoFilter ref="A1:H126" xr:uid="{00000000-0009-0000-0000-00000A000000}">
    <sortState xmlns:xlrd2="http://schemas.microsoft.com/office/spreadsheetml/2017/richdata2" ref="A2:H126">
      <sortCondition ref="A1:A126"/>
    </sortState>
  </autoFilter>
  <dataConsolidate/>
  <phoneticPr fontId="2" type="noConversion"/>
  <conditionalFormatting sqref="A2:A126">
    <cfRule type="cellIs" dxfId="0" priority="1" operator="lessThan">
      <formula>200</formula>
    </cfRule>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06"/>
  <sheetViews>
    <sheetView workbookViewId="0">
      <pane ySplit="1" topLeftCell="A2" activePane="bottomLeft" state="frozen"/>
      <selection pane="bottomLeft" activeCell="C132" sqref="C132"/>
    </sheetView>
  </sheetViews>
  <sheetFormatPr baseColWidth="10" defaultColWidth="8.83203125" defaultRowHeight="15"/>
  <cols>
    <col min="1" max="1" width="21.83203125" style="207" customWidth="1"/>
    <col min="2" max="2" width="24.5" style="207" customWidth="1"/>
    <col min="3" max="3" width="26.6640625" style="202" customWidth="1"/>
    <col min="4" max="4" width="26.33203125" style="202" customWidth="1"/>
    <col min="5" max="5" width="26.1640625" style="202" bestFit="1" customWidth="1"/>
    <col min="6" max="6" width="22.83203125" style="207" customWidth="1"/>
    <col min="7" max="7" width="21.1640625" style="202" bestFit="1" customWidth="1"/>
    <col min="8" max="8" width="44.83203125" style="202" customWidth="1"/>
  </cols>
  <sheetData>
    <row r="1" spans="1:8" s="223" customFormat="1">
      <c r="A1" s="221" t="s">
        <v>3181</v>
      </c>
      <c r="B1" s="221" t="s">
        <v>3185</v>
      </c>
      <c r="C1" s="222" t="s">
        <v>3179</v>
      </c>
      <c r="D1" s="222" t="s">
        <v>853</v>
      </c>
      <c r="E1" s="222" t="s">
        <v>854</v>
      </c>
      <c r="F1" s="221" t="s">
        <v>3186</v>
      </c>
      <c r="G1" s="222" t="s">
        <v>3180</v>
      </c>
      <c r="H1" s="222" t="s">
        <v>2175</v>
      </c>
    </row>
    <row r="2" spans="1:8">
      <c r="A2" s="207">
        <f>sample_database!C2</f>
        <v>0</v>
      </c>
      <c r="B2" s="207">
        <f>sample_database!D2</f>
        <v>0</v>
      </c>
      <c r="C2" s="202" t="str">
        <f>sample_database!E2</f>
        <v>李天荣</v>
      </c>
      <c r="D2" s="202" t="str">
        <f>sample_database!F2</f>
        <v>532428196402021910</v>
      </c>
      <c r="E2" s="202" t="str">
        <f>sample_database!G2</f>
        <v>15987718497</v>
      </c>
      <c r="F2" s="207" t="str">
        <f>sample_database!H2</f>
        <v>NA</v>
      </c>
      <c r="G2" s="202" t="str">
        <f>sample_database!I2</f>
        <v>NA</v>
      </c>
      <c r="H2" s="202" t="str">
        <f>sample_database!J2</f>
        <v>新平者竜庆丰社区</v>
      </c>
    </row>
    <row r="3" spans="1:8">
      <c r="A3" s="207">
        <f>sample_database!C6</f>
        <v>2</v>
      </c>
      <c r="B3" s="207">
        <f>sample_database!D6</f>
        <v>2</v>
      </c>
      <c r="C3" s="202" t="str">
        <f>sample_database!E6</f>
        <v>张学良</v>
      </c>
      <c r="D3" s="202" t="str">
        <f>sample_database!F6</f>
        <v>532301198011063133</v>
      </c>
      <c r="E3" s="202" t="str">
        <f>sample_database!G6</f>
        <v>13769279751</v>
      </c>
      <c r="F3" s="207" t="str">
        <f>sample_database!H6</f>
        <v>NA</v>
      </c>
      <c r="G3" s="202" t="str">
        <f>sample_database!I6</f>
        <v>NA</v>
      </c>
      <c r="H3" s="202" t="str">
        <f>sample_database!J6</f>
        <v>楚雄西舍路新华村委会</v>
      </c>
    </row>
    <row r="4" spans="1:8">
      <c r="A4" s="207">
        <f>sample_database!C11</f>
        <v>3</v>
      </c>
      <c r="B4" s="207">
        <f>sample_database!D11</f>
        <v>3</v>
      </c>
      <c r="C4" s="202" t="str">
        <f>sample_database!E11</f>
        <v>李明祥</v>
      </c>
      <c r="D4" s="202" t="str">
        <f>sample_database!F11</f>
        <v>532724196410061212</v>
      </c>
      <c r="E4" s="202" t="str">
        <f>sample_database!G11</f>
        <v>15912973126</v>
      </c>
      <c r="F4" s="207" t="str">
        <f>sample_database!H11</f>
        <v>NA</v>
      </c>
      <c r="G4" s="202" t="str">
        <f>sample_database!I11</f>
        <v>NA</v>
      </c>
      <c r="H4" s="202" t="str">
        <f>sample_database!J11</f>
        <v>景东县花山镇苫山村大楚雄村民小组</v>
      </c>
    </row>
    <row r="5" spans="1:8">
      <c r="A5" s="207">
        <f>sample_database!C15</f>
        <v>4</v>
      </c>
      <c r="B5" s="207">
        <f>sample_database!D15</f>
        <v>4</v>
      </c>
      <c r="C5" s="202" t="str">
        <f>sample_database!E15</f>
        <v>李开应</v>
      </c>
      <c r="D5" s="202" t="str">
        <f>sample_database!F15</f>
        <v>53232219640207051X</v>
      </c>
      <c r="E5" s="202" t="str">
        <f>sample_database!G15</f>
        <v>13769254755&amp;15288511032</v>
      </c>
      <c r="F5" s="207" t="str">
        <f>sample_database!H15</f>
        <v>NA</v>
      </c>
      <c r="G5" s="202" t="str">
        <f>sample_database!I15</f>
        <v>苏连发</v>
      </c>
      <c r="H5" s="202" t="str">
        <f>sample_database!J15</f>
        <v>双柏县鄂嘉镇新树村</v>
      </c>
    </row>
    <row r="6" spans="1:8">
      <c r="A6" s="207">
        <f>sample_database!C19</f>
        <v>5</v>
      </c>
      <c r="B6" s="207">
        <f>sample_database!D19</f>
        <v>5</v>
      </c>
      <c r="C6" s="202" t="str">
        <f>sample_database!E19</f>
        <v>黄正先</v>
      </c>
      <c r="D6" s="202" t="str">
        <f>sample_database!F19</f>
        <v>NA</v>
      </c>
      <c r="E6" s="202" t="str">
        <f>sample_database!G19</f>
        <v>15925281740</v>
      </c>
      <c r="F6" s="207" t="str">
        <f>sample_database!H19</f>
        <v>NA</v>
      </c>
      <c r="G6" s="202" t="str">
        <f>sample_database!I19</f>
        <v>NA</v>
      </c>
      <c r="H6" s="202" t="str">
        <f>sample_database!J19</f>
        <v>镇沅县九甲镇和平村往南</v>
      </c>
    </row>
    <row r="7" spans="1:8">
      <c r="A7" s="207">
        <f>sample_database!C24</f>
        <v>6</v>
      </c>
      <c r="B7" s="207">
        <f>sample_database!D24</f>
        <v>6</v>
      </c>
      <c r="C7" s="202" t="str">
        <f>sample_database!E24</f>
        <v>王光鹏</v>
      </c>
      <c r="D7" s="202" t="str">
        <f>sample_database!F24</f>
        <v>532322198911130516</v>
      </c>
      <c r="E7" s="202" t="str">
        <f>sample_database!G24</f>
        <v>15368550436</v>
      </c>
      <c r="F7" s="207" t="str">
        <f>sample_database!H24</f>
        <v>NA</v>
      </c>
      <c r="G7" s="202" t="str">
        <f>sample_database!I24</f>
        <v>王开岳</v>
      </c>
      <c r="H7" s="202" t="str">
        <f>sample_database!J24</f>
        <v>双柏县鄂嘉镇茶叶村委会茶叶山下村三岔河管护点</v>
      </c>
    </row>
    <row r="8" spans="1:8">
      <c r="A8" s="207">
        <f>sample_database!C29</f>
        <v>7</v>
      </c>
      <c r="B8" s="207">
        <f>sample_database!D29</f>
        <v>7</v>
      </c>
      <c r="C8" s="202" t="str">
        <f>sample_database!E29</f>
        <v>王开远</v>
      </c>
      <c r="D8" s="202" t="str">
        <f>sample_database!F29</f>
        <v>532322197305030510</v>
      </c>
      <c r="E8" s="202" t="str">
        <f>sample_database!G29</f>
        <v>15368553240</v>
      </c>
      <c r="F8" s="207" t="str">
        <f>sample_database!H29</f>
        <v>NA</v>
      </c>
      <c r="G8" s="202" t="str">
        <f>sample_database!I29</f>
        <v>周开军</v>
      </c>
      <c r="H8" s="202" t="str">
        <f>sample_database!J29</f>
        <v>双柏县鄂嘉镇茶叶村委会三岔河管护点</v>
      </c>
    </row>
    <row r="9" spans="1:8">
      <c r="A9" s="207">
        <f>sample_database!C33</f>
        <v>8</v>
      </c>
      <c r="B9" s="207" t="str">
        <f>sample_database!D33</f>
        <v>NA</v>
      </c>
      <c r="C9" s="202" t="str">
        <f>sample_database!E33</f>
        <v>徐丕芳</v>
      </c>
      <c r="D9" s="202" t="str">
        <f>sample_database!F33</f>
        <v>532322196704040519</v>
      </c>
      <c r="E9" s="202" t="str">
        <f>sample_database!G33</f>
        <v>18187834612</v>
      </c>
      <c r="F9" s="207">
        <f>sample_database!H33</f>
        <v>8</v>
      </c>
      <c r="G9" s="202" t="str">
        <f>sample_database!I33</f>
        <v>王开定</v>
      </c>
      <c r="H9" s="202" t="str">
        <f>sample_database!J33</f>
        <v>双柏县鄂嘉镇茶叶村委会三岔河管护点</v>
      </c>
    </row>
    <row r="10" spans="1:8">
      <c r="A10" s="207">
        <f>sample_database!C38</f>
        <v>9</v>
      </c>
      <c r="B10" s="207">
        <f>sample_database!D38</f>
        <v>9</v>
      </c>
      <c r="C10" s="202" t="str">
        <f>sample_database!E38</f>
        <v>郭万明</v>
      </c>
      <c r="D10" s="202" t="str">
        <f>sample_database!F38</f>
        <v>532322197306090515</v>
      </c>
      <c r="E10" s="202" t="str">
        <f>sample_database!G38</f>
        <v>13368782547</v>
      </c>
      <c r="F10" s="207" t="str">
        <f>sample_database!H38</f>
        <v>NA</v>
      </c>
      <c r="G10" s="202" t="str">
        <f>sample_database!I38</f>
        <v>NA</v>
      </c>
      <c r="H10" s="202" t="str">
        <f>sample_database!J38</f>
        <v>双柏县鄂嘉镇麻旺村委会三岔河</v>
      </c>
    </row>
    <row r="11" spans="1:8">
      <c r="A11" s="207">
        <f>sample_database!C42</f>
        <v>10</v>
      </c>
      <c r="B11" s="207">
        <f>sample_database!D42</f>
        <v>10</v>
      </c>
      <c r="C11" s="202" t="str">
        <f>sample_database!E42</f>
        <v>罗永良</v>
      </c>
      <c r="D11" s="202" t="str">
        <f>sample_database!F42</f>
        <v>532322197610050550</v>
      </c>
      <c r="E11" s="202" t="str">
        <f>sample_database!G42</f>
        <v>13529710376</v>
      </c>
      <c r="F11" s="207" t="str">
        <f>sample_database!H42</f>
        <v>NA</v>
      </c>
      <c r="G11" s="202" t="str">
        <f>sample_database!I42</f>
        <v>NA</v>
      </c>
      <c r="H11" s="202" t="str">
        <f>sample_database!J42</f>
        <v>双柏县鄂嘉镇麻旺村委会上丕坡</v>
      </c>
    </row>
    <row r="12" spans="1:8">
      <c r="A12" s="207">
        <f>sample_database!C46</f>
        <v>13</v>
      </c>
      <c r="B12" s="207">
        <f>sample_database!D46</f>
        <v>13</v>
      </c>
      <c r="C12" s="202" t="str">
        <f>sample_database!E46</f>
        <v>朱荣兴</v>
      </c>
      <c r="D12" s="202" t="str">
        <f>sample_database!F46</f>
        <v>532322197010120519</v>
      </c>
      <c r="E12" s="202" t="str">
        <f>sample_database!G46</f>
        <v>15912923610</v>
      </c>
      <c r="F12" s="207" t="str">
        <f>sample_database!H46</f>
        <v>NA</v>
      </c>
      <c r="G12" s="202" t="str">
        <f>sample_database!I46</f>
        <v>NA</v>
      </c>
      <c r="H12" s="202" t="str">
        <f>sample_database!J46</f>
        <v>双柏县鄂嘉镇新厂村中厂</v>
      </c>
    </row>
    <row r="13" spans="1:8">
      <c r="A13" s="207">
        <f>sample_database!C49</f>
        <v>14</v>
      </c>
      <c r="B13" s="207">
        <f>sample_database!D49</f>
        <v>14</v>
      </c>
      <c r="C13" s="202" t="str">
        <f>sample_database!E49</f>
        <v>黄丕山</v>
      </c>
      <c r="D13" s="202" t="str">
        <f>sample_database!F49</f>
        <v>532322196404060534</v>
      </c>
      <c r="E13" s="202" t="str">
        <f>sample_database!G49</f>
        <v>18183781341</v>
      </c>
      <c r="F13" s="207" t="str">
        <f>sample_database!H49</f>
        <v>NA</v>
      </c>
      <c r="G13" s="202" t="str">
        <f>sample_database!I49</f>
        <v>NA</v>
      </c>
      <c r="H13" s="202" t="str">
        <f>sample_database!J49</f>
        <v>双柏县鄂嘉镇麻旺村委会大麻旧村</v>
      </c>
    </row>
    <row r="14" spans="1:8">
      <c r="A14" s="207">
        <f>sample_database!C53</f>
        <v>19</v>
      </c>
      <c r="B14" s="207">
        <f>sample_database!D53</f>
        <v>19</v>
      </c>
      <c r="C14" s="202" t="str">
        <f>sample_database!E53</f>
        <v>郭存义</v>
      </c>
      <c r="D14" s="202" t="str">
        <f>sample_database!F53</f>
        <v>53232219721207053X</v>
      </c>
      <c r="E14" s="202" t="str">
        <f>sample_database!G53</f>
        <v>15987861510</v>
      </c>
      <c r="F14" s="207" t="str">
        <f>sample_database!H53</f>
        <v>NA</v>
      </c>
      <c r="G14" s="202" t="str">
        <f>sample_database!I53</f>
        <v>NA</v>
      </c>
      <c r="H14" s="202" t="str">
        <f>sample_database!J53</f>
        <v>双柏县老厂三岔河村</v>
      </c>
    </row>
    <row r="15" spans="1:8">
      <c r="A15" s="207">
        <f>sample_database!C58</f>
        <v>21</v>
      </c>
      <c r="B15" s="207">
        <f>sample_database!D58</f>
        <v>21</v>
      </c>
      <c r="C15" s="202" t="str">
        <f>sample_database!E58</f>
        <v>陈家发</v>
      </c>
      <c r="D15" s="202" t="str">
        <f>sample_database!F58</f>
        <v>532322198006250518</v>
      </c>
      <c r="E15" s="202" t="str">
        <f>sample_database!G58</f>
        <v>13987891571</v>
      </c>
      <c r="F15" s="207" t="str">
        <f>sample_database!H58</f>
        <v>NA</v>
      </c>
      <c r="G15" s="202" t="str">
        <f>sample_database!I58</f>
        <v>NA</v>
      </c>
      <c r="H15" s="202" t="str">
        <f>sample_database!J58</f>
        <v>双柏县鄂嘉镇密架村委会岔河森林管护点</v>
      </c>
    </row>
    <row r="16" spans="1:8">
      <c r="A16" s="207">
        <f>sample_database!C62</f>
        <v>22</v>
      </c>
      <c r="B16" s="207">
        <f>sample_database!D62</f>
        <v>22</v>
      </c>
      <c r="C16" s="202" t="str">
        <f>sample_database!E62</f>
        <v>王贵友</v>
      </c>
      <c r="D16" s="202" t="str">
        <f>sample_database!F62</f>
        <v>532322196404170514</v>
      </c>
      <c r="E16" s="202" t="str">
        <f>sample_database!G62</f>
        <v>15125722369</v>
      </c>
      <c r="F16" s="207" t="str">
        <f>sample_database!H62</f>
        <v>NA</v>
      </c>
      <c r="G16" s="202" t="str">
        <f>sample_database!I62</f>
        <v>NA</v>
      </c>
      <c r="H16" s="202" t="str">
        <f>sample_database!J62</f>
        <v>双柏县鄂嘉镇老厂村岔河</v>
      </c>
    </row>
    <row r="17" spans="1:8">
      <c r="A17" s="207">
        <f>sample_database!C66</f>
        <v>26</v>
      </c>
      <c r="B17" s="207">
        <f>sample_database!D66</f>
        <v>26</v>
      </c>
      <c r="C17" s="202" t="str">
        <f>sample_database!E66</f>
        <v>王炳兴</v>
      </c>
      <c r="D17" s="202" t="str">
        <f>sample_database!F66</f>
        <v>532322197607070518</v>
      </c>
      <c r="E17" s="202" t="str">
        <f>sample_database!G66</f>
        <v>15288574990&amp;15758311346</v>
      </c>
      <c r="F17" s="207" t="str">
        <f>sample_database!H66</f>
        <v>NA</v>
      </c>
      <c r="G17" s="202" t="str">
        <f>sample_database!I66</f>
        <v>李廷华</v>
      </c>
      <c r="H17" s="202" t="str">
        <f>sample_database!J66</f>
        <v>双柏县鄂嘉镇新树村</v>
      </c>
    </row>
    <row r="18" spans="1:8">
      <c r="A18" s="207">
        <f>sample_database!C70</f>
        <v>29</v>
      </c>
      <c r="B18" s="207" t="str">
        <f>sample_database!D70</f>
        <v>NA</v>
      </c>
      <c r="C18" s="202" t="str">
        <f>sample_database!E70</f>
        <v>鲁兴连</v>
      </c>
      <c r="D18" s="202" t="str">
        <f>sample_database!F70</f>
        <v>532322196511060548</v>
      </c>
      <c r="E18" s="202" t="str">
        <f>sample_database!G70</f>
        <v>14769315809</v>
      </c>
      <c r="F18" s="207">
        <f>sample_database!H70</f>
        <v>29</v>
      </c>
      <c r="G18" s="202" t="str">
        <f>sample_database!I70</f>
        <v>祝正贵</v>
      </c>
      <c r="H18" s="202" t="str">
        <f>sample_database!J70</f>
        <v>双柏县鄂嘉镇新树村委会</v>
      </c>
    </row>
    <row r="19" spans="1:8">
      <c r="A19" s="207">
        <f>sample_database!C74</f>
        <v>30</v>
      </c>
      <c r="B19" s="207">
        <f>sample_database!D74</f>
        <v>30</v>
      </c>
      <c r="C19" s="202" t="str">
        <f>sample_database!E74</f>
        <v>黄中学</v>
      </c>
      <c r="D19" s="202" t="str">
        <f>sample_database!F74</f>
        <v>532322197507090511</v>
      </c>
      <c r="E19" s="202" t="str">
        <f>sample_database!G74</f>
        <v>18387810209</v>
      </c>
      <c r="F19" s="207" t="str">
        <f>sample_database!H74</f>
        <v>NA</v>
      </c>
      <c r="G19" s="202" t="str">
        <f>sample_database!I74</f>
        <v>NA</v>
      </c>
      <c r="H19" s="202" t="str">
        <f>sample_database!J74</f>
        <v>双柏县鄂嘉镇新树村委会旧垄山</v>
      </c>
    </row>
    <row r="20" spans="1:8">
      <c r="A20" s="207">
        <f>sample_database!C79</f>
        <v>31</v>
      </c>
      <c r="B20" s="207">
        <f>sample_database!D79</f>
        <v>31</v>
      </c>
      <c r="C20" s="202" t="str">
        <f>sample_database!E79</f>
        <v>王贵海</v>
      </c>
      <c r="D20" s="202" t="str">
        <f>sample_database!F79</f>
        <v>532322198610100516</v>
      </c>
      <c r="E20" s="202" t="str">
        <f>sample_database!G79</f>
        <v>13368786046</v>
      </c>
      <c r="F20" s="207" t="str">
        <f>sample_database!H79</f>
        <v>NA</v>
      </c>
      <c r="G20" s="202" t="str">
        <f>sample_database!I79</f>
        <v>NA</v>
      </c>
      <c r="H20" s="202" t="str">
        <f>sample_database!J79</f>
        <v>双柏县老厂岔河站</v>
      </c>
    </row>
    <row r="21" spans="1:8">
      <c r="A21" s="207">
        <f>sample_database!C81</f>
        <v>32</v>
      </c>
      <c r="B21" s="207">
        <f>sample_database!D81</f>
        <v>32</v>
      </c>
      <c r="C21" s="202" t="str">
        <f>sample_database!E81</f>
        <v>王贵永</v>
      </c>
      <c r="D21" s="202" t="str">
        <f>sample_database!F81</f>
        <v>532322196209090519</v>
      </c>
      <c r="E21" s="202" t="str">
        <f>sample_database!G81</f>
        <v>15026017075</v>
      </c>
      <c r="F21" s="207" t="str">
        <f>sample_database!H81</f>
        <v>NA</v>
      </c>
      <c r="G21" s="202" t="str">
        <f>sample_database!I81</f>
        <v>NA</v>
      </c>
      <c r="H21" s="202" t="str">
        <f>sample_database!J81</f>
        <v>双柏县鄂嘉镇老厂村委会松树林</v>
      </c>
    </row>
    <row r="22" spans="1:8">
      <c r="A22" s="207">
        <f>sample_database!C83</f>
        <v>33</v>
      </c>
      <c r="B22" s="207">
        <f>sample_database!D83</f>
        <v>33</v>
      </c>
      <c r="C22" s="202" t="str">
        <f>sample_database!E83</f>
        <v>王贵元</v>
      </c>
      <c r="D22" s="202" t="str">
        <f>sample_database!F83</f>
        <v>532322196308180536</v>
      </c>
      <c r="E22" s="202" t="str">
        <f>sample_database!G83</f>
        <v>15096478414</v>
      </c>
      <c r="F22" s="207" t="str">
        <f>sample_database!H83</f>
        <v>NA</v>
      </c>
      <c r="G22" s="202" t="str">
        <f>sample_database!I83</f>
        <v>NA</v>
      </c>
      <c r="H22" s="202" t="str">
        <f>sample_database!J83</f>
        <v>双柏县鄂嘉镇岔河</v>
      </c>
    </row>
    <row r="23" spans="1:8">
      <c r="A23" s="207">
        <f>sample_database!C86</f>
        <v>35</v>
      </c>
      <c r="B23" s="207">
        <f>sample_database!D86</f>
        <v>35</v>
      </c>
      <c r="C23" s="202" t="str">
        <f>sample_database!E86</f>
        <v>李贵华</v>
      </c>
      <c r="D23" s="202" t="str">
        <f>sample_database!F86</f>
        <v>53232219801007536</v>
      </c>
      <c r="E23" s="202" t="str">
        <f>sample_database!G86</f>
        <v>15987245764</v>
      </c>
      <c r="F23" s="207" t="str">
        <f>sample_database!H86</f>
        <v>NA</v>
      </c>
      <c r="G23" s="202" t="str">
        <f>sample_database!I86</f>
        <v>李富全</v>
      </c>
      <c r="H23" s="202" t="str">
        <f>sample_database!J86</f>
        <v>双柏县鄂嘉镇义隆村</v>
      </c>
    </row>
    <row r="24" spans="1:8">
      <c r="A24" s="207">
        <f>sample_database!C91</f>
        <v>37</v>
      </c>
      <c r="B24" s="207">
        <f>sample_database!D91</f>
        <v>37</v>
      </c>
      <c r="C24" s="202" t="str">
        <f>sample_database!E91</f>
        <v>茶建成</v>
      </c>
      <c r="D24" s="202" t="str">
        <f>sample_database!F91</f>
        <v>532301198510293110</v>
      </c>
      <c r="E24" s="202" t="str">
        <f>sample_database!G91</f>
        <v>15125865578</v>
      </c>
      <c r="F24" s="207" t="str">
        <f>sample_database!H91</f>
        <v>NA</v>
      </c>
      <c r="G24" s="202" t="str">
        <f>sample_database!I91</f>
        <v>NA</v>
      </c>
      <c r="H24" s="202" t="str">
        <f>sample_database!J91</f>
        <v>楚雄西舍路闸上村</v>
      </c>
    </row>
    <row r="25" spans="1:8">
      <c r="A25" s="207">
        <f>sample_database!C96</f>
        <v>38</v>
      </c>
      <c r="B25" s="207">
        <f>sample_database!D96</f>
        <v>38</v>
      </c>
      <c r="C25" s="202" t="str">
        <f>sample_database!E96</f>
        <v>张存付</v>
      </c>
      <c r="D25" s="202" t="str">
        <f>sample_database!F96</f>
        <v>532301198702263118</v>
      </c>
      <c r="E25" s="202" t="str">
        <f>sample_database!G96</f>
        <v>15912941971</v>
      </c>
      <c r="F25" s="207" t="str">
        <f>sample_database!H96</f>
        <v>NA</v>
      </c>
      <c r="G25" s="202" t="str">
        <f>sample_database!I96</f>
        <v>NA</v>
      </c>
      <c r="H25" s="202" t="str">
        <f>sample_database!J96</f>
        <v>楚雄西舍路下岔河村委会</v>
      </c>
    </row>
    <row r="26" spans="1:8">
      <c r="A26" s="207">
        <f>sample_database!C100</f>
        <v>39</v>
      </c>
      <c r="B26" s="207">
        <f>sample_database!D100</f>
        <v>39</v>
      </c>
      <c r="C26" s="202" t="str">
        <f>sample_database!E100</f>
        <v>罗荣</v>
      </c>
      <c r="D26" s="202" t="str">
        <f>sample_database!F100</f>
        <v>532301198403063132</v>
      </c>
      <c r="E26" s="202" t="str">
        <f>sample_database!G100</f>
        <v>18287842698</v>
      </c>
      <c r="F26" s="207" t="str">
        <f>sample_database!H100</f>
        <v>NA</v>
      </c>
      <c r="G26" s="202" t="str">
        <f>sample_database!I100</f>
        <v>NA</v>
      </c>
      <c r="H26" s="202" t="str">
        <f>sample_database!J100</f>
        <v>楚雄西舍路朵苴村</v>
      </c>
    </row>
    <row r="27" spans="1:8">
      <c r="A27" s="207">
        <f>sample_database!C105</f>
        <v>40</v>
      </c>
      <c r="B27" s="207">
        <f>sample_database!D105</f>
        <v>40</v>
      </c>
      <c r="C27" s="202" t="str">
        <f>sample_database!E105</f>
        <v>王平昌</v>
      </c>
      <c r="D27" s="202" t="str">
        <f>sample_database!F105</f>
        <v>532301197308203112</v>
      </c>
      <c r="E27" s="202" t="str">
        <f>sample_database!G105</f>
        <v>13987884167</v>
      </c>
      <c r="F27" s="207" t="str">
        <f>sample_database!H105</f>
        <v>NA</v>
      </c>
      <c r="G27" s="202" t="str">
        <f>sample_database!I105</f>
        <v>NA</v>
      </c>
      <c r="H27" s="202" t="str">
        <f>sample_database!J105</f>
        <v>德波箐大中山村</v>
      </c>
    </row>
    <row r="28" spans="1:8">
      <c r="A28" s="207">
        <f>sample_database!C110</f>
        <v>43</v>
      </c>
      <c r="B28" s="207">
        <f>sample_database!D110</f>
        <v>43</v>
      </c>
      <c r="C28" s="202" t="str">
        <f>sample_database!E110</f>
        <v>蒋文奎</v>
      </c>
      <c r="D28" s="202" t="str">
        <f>sample_database!F110</f>
        <v>NA</v>
      </c>
      <c r="E28" s="202" t="str">
        <f>sample_database!G110</f>
        <v>NA</v>
      </c>
      <c r="F28" s="207" t="str">
        <f>sample_database!H110</f>
        <v>NA</v>
      </c>
      <c r="G28" s="202" t="str">
        <f>sample_database!I110</f>
        <v>NA</v>
      </c>
      <c r="H28" s="202" t="str">
        <f>sample_database!J110</f>
        <v>南华县兔街</v>
      </c>
    </row>
    <row r="29" spans="1:8">
      <c r="A29" s="207">
        <f>sample_database!C111</f>
        <v>44</v>
      </c>
      <c r="B29" s="207">
        <f>sample_database!D111</f>
        <v>44</v>
      </c>
      <c r="C29" s="202" t="str">
        <f>sample_database!E111</f>
        <v>李恒进</v>
      </c>
      <c r="D29" s="202" t="str">
        <f>sample_database!F111</f>
        <v>NA</v>
      </c>
      <c r="E29" s="202" t="str">
        <f>sample_database!G111</f>
        <v>NA</v>
      </c>
      <c r="F29" s="207" t="str">
        <f>sample_database!H111</f>
        <v>NA</v>
      </c>
      <c r="G29" s="202" t="str">
        <f>sample_database!I111</f>
        <v>NA</v>
      </c>
      <c r="H29" s="202">
        <f>sample_database!J111</f>
        <v>0</v>
      </c>
    </row>
    <row r="30" spans="1:8">
      <c r="A30" s="207">
        <f>sample_database!C112</f>
        <v>46</v>
      </c>
      <c r="B30" s="207">
        <f>sample_database!D112</f>
        <v>46</v>
      </c>
      <c r="C30" s="202" t="str">
        <f>sample_database!E112</f>
        <v>李存明</v>
      </c>
      <c r="D30" s="202" t="str">
        <f>sample_database!F112</f>
        <v>NA</v>
      </c>
      <c r="E30" s="202" t="str">
        <f>sample_database!G112</f>
        <v>13638773306</v>
      </c>
      <c r="F30" s="207" t="str">
        <f>sample_database!H112</f>
        <v>NA</v>
      </c>
      <c r="G30" s="202" t="str">
        <f>sample_database!I112</f>
        <v>NA</v>
      </c>
      <c r="H30" s="202" t="str">
        <f>sample_database!J112</f>
        <v>南华管理局马街管理站</v>
      </c>
    </row>
    <row r="31" spans="1:8">
      <c r="A31" s="207">
        <f>sample_database!C114</f>
        <v>47</v>
      </c>
      <c r="B31" s="207">
        <f>sample_database!D114</f>
        <v>47</v>
      </c>
      <c r="C31" s="202" t="str">
        <f>sample_database!E114</f>
        <v>罗发强</v>
      </c>
      <c r="D31" s="202" t="str">
        <f>sample_database!F114</f>
        <v>NA</v>
      </c>
      <c r="E31" s="202" t="str">
        <f>sample_database!G114</f>
        <v>15987847998</v>
      </c>
      <c r="F31" s="207" t="str">
        <f>sample_database!H114</f>
        <v>NA</v>
      </c>
      <c r="G31" s="202" t="str">
        <f>sample_database!I114</f>
        <v>NA</v>
      </c>
      <c r="H31" s="202" t="str">
        <f>sample_database!J114</f>
        <v>南华县兔街镇半坡村委会大荒田村</v>
      </c>
    </row>
    <row r="32" spans="1:8">
      <c r="A32" s="207">
        <f>sample_database!C115</f>
        <v>48</v>
      </c>
      <c r="B32" s="207">
        <f>sample_database!D115</f>
        <v>48</v>
      </c>
      <c r="C32" s="202" t="str">
        <f>sample_database!E115</f>
        <v>杨兆清</v>
      </c>
      <c r="D32" s="202" t="str">
        <f>sample_database!F115</f>
        <v>532324196407272316</v>
      </c>
      <c r="E32" s="202" t="str">
        <f>sample_database!G115</f>
        <v>15125782152</v>
      </c>
      <c r="F32" s="207" t="str">
        <f>sample_database!H115</f>
        <v>NA</v>
      </c>
      <c r="G32" s="202" t="str">
        <f>sample_database!I115</f>
        <v>NA</v>
      </c>
      <c r="H32" s="202" t="str">
        <f>sample_database!J115</f>
        <v>南华县马街镇上村马街管理站</v>
      </c>
    </row>
    <row r="33" spans="1:8">
      <c r="A33" s="207">
        <f>sample_database!C116</f>
        <v>50</v>
      </c>
      <c r="B33" s="207">
        <f>sample_database!D116</f>
        <v>50</v>
      </c>
      <c r="C33" s="202" t="str">
        <f>sample_database!E116</f>
        <v>李乾明</v>
      </c>
      <c r="D33" s="202" t="str">
        <f>sample_database!F116</f>
        <v>532324198101062534</v>
      </c>
      <c r="E33" s="202" t="str">
        <f>sample_database!G116</f>
        <v>18787824181</v>
      </c>
      <c r="F33" s="207" t="str">
        <f>sample_database!H116</f>
        <v>NA</v>
      </c>
      <c r="G33" s="202" t="str">
        <f>sample_database!I116</f>
        <v>NA</v>
      </c>
      <c r="H33" s="202" t="str">
        <f>sample_database!J116</f>
        <v>南华县兔街镇半坡村委会郭份田村</v>
      </c>
    </row>
    <row r="34" spans="1:8">
      <c r="A34" s="207">
        <f>sample_database!C118</f>
        <v>51</v>
      </c>
      <c r="B34" s="207">
        <f>sample_database!D118</f>
        <v>51</v>
      </c>
      <c r="C34" s="202" t="str">
        <f>sample_database!E118</f>
        <v>杨子光</v>
      </c>
      <c r="D34" s="202" t="str">
        <f>sample_database!F118</f>
        <v>532324197405042511</v>
      </c>
      <c r="E34" s="202" t="str">
        <f>sample_database!G118</f>
        <v>15096465131</v>
      </c>
      <c r="F34" s="207" t="str">
        <f>sample_database!H118</f>
        <v>NA</v>
      </c>
      <c r="G34" s="202" t="str">
        <f>sample_database!I118</f>
        <v>NA</v>
      </c>
      <c r="H34" s="202" t="str">
        <f>sample_database!J118</f>
        <v>南华县兔街镇长梁孜村委会长梁孜村19号</v>
      </c>
    </row>
    <row r="35" spans="1:8">
      <c r="A35" s="207">
        <f>sample_database!C119</f>
        <v>52</v>
      </c>
      <c r="B35" s="207">
        <f>sample_database!D119</f>
        <v>52</v>
      </c>
      <c r="C35" s="202" t="str">
        <f>sample_database!E119</f>
        <v>涂思学</v>
      </c>
      <c r="D35" s="202" t="str">
        <f>sample_database!F119</f>
        <v>53232419820629231X</v>
      </c>
      <c r="E35" s="202" t="str">
        <f>sample_database!G119</f>
        <v>15969321758</v>
      </c>
      <c r="F35" s="207" t="str">
        <f>sample_database!H119</f>
        <v>NA</v>
      </c>
      <c r="G35" s="202" t="str">
        <f>sample_database!I119</f>
        <v>NA</v>
      </c>
      <c r="H35" s="202" t="str">
        <f>sample_database!J119</f>
        <v>南华县马街镇沙坦郎村</v>
      </c>
    </row>
    <row r="36" spans="1:8">
      <c r="A36" s="207">
        <f>sample_database!C120</f>
        <v>53</v>
      </c>
      <c r="B36" s="207">
        <f>sample_database!D120</f>
        <v>53</v>
      </c>
      <c r="C36" s="202" t="str">
        <f>sample_database!E120</f>
        <v>李先明</v>
      </c>
      <c r="D36" s="202" t="str">
        <f>sample_database!F120</f>
        <v>532324197306082358</v>
      </c>
      <c r="E36" s="202" t="str">
        <f>sample_database!G120</f>
        <v>15887520320</v>
      </c>
      <c r="F36" s="207" t="str">
        <f>sample_database!H120</f>
        <v>NA</v>
      </c>
      <c r="G36" s="202" t="str">
        <f>sample_database!I120</f>
        <v>NA</v>
      </c>
      <c r="H36" s="202" t="str">
        <f>sample_database!J120</f>
        <v>南华管理局马街管理站</v>
      </c>
    </row>
    <row r="37" spans="1:8">
      <c r="A37" s="207">
        <f>sample_database!C121</f>
        <v>55</v>
      </c>
      <c r="B37" s="207">
        <f>sample_database!D121</f>
        <v>55</v>
      </c>
      <c r="C37" s="202" t="str">
        <f>sample_database!E121</f>
        <v>周正航</v>
      </c>
      <c r="D37" s="202" t="str">
        <f>sample_database!F121</f>
        <v>NA</v>
      </c>
      <c r="E37" s="202" t="str">
        <f>sample_database!G121</f>
        <v>NA</v>
      </c>
      <c r="F37" s="207" t="str">
        <f>sample_database!H121</f>
        <v>NA</v>
      </c>
      <c r="G37" s="202" t="str">
        <f>sample_database!I121</f>
        <v>NA</v>
      </c>
      <c r="H37" s="202" t="str">
        <f>sample_database!J121</f>
        <v>南华管理局大中山站</v>
      </c>
    </row>
    <row r="38" spans="1:8">
      <c r="A38" s="207">
        <f>sample_database!C123</f>
        <v>61</v>
      </c>
      <c r="B38" s="207">
        <f>sample_database!D123</f>
        <v>61</v>
      </c>
      <c r="C38" s="202" t="str">
        <f>sample_database!E123</f>
        <v>阿发科</v>
      </c>
      <c r="D38" s="202" t="str">
        <f>sample_database!F123</f>
        <v>NA</v>
      </c>
      <c r="E38" s="202" t="str">
        <f>sample_database!G123</f>
        <v>15125969798</v>
      </c>
      <c r="F38" s="207" t="str">
        <f>sample_database!H123</f>
        <v>NA</v>
      </c>
      <c r="G38" s="202" t="str">
        <f>sample_database!I123</f>
        <v>NA</v>
      </c>
      <c r="H38" s="202" t="str">
        <f>sample_database!J123</f>
        <v>南华县兔街镇半坡村委会桃树村</v>
      </c>
    </row>
    <row r="39" spans="1:8">
      <c r="A39" s="207">
        <f>sample_database!C124</f>
        <v>63</v>
      </c>
      <c r="B39" s="207">
        <f>sample_database!D124</f>
        <v>63</v>
      </c>
      <c r="C39" s="202" t="str">
        <f>sample_database!E124</f>
        <v>阿发旺</v>
      </c>
      <c r="D39" s="202" t="str">
        <f>sample_database!F124</f>
        <v>NA</v>
      </c>
      <c r="E39" s="202" t="str">
        <f>sample_database!G124</f>
        <v>15924785716</v>
      </c>
      <c r="F39" s="207" t="str">
        <f>sample_database!H124</f>
        <v>NA</v>
      </c>
      <c r="G39" s="202" t="str">
        <f>sample_database!I124</f>
        <v>NA</v>
      </c>
      <c r="H39" s="202" t="str">
        <f>sample_database!J124</f>
        <v>南华县兔街镇半坡村委会望天坡小组</v>
      </c>
    </row>
    <row r="40" spans="1:8">
      <c r="A40" s="207">
        <f>sample_database!C126</f>
        <v>64</v>
      </c>
      <c r="B40" s="207">
        <f>sample_database!D126</f>
        <v>64</v>
      </c>
      <c r="C40" s="202" t="str">
        <f>sample_database!E126</f>
        <v>鲁发清</v>
      </c>
      <c r="D40" s="202" t="str">
        <f>sample_database!F126</f>
        <v>532324196304142519</v>
      </c>
      <c r="E40" s="202" t="str">
        <f>sample_database!G126</f>
        <v>15125835818</v>
      </c>
      <c r="F40" s="207" t="str">
        <f>sample_database!H126</f>
        <v>NA</v>
      </c>
      <c r="G40" s="202" t="str">
        <f>sample_database!I126</f>
        <v>NA</v>
      </c>
      <c r="H40" s="202" t="str">
        <f>sample_database!J126</f>
        <v>南华县兔街镇小戈瓦村委会大村</v>
      </c>
    </row>
    <row r="41" spans="1:8">
      <c r="A41" s="207">
        <f>sample_database!C127</f>
        <v>66</v>
      </c>
      <c r="B41" s="207">
        <f>sample_database!D127</f>
        <v>66</v>
      </c>
      <c r="C41" s="202" t="str">
        <f>sample_database!E127</f>
        <v>汪华才</v>
      </c>
      <c r="D41" s="202" t="str">
        <f>sample_database!F127</f>
        <v>53230119770317311X</v>
      </c>
      <c r="E41" s="202" t="str">
        <f>sample_database!G127</f>
        <v>18787814424</v>
      </c>
      <c r="F41" s="207" t="str">
        <f>sample_database!H127</f>
        <v>NA</v>
      </c>
      <c r="G41" s="202" t="str">
        <f>sample_database!I127</f>
        <v>NA</v>
      </c>
      <c r="H41" s="202" t="str">
        <f>sample_database!J127</f>
        <v>南华县马街镇后山村委会芹菜塘村，南华管理局</v>
      </c>
    </row>
    <row r="42" spans="1:8">
      <c r="A42" s="207">
        <f>sample_database!C128</f>
        <v>71</v>
      </c>
      <c r="B42" s="207">
        <f>sample_database!D128</f>
        <v>71</v>
      </c>
      <c r="C42" s="202" t="str">
        <f>sample_database!E128</f>
        <v>罗先华</v>
      </c>
      <c r="D42" s="202" t="str">
        <f>sample_database!F128</f>
        <v>532324197601103331</v>
      </c>
      <c r="E42" s="202" t="str">
        <f>sample_database!G128</f>
        <v>15057230320</v>
      </c>
      <c r="F42" s="207" t="str">
        <f>sample_database!H128</f>
        <v>NA</v>
      </c>
      <c r="G42" s="202" t="str">
        <f>sample_database!I128</f>
        <v>NA</v>
      </c>
      <c r="H42" s="202" t="str">
        <f>sample_database!J128</f>
        <v>南华管理局马街管理站</v>
      </c>
    </row>
    <row r="43" spans="1:8">
      <c r="A43" s="207">
        <f>sample_database!C129</f>
        <v>72</v>
      </c>
      <c r="B43" s="207">
        <f>sample_database!D129</f>
        <v>72</v>
      </c>
      <c r="C43" s="202" t="str">
        <f>sample_database!E129</f>
        <v>王彪</v>
      </c>
      <c r="D43" s="202" t="str">
        <f>sample_database!F129</f>
        <v>532726197806252434</v>
      </c>
      <c r="E43" s="202" t="str">
        <f>sample_database!G129</f>
        <v>15125604726</v>
      </c>
      <c r="F43" s="207" t="str">
        <f>sample_database!H129</f>
        <v>NA</v>
      </c>
      <c r="G43" s="202" t="str">
        <f>sample_database!I129</f>
        <v>NA</v>
      </c>
      <c r="H43" s="202" t="str">
        <f>sample_database!J129</f>
        <v>镇沅县麦地村</v>
      </c>
    </row>
    <row r="44" spans="1:8">
      <c r="A44" s="207">
        <f>sample_database!C130</f>
        <v>73</v>
      </c>
      <c r="B44" s="207">
        <f>sample_database!D130</f>
        <v>73</v>
      </c>
      <c r="C44" s="202" t="str">
        <f>sample_database!E130</f>
        <v>王云武</v>
      </c>
      <c r="D44" s="202" t="str">
        <f>sample_database!F130</f>
        <v>532726196501132410</v>
      </c>
      <c r="E44" s="202" t="str">
        <f>sample_database!G130</f>
        <v>13577961712</v>
      </c>
      <c r="F44" s="207" t="str">
        <f>sample_database!H130</f>
        <v>NA</v>
      </c>
      <c r="G44" s="202" t="str">
        <f>sample_database!I130</f>
        <v>NA</v>
      </c>
      <c r="H44" s="202" t="str">
        <f>sample_database!J130</f>
        <v>镇沅县者东镇凹龙村二社</v>
      </c>
    </row>
    <row r="45" spans="1:8">
      <c r="A45" s="207">
        <f>sample_database!C138</f>
        <v>75</v>
      </c>
      <c r="B45" s="207">
        <f>sample_database!D138</f>
        <v>75</v>
      </c>
      <c r="C45" s="202" t="str">
        <f>sample_database!E138</f>
        <v>杨春昌</v>
      </c>
      <c r="D45" s="202" t="str">
        <f>sample_database!F138</f>
        <v>532726196103102419</v>
      </c>
      <c r="E45" s="202" t="str">
        <f>sample_database!G138</f>
        <v>NA</v>
      </c>
      <c r="F45" s="207" t="str">
        <f>sample_database!H138</f>
        <v>NA</v>
      </c>
      <c r="G45" s="202" t="str">
        <f>sample_database!I138</f>
        <v>NA</v>
      </c>
      <c r="H45" s="202" t="str">
        <f>sample_database!J138</f>
        <v>NA</v>
      </c>
    </row>
    <row r="46" spans="1:8">
      <c r="A46" s="207">
        <f>sample_database!C144</f>
        <v>76</v>
      </c>
      <c r="B46" s="207">
        <f>sample_database!D144</f>
        <v>76</v>
      </c>
      <c r="C46" s="202" t="str">
        <f>sample_database!E144</f>
        <v>龙存发</v>
      </c>
      <c r="D46" s="202" t="str">
        <f>sample_database!F144</f>
        <v>532301197512173133</v>
      </c>
      <c r="E46" s="202" t="str">
        <f>sample_database!G144</f>
        <v>13987878719</v>
      </c>
      <c r="F46" s="207" t="str">
        <f>sample_database!H144</f>
        <v>NA</v>
      </c>
      <c r="G46" s="202" t="str">
        <f>sample_database!I144</f>
        <v>NA</v>
      </c>
      <c r="H46" s="202" t="str">
        <f>sample_database!J144</f>
        <v>楚雄管理局朵苴村委会</v>
      </c>
    </row>
    <row r="47" spans="1:8">
      <c r="A47" s="207">
        <f>sample_database!C149</f>
        <v>77</v>
      </c>
      <c r="B47" s="207">
        <f>sample_database!D149</f>
        <v>77</v>
      </c>
      <c r="C47" s="202" t="str">
        <f>sample_database!E149</f>
        <v>郭洪富</v>
      </c>
      <c r="D47" s="202" t="str">
        <f>sample_database!F149</f>
        <v>532301197402203135</v>
      </c>
      <c r="E47" s="202" t="str">
        <f>sample_database!G149</f>
        <v>13638744286</v>
      </c>
      <c r="F47" s="207" t="str">
        <f>sample_database!H149</f>
        <v>NA</v>
      </c>
      <c r="G47" s="202" t="str">
        <f>sample_database!I149</f>
        <v>NA</v>
      </c>
      <c r="H47" s="202" t="str">
        <f>sample_database!J149</f>
        <v>哀牢山国家级自然保护区楚雄管理局保甸管护点</v>
      </c>
    </row>
    <row r="48" spans="1:8">
      <c r="A48" s="207">
        <f>sample_database!C154</f>
        <v>78</v>
      </c>
      <c r="B48" s="207">
        <f>sample_database!D154</f>
        <v>78</v>
      </c>
      <c r="C48" s="202" t="str">
        <f>sample_database!E154</f>
        <v>肖子云</v>
      </c>
      <c r="D48" s="202" t="str">
        <f>sample_database!F154</f>
        <v>53272619780514241X</v>
      </c>
      <c r="E48" s="202" t="str">
        <f>sample_database!G154</f>
        <v>15154888456</v>
      </c>
      <c r="F48" s="207" t="str">
        <f>sample_database!H154</f>
        <v>NA</v>
      </c>
      <c r="G48" s="202" t="str">
        <f>sample_database!I154</f>
        <v>NA</v>
      </c>
      <c r="H48" s="202" t="str">
        <f>sample_database!J154</f>
        <v>镇沅县者东镇木丁村中山组</v>
      </c>
    </row>
    <row r="49" spans="1:8">
      <c r="A49" s="207">
        <f>sample_database!C158</f>
        <v>83</v>
      </c>
      <c r="B49" s="207">
        <f>sample_database!D158</f>
        <v>83</v>
      </c>
      <c r="C49" s="202" t="str">
        <f>sample_database!E158</f>
        <v>罗权章</v>
      </c>
      <c r="D49" s="202" t="str">
        <f>sample_database!F158</f>
        <v>532726195903062115</v>
      </c>
      <c r="E49" s="202" t="str">
        <f>sample_database!G158</f>
        <v>13769902526</v>
      </c>
      <c r="F49" s="207" t="str">
        <f>sample_database!H158</f>
        <v>NA</v>
      </c>
      <c r="G49" s="202" t="str">
        <f>sample_database!I158</f>
        <v>NA</v>
      </c>
      <c r="H49" s="202" t="str">
        <f>sample_database!J158</f>
        <v>镇沅东洒村</v>
      </c>
    </row>
    <row r="50" spans="1:8">
      <c r="A50" s="207">
        <f>sample_database!C159</f>
        <v>84</v>
      </c>
      <c r="B50" s="207">
        <f>sample_database!D159</f>
        <v>84</v>
      </c>
      <c r="C50" s="202" t="str">
        <f>sample_database!E159</f>
        <v>王影</v>
      </c>
      <c r="D50" s="202" t="str">
        <f>sample_database!F159</f>
        <v>NA</v>
      </c>
      <c r="E50" s="202" t="str">
        <f>sample_database!G159</f>
        <v>15987945909</v>
      </c>
      <c r="F50" s="207" t="str">
        <f>sample_database!H159</f>
        <v>NA</v>
      </c>
      <c r="G50" s="202" t="str">
        <f>sample_database!I159</f>
        <v>NA</v>
      </c>
      <c r="H50" s="202" t="str">
        <f>sample_database!J159</f>
        <v>镇沅县者东镇新村村</v>
      </c>
    </row>
    <row r="51" spans="1:8">
      <c r="A51" s="207">
        <f>sample_database!C160</f>
        <v>85</v>
      </c>
      <c r="B51" s="207">
        <f>sample_database!D160</f>
        <v>85</v>
      </c>
      <c r="C51" s="202" t="str">
        <f>sample_database!E160</f>
        <v>刘永</v>
      </c>
      <c r="D51" s="202" t="str">
        <f>sample_database!F160</f>
        <v>532726199008132111</v>
      </c>
      <c r="E51" s="202" t="str">
        <f>sample_database!G160</f>
        <v>13649692948</v>
      </c>
      <c r="F51" s="207" t="str">
        <f>sample_database!H160</f>
        <v>NA</v>
      </c>
      <c r="G51" s="202" t="str">
        <f>sample_database!I160</f>
        <v>NA</v>
      </c>
      <c r="H51" s="202" t="str">
        <f>sample_database!J160</f>
        <v>镇沅县九甲镇勐真村</v>
      </c>
    </row>
    <row r="52" spans="1:8">
      <c r="A52" s="207">
        <f>sample_database!C161</f>
        <v>86</v>
      </c>
      <c r="B52" s="207">
        <f>sample_database!D161</f>
        <v>86</v>
      </c>
      <c r="C52" s="202" t="str">
        <f>sample_database!E161</f>
        <v>田子云</v>
      </c>
      <c r="D52" s="202" t="str">
        <f>sample_database!F161</f>
        <v>53272619800405211X</v>
      </c>
      <c r="E52" s="202" t="str">
        <f>sample_database!G161</f>
        <v>13577954998</v>
      </c>
      <c r="F52" s="207" t="str">
        <f>sample_database!H161</f>
        <v>NA</v>
      </c>
      <c r="G52" s="202" t="str">
        <f>sample_database!I161</f>
        <v>NA</v>
      </c>
      <c r="H52" s="202" t="str">
        <f>sample_database!J161</f>
        <v>镇沅县九甲镇勐真村文工村民小组</v>
      </c>
    </row>
    <row r="53" spans="1:8">
      <c r="A53" s="207">
        <f>sample_database!C162</f>
        <v>87</v>
      </c>
      <c r="B53" s="207">
        <f>sample_database!D162</f>
        <v>87</v>
      </c>
      <c r="C53" s="202" t="str">
        <f>sample_database!E162</f>
        <v>王开昌</v>
      </c>
      <c r="D53" s="202" t="str">
        <f>sample_database!F162</f>
        <v>532726197505162136</v>
      </c>
      <c r="E53" s="202" t="str">
        <f>sample_database!G162</f>
        <v>13759009851</v>
      </c>
      <c r="F53" s="207" t="str">
        <f>sample_database!H162</f>
        <v>NA</v>
      </c>
      <c r="G53" s="202" t="str">
        <f>sample_database!I162</f>
        <v>NA</v>
      </c>
      <c r="H53" s="202" t="str">
        <f>sample_database!J162</f>
        <v>镇沅九甲甸坑村民委员会</v>
      </c>
    </row>
    <row r="54" spans="1:8">
      <c r="A54" s="207">
        <f>sample_database!C164</f>
        <v>88</v>
      </c>
      <c r="B54" s="207">
        <f>sample_database!D164</f>
        <v>88</v>
      </c>
      <c r="C54" s="202" t="str">
        <f>sample_database!E164</f>
        <v>普明文</v>
      </c>
      <c r="D54" s="202" t="str">
        <f>sample_database!F164</f>
        <v>532726197208282115</v>
      </c>
      <c r="E54" s="202" t="str">
        <f>sample_database!G164</f>
        <v>13578185348</v>
      </c>
      <c r="F54" s="207" t="str">
        <f>sample_database!H164</f>
        <v>NA</v>
      </c>
      <c r="G54" s="202" t="str">
        <f>sample_database!I164</f>
        <v>NA</v>
      </c>
      <c r="H54" s="202" t="str">
        <f>sample_database!J164</f>
        <v>镇沅县九甲镇文岗村朵山小组</v>
      </c>
    </row>
    <row r="55" spans="1:8">
      <c r="A55" s="207">
        <f>sample_database!C168</f>
        <v>89</v>
      </c>
      <c r="B55" s="207">
        <f>sample_database!D168</f>
        <v>89</v>
      </c>
      <c r="C55" s="202" t="str">
        <f>sample_database!E168</f>
        <v>普恒章</v>
      </c>
      <c r="D55" s="202" t="str">
        <f>sample_database!F168</f>
        <v>NA</v>
      </c>
      <c r="E55" s="202" t="str">
        <f>sample_database!G168</f>
        <v>15925281143</v>
      </c>
      <c r="F55" s="207" t="str">
        <f>sample_database!H168</f>
        <v>NA</v>
      </c>
      <c r="G55" s="202" t="str">
        <f>sample_database!I168</f>
        <v>NA</v>
      </c>
      <c r="H55" s="202" t="str">
        <f>sample_database!J168</f>
        <v>镇沅县九甲镇文岗村争山组</v>
      </c>
    </row>
    <row r="56" spans="1:8">
      <c r="A56" s="207">
        <f>sample_database!C173</f>
        <v>93</v>
      </c>
      <c r="B56" s="207">
        <f>sample_database!D173</f>
        <v>93</v>
      </c>
      <c r="C56" s="202" t="str">
        <f>sample_database!E173</f>
        <v>何兴能</v>
      </c>
      <c r="D56" s="202" t="str">
        <f>sample_database!F173</f>
        <v>NA</v>
      </c>
      <c r="E56" s="202" t="str">
        <f>sample_database!G173</f>
        <v>13887959989</v>
      </c>
      <c r="F56" s="207" t="str">
        <f>sample_database!H173</f>
        <v>NA</v>
      </c>
      <c r="G56" s="202" t="str">
        <f>sample_database!I173</f>
        <v>NA</v>
      </c>
      <c r="H56" s="202" t="str">
        <f>sample_database!J173</f>
        <v>镇沅县九甲镇果吉村</v>
      </c>
    </row>
    <row r="57" spans="1:8">
      <c r="A57" s="207">
        <f>sample_database!C175</f>
        <v>94</v>
      </c>
      <c r="B57" s="207">
        <f>sample_database!D175</f>
        <v>94</v>
      </c>
      <c r="C57" s="202" t="str">
        <f>sample_database!E175</f>
        <v>李红伟</v>
      </c>
      <c r="D57" s="202" t="str">
        <f>sample_database!F175</f>
        <v>532726195702122118</v>
      </c>
      <c r="E57" s="202" t="str">
        <f>sample_database!G175</f>
        <v>15658794271</v>
      </c>
      <c r="F57" s="207" t="str">
        <f>sample_database!H175</f>
        <v>NA</v>
      </c>
      <c r="G57" s="202" t="str">
        <f>sample_database!I175</f>
        <v>NA</v>
      </c>
      <c r="H57" s="202" t="str">
        <f>sample_database!J175</f>
        <v>镇沅县九甲镇和平村</v>
      </c>
    </row>
    <row r="58" spans="1:8">
      <c r="A58" s="207">
        <f>sample_database!C177</f>
        <v>95</v>
      </c>
      <c r="B58" s="207">
        <f>sample_database!D177</f>
        <v>95</v>
      </c>
      <c r="C58" s="202" t="str">
        <f>sample_database!E177</f>
        <v>何忠云</v>
      </c>
      <c r="D58" s="202" t="str">
        <f>sample_database!F177</f>
        <v>53272619860928241X</v>
      </c>
      <c r="E58" s="202" t="str">
        <f>sample_database!G177</f>
        <v>13987901549</v>
      </c>
      <c r="F58" s="207" t="str">
        <f>sample_database!H177</f>
        <v>NA</v>
      </c>
      <c r="G58" s="202" t="str">
        <f>sample_database!I177</f>
        <v>NA</v>
      </c>
      <c r="H58" s="202" t="str">
        <f>sample_database!J177</f>
        <v>镇沅县九甲镇和平村千家寨</v>
      </c>
    </row>
    <row r="59" spans="1:8">
      <c r="A59" s="207">
        <f>sample_database!C178</f>
        <v>97</v>
      </c>
      <c r="B59" s="207">
        <f>sample_database!D178</f>
        <v>97</v>
      </c>
      <c r="C59" s="202" t="str">
        <f>sample_database!E178</f>
        <v>李廷峰</v>
      </c>
      <c r="D59" s="202" t="str">
        <f>sample_database!F178</f>
        <v>532724197806192117</v>
      </c>
      <c r="E59" s="202" t="str">
        <f>sample_database!G178</f>
        <v>13608799334</v>
      </c>
      <c r="F59" s="207" t="str">
        <f>sample_database!H178</f>
        <v>NA</v>
      </c>
      <c r="G59" s="202" t="str">
        <f>sample_database!I178</f>
        <v>NA</v>
      </c>
      <c r="H59" s="202" t="str">
        <f>sample_database!J178</f>
        <v>景东县龙街乡东山村民委员会</v>
      </c>
    </row>
    <row r="60" spans="1:8">
      <c r="A60" s="207">
        <f>sample_database!C183</f>
        <v>98</v>
      </c>
      <c r="B60" s="207">
        <f>sample_database!D183</f>
        <v>98</v>
      </c>
      <c r="C60" s="202" t="str">
        <f>sample_database!E183</f>
        <v>张汝志</v>
      </c>
      <c r="D60" s="202" t="str">
        <f>sample_database!F183</f>
        <v>532724196583872113？</v>
      </c>
      <c r="E60" s="202" t="str">
        <f>sample_database!G183</f>
        <v>13577959513</v>
      </c>
      <c r="F60" s="207" t="str">
        <f>sample_database!H183</f>
        <v>NA</v>
      </c>
      <c r="G60" s="202" t="str">
        <f>sample_database!I183</f>
        <v>NA</v>
      </c>
      <c r="H60" s="202" t="str">
        <f>sample_database!J183</f>
        <v>景东县龙街乡竹者村</v>
      </c>
    </row>
    <row r="61" spans="1:8">
      <c r="A61" s="207">
        <f>sample_database!C184</f>
        <v>100</v>
      </c>
      <c r="B61" s="207">
        <f>sample_database!D184</f>
        <v>100</v>
      </c>
      <c r="C61" s="202" t="str">
        <f>sample_database!E184</f>
        <v>者付华</v>
      </c>
      <c r="D61" s="202" t="str">
        <f>sample_database!F184</f>
        <v>532724197007132139</v>
      </c>
      <c r="E61" s="202" t="str">
        <f>sample_database!G184</f>
        <v>15912958748</v>
      </c>
      <c r="F61" s="207" t="str">
        <f>sample_database!H184</f>
        <v>NA</v>
      </c>
      <c r="G61" s="202" t="str">
        <f>sample_database!I184</f>
        <v>NA</v>
      </c>
      <c r="H61" s="202" t="str">
        <f>sample_database!J184</f>
        <v>景东县龙街乡寿府水？一组，小沙水大白水</v>
      </c>
    </row>
    <row r="62" spans="1:8">
      <c r="A62" s="207">
        <f>sample_database!C185</f>
        <v>101</v>
      </c>
      <c r="B62" s="207">
        <f>sample_database!D185</f>
        <v>101</v>
      </c>
      <c r="C62" s="202" t="str">
        <f>sample_database!E185</f>
        <v>周开伸</v>
      </c>
      <c r="D62" s="202" t="str">
        <f>sample_database!F185</f>
        <v>532724196406222116</v>
      </c>
      <c r="E62" s="202" t="str">
        <f>sample_database!G185</f>
        <v>13987924932</v>
      </c>
      <c r="F62" s="207" t="str">
        <f>sample_database!H185</f>
        <v>NA</v>
      </c>
      <c r="G62" s="202" t="str">
        <f>sample_database!I185</f>
        <v>NA</v>
      </c>
      <c r="H62" s="202" t="str">
        <f>sample_database!J185</f>
        <v>景东县小龙街多依树村二组</v>
      </c>
    </row>
    <row r="63" spans="1:8">
      <c r="A63" s="207">
        <f>sample_database!C189</f>
        <v>102</v>
      </c>
      <c r="B63" s="207">
        <f>sample_database!D189</f>
        <v>102</v>
      </c>
      <c r="C63" s="202" t="str">
        <f>sample_database!E189</f>
        <v>张开堂</v>
      </c>
      <c r="D63" s="202" t="str">
        <f>sample_database!F189</f>
        <v>532724196901172136</v>
      </c>
      <c r="E63" s="202" t="str">
        <f>sample_database!G189</f>
        <v>138887949236</v>
      </c>
      <c r="F63" s="207" t="str">
        <f>sample_database!H189</f>
        <v>NA</v>
      </c>
      <c r="G63" s="202" t="str">
        <f>sample_database!I189</f>
        <v>NA</v>
      </c>
      <c r="H63" s="202" t="str">
        <f>sample_database!J189</f>
        <v>景东县小龙乡锅瓦张家组</v>
      </c>
    </row>
    <row r="64" spans="1:8">
      <c r="A64" s="207">
        <f>sample_database!C190</f>
        <v>103</v>
      </c>
      <c r="B64" s="207">
        <f>sample_database!D190</f>
        <v>103</v>
      </c>
      <c r="C64" s="202" t="str">
        <f>sample_database!E190</f>
        <v>李荣发</v>
      </c>
      <c r="D64" s="202" t="str">
        <f>sample_database!F190</f>
        <v>53272419640814211X</v>
      </c>
      <c r="E64" s="202" t="str">
        <f>sample_database!G190</f>
        <v>13759007385</v>
      </c>
      <c r="F64" s="207" t="str">
        <f>sample_database!H190</f>
        <v>NA</v>
      </c>
      <c r="G64" s="202" t="str">
        <f>sample_database!I190</f>
        <v>NA</v>
      </c>
      <c r="H64" s="202" t="str">
        <f>sample_database!J190</f>
        <v>龙街垭口</v>
      </c>
    </row>
    <row r="65" spans="1:8">
      <c r="A65" s="207">
        <f>sample_database!C192</f>
        <v>104</v>
      </c>
      <c r="B65" s="207">
        <f>sample_database!D192</f>
        <v>104</v>
      </c>
      <c r="C65" s="202" t="str">
        <f>sample_database!E192</f>
        <v>祝发贵</v>
      </c>
      <c r="D65" s="202" t="str">
        <f>sample_database!F192</f>
        <v>532724195903162113</v>
      </c>
      <c r="E65" s="202" t="str">
        <f>sample_database!G192</f>
        <v>18287956453</v>
      </c>
      <c r="F65" s="207" t="str">
        <f>sample_database!H192</f>
        <v>NA</v>
      </c>
      <c r="G65" s="202" t="str">
        <f>sample_database!I192</f>
        <v>NA</v>
      </c>
      <c r="H65" s="202" t="str">
        <f>sample_database!J192</f>
        <v>景东县小龙街乡小村村民委员会肖井组</v>
      </c>
    </row>
    <row r="66" spans="1:8">
      <c r="A66" s="207">
        <f>sample_database!C195</f>
        <v>105</v>
      </c>
      <c r="B66" s="207">
        <f>sample_database!D195</f>
        <v>105</v>
      </c>
      <c r="C66" s="202" t="str">
        <f>sample_database!E195</f>
        <v>李新荣</v>
      </c>
      <c r="D66" s="202" t="str">
        <f>sample_database!F195</f>
        <v>532724198411121810</v>
      </c>
      <c r="E66" s="202" t="str">
        <f>sample_database!G195</f>
        <v>15125673626</v>
      </c>
      <c r="F66" s="207" t="str">
        <f>sample_database!H195</f>
        <v>NA</v>
      </c>
      <c r="G66" s="202" t="str">
        <f>sample_database!I195</f>
        <v>NA</v>
      </c>
      <c r="H66" s="202" t="str">
        <f>sample_database!J195</f>
        <v>景东太忠镇嘎仰村委会二道河小组</v>
      </c>
    </row>
    <row r="67" spans="1:8">
      <c r="A67" s="207">
        <f>sample_database!C199</f>
        <v>106</v>
      </c>
      <c r="B67" s="207">
        <f>sample_database!D199</f>
        <v>106</v>
      </c>
      <c r="C67" s="202" t="str">
        <f>sample_database!E199</f>
        <v>李明德</v>
      </c>
      <c r="D67" s="202" t="str">
        <f>sample_database!F199</f>
        <v>53272419660720183X</v>
      </c>
      <c r="E67" s="202" t="str">
        <f>sample_database!G199</f>
        <v>13769992749</v>
      </c>
      <c r="F67" s="207" t="str">
        <f>sample_database!H199</f>
        <v>NA</v>
      </c>
      <c r="G67" s="202" t="str">
        <f>sample_database!I199</f>
        <v>NA</v>
      </c>
      <c r="H67" s="202" t="str">
        <f>sample_database!J199</f>
        <v>景东县太忠镇平掌村柏树组</v>
      </c>
    </row>
    <row r="68" spans="1:8">
      <c r="A68" s="207">
        <f>sample_database!C203</f>
        <v>109</v>
      </c>
      <c r="B68" s="207">
        <f>sample_database!D203</f>
        <v>109</v>
      </c>
      <c r="C68" s="202" t="str">
        <f>sample_database!E203</f>
        <v>李应付</v>
      </c>
      <c r="D68" s="202" t="str">
        <f>sample_database!F203</f>
        <v>532724198309201814</v>
      </c>
      <c r="E68" s="202" t="str">
        <f>sample_database!G203</f>
        <v>15891987207</v>
      </c>
      <c r="F68" s="207" t="str">
        <f>sample_database!H203</f>
        <v>NA</v>
      </c>
      <c r="G68" s="202" t="str">
        <f>sample_database!I203</f>
        <v>NA</v>
      </c>
      <c r="H68" s="202" t="str">
        <f>sample_database!J203</f>
        <v>景东县太忠镇麦地村</v>
      </c>
    </row>
    <row r="69" spans="1:8">
      <c r="A69" s="207">
        <f>sample_database!C208</f>
        <v>110</v>
      </c>
      <c r="B69" s="207">
        <f>sample_database!D208</f>
        <v>110</v>
      </c>
      <c r="C69" s="202" t="str">
        <f>sample_database!E208</f>
        <v>自付文</v>
      </c>
      <c r="D69" s="202" t="str">
        <f>sample_database!F208</f>
        <v>532724198410121819</v>
      </c>
      <c r="E69" s="202" t="str">
        <f>sample_database!G208</f>
        <v>15125657367</v>
      </c>
      <c r="F69" s="207" t="str">
        <f>sample_database!H208</f>
        <v>NA</v>
      </c>
      <c r="G69" s="202" t="str">
        <f>sample_database!I208</f>
        <v>NA</v>
      </c>
      <c r="H69" s="202" t="str">
        <f>sample_database!J208</f>
        <v>景东县麦地村黄风箐小组</v>
      </c>
    </row>
    <row r="70" spans="1:8">
      <c r="A70" s="207">
        <f>sample_database!C213</f>
        <v>111</v>
      </c>
      <c r="B70" s="207">
        <f>sample_database!D213</f>
        <v>111</v>
      </c>
      <c r="C70" s="202" t="str">
        <f>sample_database!E213</f>
        <v>李发文</v>
      </c>
      <c r="D70" s="202" t="str">
        <f>sample_database!F213</f>
        <v>532724197201141835</v>
      </c>
      <c r="E70" s="202" t="str">
        <f>sample_database!G213</f>
        <v>15925267413</v>
      </c>
      <c r="F70" s="207" t="str">
        <f>sample_database!H213</f>
        <v>NA</v>
      </c>
      <c r="G70" s="202" t="str">
        <f>sample_database!I213</f>
        <v>NA</v>
      </c>
      <c r="H70" s="202" t="str">
        <f>sample_database!J213</f>
        <v>景东县太忠镇麦地村委会大村小组</v>
      </c>
    </row>
    <row r="71" spans="1:8">
      <c r="A71" s="207">
        <f>sample_database!C217</f>
        <v>112</v>
      </c>
      <c r="B71" s="207">
        <f>sample_database!D217</f>
        <v>112</v>
      </c>
      <c r="C71" s="202" t="str">
        <f>sample_database!E217</f>
        <v>李志国</v>
      </c>
      <c r="D71" s="202" t="str">
        <f>sample_database!F217</f>
        <v>532724198511271517</v>
      </c>
      <c r="E71" s="202" t="str">
        <f>sample_database!G217</f>
        <v>15008811738</v>
      </c>
      <c r="F71" s="207" t="str">
        <f>sample_database!H217</f>
        <v>NA</v>
      </c>
      <c r="G71" s="202" t="str">
        <f>sample_database!I217</f>
        <v>NA</v>
      </c>
      <c r="H71" s="202" t="str">
        <f>sample_database!J217</f>
        <v>景东县大街镇平地上村</v>
      </c>
    </row>
    <row r="72" spans="1:8">
      <c r="A72" s="207">
        <f>sample_database!C222</f>
        <v>114</v>
      </c>
      <c r="B72" s="207">
        <f>sample_database!D222</f>
        <v>114</v>
      </c>
      <c r="C72" s="202" t="str">
        <f>sample_database!E222</f>
        <v>鲁顺福</v>
      </c>
      <c r="D72" s="202" t="str">
        <f>sample_database!F222</f>
        <v>532724197001091511</v>
      </c>
      <c r="E72" s="202" t="str">
        <f>sample_database!G222</f>
        <v>13577954774</v>
      </c>
      <c r="F72" s="207" t="str">
        <f>sample_database!H222</f>
        <v>NA</v>
      </c>
      <c r="G72" s="202" t="str">
        <f>sample_database!I222</f>
        <v>NA</v>
      </c>
      <c r="H72" s="202" t="str">
        <f>sample_database!J222</f>
        <v>景东县大街镇昆岗村山头组，大草坝</v>
      </c>
    </row>
    <row r="73" spans="1:8">
      <c r="A73" s="207">
        <f>sample_database!C226</f>
        <v>115</v>
      </c>
      <c r="B73" s="207">
        <f>sample_database!D226</f>
        <v>115</v>
      </c>
      <c r="C73" s="202" t="str">
        <f>sample_database!E226</f>
        <v>詹清平</v>
      </c>
      <c r="D73" s="202" t="str">
        <f>sample_database!F226</f>
        <v>532724197401281517</v>
      </c>
      <c r="E73" s="202" t="str">
        <f>sample_database!G226</f>
        <v>15987976882</v>
      </c>
      <c r="F73" s="207" t="str">
        <f>sample_database!H226</f>
        <v>NA</v>
      </c>
      <c r="G73" s="202" t="str">
        <f>sample_database!I226</f>
        <v>NA</v>
      </c>
      <c r="H73" s="202" t="str">
        <f>sample_database!J226</f>
        <v>景东县大街镇气力村箐门口小组，白沙井</v>
      </c>
    </row>
    <row r="74" spans="1:8">
      <c r="A74" s="207">
        <f>sample_database!C231</f>
        <v>119</v>
      </c>
      <c r="B74" s="207">
        <f>sample_database!D231</f>
        <v>119</v>
      </c>
      <c r="C74" s="202" t="str">
        <f>sample_database!E231</f>
        <v>鲁开福</v>
      </c>
      <c r="D74" s="202" t="str">
        <f>sample_database!F231</f>
        <v>532724198412051236</v>
      </c>
      <c r="E74" s="202" t="str">
        <f>sample_database!G231</f>
        <v>13154887030</v>
      </c>
      <c r="F74" s="207" t="str">
        <f>sample_database!H231</f>
        <v>NA</v>
      </c>
      <c r="G74" s="202" t="str">
        <f>sample_database!I231</f>
        <v>NA</v>
      </c>
      <c r="H74" s="202" t="str">
        <f>sample_database!J231</f>
        <v>景东花山镇文明村岩头组</v>
      </c>
    </row>
    <row r="75" spans="1:8">
      <c r="A75" s="207">
        <f>sample_database!C236</f>
        <v>121</v>
      </c>
      <c r="B75" s="207">
        <f>sample_database!D236</f>
        <v>121</v>
      </c>
      <c r="C75" s="202" t="str">
        <f>sample_database!E236</f>
        <v>李开愉</v>
      </c>
      <c r="D75" s="202" t="str">
        <f>sample_database!F236</f>
        <v>532427195609021213</v>
      </c>
      <c r="E75" s="202" t="str">
        <f>sample_database!G236</f>
        <v>15912997087</v>
      </c>
      <c r="F75" s="207" t="str">
        <f>sample_database!H236</f>
        <v>NA</v>
      </c>
      <c r="G75" s="202" t="str">
        <f>sample_database!I236</f>
        <v>NA</v>
      </c>
      <c r="H75" s="202" t="str">
        <f>sample_database!J236</f>
        <v>景东县花山镇文岗村箐边组</v>
      </c>
    </row>
    <row r="76" spans="1:8">
      <c r="A76" s="207">
        <f>sample_database!C238</f>
        <v>122</v>
      </c>
      <c r="B76" s="207">
        <f>sample_database!D238</f>
        <v>122</v>
      </c>
      <c r="C76" s="202" t="str">
        <f>sample_database!E238</f>
        <v>李忠燕</v>
      </c>
      <c r="D76" s="202" t="str">
        <f>sample_database!F238</f>
        <v>532724196804151237</v>
      </c>
      <c r="E76" s="202" t="str">
        <f>sample_database!G238</f>
        <v>14769359259</v>
      </c>
      <c r="F76" s="207" t="str">
        <f>sample_database!H238</f>
        <v>NA</v>
      </c>
      <c r="G76" s="202" t="str">
        <f>sample_database!I238</f>
        <v>NA</v>
      </c>
      <c r="H76" s="202" t="str">
        <f>sample_database!J238</f>
        <v>景东县花山镇小勺村</v>
      </c>
    </row>
    <row r="77" spans="1:8">
      <c r="A77" s="207">
        <f>sample_database!C242</f>
        <v>123</v>
      </c>
      <c r="B77" s="207">
        <f>sample_database!D242</f>
        <v>123</v>
      </c>
      <c r="C77" s="202" t="str">
        <f>sample_database!E242</f>
        <v>陈春礼</v>
      </c>
      <c r="D77" s="202" t="str">
        <f>sample_database!F242</f>
        <v>532724196608131212</v>
      </c>
      <c r="E77" s="202" t="str">
        <f>sample_database!G242</f>
        <v>15008735389</v>
      </c>
      <c r="F77" s="207" t="str">
        <f>sample_database!H242</f>
        <v>NA</v>
      </c>
      <c r="G77" s="202" t="str">
        <f>sample_database!I242</f>
        <v>NA</v>
      </c>
      <c r="H77" s="202" t="str">
        <f>sample_database!J242</f>
        <v>景东县花山镇撇罗村民委员会龙树小组</v>
      </c>
    </row>
    <row r="78" spans="1:8">
      <c r="A78" s="207">
        <f>sample_database!C244</f>
        <v>124</v>
      </c>
      <c r="B78" s="207">
        <f>sample_database!D244</f>
        <v>124</v>
      </c>
      <c r="C78" s="202" t="str">
        <f>sample_database!E244</f>
        <v>罗德勇</v>
      </c>
      <c r="D78" s="202" t="str">
        <f>sample_database!F244</f>
        <v>532724196409241232</v>
      </c>
      <c r="E78" s="202" t="str">
        <f>sample_database!G244</f>
        <v>15154839262</v>
      </c>
      <c r="F78" s="207" t="str">
        <f>sample_database!H244</f>
        <v>NA</v>
      </c>
      <c r="G78" s="202" t="str">
        <f>sample_database!I244</f>
        <v>NA</v>
      </c>
      <c r="H78" s="202" t="str">
        <f>sample_database!J244</f>
        <v>景东县花山镇淇海村大山组</v>
      </c>
    </row>
    <row r="79" spans="1:8">
      <c r="A79" s="207">
        <f>sample_database!C247</f>
        <v>125</v>
      </c>
      <c r="B79" s="207">
        <f>sample_database!D247</f>
        <v>125</v>
      </c>
      <c r="C79" s="202" t="str">
        <f>sample_database!E247</f>
        <v>李廷万</v>
      </c>
      <c r="D79" s="202" t="str">
        <f>sample_database!F247</f>
        <v>532724196401021219</v>
      </c>
      <c r="E79" s="202" t="str">
        <f>sample_database!G247</f>
        <v>15287665605</v>
      </c>
      <c r="F79" s="207" t="str">
        <f>sample_database!H247</f>
        <v>NA</v>
      </c>
      <c r="G79" s="202" t="str">
        <f>sample_database!I247</f>
        <v>NA</v>
      </c>
      <c r="H79" s="202" t="str">
        <f>sample_database!J247</f>
        <v>景东县花山乡芦山村碱水组</v>
      </c>
    </row>
    <row r="80" spans="1:8">
      <c r="A80" s="207">
        <f>sample_database!C249</f>
        <v>126</v>
      </c>
      <c r="B80" s="207">
        <f>sample_database!D249</f>
        <v>126</v>
      </c>
      <c r="C80" s="202" t="str">
        <f>sample_database!E249</f>
        <v>王立东</v>
      </c>
      <c r="D80" s="202" t="str">
        <f>sample_database!F249</f>
        <v>NA</v>
      </c>
      <c r="E80" s="202" t="str">
        <f>sample_database!G249</f>
        <v>13987931449</v>
      </c>
      <c r="F80" s="207" t="str">
        <f>sample_database!H249</f>
        <v>NA</v>
      </c>
      <c r="G80" s="202" t="str">
        <f>sample_database!I249</f>
        <v>NA</v>
      </c>
      <c r="H80" s="202" t="str">
        <f>sample_database!J249</f>
        <v>镇沅县九甲镇和平村千家寨</v>
      </c>
    </row>
    <row r="81" spans="1:8">
      <c r="A81" s="207">
        <f>sample_database!C252</f>
        <v>130</v>
      </c>
      <c r="B81" s="207">
        <f>sample_database!D252</f>
        <v>130</v>
      </c>
      <c r="C81" s="202" t="str">
        <f>sample_database!E252</f>
        <v>罗正贵</v>
      </c>
      <c r="D81" s="202" t="str">
        <f>sample_database!F252</f>
        <v>532428195712101552</v>
      </c>
      <c r="E81" s="202" t="str">
        <f>sample_database!G252</f>
        <v>15894298336</v>
      </c>
      <c r="F81" s="207" t="str">
        <f>sample_database!H252</f>
        <v>NA</v>
      </c>
      <c r="G81" s="202" t="str">
        <f>sample_database!I252</f>
        <v>NA</v>
      </c>
      <c r="H81" s="202" t="str">
        <f>sample_database!J252</f>
        <v>新平水塘旧哈村</v>
      </c>
    </row>
    <row r="82" spans="1:8">
      <c r="A82" s="207">
        <f>sample_database!C257</f>
        <v>136</v>
      </c>
      <c r="B82" s="207">
        <f>sample_database!D257</f>
        <v>136</v>
      </c>
      <c r="C82" s="202" t="str">
        <f>sample_database!E257</f>
        <v>普学忠</v>
      </c>
      <c r="D82" s="202" t="str">
        <f>sample_database!F257</f>
        <v>530427196301231535</v>
      </c>
      <c r="E82" s="202" t="str">
        <f>sample_database!G257</f>
        <v>13529991363</v>
      </c>
      <c r="F82" s="207" t="str">
        <f>sample_database!H257</f>
        <v>NA</v>
      </c>
      <c r="G82" s="202" t="str">
        <f>sample_database!I257</f>
        <v>NA</v>
      </c>
      <c r="H82" s="202" t="str">
        <f>sample_database!J257</f>
        <v>红柒林</v>
      </c>
    </row>
    <row r="83" spans="1:8">
      <c r="A83" s="207">
        <f>sample_database!C260</f>
        <v>138</v>
      </c>
      <c r="B83" s="207">
        <f>sample_database!D260</f>
        <v>138</v>
      </c>
      <c r="C83" s="202" t="str">
        <f>sample_database!E260</f>
        <v>陈德忠</v>
      </c>
      <c r="D83" s="202" t="str">
        <f>sample_database!F260</f>
        <v>532428196903291939</v>
      </c>
      <c r="E83" s="202" t="str">
        <f>sample_database!G260</f>
        <v>18088911760</v>
      </c>
      <c r="F83" s="207" t="str">
        <f>sample_database!H260</f>
        <v>NA</v>
      </c>
      <c r="G83" s="202" t="str">
        <f>sample_database!I260</f>
        <v>NA</v>
      </c>
      <c r="H83" s="202" t="str">
        <f>sample_database!J260</f>
        <v>新平县者竜乡竹箐村</v>
      </c>
    </row>
    <row r="84" spans="1:8">
      <c r="A84" s="207">
        <f>sample_database!C264</f>
        <v>140</v>
      </c>
      <c r="B84" s="207">
        <f>sample_database!D264</f>
        <v>140</v>
      </c>
      <c r="C84" s="202" t="str">
        <f>sample_database!E264</f>
        <v>谢天华</v>
      </c>
      <c r="D84" s="202" t="str">
        <f>sample_database!F264</f>
        <v>532428196202221911</v>
      </c>
      <c r="E84" s="202" t="str">
        <f>sample_database!G264</f>
        <v>18088911750</v>
      </c>
      <c r="F84" s="207" t="str">
        <f>sample_database!H264</f>
        <v>NA</v>
      </c>
      <c r="G84" s="202" t="str">
        <f>sample_database!I264</f>
        <v>NA</v>
      </c>
      <c r="H84" s="202" t="str">
        <f>sample_database!J264</f>
        <v>新平者竜竹箐村</v>
      </c>
    </row>
    <row r="85" spans="1:8">
      <c r="A85" s="207">
        <f>sample_database!C268</f>
        <v>141</v>
      </c>
      <c r="B85" s="207">
        <f>sample_database!D268</f>
        <v>141</v>
      </c>
      <c r="C85" s="202" t="str">
        <f>sample_database!E268</f>
        <v>毕勇</v>
      </c>
      <c r="D85" s="202" t="str">
        <f>sample_database!F268</f>
        <v>532428197506021913</v>
      </c>
      <c r="E85" s="202" t="str">
        <f>sample_database!G268</f>
        <v>18088911758</v>
      </c>
      <c r="F85" s="207" t="str">
        <f>sample_database!H268</f>
        <v>NA</v>
      </c>
      <c r="G85" s="202" t="str">
        <f>sample_database!I268</f>
        <v>NA</v>
      </c>
      <c r="H85" s="202" t="str">
        <f>sample_database!J268</f>
        <v>新平者竜庆丰社区</v>
      </c>
    </row>
    <row r="86" spans="1:8">
      <c r="A86" s="207">
        <f>sample_database!C275</f>
        <v>146</v>
      </c>
      <c r="B86" s="207">
        <f>sample_database!D275</f>
        <v>146</v>
      </c>
      <c r="C86" s="202" t="str">
        <f>sample_database!E275</f>
        <v>罗有明</v>
      </c>
      <c r="D86" s="202" t="str">
        <f>sample_database!F275</f>
        <v>53042719610909231X</v>
      </c>
      <c r="E86" s="202" t="str">
        <f>sample_database!G275</f>
        <v>13529698316</v>
      </c>
      <c r="F86" s="207" t="str">
        <f>sample_database!H275</f>
        <v>NA</v>
      </c>
      <c r="G86" s="202" t="str">
        <f>sample_database!I275</f>
        <v>NA</v>
      </c>
      <c r="H86" s="202" t="str">
        <f>sample_database!J275</f>
        <v>新平水塘管理所波村干龙坝</v>
      </c>
    </row>
    <row r="87" spans="1:8">
      <c r="A87" s="207">
        <f>sample_database!C285</f>
        <v>148</v>
      </c>
      <c r="B87" s="207">
        <f>sample_database!D285</f>
        <v>148</v>
      </c>
      <c r="C87" s="202" t="str">
        <f>sample_database!E285</f>
        <v>李林东</v>
      </c>
      <c r="D87" s="202" t="str">
        <f>sample_database!F285</f>
        <v>530427198307101511</v>
      </c>
      <c r="E87" s="202" t="str">
        <f>sample_database!G285</f>
        <v>15894289134</v>
      </c>
      <c r="F87" s="207" t="str">
        <f>sample_database!H285</f>
        <v>NA</v>
      </c>
      <c r="G87" s="202" t="str">
        <f>sample_database!I285</f>
        <v>NA</v>
      </c>
      <c r="H87" s="202" t="str">
        <f>sample_database!J285</f>
        <v>大口，保家堰</v>
      </c>
    </row>
    <row r="88" spans="1:8">
      <c r="A88" s="207">
        <f>sample_database!C290</f>
        <v>151</v>
      </c>
      <c r="B88" s="207">
        <f>sample_database!D290</f>
        <v>151</v>
      </c>
      <c r="C88" s="202" t="str">
        <f>sample_database!E290</f>
        <v>钟应兴</v>
      </c>
      <c r="D88" s="202" t="str">
        <f>sample_database!F290</f>
        <v>532428197103181912</v>
      </c>
      <c r="E88" s="202" t="str">
        <f>sample_database!G290</f>
        <v>18088911757</v>
      </c>
      <c r="F88" s="207" t="str">
        <f>sample_database!H290</f>
        <v>NA</v>
      </c>
      <c r="G88" s="202" t="str">
        <f>sample_database!I290</f>
        <v>NA</v>
      </c>
      <c r="H88" s="202" t="str">
        <f>sample_database!J290</f>
        <v>新平者竜春元村</v>
      </c>
    </row>
    <row r="89" spans="1:8">
      <c r="A89" s="207">
        <f>sample_database!C294</f>
        <v>152</v>
      </c>
      <c r="B89" s="207">
        <f>sample_database!D294</f>
        <v>152</v>
      </c>
      <c r="C89" s="202" t="str">
        <f>sample_database!E294</f>
        <v>李家平</v>
      </c>
      <c r="D89" s="202" t="str">
        <f>sample_database!F294</f>
        <v>532428196806131917</v>
      </c>
      <c r="E89" s="202" t="str">
        <f>sample_database!G294</f>
        <v>18088911752</v>
      </c>
      <c r="F89" s="207" t="str">
        <f>sample_database!H294</f>
        <v>NA</v>
      </c>
      <c r="G89" s="202" t="str">
        <f>sample_database!I294</f>
        <v>NA</v>
      </c>
      <c r="H89" s="202" t="str">
        <f>sample_database!J294</f>
        <v>新平者竜渔科村</v>
      </c>
    </row>
    <row r="90" spans="1:8">
      <c r="A90" s="207">
        <f>sample_database!C303</f>
        <v>153</v>
      </c>
      <c r="B90" s="207">
        <f>sample_database!D303</f>
        <v>153</v>
      </c>
      <c r="C90" s="202" t="str">
        <f>sample_database!E303</f>
        <v>李文顺</v>
      </c>
      <c r="D90" s="202" t="str">
        <f>sample_database!F303</f>
        <v>532428195703121930</v>
      </c>
      <c r="E90" s="202" t="str">
        <f>sample_database!G303</f>
        <v>18088911755</v>
      </c>
      <c r="F90" s="207" t="str">
        <f>sample_database!H303</f>
        <v>NA</v>
      </c>
      <c r="G90" s="202" t="str">
        <f>sample_database!I303</f>
        <v>NA</v>
      </c>
      <c r="H90" s="202" t="str">
        <f>sample_database!J303</f>
        <v>新平县者竜乡者竜村</v>
      </c>
    </row>
    <row r="91" spans="1:8">
      <c r="A91" s="207">
        <f>sample_database!C307</f>
        <v>156</v>
      </c>
      <c r="B91" s="207">
        <f>sample_database!D307</f>
        <v>156</v>
      </c>
      <c r="C91" s="202" t="str">
        <f>sample_database!E307</f>
        <v>张贵昌</v>
      </c>
      <c r="D91" s="202" t="str">
        <f>sample_database!F307</f>
        <v>53242819650217191X</v>
      </c>
      <c r="E91" s="202" t="str">
        <f>sample_database!G307</f>
        <v>18088911762</v>
      </c>
      <c r="F91" s="207" t="str">
        <f>sample_database!H307</f>
        <v>NA</v>
      </c>
      <c r="G91" s="202" t="str">
        <f>sample_database!I307</f>
        <v>NA</v>
      </c>
      <c r="H91" s="202" t="str">
        <f>sample_database!J307</f>
        <v>新平者竜春元村</v>
      </c>
    </row>
    <row r="92" spans="1:8">
      <c r="A92" s="207">
        <f>sample_database!C311</f>
        <v>169</v>
      </c>
      <c r="B92" s="207">
        <f>sample_database!D311</f>
        <v>169</v>
      </c>
      <c r="C92" s="202" t="str">
        <f>sample_database!E311</f>
        <v>钟其德</v>
      </c>
      <c r="D92" s="202" t="str">
        <f>sample_database!F311</f>
        <v>532724195509151213</v>
      </c>
      <c r="E92" s="202" t="str">
        <f>sample_database!G311</f>
        <v>18214041646</v>
      </c>
      <c r="F92" s="207" t="str">
        <f>sample_database!H311</f>
        <v>NA</v>
      </c>
      <c r="G92" s="202" t="str">
        <f>sample_database!I311</f>
        <v>NA</v>
      </c>
      <c r="H92" s="202" t="str">
        <f>sample_database!J311</f>
        <v>景东县芦山村</v>
      </c>
    </row>
    <row r="93" spans="1:8">
      <c r="A93" s="207">
        <f>sample_database!C315</f>
        <v>170</v>
      </c>
      <c r="B93" s="207">
        <f>sample_database!D315</f>
        <v>170</v>
      </c>
      <c r="C93" s="202" t="str">
        <f>sample_database!E315</f>
        <v>鲁成荣</v>
      </c>
      <c r="D93" s="202" t="str">
        <f>sample_database!F315</f>
        <v>NA</v>
      </c>
      <c r="E93" s="202" t="str">
        <f>sample_database!G315</f>
        <v>14769387747</v>
      </c>
      <c r="F93" s="207" t="str">
        <f>sample_database!H315</f>
        <v>NA</v>
      </c>
      <c r="G93" s="202" t="str">
        <f>sample_database!I315</f>
        <v>NA</v>
      </c>
      <c r="H93" s="202" t="str">
        <f>sample_database!J315</f>
        <v>景东县龙街乡新平村</v>
      </c>
    </row>
    <row r="94" spans="1:8">
      <c r="A94" s="207">
        <f>sample_database!C317</f>
        <v>171</v>
      </c>
      <c r="B94" s="207">
        <f>sample_database!D317</f>
        <v>171</v>
      </c>
      <c r="C94" s="202" t="str">
        <f>sample_database!E317</f>
        <v>李富平</v>
      </c>
      <c r="D94" s="202" t="str">
        <f>sample_database!F317</f>
        <v>532724197001221830</v>
      </c>
      <c r="E94" s="202" t="str">
        <f>sample_database!G317</f>
        <v>13577946258</v>
      </c>
      <c r="F94" s="207" t="str">
        <f>sample_database!H317</f>
        <v>NA</v>
      </c>
      <c r="G94" s="202" t="str">
        <f>sample_database!I317</f>
        <v>NA</v>
      </c>
      <c r="H94" s="202" t="str">
        <f>sample_database!J317</f>
        <v>景东县太忠镇嘎仰村民委员会明子山村民小组</v>
      </c>
    </row>
    <row r="95" spans="1:8">
      <c r="A95" s="207" t="str">
        <f>sample_database!C325</f>
        <v>25 or 24</v>
      </c>
      <c r="B95" s="207">
        <f>sample_database!D325</f>
        <v>24</v>
      </c>
      <c r="C95" s="202" t="str">
        <f>sample_database!E325</f>
        <v>周强</v>
      </c>
      <c r="D95" s="202" t="str">
        <f>sample_database!F325</f>
        <v>532322198604170518</v>
      </c>
      <c r="E95" s="202" t="str">
        <f>sample_database!G325</f>
        <v>13638703405</v>
      </c>
      <c r="F95" s="207">
        <f>sample_database!H325</f>
        <v>25</v>
      </c>
      <c r="G95" s="202" t="str">
        <f>sample_database!I325</f>
        <v>李有国</v>
      </c>
      <c r="H95" s="202" t="str">
        <f>sample_database!J325</f>
        <v>双柏县鄂嘉镇新树村委会</v>
      </c>
    </row>
    <row r="96" spans="1:8">
      <c r="A96" s="207" t="str">
        <f>sample_database!C329</f>
        <v>28 or 27</v>
      </c>
      <c r="B96" s="207">
        <f>sample_database!D329</f>
        <v>27</v>
      </c>
      <c r="C96" s="202" t="str">
        <f>sample_database!E329</f>
        <v>王炳富</v>
      </c>
      <c r="D96" s="202" t="str">
        <f>sample_database!F329</f>
        <v>532322197804160555</v>
      </c>
      <c r="E96" s="202" t="str">
        <f>sample_database!G329</f>
        <v>15125740848&amp;15288509201</v>
      </c>
      <c r="F96" s="207">
        <f>sample_database!H329</f>
        <v>28</v>
      </c>
      <c r="G96" s="202" t="str">
        <f>sample_database!I329</f>
        <v>李开华</v>
      </c>
      <c r="H96" s="202" t="str">
        <f>sample_database!J329</f>
        <v>双柏县鄂嘉镇新树村委会尖石头村民小组</v>
      </c>
    </row>
    <row r="97" spans="1:8">
      <c r="A97" s="207" t="str">
        <f>sample_database!C334</f>
        <v>NA</v>
      </c>
      <c r="B97" s="207" t="str">
        <f>sample_database!D334</f>
        <v>NA</v>
      </c>
      <c r="C97" s="202" t="str">
        <f>sample_database!E334</f>
        <v>王景法</v>
      </c>
      <c r="D97" s="202" t="str">
        <f>sample_database!F334</f>
        <v>532322196404110538</v>
      </c>
      <c r="E97" s="202" t="str">
        <f>sample_database!G334</f>
        <v>13354690369&amp;18183876459</v>
      </c>
      <c r="F97" s="207" t="str">
        <f>sample_database!H334</f>
        <v>NA</v>
      </c>
      <c r="G97" s="202" t="str">
        <f>sample_database!I334</f>
        <v>刘文明</v>
      </c>
      <c r="H97" s="202" t="str">
        <f>sample_database!J334</f>
        <v>双柏县鄂嘉镇麻旺村委会下村7号</v>
      </c>
    </row>
    <row r="98" spans="1:8">
      <c r="A98" s="207" t="str">
        <f>sample_database!C338</f>
        <v>NA</v>
      </c>
      <c r="B98" s="207" t="str">
        <f>sample_database!D338</f>
        <v>NA</v>
      </c>
      <c r="C98" s="202" t="str">
        <f>sample_database!E338</f>
        <v>李有华</v>
      </c>
      <c r="D98" s="202" t="str">
        <f>sample_database!F338</f>
        <v>532322196812100515</v>
      </c>
      <c r="E98" s="202" t="str">
        <f>sample_database!G338</f>
        <v>15288564767</v>
      </c>
      <c r="F98" s="207" t="str">
        <f>sample_database!H338</f>
        <v>NA</v>
      </c>
      <c r="G98" s="202" t="str">
        <f>sample_database!I338</f>
        <v>李廷梅</v>
      </c>
      <c r="H98" s="202" t="str">
        <f>sample_database!J338</f>
        <v>双柏县鄂嘉镇新树村委会</v>
      </c>
    </row>
    <row r="99" spans="1:8">
      <c r="A99" s="207" t="str">
        <f>sample_database!C342</f>
        <v>NA</v>
      </c>
      <c r="B99" s="207" t="str">
        <f>sample_database!D342</f>
        <v>NA</v>
      </c>
      <c r="C99" s="202" t="str">
        <f>sample_database!E342</f>
        <v>杨荣高</v>
      </c>
      <c r="D99" s="202" t="str">
        <f>sample_database!F342</f>
        <v>532322196401260514</v>
      </c>
      <c r="E99" s="202" t="str">
        <f>sample_database!G342</f>
        <v>13987859414</v>
      </c>
      <c r="F99" s="207" t="str">
        <f>sample_database!H342</f>
        <v>NA</v>
      </c>
      <c r="G99" s="202" t="str">
        <f>sample_database!I342</f>
        <v>李波</v>
      </c>
      <c r="H99" s="202" t="str">
        <f>sample_database!J342</f>
        <v>双柏县鄂嘉镇义隆村</v>
      </c>
    </row>
    <row r="100" spans="1:8">
      <c r="A100" s="207" t="str">
        <f>sample_database!C347</f>
        <v>NA</v>
      </c>
      <c r="B100" s="207" t="str">
        <f>sample_database!D347</f>
        <v>NA</v>
      </c>
      <c r="C100" s="202" t="str">
        <f>sample_database!E347</f>
        <v>郭存祥</v>
      </c>
      <c r="D100" s="202" t="str">
        <f>sample_database!F347</f>
        <v>53232219690801059X</v>
      </c>
      <c r="E100" s="202" t="str">
        <f>sample_database!G347</f>
        <v>15987213626</v>
      </c>
      <c r="F100" s="207" t="str">
        <f>sample_database!H347</f>
        <v>NA</v>
      </c>
      <c r="G100" s="202" t="str">
        <f>sample_database!I347</f>
        <v>NA</v>
      </c>
      <c r="H100" s="202" t="str">
        <f>sample_database!J347</f>
        <v>双柏县老厂岔河站</v>
      </c>
    </row>
    <row r="101" spans="1:8">
      <c r="A101" s="207" t="str">
        <f>sample_database!C349</f>
        <v>NA</v>
      </c>
      <c r="B101" s="207" t="str">
        <f>sample_database!D349</f>
        <v>NA</v>
      </c>
      <c r="C101" s="202" t="str">
        <f>sample_database!E349</f>
        <v>王贵学</v>
      </c>
      <c r="D101" s="202" t="str">
        <f>sample_database!F349</f>
        <v>532322196009120510</v>
      </c>
      <c r="E101" s="202" t="str">
        <f>sample_database!G349</f>
        <v>18164783532</v>
      </c>
      <c r="F101" s="207" t="str">
        <f>sample_database!H349</f>
        <v>NA</v>
      </c>
      <c r="G101" s="202" t="str">
        <f>sample_database!I349</f>
        <v>NA</v>
      </c>
      <c r="H101" s="202" t="str">
        <f>sample_database!J349</f>
        <v>双柏县鄂嘉镇老厂村委会茶树村10号</v>
      </c>
    </row>
    <row r="102" spans="1:8">
      <c r="A102" s="207" t="str">
        <f>sample_database!C354</f>
        <v>NA</v>
      </c>
      <c r="B102" s="207" t="str">
        <f>sample_database!D354</f>
        <v>NA</v>
      </c>
      <c r="C102" s="202" t="str">
        <f>sample_database!E354</f>
        <v>李先富</v>
      </c>
      <c r="D102" s="202" t="str">
        <f>sample_database!F354</f>
        <v>532322195909080514</v>
      </c>
      <c r="E102" s="202" t="str">
        <f>sample_database!G354</f>
        <v>13987886798</v>
      </c>
      <c r="F102" s="207" t="str">
        <f>sample_database!H354</f>
        <v>NA</v>
      </c>
      <c r="G102" s="202" t="str">
        <f>sample_database!I354</f>
        <v>何学会</v>
      </c>
      <c r="H102" s="202" t="str">
        <f>sample_database!J354</f>
        <v>双柏县鄂嘉镇义隆村钠嫩村民小组</v>
      </c>
    </row>
    <row r="103" spans="1:8">
      <c r="A103" s="207" t="str">
        <f>sample_database!C359</f>
        <v>NA</v>
      </c>
      <c r="B103" s="207" t="str">
        <f>sample_database!D359</f>
        <v>NA</v>
      </c>
      <c r="C103" s="202" t="str">
        <f>sample_database!E359</f>
        <v>李进才</v>
      </c>
      <c r="D103" s="202" t="str">
        <f>sample_database!F359</f>
        <v>53232219671115053X</v>
      </c>
      <c r="E103" s="202" t="str">
        <f>sample_database!G359</f>
        <v>15987207162</v>
      </c>
      <c r="F103" s="207" t="str">
        <f>sample_database!H359</f>
        <v>NA</v>
      </c>
      <c r="G103" s="202" t="str">
        <f>sample_database!I359</f>
        <v>NA</v>
      </c>
      <c r="H103" s="202" t="str">
        <f>sample_database!J359</f>
        <v>双柏县鄂嘉镇义隆村</v>
      </c>
    </row>
    <row r="104" spans="1:8">
      <c r="A104" s="207" t="str">
        <f>sample_database!C364</f>
        <v>NA</v>
      </c>
      <c r="B104" s="207" t="str">
        <f>sample_database!D364</f>
        <v>NA</v>
      </c>
      <c r="C104" s="202" t="str">
        <f>sample_database!E364</f>
        <v>李荣</v>
      </c>
      <c r="D104" s="202" t="str">
        <f>sample_database!F364</f>
        <v>532322196110080556</v>
      </c>
      <c r="E104" s="202" t="str">
        <f>sample_database!G364</f>
        <v>15987222209</v>
      </c>
      <c r="F104" s="207" t="str">
        <f>sample_database!H364</f>
        <v>NA</v>
      </c>
      <c r="G104" s="202" t="str">
        <f>sample_database!I364</f>
        <v>NA</v>
      </c>
      <c r="H104" s="202" t="str">
        <f>sample_database!J364</f>
        <v>双柏县鄂嘉镇鄂嘉村成外小组</v>
      </c>
    </row>
    <row r="105" spans="1:8">
      <c r="A105" s="207" t="str">
        <f>sample_database!C368</f>
        <v>NA</v>
      </c>
      <c r="B105" s="207" t="str">
        <f>sample_database!D368</f>
        <v>NA</v>
      </c>
      <c r="C105" s="202" t="str">
        <f>sample_database!E368</f>
        <v>王开丙</v>
      </c>
      <c r="D105" s="202" t="str">
        <f>sample_database!F368</f>
        <v>532322197508260551</v>
      </c>
      <c r="E105" s="202" t="str">
        <f>sample_database!G368</f>
        <v>18183788915</v>
      </c>
      <c r="F105" s="207" t="str">
        <f>sample_database!H368</f>
        <v>NA</v>
      </c>
      <c r="G105" s="202" t="str">
        <f>sample_database!I368</f>
        <v>董应付</v>
      </c>
      <c r="H105" s="202" t="str">
        <f>sample_database!J368</f>
        <v>双柏县鄂嘉镇茶叶村委会三岔河管护点</v>
      </c>
    </row>
    <row r="106" spans="1:8">
      <c r="A106" s="207" t="str">
        <f>sample_database!C372</f>
        <v>NA</v>
      </c>
      <c r="B106" s="207" t="str">
        <f>sample_database!D372</f>
        <v>NA</v>
      </c>
      <c r="C106" s="202" t="str">
        <f>sample_database!E372</f>
        <v>郭存寿</v>
      </c>
      <c r="D106" s="202" t="str">
        <f>sample_database!F372</f>
        <v>53232219770802051x</v>
      </c>
      <c r="E106" s="202" t="str">
        <f>sample_database!G372</f>
        <v>13987885572</v>
      </c>
      <c r="F106" s="207" t="str">
        <f>sample_database!H372</f>
        <v>NA</v>
      </c>
      <c r="G106" s="202" t="str">
        <f>sample_database!I372</f>
        <v>王培有</v>
      </c>
      <c r="H106" s="202" t="str">
        <f>sample_database!J372</f>
        <v>双柏县鄂嘉镇老厂村委会杏子树</v>
      </c>
    </row>
    <row r="107" spans="1:8">
      <c r="A107" s="207" t="str">
        <f>sample_database!C377</f>
        <v>NA</v>
      </c>
      <c r="B107" s="207" t="str">
        <f>sample_database!D377</f>
        <v>NA</v>
      </c>
      <c r="C107" s="202" t="str">
        <f>sample_database!E377</f>
        <v>李福安</v>
      </c>
      <c r="D107" s="202" t="str">
        <f>sample_database!F377</f>
        <v>532322196403090339</v>
      </c>
      <c r="E107" s="202" t="str">
        <f>sample_database!G377</f>
        <v>15891827894</v>
      </c>
      <c r="F107" s="207" t="str">
        <f>sample_database!H377</f>
        <v>NA</v>
      </c>
      <c r="G107" s="202" t="str">
        <f>sample_database!I377</f>
        <v>NA</v>
      </c>
      <c r="H107" s="202" t="str">
        <f>sample_database!J377</f>
        <v>双柏县鄂嘉镇老厂村委会龙打坝小组</v>
      </c>
    </row>
    <row r="108" spans="1:8">
      <c r="A108" s="207" t="str">
        <f>sample_database!C381</f>
        <v>NA</v>
      </c>
      <c r="B108" s="207" t="str">
        <f>sample_database!D381</f>
        <v>NA</v>
      </c>
      <c r="C108" s="202" t="str">
        <f>sample_database!E381</f>
        <v>代发荣</v>
      </c>
      <c r="D108" s="202" t="str">
        <f>sample_database!F381</f>
        <v>532322196406160512</v>
      </c>
      <c r="E108" s="202" t="str">
        <f>sample_database!G381</f>
        <v>18182984872</v>
      </c>
      <c r="F108" s="207" t="str">
        <f>sample_database!H381</f>
        <v>NA</v>
      </c>
      <c r="G108" s="202" t="str">
        <f>sample_database!I381</f>
        <v>李学良</v>
      </c>
      <c r="H108" s="202" t="str">
        <f>sample_database!J381</f>
        <v>双柏县鄂嘉镇义隆村委会上村村民小组</v>
      </c>
    </row>
    <row r="109" spans="1:8">
      <c r="A109" s="207" t="str">
        <f>sample_database!C386</f>
        <v>NA</v>
      </c>
      <c r="B109" s="207" t="str">
        <f>sample_database!D386</f>
        <v>NA</v>
      </c>
      <c r="C109" s="202" t="str">
        <f>sample_database!E386</f>
        <v>刘文祥</v>
      </c>
      <c r="D109" s="202" t="str">
        <f>sample_database!F386</f>
        <v>53232219810509053X</v>
      </c>
      <c r="E109" s="202" t="str">
        <f>sample_database!G386</f>
        <v>18308789745</v>
      </c>
      <c r="F109" s="207" t="str">
        <f>sample_database!H386</f>
        <v>NA</v>
      </c>
      <c r="G109" s="202" t="str">
        <f>sample_database!I386</f>
        <v>NA</v>
      </c>
      <c r="H109" s="202" t="str">
        <f>sample_database!J386</f>
        <v>双柏县鄂嘉镇新厂村大龙汤1号</v>
      </c>
    </row>
    <row r="110" spans="1:8">
      <c r="A110" s="207" t="str">
        <f>sample_database!C390</f>
        <v>NA</v>
      </c>
      <c r="B110" s="207" t="str">
        <f>sample_database!D390</f>
        <v>NA</v>
      </c>
      <c r="C110" s="202" t="str">
        <f>sample_database!E390</f>
        <v>王以华</v>
      </c>
      <c r="D110" s="202" t="str">
        <f>sample_database!F390</f>
        <v>532322196606240517</v>
      </c>
      <c r="E110" s="202" t="str">
        <f>sample_database!G390</f>
        <v>18787867656</v>
      </c>
      <c r="F110" s="207" t="str">
        <f>sample_database!H390</f>
        <v>NA</v>
      </c>
      <c r="G110" s="202" t="str">
        <f>sample_database!I390</f>
        <v>鲁光荣</v>
      </c>
      <c r="H110" s="202" t="str">
        <f>sample_database!J390</f>
        <v>双柏县鄂嘉镇老厂村委会岔河大亳山</v>
      </c>
    </row>
    <row r="111" spans="1:8">
      <c r="A111" s="207" t="str">
        <f>sample_database!C395</f>
        <v>NA</v>
      </c>
      <c r="B111" s="207" t="str">
        <f>sample_database!D395</f>
        <v>NA</v>
      </c>
      <c r="C111" s="202" t="str">
        <f>sample_database!E395</f>
        <v>王开佐</v>
      </c>
      <c r="D111" s="202" t="str">
        <f>sample_database!F395</f>
        <v>53232219660611051X</v>
      </c>
      <c r="E111" s="202" t="str">
        <f>sample_database!G395</f>
        <v>15987828019</v>
      </c>
      <c r="F111" s="207" t="str">
        <f>sample_database!H395</f>
        <v>NA</v>
      </c>
      <c r="G111" s="202" t="str">
        <f>sample_database!I395</f>
        <v>周开洪</v>
      </c>
      <c r="H111" s="202" t="str">
        <f>sample_database!J395</f>
        <v>双柏县鄂嘉镇茶叶村委会三岔河管护点</v>
      </c>
    </row>
    <row r="112" spans="1:8">
      <c r="A112" s="207" t="str">
        <f>sample_database!C399</f>
        <v>NA</v>
      </c>
      <c r="B112" s="207" t="str">
        <f>sample_database!D399</f>
        <v>NA</v>
      </c>
      <c r="C112" s="202" t="str">
        <f>sample_database!E399</f>
        <v>张玉龙</v>
      </c>
      <c r="D112" s="202" t="str">
        <f>sample_database!F399</f>
        <v>532322196411020514</v>
      </c>
      <c r="E112" s="202" t="str">
        <f>sample_database!G399</f>
        <v>15288546609</v>
      </c>
      <c r="F112" s="207" t="str">
        <f>sample_database!H399</f>
        <v>NA</v>
      </c>
      <c r="G112" s="202" t="str">
        <f>sample_database!I399</f>
        <v>NA</v>
      </c>
      <c r="H112" s="202" t="str">
        <f>sample_database!J399</f>
        <v>双柏县鄂嘉镇新厂村委会张家社</v>
      </c>
    </row>
    <row r="113" spans="1:8">
      <c r="A113" s="207" t="str">
        <f>sample_database!C403</f>
        <v>NA</v>
      </c>
      <c r="B113" s="207" t="str">
        <f>sample_database!D403</f>
        <v>NA</v>
      </c>
      <c r="C113" s="202" t="str">
        <f>sample_database!E403</f>
        <v>王开宽</v>
      </c>
      <c r="D113" s="202" t="str">
        <f>sample_database!F403</f>
        <v>532322196912020512</v>
      </c>
      <c r="E113" s="202" t="str">
        <f>sample_database!G403</f>
        <v>13368784380</v>
      </c>
      <c r="F113" s="207" t="str">
        <f>sample_database!H403</f>
        <v>NA</v>
      </c>
      <c r="G113" s="202" t="str">
        <f>sample_database!I403</f>
        <v>王开润</v>
      </c>
      <c r="H113" s="202" t="str">
        <f>sample_database!J403</f>
        <v>双柏县鄂嘉镇茶叶村委会三岔河管护点</v>
      </c>
    </row>
    <row r="114" spans="1:8">
      <c r="A114" s="207" t="str">
        <f>sample_database!C408</f>
        <v>NA</v>
      </c>
      <c r="B114" s="207" t="str">
        <f>sample_database!D408</f>
        <v>NA</v>
      </c>
      <c r="C114" s="202" t="str">
        <f>sample_database!E408</f>
        <v>李发新</v>
      </c>
      <c r="D114" s="202" t="str">
        <f>sample_database!F408</f>
        <v>532428197303171911</v>
      </c>
      <c r="E114" s="202" t="str">
        <f>sample_database!G408</f>
        <v>18088911760</v>
      </c>
      <c r="F114" s="207" t="str">
        <f>sample_database!H408</f>
        <v>NA</v>
      </c>
      <c r="G114" s="202" t="str">
        <f>sample_database!I408</f>
        <v>NA</v>
      </c>
      <c r="H114" s="202" t="str">
        <f>sample_database!J408</f>
        <v>新平县者竜乡者竜村</v>
      </c>
    </row>
    <row r="115" spans="1:8">
      <c r="A115" s="207" t="str">
        <f>sample_database!C416</f>
        <v>NA</v>
      </c>
      <c r="B115" s="207" t="str">
        <f>sample_database!D416</f>
        <v>NA</v>
      </c>
      <c r="C115" s="202" t="str">
        <f>sample_database!E416</f>
        <v>张学林</v>
      </c>
      <c r="D115" s="202" t="str">
        <f>sample_database!F416</f>
        <v>530427197312242314</v>
      </c>
      <c r="E115" s="202" t="str">
        <f>sample_database!G416</f>
        <v>18088911726</v>
      </c>
      <c r="F115" s="207" t="str">
        <f>sample_database!H416</f>
        <v>NA</v>
      </c>
      <c r="G115" s="202" t="str">
        <f>sample_database!I416</f>
        <v>NA</v>
      </c>
      <c r="H115" s="202" t="str">
        <f>sample_database!J416</f>
        <v>新平县戛沙镇小坝多村阴波黑组</v>
      </c>
    </row>
    <row r="116" spans="1:8">
      <c r="A116" s="207" t="str">
        <f>sample_database!C421</f>
        <v>NA</v>
      </c>
      <c r="B116" s="207" t="str">
        <f>sample_database!D421</f>
        <v>NA</v>
      </c>
      <c r="C116" s="202" t="str">
        <f>sample_database!E421</f>
        <v>李荣兵</v>
      </c>
      <c r="D116" s="202" t="str">
        <f>sample_database!F421</f>
        <v>532428197211161310</v>
      </c>
      <c r="E116" s="202" t="str">
        <f>sample_database!G421</f>
        <v>13577769875</v>
      </c>
      <c r="F116" s="207" t="str">
        <f>sample_database!H421</f>
        <v>NA</v>
      </c>
      <c r="G116" s="202" t="str">
        <f>sample_database!I421</f>
        <v>NA</v>
      </c>
      <c r="H116" s="202" t="str">
        <f>sample_database!J421</f>
        <v>新平水塘波村杨家箐</v>
      </c>
    </row>
    <row r="117" spans="1:8">
      <c r="A117" s="207" t="str">
        <f>sample_database!C422</f>
        <v>NA</v>
      </c>
      <c r="B117" s="207" t="str">
        <f>sample_database!D422</f>
        <v>NA</v>
      </c>
      <c r="C117" s="202" t="str">
        <f>sample_database!E422</f>
        <v>李荣兵</v>
      </c>
      <c r="D117" s="202" t="str">
        <f>sample_database!F422</f>
        <v>532428197211161310</v>
      </c>
      <c r="E117" s="202" t="str">
        <f>sample_database!G422</f>
        <v>13577769875</v>
      </c>
      <c r="F117" s="207" t="str">
        <f>sample_database!H422</f>
        <v>NA</v>
      </c>
      <c r="G117" s="202" t="str">
        <f>sample_database!I422</f>
        <v>NA</v>
      </c>
      <c r="H117" s="202" t="str">
        <f>sample_database!J422</f>
        <v>新平水塘波村老牛场</v>
      </c>
    </row>
    <row r="118" spans="1:8">
      <c r="A118" s="207" t="str">
        <f>sample_database!C423</f>
        <v>NA</v>
      </c>
      <c r="B118" s="207" t="str">
        <f>sample_database!D423</f>
        <v>NA</v>
      </c>
      <c r="C118" s="202" t="str">
        <f>sample_database!E423</f>
        <v>张立德</v>
      </c>
      <c r="D118" s="202" t="str">
        <f>sample_database!F423</f>
        <v>530427197904142114</v>
      </c>
      <c r="E118" s="202" t="str">
        <f>sample_database!G423</f>
        <v>15284433862</v>
      </c>
      <c r="F118" s="207" t="str">
        <f>sample_database!H423</f>
        <v>NA</v>
      </c>
      <c r="G118" s="202" t="str">
        <f>sample_database!I423</f>
        <v>NA</v>
      </c>
      <c r="H118" s="202" t="str">
        <f>sample_database!J423</f>
        <v>NA</v>
      </c>
    </row>
    <row r="119" spans="1:8">
      <c r="A119" s="207" t="str">
        <f>sample_database!C428</f>
        <v>NA</v>
      </c>
      <c r="B119" s="207" t="str">
        <f>sample_database!D428</f>
        <v>NA</v>
      </c>
      <c r="C119" s="202" t="str">
        <f>sample_database!E428</f>
        <v>李荣昌</v>
      </c>
      <c r="D119" s="202" t="str">
        <f>sample_database!F428</f>
        <v>530427197009161351</v>
      </c>
      <c r="E119" s="202" t="str">
        <f>sample_database!G428</f>
        <v>18787771048</v>
      </c>
      <c r="F119" s="207" t="str">
        <f>sample_database!H428</f>
        <v>NA</v>
      </c>
      <c r="G119" s="202" t="str">
        <f>sample_database!I428</f>
        <v>NA</v>
      </c>
      <c r="H119" s="202" t="str">
        <f>sample_database!J428</f>
        <v>新平县戛洒镇发启盘龙</v>
      </c>
    </row>
    <row r="120" spans="1:8">
      <c r="A120" s="207" t="str">
        <f>sample_database!C433</f>
        <v>NA</v>
      </c>
      <c r="B120" s="207" t="str">
        <f>sample_database!D433</f>
        <v>NA</v>
      </c>
      <c r="C120" s="202" t="str">
        <f>sample_database!E433</f>
        <v>张春应</v>
      </c>
      <c r="D120" s="202" t="str">
        <f>sample_database!F433</f>
        <v>530427197801080950</v>
      </c>
      <c r="E120" s="202" t="str">
        <f>sample_database!G433</f>
        <v>18088911725</v>
      </c>
      <c r="F120" s="207" t="str">
        <f>sample_database!H433</f>
        <v>NA</v>
      </c>
      <c r="G120" s="202" t="str">
        <f>sample_database!I433</f>
        <v>NA</v>
      </c>
      <c r="H120" s="202" t="str">
        <f>sample_database!J433</f>
        <v>NA</v>
      </c>
    </row>
    <row r="121" spans="1:8">
      <c r="A121" s="207" t="str">
        <f>sample_database!C438</f>
        <v>NA</v>
      </c>
      <c r="B121" s="207" t="str">
        <f>sample_database!D438</f>
        <v>NA</v>
      </c>
      <c r="C121" s="202" t="str">
        <f>sample_database!E438</f>
        <v>张明忠</v>
      </c>
      <c r="D121" s="202" t="str">
        <f>sample_database!F438</f>
        <v>532428196404082139</v>
      </c>
      <c r="E121" s="202" t="str">
        <f>sample_database!G438</f>
        <v>13988455214</v>
      </c>
      <c r="F121" s="207" t="str">
        <f>sample_database!H438</f>
        <v>NA</v>
      </c>
      <c r="G121" s="202" t="str">
        <f>sample_database!I438</f>
        <v>NA</v>
      </c>
      <c r="H121" s="202" t="str">
        <f>sample_database!J438</f>
        <v>新平县戛洒镇耀南村金山原始森林</v>
      </c>
    </row>
    <row r="122" spans="1:8">
      <c r="A122" s="207" t="str">
        <f>sample_database!C443</f>
        <v>NA</v>
      </c>
      <c r="B122" s="207" t="str">
        <f>sample_database!D443</f>
        <v>NA</v>
      </c>
      <c r="C122" s="202" t="str">
        <f>sample_database!E443</f>
        <v>自正荣</v>
      </c>
      <c r="D122" s="202" t="str">
        <f>sample_database!F443</f>
        <v>532428196808241116</v>
      </c>
      <c r="E122" s="202" t="str">
        <f>sample_database!G443</f>
        <v>18088911723</v>
      </c>
      <c r="F122" s="207" t="str">
        <f>sample_database!H443</f>
        <v>NA</v>
      </c>
      <c r="G122" s="202" t="str">
        <f>sample_database!I443</f>
        <v>NA</v>
      </c>
      <c r="H122" s="202" t="str">
        <f>sample_database!J443</f>
        <v>新平县建兴乡磨味村狗头坡组</v>
      </c>
    </row>
    <row r="123" spans="1:8">
      <c r="A123" s="207" t="str">
        <f>sample_database!C448</f>
        <v>NA</v>
      </c>
      <c r="B123" s="207" t="str">
        <f>sample_database!D448</f>
        <v>NA</v>
      </c>
      <c r="C123" s="202" t="str">
        <f>sample_database!E448</f>
        <v>普国全</v>
      </c>
      <c r="D123" s="202" t="str">
        <f>sample_database!F448</f>
        <v>530427197601131311</v>
      </c>
      <c r="E123" s="202" t="str">
        <f>sample_database!G448</f>
        <v>18724831039</v>
      </c>
      <c r="F123" s="207" t="str">
        <f>sample_database!H448</f>
        <v>NA</v>
      </c>
      <c r="G123" s="202" t="str">
        <f>sample_database!I448</f>
        <v>NA</v>
      </c>
      <c r="H123" s="202" t="str">
        <f>sample_database!J448</f>
        <v>新平县戛洒镇耀南村（长臂猿听点）</v>
      </c>
    </row>
    <row r="124" spans="1:8">
      <c r="A124" s="207" t="str">
        <f>sample_database!C453</f>
        <v>NA</v>
      </c>
      <c r="B124" s="207" t="str">
        <f>sample_database!D453</f>
        <v>NA</v>
      </c>
      <c r="C124" s="202" t="str">
        <f>sample_database!E453</f>
        <v>王平</v>
      </c>
      <c r="D124" s="202" t="str">
        <f>sample_database!F453</f>
        <v>532428197510250911</v>
      </c>
      <c r="E124" s="202" t="str">
        <f>sample_database!G453</f>
        <v>18088911719</v>
      </c>
      <c r="F124" s="207" t="str">
        <f>sample_database!H453</f>
        <v>NA</v>
      </c>
      <c r="G124" s="202" t="str">
        <f>sample_database!I453</f>
        <v>NA</v>
      </c>
      <c r="H124" s="202" t="str">
        <f>sample_database!J453</f>
        <v>NA</v>
      </c>
    </row>
    <row r="125" spans="1:8">
      <c r="A125" s="207" t="str">
        <f>sample_database!C458</f>
        <v>NA</v>
      </c>
      <c r="B125" s="207" t="str">
        <f>sample_database!D458</f>
        <v>NA</v>
      </c>
      <c r="C125" s="202" t="str">
        <f>sample_database!E458</f>
        <v>李荣兵</v>
      </c>
      <c r="D125" s="202" t="str">
        <f>sample_database!F458</f>
        <v>532428197211161310</v>
      </c>
      <c r="E125" s="202" t="str">
        <f>sample_database!G458</f>
        <v>13577769875</v>
      </c>
      <c r="F125" s="207" t="str">
        <f>sample_database!H458</f>
        <v>NA</v>
      </c>
      <c r="G125" s="202" t="str">
        <f>sample_database!I458</f>
        <v>NA</v>
      </c>
      <c r="H125" s="202" t="str">
        <f>sample_database!J458</f>
        <v>新平县戛洒镇耀南村</v>
      </c>
    </row>
    <row r="126" spans="1:8">
      <c r="A126" s="207" t="str">
        <f>sample_database!C463</f>
        <v>NA</v>
      </c>
      <c r="B126" s="207" t="str">
        <f>sample_database!D463</f>
        <v>NA</v>
      </c>
      <c r="C126" s="202" t="str">
        <f>sample_database!E463</f>
        <v>四-李世冲</v>
      </c>
      <c r="D126" s="202" t="str">
        <f>sample_database!F463</f>
        <v>532428197512191337</v>
      </c>
      <c r="E126" s="165">
        <f>sample_database!G463</f>
        <v>15969317098</v>
      </c>
      <c r="F126" s="207" t="str">
        <f>sample_database!H463</f>
        <v>NA</v>
      </c>
      <c r="G126" s="202" t="str">
        <f>sample_database!I463</f>
        <v>NA</v>
      </c>
      <c r="H126" s="202" t="str">
        <f>sample_database!J463</f>
        <v>新平县戛洒发启火山</v>
      </c>
    </row>
    <row r="127" spans="1:8">
      <c r="A127" s="207" t="str">
        <f>sample_database!C465</f>
        <v>NA</v>
      </c>
      <c r="B127" s="207" t="str">
        <f>sample_database!D465</f>
        <v>NA</v>
      </c>
      <c r="C127" s="202" t="str">
        <f>sample_database!E465</f>
        <v>四-李宗平</v>
      </c>
      <c r="D127" s="202" t="str">
        <f>sample_database!F465</f>
        <v>532428198209091311</v>
      </c>
      <c r="E127" s="165">
        <f>sample_database!G465</f>
        <v>18088911702</v>
      </c>
      <c r="F127" s="207" t="str">
        <f>sample_database!H465</f>
        <v>NA</v>
      </c>
      <c r="G127" s="202" t="str">
        <f>sample_database!I465</f>
        <v>NA</v>
      </c>
      <c r="H127" s="202" t="str">
        <f>sample_database!J465</f>
        <v>新平县戛洒镇耀南村云盘</v>
      </c>
    </row>
    <row r="128" spans="1:8">
      <c r="A128" s="207" t="str">
        <f>sample_database!C467</f>
        <v>NA</v>
      </c>
      <c r="B128" s="207" t="str">
        <f>sample_database!D467</f>
        <v>NA</v>
      </c>
      <c r="C128" s="202" t="str">
        <f>sample_database!E467</f>
        <v>四-余朝明</v>
      </c>
      <c r="D128" s="202" t="str">
        <f>sample_database!F467</f>
        <v>532428196006121331</v>
      </c>
      <c r="E128" s="165">
        <f>sample_database!G467</f>
        <v>13577786771</v>
      </c>
      <c r="F128" s="207" t="str">
        <f>sample_database!H467</f>
        <v>NA</v>
      </c>
      <c r="G128" s="202" t="str">
        <f>sample_database!I467</f>
        <v>NA</v>
      </c>
      <c r="H128" s="202" t="str">
        <f>sample_database!J467</f>
        <v>新平县戛洒镇耀南村徐？草塘22号</v>
      </c>
    </row>
    <row r="129" spans="1:8">
      <c r="A129" s="207" t="str">
        <f>sample_database!C468</f>
        <v>NA</v>
      </c>
      <c r="B129" s="207" t="str">
        <f>sample_database!D468</f>
        <v>NA</v>
      </c>
      <c r="C129" s="202" t="str">
        <f>sample_database!E468</f>
        <v>吴丙华</v>
      </c>
      <c r="D129" s="202" t="str">
        <f>sample_database!F468</f>
        <v>532724197507121212</v>
      </c>
      <c r="E129" s="202" t="str">
        <f>sample_database!G468</f>
        <v>15925295292</v>
      </c>
      <c r="F129" s="207" t="str">
        <f>sample_database!H468</f>
        <v>NA</v>
      </c>
      <c r="G129" s="202" t="str">
        <f>sample_database!I468</f>
        <v>NA</v>
      </c>
      <c r="H129" s="202" t="str">
        <f>sample_database!J468</f>
        <v>景东花山秀龙大山组苦桥地洞</v>
      </c>
    </row>
    <row r="130" spans="1:8">
      <c r="A130" s="207" t="str">
        <f>sample_database!C471</f>
        <v>NA</v>
      </c>
      <c r="B130" s="207" t="str">
        <f>sample_database!D471</f>
        <v>NA</v>
      </c>
      <c r="C130" s="202" t="str">
        <f>sample_database!E471</f>
        <v>杨华安</v>
      </c>
      <c r="D130" s="202" t="str">
        <f>sample_database!F471</f>
        <v>532724197908142110</v>
      </c>
      <c r="E130" s="202" t="str">
        <f>sample_database!G471</f>
        <v>13577971579</v>
      </c>
      <c r="F130" s="207" t="str">
        <f>sample_database!H471</f>
        <v>NA</v>
      </c>
      <c r="G130" s="202" t="str">
        <f>sample_database!I471</f>
        <v>NA</v>
      </c>
      <c r="H130" s="202" t="str">
        <f>sample_database!J471</f>
        <v>龙街乡垭口村小看马组</v>
      </c>
    </row>
    <row r="131" spans="1:8">
      <c r="A131" s="207" t="str">
        <f>sample_database!C473</f>
        <v>NA</v>
      </c>
      <c r="B131" s="207" t="str">
        <f>sample_database!D473</f>
        <v>NA</v>
      </c>
      <c r="C131" s="202" t="str">
        <f>sample_database!E473</f>
        <v>杨朝华</v>
      </c>
      <c r="D131" s="202" t="str">
        <f>sample_database!F473</f>
        <v>532724198511291833</v>
      </c>
      <c r="E131" s="202" t="str">
        <f>sample_database!G473</f>
        <v>15125342326</v>
      </c>
      <c r="F131" s="207" t="str">
        <f>sample_database!H473</f>
        <v>NA</v>
      </c>
      <c r="G131" s="202" t="str">
        <f>sample_database!I473</f>
        <v>NA</v>
      </c>
      <c r="H131" s="202" t="str">
        <f>sample_database!J473</f>
        <v>景东县太忠镇方家箐村上村组</v>
      </c>
    </row>
    <row r="132" spans="1:8">
      <c r="A132" s="207" t="str">
        <f>sample_database!C477</f>
        <v>NA</v>
      </c>
      <c r="B132" s="207" t="str">
        <f>sample_database!D477</f>
        <v>NA</v>
      </c>
      <c r="C132" s="202" t="str">
        <f>sample_database!E477</f>
        <v>王太如</v>
      </c>
      <c r="D132" s="202" t="str">
        <f>sample_database!F477</f>
        <v>532301198610053113</v>
      </c>
      <c r="E132" s="202" t="str">
        <f>sample_database!G477</f>
        <v>15891821981</v>
      </c>
      <c r="F132" s="207" t="str">
        <f>sample_database!H477</f>
        <v>NA</v>
      </c>
      <c r="G132" s="202" t="str">
        <f>sample_database!I477</f>
        <v>NA</v>
      </c>
      <c r="H132" s="202" t="str">
        <f>sample_database!J477</f>
        <v>楚雄西舍路闸上村委会苍铺塘村</v>
      </c>
    </row>
    <row r="133" spans="1:8">
      <c r="A133" s="207" t="str">
        <f>sample_database!C482</f>
        <v>NA</v>
      </c>
      <c r="B133" s="207" t="str">
        <f>sample_database!D482</f>
        <v>NA</v>
      </c>
      <c r="C133" s="202" t="str">
        <f>sample_database!E482</f>
        <v>李坤</v>
      </c>
      <c r="D133" s="202" t="str">
        <f>sample_database!F482</f>
        <v>NA</v>
      </c>
      <c r="E133" s="202" t="str">
        <f>sample_database!G482</f>
        <v>NA</v>
      </c>
      <c r="F133" s="207" t="str">
        <f>sample_database!H482</f>
        <v>NA</v>
      </c>
      <c r="G133" s="202" t="str">
        <f>sample_database!I482</f>
        <v>NA</v>
      </c>
      <c r="H133" s="202" t="str">
        <f>sample_database!J482</f>
        <v>镇沅县者东镇麦地村</v>
      </c>
    </row>
    <row r="134" spans="1:8">
      <c r="A134" s="207">
        <f>sample_database!C483</f>
        <v>163</v>
      </c>
      <c r="B134" s="207">
        <f>sample_database!D483</f>
        <v>163</v>
      </c>
      <c r="C134" s="202" t="str">
        <f>sample_database!E483</f>
        <v>范学恩</v>
      </c>
      <c r="D134" s="202" t="str">
        <f>sample_database!F483</f>
        <v>532726196904061254</v>
      </c>
      <c r="E134" s="202" t="str">
        <f>sample_database!G483</f>
        <v>13648795316</v>
      </c>
      <c r="F134" s="207" t="str">
        <f>sample_database!H483</f>
        <v>NA</v>
      </c>
      <c r="G134" s="202" t="str">
        <f>sample_database!I483</f>
        <v>NA</v>
      </c>
      <c r="H134" s="202" t="str">
        <f>sample_database!J483</f>
        <v>镇沅东洒村</v>
      </c>
    </row>
    <row r="135" spans="1:8">
      <c r="A135" s="207" t="str">
        <f>sample_database!C484</f>
        <v>NA</v>
      </c>
      <c r="B135" s="207" t="str">
        <f>sample_database!D484</f>
        <v>NA</v>
      </c>
      <c r="C135" s="202" t="str">
        <f>sample_database!E484</f>
        <v>周国宇</v>
      </c>
      <c r="D135" s="202" t="str">
        <f>sample_database!F484</f>
        <v>532726195812282411</v>
      </c>
      <c r="E135" s="202" t="str">
        <f>sample_database!G484</f>
        <v>13987907342</v>
      </c>
      <c r="F135" s="207" t="str">
        <f>sample_database!H484</f>
        <v>NA</v>
      </c>
      <c r="G135" s="202" t="str">
        <f>sample_database!I484</f>
        <v>NA</v>
      </c>
      <c r="H135" s="202" t="str">
        <f>sample_database!J484</f>
        <v>镇沅县者东镇木丁村大山小组</v>
      </c>
    </row>
    <row r="136" spans="1:8">
      <c r="A136" s="207" t="str">
        <f>sample_database!C488</f>
        <v>NA</v>
      </c>
      <c r="B136" s="207" t="str">
        <f>sample_database!D488</f>
        <v>NA</v>
      </c>
      <c r="C136" s="202" t="str">
        <f>sample_database!E488</f>
        <v>李加坤</v>
      </c>
      <c r="D136" s="202" t="str">
        <f>sample_database!F488</f>
        <v>532726196205242412</v>
      </c>
      <c r="E136" s="202" t="str">
        <f>sample_database!G488</f>
        <v>15987982717</v>
      </c>
      <c r="F136" s="207" t="str">
        <f>sample_database!H488</f>
        <v>NA</v>
      </c>
      <c r="G136" s="202" t="str">
        <f>sample_database!I488</f>
        <v>NA</v>
      </c>
      <c r="H136" s="202" t="str">
        <f>sample_database!J488</f>
        <v>镇沅县者东镇樟盆村延樟盆组</v>
      </c>
    </row>
    <row r="137" spans="1:8">
      <c r="A137" s="207" t="str">
        <f>sample_database!C492</f>
        <v>NA</v>
      </c>
      <c r="B137" s="207" t="str">
        <f>sample_database!D492</f>
        <v>NA</v>
      </c>
      <c r="C137" s="202" t="str">
        <f>sample_database!E492</f>
        <v>普宁</v>
      </c>
      <c r="D137" s="202" t="str">
        <f>sample_database!F492</f>
        <v>NA</v>
      </c>
      <c r="E137" s="202" t="str">
        <f>sample_database!G492</f>
        <v>18387927336</v>
      </c>
      <c r="F137" s="207" t="str">
        <f>sample_database!H492</f>
        <v>NA</v>
      </c>
      <c r="G137" s="202" t="str">
        <f>sample_database!I492</f>
        <v>NA</v>
      </c>
      <c r="H137" s="202" t="str">
        <f>sample_database!J492</f>
        <v>镇沅县九甲镇文岗村争山组</v>
      </c>
    </row>
    <row r="138" spans="1:8">
      <c r="A138" s="207" t="str">
        <f>sample_database!C494</f>
        <v>NA</v>
      </c>
      <c r="B138" s="207" t="str">
        <f>sample_database!D494</f>
        <v>NA</v>
      </c>
      <c r="C138" s="202" t="str">
        <f>sample_database!E494</f>
        <v>NA</v>
      </c>
      <c r="D138" s="202" t="str">
        <f>sample_database!F494</f>
        <v>NA</v>
      </c>
      <c r="E138" s="202" t="str">
        <f>sample_database!G494</f>
        <v>NA</v>
      </c>
      <c r="F138" s="207" t="str">
        <f>sample_database!H494</f>
        <v>NA</v>
      </c>
      <c r="G138" s="202" t="str">
        <f>sample_database!I494</f>
        <v>NA</v>
      </c>
      <c r="H138" s="202" t="str">
        <f>sample_database!J494</f>
        <v>镇沅县九甲镇文岗村争山组</v>
      </c>
    </row>
    <row r="139" spans="1:8">
      <c r="A139" s="207" t="str">
        <f>sample_database!C495</f>
        <v>NA</v>
      </c>
      <c r="B139" s="207" t="str">
        <f>sample_database!D495</f>
        <v>NA</v>
      </c>
      <c r="C139" s="202" t="str">
        <f>sample_database!E495</f>
        <v>李昌恩</v>
      </c>
      <c r="D139" s="202" t="str">
        <f>sample_database!F495</f>
        <v>53272619740801211X</v>
      </c>
      <c r="E139" s="202" t="str">
        <f>sample_database!G495</f>
        <v>15125687717</v>
      </c>
      <c r="F139" s="207" t="str">
        <f>sample_database!H495</f>
        <v>NA</v>
      </c>
      <c r="G139" s="202" t="str">
        <f>sample_database!I495</f>
        <v>NA</v>
      </c>
      <c r="H139" s="202" t="str">
        <f>sample_database!J495</f>
        <v>镇沅县九甲镇果吉村</v>
      </c>
    </row>
    <row r="140" spans="1:8">
      <c r="A140" s="207" t="str">
        <f>sample_database!C497</f>
        <v>NA</v>
      </c>
      <c r="B140" s="207" t="str">
        <f>sample_database!D497</f>
        <v>NA</v>
      </c>
      <c r="C140" s="202" t="str">
        <f>sample_database!E497</f>
        <v>施国强</v>
      </c>
      <c r="D140" s="202" t="str">
        <f>sample_database!F497</f>
        <v>NA</v>
      </c>
      <c r="E140" s="202" t="str">
        <f>sample_database!G497</f>
        <v>NA</v>
      </c>
      <c r="F140" s="207" t="str">
        <f>sample_database!H497</f>
        <v>NA</v>
      </c>
      <c r="G140" s="202" t="str">
        <f>sample_database!I497</f>
        <v>NA</v>
      </c>
      <c r="H140" s="202" t="str">
        <f>sample_database!J497</f>
        <v>大中山</v>
      </c>
    </row>
    <row r="141" spans="1:8">
      <c r="A141" s="207" t="str">
        <f>sample_database!C498</f>
        <v>NA</v>
      </c>
      <c r="B141" s="207" t="str">
        <f>sample_database!D498</f>
        <v>NA</v>
      </c>
      <c r="C141" s="202" t="str">
        <f>sample_database!E498</f>
        <v>罗文洪</v>
      </c>
      <c r="D141" s="202" t="str">
        <f>sample_database!F498</f>
        <v>NA</v>
      </c>
      <c r="E141" s="202" t="str">
        <f>sample_database!G498</f>
        <v>NA</v>
      </c>
      <c r="F141" s="207" t="str">
        <f>sample_database!H498</f>
        <v>NA</v>
      </c>
      <c r="G141" s="202" t="str">
        <f>sample_database!I498</f>
        <v>NA</v>
      </c>
      <c r="H141" s="202" t="str">
        <f>sample_database!J498</f>
        <v>大中山</v>
      </c>
    </row>
    <row r="142" spans="1:8">
      <c r="A142" s="207" t="str">
        <f>sample_database!C499</f>
        <v>NA</v>
      </c>
      <c r="B142" s="207" t="str">
        <f>sample_database!D499</f>
        <v>NA</v>
      </c>
      <c r="C142" s="202" t="str">
        <f>sample_database!E499</f>
        <v>李茂天</v>
      </c>
      <c r="D142" s="202" t="str">
        <f>sample_database!F499</f>
        <v>532324197705112112</v>
      </c>
      <c r="E142" s="202" t="str">
        <f>sample_database!G499</f>
        <v>13769251821</v>
      </c>
      <c r="F142" s="207" t="str">
        <f>sample_database!H499</f>
        <v>NA</v>
      </c>
      <c r="G142" s="202" t="str">
        <f>sample_database!I499</f>
        <v>NA</v>
      </c>
      <c r="H142" s="202" t="str">
        <f>sample_database!J499</f>
        <v>南华县五顶山乡王家村委会山花地小组</v>
      </c>
    </row>
    <row r="143" spans="1:8">
      <c r="A143" s="207">
        <f>sample_database!C500</f>
        <v>58</v>
      </c>
      <c r="B143" s="207">
        <f>sample_database!D500</f>
        <v>58</v>
      </c>
      <c r="C143" s="202" t="str">
        <f>sample_database!E500</f>
        <v>李桂芳</v>
      </c>
      <c r="D143" s="202" t="str">
        <f>sample_database!F500</f>
        <v>NA</v>
      </c>
      <c r="E143" s="202" t="str">
        <f>sample_database!G500</f>
        <v>14769336960</v>
      </c>
      <c r="F143" s="207" t="str">
        <f>sample_database!H500</f>
        <v>NA</v>
      </c>
      <c r="G143" s="202" t="str">
        <f>sample_database!I500</f>
        <v>NA</v>
      </c>
      <c r="H143" s="202" t="str">
        <f>sample_database!J500</f>
        <v>南华县兔街镇半坡村委会大荒田村</v>
      </c>
    </row>
    <row r="144" spans="1:8">
      <c r="A144" s="207">
        <f>sample_database!C501</f>
        <v>56</v>
      </c>
      <c r="B144" s="207">
        <f>sample_database!D501</f>
        <v>56</v>
      </c>
      <c r="C144" s="202" t="str">
        <f>sample_database!E501</f>
        <v>何成富</v>
      </c>
      <c r="D144" s="202" t="str">
        <f>sample_database!F501</f>
        <v>NA</v>
      </c>
      <c r="E144" s="202" t="str">
        <f>sample_database!G501</f>
        <v>13987812514</v>
      </c>
      <c r="F144" s="207" t="str">
        <f>sample_database!H501</f>
        <v>NA</v>
      </c>
      <c r="G144" s="202" t="str">
        <f>sample_database!I501</f>
        <v>NA</v>
      </c>
      <c r="H144" s="202" t="str">
        <f>sample_database!J501</f>
        <v>南华县大中山保护区管理局</v>
      </c>
    </row>
    <row r="145" spans="1:8">
      <c r="A145" s="207" t="str">
        <f>sample_database!C502</f>
        <v>NA</v>
      </c>
      <c r="B145" s="207" t="str">
        <f>sample_database!D502</f>
        <v>NA</v>
      </c>
      <c r="C145" s="202" t="str">
        <f>sample_database!E502</f>
        <v>自国先</v>
      </c>
      <c r="D145" s="202" t="str">
        <f>sample_database!F502</f>
        <v>532324196808102553</v>
      </c>
      <c r="E145" s="202" t="str">
        <f>sample_database!G502</f>
        <v>13987848860</v>
      </c>
      <c r="F145" s="207" t="str">
        <f>sample_database!H502</f>
        <v>NA</v>
      </c>
      <c r="G145" s="202" t="str">
        <f>sample_database!I502</f>
        <v>NA</v>
      </c>
      <c r="H145" s="202" t="str">
        <f>sample_database!J502</f>
        <v>南华县兔街镇长梁孜中山村</v>
      </c>
    </row>
    <row r="146" spans="1:8">
      <c r="A146" s="207" t="str">
        <f>sample_database!C504</f>
        <v>NA</v>
      </c>
      <c r="B146" s="207" t="str">
        <f>sample_database!D504</f>
        <v>NA</v>
      </c>
      <c r="C146" s="202" t="str">
        <f>sample_database!E504</f>
        <v>鲁新正</v>
      </c>
      <c r="D146" s="202" t="str">
        <f>sample_database!F504</f>
        <v>532324197611072519</v>
      </c>
      <c r="E146" s="202" t="str">
        <f>sample_database!G504</f>
        <v>15974785742</v>
      </c>
      <c r="F146" s="207" t="str">
        <f>sample_database!H504</f>
        <v>NA</v>
      </c>
      <c r="G146" s="202" t="str">
        <f>sample_database!I504</f>
        <v>NA</v>
      </c>
      <c r="H146" s="202" t="str">
        <f>sample_database!J504</f>
        <v>南华县兔街镇干龙潭村委会上村</v>
      </c>
    </row>
    <row r="147" spans="1:8">
      <c r="A147" s="207">
        <f>sample_database!C506</f>
        <v>67</v>
      </c>
      <c r="B147" s="207">
        <f>sample_database!D506</f>
        <v>67</v>
      </c>
      <c r="C147" s="202" t="str">
        <f>sample_database!E506</f>
        <v>张应有</v>
      </c>
      <c r="D147" s="202" t="str">
        <f>sample_database!F506</f>
        <v>532324197002172514</v>
      </c>
      <c r="E147" s="202" t="str">
        <f>sample_database!G506</f>
        <v>15096454725</v>
      </c>
      <c r="F147" s="207" t="str">
        <f>sample_database!H506</f>
        <v>NA</v>
      </c>
      <c r="G147" s="202" t="str">
        <f>sample_database!I506</f>
        <v>NA</v>
      </c>
      <c r="H147" s="202" t="str">
        <f>sample_database!J506</f>
        <v>南华县兔街镇嘴孜村兔街站</v>
      </c>
    </row>
    <row r="148" spans="1:8">
      <c r="A148"/>
      <c r="B148"/>
      <c r="C148"/>
      <c r="D148"/>
      <c r="E148"/>
      <c r="F148"/>
      <c r="G148"/>
      <c r="H148"/>
    </row>
    <row r="149" spans="1:8">
      <c r="A149"/>
      <c r="B149"/>
      <c r="C149"/>
      <c r="D149"/>
      <c r="E149"/>
      <c r="F149"/>
      <c r="G149"/>
      <c r="H149"/>
    </row>
    <row r="150" spans="1:8">
      <c r="A150"/>
      <c r="B150"/>
      <c r="C150"/>
      <c r="D150"/>
      <c r="E150"/>
      <c r="F150"/>
      <c r="G150"/>
      <c r="H150"/>
    </row>
    <row r="151" spans="1:8">
      <c r="A151"/>
      <c r="B151"/>
      <c r="C151"/>
      <c r="D151"/>
      <c r="E151"/>
      <c r="F151"/>
      <c r="G151"/>
      <c r="H151"/>
    </row>
    <row r="152" spans="1:8">
      <c r="A152"/>
      <c r="B152"/>
      <c r="C152"/>
      <c r="D152"/>
      <c r="E152"/>
      <c r="F152"/>
      <c r="G152"/>
      <c r="H152"/>
    </row>
    <row r="153" spans="1:8">
      <c r="A153"/>
      <c r="B153"/>
      <c r="C153"/>
      <c r="D153"/>
      <c r="E153"/>
      <c r="F153"/>
      <c r="G153"/>
      <c r="H153"/>
    </row>
    <row r="154" spans="1:8">
      <c r="A154"/>
      <c r="B154"/>
      <c r="C154"/>
      <c r="D154"/>
      <c r="E154"/>
      <c r="F154"/>
      <c r="G154"/>
      <c r="H154"/>
    </row>
    <row r="155" spans="1:8">
      <c r="A155"/>
      <c r="B155"/>
      <c r="C155"/>
      <c r="D155"/>
      <c r="E155"/>
      <c r="F155"/>
      <c r="G155"/>
      <c r="H155"/>
    </row>
    <row r="156" spans="1:8">
      <c r="A156"/>
      <c r="B156"/>
      <c r="C156"/>
      <c r="D156"/>
      <c r="E156"/>
      <c r="F156"/>
      <c r="G156"/>
      <c r="H156"/>
    </row>
    <row r="157" spans="1:8">
      <c r="A157"/>
      <c r="B157"/>
      <c r="C157"/>
      <c r="D157"/>
      <c r="E157"/>
      <c r="F157"/>
      <c r="G157"/>
      <c r="H157"/>
    </row>
    <row r="158" spans="1:8">
      <c r="A158"/>
      <c r="B158"/>
      <c r="C158"/>
      <c r="D158"/>
      <c r="E158"/>
      <c r="F158"/>
      <c r="G158"/>
      <c r="H158"/>
    </row>
    <row r="159" spans="1:8">
      <c r="A159"/>
      <c r="B159"/>
      <c r="C159"/>
      <c r="D159"/>
      <c r="E159"/>
      <c r="F159"/>
      <c r="G159"/>
      <c r="H159"/>
    </row>
    <row r="160" spans="1:8">
      <c r="A160"/>
      <c r="B160"/>
      <c r="C160"/>
      <c r="D160"/>
      <c r="E160"/>
      <c r="F160"/>
      <c r="G160"/>
      <c r="H160"/>
    </row>
    <row r="161" spans="1:8">
      <c r="A161"/>
      <c r="B161"/>
      <c r="C161"/>
      <c r="D161"/>
      <c r="E161"/>
      <c r="F161"/>
      <c r="G161"/>
      <c r="H161"/>
    </row>
    <row r="162" spans="1:8">
      <c r="A162"/>
      <c r="B162"/>
      <c r="C162"/>
      <c r="D162"/>
      <c r="E162"/>
      <c r="F162"/>
      <c r="G162"/>
      <c r="H162"/>
    </row>
    <row r="163" spans="1:8">
      <c r="A163"/>
      <c r="B163"/>
      <c r="C163"/>
      <c r="D163"/>
      <c r="E163"/>
      <c r="F163"/>
      <c r="G163"/>
      <c r="H163"/>
    </row>
    <row r="164" spans="1:8">
      <c r="A164"/>
      <c r="B164"/>
      <c r="C164"/>
      <c r="D164"/>
      <c r="E164"/>
      <c r="F164"/>
      <c r="G164"/>
      <c r="H164"/>
    </row>
    <row r="165" spans="1:8">
      <c r="A165"/>
      <c r="B165"/>
      <c r="C165"/>
      <c r="D165"/>
      <c r="E165"/>
      <c r="F165"/>
      <c r="G165"/>
      <c r="H165"/>
    </row>
    <row r="166" spans="1:8">
      <c r="A166"/>
      <c r="B166"/>
      <c r="C166"/>
      <c r="D166"/>
      <c r="E166"/>
      <c r="F166"/>
      <c r="G166"/>
      <c r="H166"/>
    </row>
    <row r="167" spans="1:8">
      <c r="A167"/>
      <c r="B167"/>
      <c r="C167"/>
      <c r="D167"/>
      <c r="E167"/>
      <c r="F167"/>
      <c r="G167"/>
      <c r="H167"/>
    </row>
    <row r="168" spans="1:8">
      <c r="A168"/>
      <c r="B168"/>
      <c r="C168"/>
      <c r="D168"/>
      <c r="E168"/>
      <c r="F168"/>
      <c r="G168"/>
      <c r="H168"/>
    </row>
    <row r="169" spans="1:8">
      <c r="A169"/>
      <c r="B169"/>
      <c r="C169"/>
      <c r="D169"/>
      <c r="E169"/>
      <c r="F169"/>
      <c r="G169"/>
      <c r="H169"/>
    </row>
    <row r="170" spans="1:8">
      <c r="A170"/>
      <c r="B170"/>
      <c r="C170"/>
      <c r="D170"/>
      <c r="E170"/>
      <c r="F170"/>
      <c r="G170"/>
      <c r="H170"/>
    </row>
    <row r="171" spans="1:8">
      <c r="A171"/>
      <c r="B171"/>
      <c r="C171"/>
      <c r="D171"/>
      <c r="E171"/>
      <c r="F171"/>
      <c r="G171"/>
      <c r="H171"/>
    </row>
    <row r="172" spans="1:8">
      <c r="A172"/>
      <c r="B172"/>
      <c r="C172"/>
      <c r="D172"/>
      <c r="E172"/>
      <c r="F172"/>
      <c r="G172"/>
      <c r="H172"/>
    </row>
    <row r="173" spans="1:8">
      <c r="A173"/>
      <c r="B173"/>
      <c r="C173"/>
      <c r="D173"/>
      <c r="E173"/>
      <c r="F173"/>
      <c r="G173"/>
      <c r="H173"/>
    </row>
    <row r="174" spans="1:8">
      <c r="A174"/>
      <c r="B174"/>
      <c r="C174"/>
      <c r="D174"/>
      <c r="E174"/>
      <c r="F174"/>
      <c r="G174"/>
      <c r="H174"/>
    </row>
    <row r="175" spans="1:8">
      <c r="A175"/>
      <c r="B175"/>
      <c r="C175"/>
      <c r="D175"/>
      <c r="E175"/>
      <c r="F175"/>
      <c r="G175"/>
      <c r="H175"/>
    </row>
    <row r="176" spans="1:8">
      <c r="A176"/>
      <c r="B176"/>
      <c r="C176"/>
      <c r="D176"/>
      <c r="E176"/>
      <c r="F176"/>
      <c r="G176"/>
      <c r="H176"/>
    </row>
    <row r="177" spans="1:8">
      <c r="A177"/>
      <c r="B177"/>
      <c r="C177"/>
      <c r="D177"/>
      <c r="E177"/>
      <c r="F177"/>
      <c r="G177"/>
      <c r="H177"/>
    </row>
    <row r="178" spans="1:8">
      <c r="A178"/>
      <c r="B178"/>
      <c r="C178"/>
      <c r="D178"/>
      <c r="E178"/>
      <c r="F178"/>
      <c r="G178"/>
      <c r="H178"/>
    </row>
    <row r="179" spans="1:8">
      <c r="A179"/>
      <c r="B179"/>
      <c r="C179"/>
      <c r="D179"/>
      <c r="E179"/>
      <c r="F179"/>
      <c r="G179"/>
      <c r="H179"/>
    </row>
    <row r="180" spans="1:8">
      <c r="A180"/>
      <c r="B180"/>
      <c r="C180"/>
      <c r="D180"/>
      <c r="E180"/>
      <c r="F180"/>
      <c r="G180"/>
      <c r="H180"/>
    </row>
    <row r="181" spans="1:8">
      <c r="A181"/>
      <c r="B181"/>
      <c r="C181"/>
      <c r="D181"/>
      <c r="E181"/>
      <c r="F181"/>
      <c r="G181"/>
      <c r="H181"/>
    </row>
    <row r="182" spans="1:8">
      <c r="A182"/>
      <c r="B182"/>
      <c r="C182"/>
      <c r="D182"/>
      <c r="E182"/>
      <c r="F182"/>
      <c r="G182"/>
      <c r="H182"/>
    </row>
    <row r="183" spans="1:8">
      <c r="A183"/>
      <c r="B183"/>
      <c r="C183"/>
      <c r="D183"/>
      <c r="E183"/>
      <c r="F183"/>
      <c r="G183"/>
      <c r="H183"/>
    </row>
    <row r="184" spans="1:8">
      <c r="A184"/>
      <c r="B184"/>
      <c r="C184"/>
      <c r="D184"/>
      <c r="E184"/>
      <c r="F184"/>
      <c r="G184"/>
      <c r="H184"/>
    </row>
    <row r="185" spans="1:8">
      <c r="A185"/>
      <c r="B185"/>
      <c r="C185"/>
      <c r="D185"/>
      <c r="E185"/>
      <c r="F185"/>
      <c r="G185"/>
      <c r="H185"/>
    </row>
    <row r="186" spans="1:8">
      <c r="A186"/>
      <c r="B186"/>
      <c r="C186"/>
      <c r="D186"/>
      <c r="E186"/>
      <c r="F186"/>
      <c r="G186"/>
      <c r="H186"/>
    </row>
    <row r="187" spans="1:8">
      <c r="A187"/>
      <c r="B187"/>
      <c r="C187"/>
      <c r="D187"/>
      <c r="E187"/>
      <c r="F187"/>
      <c r="G187"/>
      <c r="H187"/>
    </row>
    <row r="188" spans="1:8">
      <c r="A188"/>
      <c r="B188"/>
      <c r="C188"/>
      <c r="D188"/>
      <c r="E188"/>
      <c r="F188"/>
      <c r="G188"/>
      <c r="H188"/>
    </row>
    <row r="189" spans="1:8">
      <c r="A189"/>
      <c r="B189"/>
      <c r="C189"/>
      <c r="D189"/>
      <c r="E189"/>
      <c r="F189"/>
      <c r="G189"/>
      <c r="H189"/>
    </row>
    <row r="190" spans="1:8">
      <c r="A190"/>
      <c r="B190"/>
      <c r="C190"/>
      <c r="D190"/>
      <c r="E190"/>
      <c r="F190"/>
      <c r="G190"/>
      <c r="H190"/>
    </row>
    <row r="191" spans="1:8">
      <c r="A191"/>
      <c r="B191"/>
      <c r="C191"/>
      <c r="D191"/>
      <c r="E191"/>
      <c r="F191"/>
      <c r="G191"/>
      <c r="H191"/>
    </row>
    <row r="192" spans="1:8">
      <c r="A192"/>
      <c r="B192"/>
      <c r="C192"/>
      <c r="D192"/>
      <c r="E192"/>
      <c r="F192"/>
      <c r="G192"/>
      <c r="H192"/>
    </row>
    <row r="193" spans="1:8">
      <c r="A193"/>
      <c r="B193"/>
      <c r="C193"/>
      <c r="D193"/>
      <c r="E193"/>
      <c r="F193"/>
      <c r="G193"/>
      <c r="H193"/>
    </row>
    <row r="194" spans="1:8">
      <c r="A194"/>
      <c r="B194"/>
      <c r="C194"/>
      <c r="D194"/>
      <c r="E194"/>
      <c r="F194"/>
      <c r="G194"/>
      <c r="H194"/>
    </row>
    <row r="195" spans="1:8">
      <c r="A195"/>
      <c r="B195"/>
      <c r="C195"/>
      <c r="D195"/>
      <c r="E195"/>
      <c r="F195"/>
      <c r="G195"/>
      <c r="H195"/>
    </row>
    <row r="196" spans="1:8">
      <c r="A196"/>
      <c r="B196"/>
      <c r="C196"/>
      <c r="D196"/>
      <c r="E196"/>
      <c r="F196"/>
      <c r="G196"/>
      <c r="H196"/>
    </row>
    <row r="197" spans="1:8">
      <c r="A197"/>
      <c r="B197"/>
      <c r="C197"/>
      <c r="D197"/>
      <c r="E197"/>
      <c r="F197"/>
      <c r="G197"/>
      <c r="H197"/>
    </row>
    <row r="198" spans="1:8">
      <c r="A198"/>
      <c r="B198"/>
      <c r="C198"/>
      <c r="D198"/>
      <c r="E198"/>
      <c r="F198"/>
      <c r="G198"/>
      <c r="H198"/>
    </row>
    <row r="199" spans="1:8">
      <c r="A199"/>
      <c r="B199"/>
      <c r="C199"/>
      <c r="D199"/>
      <c r="E199"/>
      <c r="F199"/>
      <c r="G199"/>
      <c r="H199"/>
    </row>
    <row r="200" spans="1:8">
      <c r="A200"/>
      <c r="B200"/>
      <c r="C200"/>
      <c r="D200"/>
      <c r="E200"/>
      <c r="F200"/>
      <c r="G200"/>
      <c r="H200"/>
    </row>
    <row r="201" spans="1:8">
      <c r="A201"/>
      <c r="B201"/>
      <c r="C201"/>
      <c r="D201"/>
      <c r="E201"/>
      <c r="F201"/>
      <c r="G201"/>
      <c r="H201"/>
    </row>
    <row r="202" spans="1:8">
      <c r="A202"/>
      <c r="B202"/>
      <c r="C202"/>
      <c r="D202"/>
      <c r="E202"/>
      <c r="F202"/>
      <c r="G202"/>
      <c r="H202"/>
    </row>
    <row r="203" spans="1:8">
      <c r="A203"/>
      <c r="B203"/>
      <c r="C203"/>
      <c r="D203"/>
      <c r="E203"/>
      <c r="F203"/>
      <c r="G203"/>
      <c r="H203"/>
    </row>
    <row r="204" spans="1:8">
      <c r="A204"/>
      <c r="B204"/>
      <c r="C204"/>
      <c r="D204"/>
      <c r="E204"/>
      <c r="F204"/>
      <c r="G204"/>
      <c r="H204"/>
    </row>
    <row r="205" spans="1:8">
      <c r="A205"/>
      <c r="B205"/>
      <c r="C205"/>
      <c r="D205"/>
      <c r="E205"/>
      <c r="F205"/>
      <c r="G205"/>
      <c r="H205"/>
    </row>
    <row r="206" spans="1:8">
      <c r="A206"/>
      <c r="B206"/>
      <c r="C206"/>
      <c r="D206"/>
      <c r="E206"/>
      <c r="F206"/>
      <c r="G206"/>
      <c r="H206"/>
    </row>
    <row r="207" spans="1:8">
      <c r="A207"/>
      <c r="B207"/>
      <c r="C207"/>
      <c r="D207"/>
      <c r="E207"/>
      <c r="F207"/>
      <c r="G207"/>
      <c r="H207"/>
    </row>
    <row r="208" spans="1:8">
      <c r="A208"/>
      <c r="B208"/>
      <c r="C208"/>
      <c r="D208"/>
      <c r="E208"/>
      <c r="F208"/>
      <c r="G208"/>
      <c r="H208"/>
    </row>
    <row r="209" spans="1:8">
      <c r="A209"/>
      <c r="B209"/>
      <c r="C209"/>
      <c r="D209"/>
      <c r="E209"/>
      <c r="F209"/>
      <c r="G209"/>
      <c r="H209"/>
    </row>
    <row r="210" spans="1:8">
      <c r="A210"/>
      <c r="B210"/>
      <c r="C210"/>
      <c r="D210"/>
      <c r="E210"/>
      <c r="F210"/>
      <c r="G210"/>
      <c r="H210"/>
    </row>
    <row r="211" spans="1:8">
      <c r="A211"/>
      <c r="B211"/>
      <c r="C211"/>
      <c r="D211"/>
      <c r="E211"/>
      <c r="F211"/>
      <c r="G211"/>
      <c r="H211"/>
    </row>
    <row r="212" spans="1:8">
      <c r="A212"/>
      <c r="B212"/>
      <c r="C212"/>
      <c r="D212"/>
      <c r="E212"/>
      <c r="F212"/>
      <c r="G212"/>
      <c r="H212"/>
    </row>
    <row r="213" spans="1:8">
      <c r="A213"/>
      <c r="B213"/>
      <c r="C213"/>
      <c r="D213"/>
      <c r="E213"/>
      <c r="F213"/>
      <c r="G213"/>
      <c r="H213"/>
    </row>
    <row r="214" spans="1:8">
      <c r="A214"/>
      <c r="B214"/>
      <c r="C214"/>
      <c r="D214"/>
      <c r="E214"/>
      <c r="F214"/>
      <c r="G214"/>
      <c r="H214"/>
    </row>
    <row r="215" spans="1:8">
      <c r="A215"/>
      <c r="B215"/>
      <c r="C215"/>
      <c r="D215"/>
      <c r="E215"/>
      <c r="F215"/>
      <c r="G215"/>
      <c r="H215"/>
    </row>
    <row r="216" spans="1:8">
      <c r="A216"/>
      <c r="B216"/>
      <c r="C216"/>
      <c r="D216"/>
      <c r="E216"/>
      <c r="F216"/>
      <c r="G216"/>
      <c r="H216"/>
    </row>
    <row r="217" spans="1:8">
      <c r="A217"/>
      <c r="B217"/>
      <c r="C217"/>
      <c r="D217"/>
      <c r="E217"/>
      <c r="F217"/>
      <c r="G217"/>
      <c r="H217"/>
    </row>
    <row r="218" spans="1:8">
      <c r="A218"/>
      <c r="B218"/>
      <c r="C218"/>
      <c r="D218"/>
      <c r="E218"/>
      <c r="F218"/>
      <c r="G218"/>
      <c r="H218"/>
    </row>
    <row r="219" spans="1:8">
      <c r="A219"/>
      <c r="B219"/>
      <c r="C219"/>
      <c r="D219"/>
      <c r="E219"/>
      <c r="F219"/>
      <c r="G219"/>
      <c r="H219"/>
    </row>
    <row r="220" spans="1:8">
      <c r="A220"/>
      <c r="B220"/>
      <c r="C220"/>
      <c r="D220"/>
      <c r="E220"/>
      <c r="F220"/>
      <c r="G220"/>
      <c r="H220"/>
    </row>
    <row r="221" spans="1:8">
      <c r="A221"/>
      <c r="B221"/>
      <c r="C221"/>
      <c r="D221"/>
      <c r="E221"/>
      <c r="F221"/>
      <c r="G221"/>
      <c r="H221"/>
    </row>
    <row r="222" spans="1:8">
      <c r="A222"/>
      <c r="B222"/>
      <c r="C222"/>
      <c r="D222"/>
      <c r="E222"/>
      <c r="F222"/>
      <c r="G222"/>
      <c r="H222"/>
    </row>
    <row r="223" spans="1:8">
      <c r="A223"/>
      <c r="B223"/>
      <c r="C223"/>
      <c r="D223"/>
      <c r="E223"/>
      <c r="F223"/>
      <c r="G223"/>
      <c r="H223"/>
    </row>
    <row r="224" spans="1:8">
      <c r="A224"/>
      <c r="B224"/>
      <c r="C224"/>
      <c r="D224"/>
      <c r="E224"/>
      <c r="F224"/>
      <c r="G224"/>
      <c r="H224"/>
    </row>
    <row r="225" spans="1:8">
      <c r="A225"/>
      <c r="B225"/>
      <c r="C225"/>
      <c r="D225"/>
      <c r="E225"/>
      <c r="F225"/>
      <c r="G225"/>
      <c r="H225"/>
    </row>
    <row r="226" spans="1:8">
      <c r="A226"/>
      <c r="B226"/>
      <c r="C226"/>
      <c r="D226"/>
      <c r="E226"/>
      <c r="F226"/>
      <c r="G226"/>
      <c r="H226"/>
    </row>
    <row r="227" spans="1:8">
      <c r="A227"/>
      <c r="B227"/>
      <c r="C227"/>
      <c r="D227"/>
      <c r="E227"/>
      <c r="F227"/>
      <c r="G227"/>
      <c r="H227"/>
    </row>
    <row r="228" spans="1:8">
      <c r="A228"/>
      <c r="B228"/>
      <c r="C228"/>
      <c r="D228"/>
      <c r="E228"/>
      <c r="F228"/>
      <c r="G228"/>
      <c r="H228"/>
    </row>
    <row r="229" spans="1:8">
      <c r="A229"/>
      <c r="B229"/>
      <c r="C229"/>
      <c r="D229"/>
      <c r="E229"/>
      <c r="F229"/>
      <c r="G229"/>
      <c r="H229"/>
    </row>
    <row r="230" spans="1:8">
      <c r="A230"/>
      <c r="B230"/>
      <c r="C230"/>
      <c r="D230"/>
      <c r="E230"/>
      <c r="F230"/>
      <c r="G230"/>
      <c r="H230"/>
    </row>
    <row r="231" spans="1:8">
      <c r="A231"/>
      <c r="B231"/>
      <c r="C231"/>
      <c r="D231"/>
      <c r="E231"/>
      <c r="F231"/>
      <c r="G231"/>
      <c r="H231"/>
    </row>
    <row r="232" spans="1:8">
      <c r="A232"/>
      <c r="B232"/>
      <c r="C232"/>
      <c r="D232"/>
      <c r="E232"/>
      <c r="F232"/>
      <c r="G232"/>
      <c r="H232"/>
    </row>
    <row r="233" spans="1:8">
      <c r="A233"/>
      <c r="B233"/>
      <c r="C233"/>
      <c r="D233"/>
      <c r="E233"/>
      <c r="F233"/>
      <c r="G233"/>
      <c r="H233"/>
    </row>
    <row r="234" spans="1:8">
      <c r="A234"/>
      <c r="B234"/>
      <c r="C234"/>
      <c r="D234"/>
      <c r="E234"/>
      <c r="F234"/>
      <c r="G234"/>
      <c r="H234"/>
    </row>
    <row r="235" spans="1:8">
      <c r="A235"/>
      <c r="B235"/>
      <c r="C235"/>
      <c r="D235"/>
      <c r="E235"/>
      <c r="F235"/>
      <c r="G235"/>
      <c r="H235"/>
    </row>
    <row r="236" spans="1:8">
      <c r="A236"/>
      <c r="B236"/>
      <c r="C236"/>
      <c r="D236"/>
      <c r="E236"/>
      <c r="F236"/>
      <c r="G236"/>
      <c r="H236"/>
    </row>
    <row r="237" spans="1:8">
      <c r="A237"/>
      <c r="B237"/>
      <c r="C237"/>
      <c r="D237"/>
      <c r="E237"/>
      <c r="F237"/>
      <c r="G237"/>
      <c r="H237"/>
    </row>
    <row r="238" spans="1:8">
      <c r="A238"/>
      <c r="B238"/>
      <c r="C238"/>
      <c r="D238"/>
      <c r="E238"/>
      <c r="F238"/>
      <c r="G238"/>
      <c r="H238"/>
    </row>
    <row r="239" spans="1:8">
      <c r="A239"/>
      <c r="B239"/>
      <c r="C239"/>
      <c r="D239"/>
      <c r="E239"/>
      <c r="F239"/>
      <c r="G239"/>
      <c r="H239"/>
    </row>
    <row r="240" spans="1:8">
      <c r="A240"/>
      <c r="B240"/>
      <c r="C240"/>
      <c r="D240"/>
      <c r="E240"/>
      <c r="F240"/>
      <c r="G240"/>
      <c r="H240"/>
    </row>
    <row r="241" spans="1:8">
      <c r="A241"/>
      <c r="B241"/>
      <c r="C241"/>
      <c r="D241"/>
      <c r="E241"/>
      <c r="F241"/>
      <c r="G241"/>
      <c r="H241"/>
    </row>
    <row r="242" spans="1:8">
      <c r="A242"/>
      <c r="B242"/>
      <c r="C242"/>
      <c r="D242"/>
      <c r="E242"/>
      <c r="F242"/>
      <c r="G242"/>
      <c r="H242"/>
    </row>
    <row r="243" spans="1:8">
      <c r="A243"/>
      <c r="B243"/>
      <c r="C243"/>
      <c r="D243"/>
      <c r="E243"/>
      <c r="F243"/>
      <c r="G243"/>
      <c r="H243"/>
    </row>
    <row r="244" spans="1:8">
      <c r="A244"/>
      <c r="B244"/>
      <c r="C244"/>
      <c r="D244"/>
      <c r="E244"/>
      <c r="F244"/>
      <c r="G244"/>
      <c r="H244"/>
    </row>
    <row r="245" spans="1:8">
      <c r="A245"/>
      <c r="B245"/>
      <c r="C245"/>
      <c r="D245"/>
      <c r="E245"/>
      <c r="F245"/>
      <c r="G245"/>
      <c r="H245"/>
    </row>
    <row r="246" spans="1:8">
      <c r="A246"/>
      <c r="B246"/>
      <c r="C246"/>
      <c r="D246"/>
      <c r="E246"/>
      <c r="F246"/>
      <c r="G246"/>
      <c r="H246"/>
    </row>
    <row r="247" spans="1:8">
      <c r="A247"/>
      <c r="B247"/>
      <c r="C247"/>
      <c r="D247"/>
      <c r="E247"/>
      <c r="F247"/>
      <c r="G247"/>
      <c r="H247"/>
    </row>
    <row r="248" spans="1:8">
      <c r="A248"/>
      <c r="B248"/>
      <c r="C248"/>
      <c r="D248"/>
      <c r="E248"/>
      <c r="F248"/>
      <c r="G248"/>
      <c r="H248"/>
    </row>
    <row r="249" spans="1:8">
      <c r="A249"/>
      <c r="B249"/>
      <c r="C249"/>
      <c r="D249"/>
      <c r="E249"/>
      <c r="F249"/>
      <c r="G249"/>
      <c r="H249"/>
    </row>
    <row r="250" spans="1:8">
      <c r="A250"/>
      <c r="B250"/>
      <c r="C250"/>
      <c r="D250"/>
      <c r="E250"/>
      <c r="F250"/>
      <c r="G250"/>
      <c r="H250"/>
    </row>
    <row r="251" spans="1:8">
      <c r="A251"/>
      <c r="B251"/>
      <c r="C251"/>
      <c r="D251"/>
      <c r="E251"/>
      <c r="F251"/>
      <c r="G251"/>
      <c r="H251"/>
    </row>
    <row r="252" spans="1:8">
      <c r="A252"/>
      <c r="B252"/>
      <c r="C252"/>
      <c r="D252"/>
      <c r="E252"/>
      <c r="F252"/>
      <c r="G252"/>
      <c r="H252"/>
    </row>
    <row r="253" spans="1:8">
      <c r="A253"/>
      <c r="B253"/>
      <c r="C253"/>
      <c r="D253"/>
      <c r="E253"/>
      <c r="F253"/>
      <c r="G253"/>
      <c r="H253"/>
    </row>
    <row r="254" spans="1:8">
      <c r="A254"/>
      <c r="B254"/>
      <c r="C254"/>
      <c r="D254"/>
      <c r="E254"/>
      <c r="F254"/>
      <c r="G254"/>
      <c r="H254"/>
    </row>
    <row r="255" spans="1:8">
      <c r="A255"/>
      <c r="B255"/>
      <c r="C255"/>
      <c r="D255"/>
      <c r="E255"/>
      <c r="F255"/>
      <c r="G255"/>
      <c r="H255"/>
    </row>
    <row r="256" spans="1:8">
      <c r="A256"/>
      <c r="B256"/>
      <c r="C256"/>
      <c r="D256"/>
      <c r="E256"/>
      <c r="F256"/>
      <c r="G256"/>
      <c r="H256"/>
    </row>
    <row r="257" spans="1:8">
      <c r="A257"/>
      <c r="B257"/>
      <c r="C257"/>
      <c r="D257"/>
      <c r="E257"/>
      <c r="F257"/>
      <c r="G257"/>
      <c r="H257"/>
    </row>
    <row r="258" spans="1:8">
      <c r="A258"/>
      <c r="B258"/>
      <c r="C258"/>
      <c r="D258"/>
      <c r="E258"/>
      <c r="F258"/>
      <c r="G258"/>
      <c r="H258"/>
    </row>
    <row r="259" spans="1:8">
      <c r="A259"/>
      <c r="B259"/>
      <c r="C259"/>
      <c r="D259"/>
      <c r="E259"/>
      <c r="F259"/>
      <c r="G259"/>
      <c r="H259"/>
    </row>
    <row r="260" spans="1:8">
      <c r="A260"/>
      <c r="B260"/>
      <c r="C260"/>
      <c r="D260"/>
      <c r="E260"/>
      <c r="F260"/>
      <c r="G260"/>
      <c r="H260"/>
    </row>
    <row r="261" spans="1:8">
      <c r="A261"/>
      <c r="B261"/>
      <c r="C261"/>
      <c r="D261"/>
      <c r="E261"/>
      <c r="F261"/>
      <c r="G261"/>
      <c r="H261"/>
    </row>
    <row r="262" spans="1:8">
      <c r="A262"/>
      <c r="B262"/>
      <c r="C262"/>
      <c r="D262"/>
      <c r="E262"/>
      <c r="F262"/>
      <c r="G262"/>
      <c r="H262"/>
    </row>
    <row r="263" spans="1:8">
      <c r="A263"/>
      <c r="B263"/>
      <c r="C263"/>
      <c r="D263"/>
      <c r="E263"/>
      <c r="F263"/>
      <c r="G263"/>
      <c r="H263"/>
    </row>
    <row r="264" spans="1:8">
      <c r="A264"/>
      <c r="B264"/>
      <c r="C264"/>
      <c r="D264"/>
      <c r="E264"/>
      <c r="F264"/>
      <c r="G264"/>
      <c r="H264"/>
    </row>
    <row r="265" spans="1:8">
      <c r="A265"/>
      <c r="B265"/>
      <c r="C265"/>
      <c r="D265"/>
      <c r="E265"/>
      <c r="F265"/>
      <c r="G265"/>
      <c r="H265"/>
    </row>
    <row r="266" spans="1:8">
      <c r="A266"/>
      <c r="B266"/>
      <c r="C266"/>
      <c r="D266"/>
      <c r="E266"/>
      <c r="F266"/>
      <c r="G266"/>
      <c r="H266"/>
    </row>
    <row r="267" spans="1:8">
      <c r="A267"/>
      <c r="B267"/>
      <c r="C267"/>
      <c r="D267"/>
      <c r="E267"/>
      <c r="F267"/>
      <c r="G267"/>
      <c r="H267"/>
    </row>
    <row r="268" spans="1:8">
      <c r="A268"/>
      <c r="B268"/>
      <c r="C268"/>
      <c r="D268"/>
      <c r="E268"/>
      <c r="F268"/>
      <c r="G268"/>
      <c r="H268"/>
    </row>
    <row r="269" spans="1:8">
      <c r="A269"/>
      <c r="B269"/>
      <c r="C269"/>
      <c r="D269"/>
      <c r="E269"/>
      <c r="F269"/>
      <c r="G269"/>
      <c r="H269"/>
    </row>
    <row r="270" spans="1:8">
      <c r="A270"/>
      <c r="B270"/>
      <c r="C270"/>
      <c r="D270"/>
      <c r="E270"/>
      <c r="F270"/>
      <c r="G270"/>
      <c r="H270"/>
    </row>
    <row r="271" spans="1:8">
      <c r="A271"/>
      <c r="B271"/>
      <c r="C271"/>
      <c r="D271"/>
      <c r="E271"/>
      <c r="F271"/>
      <c r="G271"/>
      <c r="H271"/>
    </row>
    <row r="272" spans="1:8">
      <c r="A272"/>
      <c r="B272"/>
      <c r="C272"/>
      <c r="D272"/>
      <c r="E272"/>
      <c r="F272"/>
      <c r="G272"/>
      <c r="H272"/>
    </row>
    <row r="273" spans="1:8">
      <c r="A273"/>
      <c r="B273"/>
      <c r="C273"/>
      <c r="D273"/>
      <c r="E273"/>
      <c r="F273"/>
      <c r="G273"/>
      <c r="H273"/>
    </row>
    <row r="274" spans="1:8">
      <c r="A274"/>
      <c r="B274"/>
      <c r="C274"/>
      <c r="D274"/>
      <c r="E274"/>
      <c r="F274"/>
      <c r="G274"/>
      <c r="H274"/>
    </row>
    <row r="275" spans="1:8">
      <c r="A275"/>
      <c r="B275"/>
      <c r="C275"/>
      <c r="D275"/>
      <c r="E275"/>
      <c r="F275"/>
      <c r="G275"/>
      <c r="H275"/>
    </row>
    <row r="276" spans="1:8">
      <c r="A276"/>
      <c r="B276"/>
      <c r="C276"/>
      <c r="D276"/>
      <c r="E276"/>
      <c r="F276"/>
      <c r="G276"/>
      <c r="H276"/>
    </row>
    <row r="277" spans="1:8">
      <c r="A277"/>
      <c r="B277"/>
      <c r="C277"/>
      <c r="D277"/>
      <c r="E277"/>
      <c r="F277"/>
      <c r="G277"/>
      <c r="H277"/>
    </row>
    <row r="278" spans="1:8">
      <c r="A278"/>
      <c r="B278"/>
      <c r="C278"/>
      <c r="D278"/>
      <c r="E278"/>
      <c r="F278"/>
      <c r="G278"/>
      <c r="H278"/>
    </row>
    <row r="279" spans="1:8">
      <c r="A279"/>
      <c r="B279"/>
      <c r="C279"/>
      <c r="D279"/>
      <c r="E279"/>
      <c r="F279"/>
      <c r="G279"/>
      <c r="H279"/>
    </row>
    <row r="280" spans="1:8">
      <c r="A280"/>
      <c r="B280"/>
      <c r="C280"/>
      <c r="D280"/>
      <c r="E280"/>
      <c r="F280"/>
      <c r="G280"/>
      <c r="H280"/>
    </row>
    <row r="281" spans="1:8">
      <c r="A281"/>
      <c r="B281"/>
      <c r="C281"/>
      <c r="D281"/>
      <c r="E281"/>
      <c r="F281"/>
      <c r="G281"/>
      <c r="H281"/>
    </row>
    <row r="282" spans="1:8">
      <c r="A282"/>
      <c r="B282"/>
      <c r="C282"/>
      <c r="D282"/>
      <c r="E282"/>
      <c r="F282"/>
      <c r="G282"/>
      <c r="H282"/>
    </row>
    <row r="283" spans="1:8">
      <c r="A283"/>
      <c r="B283"/>
      <c r="C283"/>
      <c r="D283"/>
      <c r="E283"/>
      <c r="F283"/>
      <c r="G283"/>
      <c r="H283"/>
    </row>
    <row r="284" spans="1:8">
      <c r="A284"/>
      <c r="B284"/>
      <c r="C284"/>
      <c r="D284"/>
      <c r="E284"/>
      <c r="F284"/>
      <c r="G284"/>
      <c r="H284"/>
    </row>
    <row r="285" spans="1:8">
      <c r="A285"/>
      <c r="B285"/>
      <c r="C285"/>
      <c r="D285"/>
      <c r="E285"/>
      <c r="F285"/>
      <c r="G285"/>
      <c r="H285"/>
    </row>
    <row r="286" spans="1:8">
      <c r="A286"/>
      <c r="B286"/>
      <c r="C286"/>
      <c r="D286"/>
      <c r="E286"/>
      <c r="F286"/>
      <c r="G286"/>
      <c r="H286"/>
    </row>
    <row r="287" spans="1:8">
      <c r="A287"/>
      <c r="B287"/>
      <c r="C287"/>
      <c r="D287"/>
      <c r="E287"/>
      <c r="F287"/>
      <c r="G287"/>
      <c r="H287"/>
    </row>
    <row r="288" spans="1:8">
      <c r="A288"/>
      <c r="B288"/>
      <c r="C288"/>
      <c r="D288"/>
      <c r="E288"/>
      <c r="F288"/>
      <c r="G288"/>
      <c r="H288"/>
    </row>
    <row r="289" spans="1:8">
      <c r="A289"/>
      <c r="B289"/>
      <c r="C289"/>
      <c r="D289"/>
      <c r="E289"/>
      <c r="F289"/>
      <c r="G289"/>
      <c r="H289"/>
    </row>
    <row r="290" spans="1:8">
      <c r="A290"/>
      <c r="B290"/>
      <c r="C290"/>
      <c r="D290"/>
      <c r="E290"/>
      <c r="F290"/>
      <c r="G290"/>
      <c r="H290"/>
    </row>
    <row r="291" spans="1:8">
      <c r="A291"/>
      <c r="B291"/>
      <c r="C291"/>
      <c r="D291"/>
      <c r="E291"/>
      <c r="F291"/>
      <c r="G291"/>
      <c r="H291"/>
    </row>
    <row r="292" spans="1:8">
      <c r="A292"/>
      <c r="B292"/>
      <c r="C292"/>
      <c r="D292"/>
      <c r="E292"/>
      <c r="F292"/>
      <c r="G292"/>
      <c r="H292"/>
    </row>
    <row r="293" spans="1:8">
      <c r="A293"/>
      <c r="B293"/>
      <c r="C293"/>
      <c r="D293"/>
      <c r="E293"/>
      <c r="F293"/>
      <c r="G293"/>
      <c r="H293"/>
    </row>
    <row r="294" spans="1:8">
      <c r="A294"/>
      <c r="B294"/>
      <c r="C294"/>
      <c r="D294"/>
      <c r="E294"/>
      <c r="F294"/>
      <c r="G294"/>
      <c r="H294"/>
    </row>
    <row r="295" spans="1:8">
      <c r="A295"/>
      <c r="B295"/>
      <c r="C295"/>
      <c r="D295"/>
      <c r="E295"/>
      <c r="F295"/>
      <c r="G295"/>
      <c r="H295"/>
    </row>
    <row r="296" spans="1:8">
      <c r="A296"/>
      <c r="B296"/>
      <c r="C296"/>
      <c r="D296"/>
      <c r="E296"/>
      <c r="F296"/>
      <c r="G296"/>
      <c r="H296"/>
    </row>
    <row r="297" spans="1:8">
      <c r="A297"/>
      <c r="B297"/>
      <c r="C297"/>
      <c r="D297"/>
      <c r="E297"/>
      <c r="F297"/>
      <c r="G297"/>
      <c r="H297"/>
    </row>
    <row r="298" spans="1:8">
      <c r="A298"/>
      <c r="B298"/>
      <c r="C298"/>
      <c r="D298"/>
      <c r="E298"/>
      <c r="F298"/>
      <c r="G298"/>
      <c r="H298"/>
    </row>
    <row r="299" spans="1:8">
      <c r="A299"/>
      <c r="B299"/>
      <c r="C299"/>
      <c r="D299"/>
      <c r="E299"/>
      <c r="F299"/>
      <c r="G299"/>
      <c r="H299"/>
    </row>
    <row r="300" spans="1:8">
      <c r="A300"/>
      <c r="B300"/>
      <c r="C300"/>
      <c r="D300"/>
      <c r="E300"/>
      <c r="F300"/>
      <c r="G300"/>
      <c r="H300"/>
    </row>
    <row r="301" spans="1:8">
      <c r="A301"/>
      <c r="B301"/>
      <c r="C301"/>
      <c r="D301"/>
      <c r="E301"/>
      <c r="F301"/>
      <c r="G301"/>
      <c r="H301"/>
    </row>
    <row r="302" spans="1:8">
      <c r="A302"/>
      <c r="B302"/>
      <c r="C302"/>
      <c r="D302"/>
      <c r="E302"/>
      <c r="F302"/>
      <c r="G302"/>
      <c r="H302"/>
    </row>
    <row r="303" spans="1:8">
      <c r="A303"/>
      <c r="B303"/>
      <c r="C303"/>
      <c r="D303"/>
      <c r="E303"/>
      <c r="F303"/>
      <c r="G303"/>
      <c r="H303"/>
    </row>
    <row r="304" spans="1:8">
      <c r="A304"/>
      <c r="B304"/>
      <c r="C304"/>
      <c r="D304"/>
      <c r="E304"/>
      <c r="F304"/>
      <c r="G304"/>
      <c r="H304"/>
    </row>
    <row r="305" spans="1:8">
      <c r="A305"/>
      <c r="B305"/>
      <c r="C305"/>
      <c r="D305"/>
      <c r="E305"/>
      <c r="F305"/>
      <c r="G305"/>
      <c r="H305"/>
    </row>
    <row r="306" spans="1:8">
      <c r="A306"/>
      <c r="B306"/>
      <c r="C306"/>
      <c r="D306"/>
      <c r="E306"/>
      <c r="F306"/>
      <c r="G306"/>
      <c r="H306"/>
    </row>
    <row r="307" spans="1:8">
      <c r="A307"/>
      <c r="B307"/>
      <c r="C307"/>
      <c r="D307"/>
      <c r="E307"/>
      <c r="F307"/>
      <c r="G307"/>
      <c r="H307"/>
    </row>
    <row r="308" spans="1:8">
      <c r="A308"/>
      <c r="B308"/>
      <c r="C308"/>
      <c r="D308"/>
      <c r="E308"/>
      <c r="F308"/>
      <c r="G308"/>
      <c r="H308"/>
    </row>
    <row r="309" spans="1:8">
      <c r="A309"/>
      <c r="B309"/>
      <c r="C309"/>
      <c r="D309"/>
      <c r="E309"/>
      <c r="F309"/>
      <c r="G309"/>
      <c r="H309"/>
    </row>
    <row r="310" spans="1:8">
      <c r="A310"/>
      <c r="B310"/>
      <c r="C310"/>
      <c r="D310"/>
      <c r="E310"/>
      <c r="F310"/>
      <c r="G310"/>
      <c r="H310"/>
    </row>
    <row r="311" spans="1:8">
      <c r="A311"/>
      <c r="B311"/>
      <c r="C311"/>
      <c r="D311"/>
      <c r="E311"/>
      <c r="F311"/>
      <c r="G311"/>
      <c r="H311"/>
    </row>
    <row r="312" spans="1:8">
      <c r="A312"/>
      <c r="B312"/>
      <c r="C312"/>
      <c r="D312"/>
      <c r="E312"/>
      <c r="F312"/>
      <c r="G312"/>
      <c r="H312"/>
    </row>
    <row r="313" spans="1:8">
      <c r="A313"/>
      <c r="B313"/>
      <c r="C313"/>
      <c r="D313"/>
      <c r="E313"/>
      <c r="F313"/>
      <c r="G313"/>
      <c r="H313"/>
    </row>
    <row r="314" spans="1:8">
      <c r="A314"/>
      <c r="B314"/>
      <c r="C314"/>
      <c r="D314"/>
      <c r="E314"/>
      <c r="F314"/>
      <c r="G314"/>
      <c r="H314"/>
    </row>
    <row r="315" spans="1:8">
      <c r="A315"/>
      <c r="B315"/>
      <c r="C315"/>
      <c r="D315"/>
      <c r="E315"/>
      <c r="F315"/>
      <c r="G315"/>
      <c r="H315"/>
    </row>
    <row r="316" spans="1:8">
      <c r="A316"/>
      <c r="B316"/>
      <c r="C316"/>
      <c r="D316"/>
      <c r="E316"/>
      <c r="F316"/>
      <c r="G316"/>
      <c r="H316"/>
    </row>
    <row r="317" spans="1:8">
      <c r="A317"/>
      <c r="B317"/>
      <c r="C317"/>
      <c r="D317"/>
      <c r="E317"/>
      <c r="F317"/>
      <c r="G317"/>
      <c r="H317"/>
    </row>
    <row r="318" spans="1:8">
      <c r="A318"/>
      <c r="B318"/>
      <c r="C318"/>
      <c r="D318"/>
      <c r="E318"/>
      <c r="F318"/>
      <c r="G318"/>
      <c r="H318"/>
    </row>
    <row r="319" spans="1:8">
      <c r="A319"/>
      <c r="B319"/>
      <c r="C319"/>
      <c r="D319"/>
      <c r="E319"/>
      <c r="F319"/>
      <c r="G319"/>
      <c r="H319"/>
    </row>
    <row r="320" spans="1:8">
      <c r="A320"/>
      <c r="B320"/>
      <c r="C320"/>
      <c r="D320"/>
      <c r="E320"/>
      <c r="F320"/>
      <c r="G320"/>
      <c r="H320"/>
    </row>
    <row r="321" spans="1:8">
      <c r="A321"/>
      <c r="B321"/>
      <c r="C321"/>
      <c r="D321"/>
      <c r="E321"/>
      <c r="F321"/>
      <c r="G321"/>
      <c r="H321"/>
    </row>
    <row r="322" spans="1:8">
      <c r="A322"/>
      <c r="B322"/>
      <c r="C322"/>
      <c r="D322"/>
      <c r="E322"/>
      <c r="F322"/>
      <c r="G322"/>
      <c r="H322"/>
    </row>
    <row r="323" spans="1:8">
      <c r="A323"/>
      <c r="B323"/>
      <c r="C323"/>
      <c r="D323"/>
      <c r="E323"/>
      <c r="F323"/>
      <c r="G323"/>
      <c r="H323"/>
    </row>
    <row r="324" spans="1:8">
      <c r="A324"/>
      <c r="B324"/>
      <c r="C324"/>
      <c r="D324"/>
      <c r="E324"/>
      <c r="F324"/>
      <c r="G324"/>
      <c r="H324"/>
    </row>
    <row r="325" spans="1:8">
      <c r="A325"/>
      <c r="B325"/>
      <c r="C325"/>
      <c r="D325"/>
      <c r="E325"/>
      <c r="F325"/>
      <c r="G325"/>
      <c r="H325"/>
    </row>
    <row r="326" spans="1:8">
      <c r="A326"/>
      <c r="B326"/>
      <c r="C326"/>
      <c r="D326"/>
      <c r="E326"/>
      <c r="F326"/>
      <c r="G326"/>
      <c r="H326"/>
    </row>
    <row r="327" spans="1:8">
      <c r="A327"/>
      <c r="B327"/>
      <c r="C327"/>
      <c r="D327"/>
      <c r="E327"/>
      <c r="F327"/>
      <c r="G327"/>
      <c r="H327"/>
    </row>
    <row r="328" spans="1:8">
      <c r="A328"/>
      <c r="B328"/>
      <c r="C328"/>
      <c r="D328"/>
      <c r="E328"/>
      <c r="F328"/>
      <c r="G328"/>
      <c r="H328"/>
    </row>
    <row r="329" spans="1:8">
      <c r="A329"/>
      <c r="B329"/>
      <c r="C329"/>
      <c r="D329"/>
      <c r="E329"/>
      <c r="F329"/>
      <c r="G329"/>
      <c r="H329"/>
    </row>
    <row r="330" spans="1:8">
      <c r="A330"/>
      <c r="B330"/>
      <c r="C330"/>
      <c r="D330"/>
      <c r="E330"/>
      <c r="F330"/>
      <c r="G330"/>
      <c r="H330"/>
    </row>
    <row r="331" spans="1:8">
      <c r="A331"/>
      <c r="B331"/>
      <c r="C331"/>
      <c r="D331"/>
      <c r="E331"/>
      <c r="F331"/>
      <c r="G331"/>
      <c r="H331"/>
    </row>
    <row r="332" spans="1:8">
      <c r="A332"/>
      <c r="B332"/>
      <c r="C332"/>
      <c r="D332"/>
      <c r="E332"/>
      <c r="F332"/>
      <c r="G332"/>
      <c r="H332"/>
    </row>
    <row r="333" spans="1:8">
      <c r="A333"/>
      <c r="B333"/>
      <c r="C333"/>
      <c r="D333"/>
      <c r="E333"/>
      <c r="F333"/>
      <c r="G333"/>
      <c r="H333"/>
    </row>
    <row r="334" spans="1:8">
      <c r="A334"/>
      <c r="B334"/>
      <c r="C334"/>
      <c r="D334"/>
      <c r="E334"/>
      <c r="F334"/>
      <c r="G334"/>
      <c r="H334"/>
    </row>
    <row r="335" spans="1:8">
      <c r="A335"/>
      <c r="B335"/>
      <c r="C335"/>
      <c r="D335"/>
      <c r="E335"/>
      <c r="F335"/>
      <c r="G335"/>
      <c r="H335"/>
    </row>
    <row r="336" spans="1:8">
      <c r="A336"/>
      <c r="B336"/>
      <c r="C336"/>
      <c r="D336"/>
      <c r="E336"/>
      <c r="F336"/>
      <c r="G336"/>
      <c r="H336"/>
    </row>
    <row r="337" spans="1:8">
      <c r="A337"/>
      <c r="B337"/>
      <c r="C337"/>
      <c r="D337"/>
      <c r="E337"/>
      <c r="F337"/>
      <c r="G337"/>
      <c r="H337"/>
    </row>
    <row r="338" spans="1:8">
      <c r="A338"/>
      <c r="B338"/>
      <c r="C338"/>
      <c r="D338"/>
      <c r="E338"/>
      <c r="F338"/>
      <c r="G338"/>
      <c r="H338"/>
    </row>
    <row r="339" spans="1:8">
      <c r="A339"/>
      <c r="B339"/>
      <c r="C339"/>
      <c r="D339"/>
      <c r="E339"/>
      <c r="F339"/>
      <c r="G339"/>
      <c r="H339"/>
    </row>
    <row r="340" spans="1:8">
      <c r="A340"/>
      <c r="B340"/>
      <c r="C340"/>
      <c r="D340"/>
      <c r="E340"/>
      <c r="F340"/>
      <c r="G340"/>
      <c r="H340"/>
    </row>
    <row r="341" spans="1:8">
      <c r="A341"/>
      <c r="B341"/>
      <c r="C341"/>
      <c r="D341"/>
      <c r="E341"/>
      <c r="F341"/>
      <c r="G341"/>
      <c r="H341"/>
    </row>
    <row r="342" spans="1:8">
      <c r="A342"/>
      <c r="B342"/>
      <c r="C342"/>
      <c r="D342"/>
      <c r="E342"/>
      <c r="F342"/>
      <c r="G342"/>
      <c r="H342"/>
    </row>
    <row r="343" spans="1:8">
      <c r="A343"/>
      <c r="B343"/>
      <c r="C343"/>
      <c r="D343"/>
      <c r="E343"/>
      <c r="F343"/>
      <c r="G343"/>
      <c r="H343"/>
    </row>
    <row r="344" spans="1:8">
      <c r="A344"/>
      <c r="B344"/>
      <c r="C344"/>
      <c r="D344"/>
      <c r="E344"/>
      <c r="F344"/>
      <c r="G344"/>
      <c r="H344"/>
    </row>
    <row r="345" spans="1:8">
      <c r="A345"/>
      <c r="B345"/>
      <c r="C345"/>
      <c r="D345"/>
      <c r="E345"/>
      <c r="F345"/>
      <c r="G345"/>
      <c r="H345"/>
    </row>
    <row r="346" spans="1:8">
      <c r="A346"/>
      <c r="B346"/>
      <c r="C346"/>
      <c r="D346"/>
      <c r="E346"/>
      <c r="F346"/>
      <c r="G346"/>
      <c r="H346"/>
    </row>
    <row r="347" spans="1:8">
      <c r="A347"/>
      <c r="B347"/>
      <c r="C347"/>
      <c r="D347"/>
      <c r="E347"/>
      <c r="F347"/>
      <c r="G347"/>
      <c r="H347"/>
    </row>
    <row r="348" spans="1:8">
      <c r="A348"/>
      <c r="B348"/>
      <c r="C348"/>
      <c r="D348"/>
      <c r="E348"/>
      <c r="F348"/>
      <c r="G348"/>
      <c r="H348"/>
    </row>
    <row r="349" spans="1:8">
      <c r="A349"/>
      <c r="B349"/>
      <c r="C349"/>
      <c r="D349"/>
      <c r="E349"/>
      <c r="F349"/>
      <c r="G349"/>
      <c r="H349"/>
    </row>
    <row r="350" spans="1:8">
      <c r="A350"/>
      <c r="B350"/>
      <c r="C350"/>
      <c r="D350"/>
      <c r="E350"/>
      <c r="F350"/>
      <c r="G350"/>
      <c r="H350"/>
    </row>
    <row r="351" spans="1:8">
      <c r="A351"/>
      <c r="B351"/>
      <c r="C351"/>
      <c r="D351"/>
      <c r="E351"/>
      <c r="F351"/>
      <c r="G351"/>
      <c r="H351"/>
    </row>
    <row r="352" spans="1:8">
      <c r="A352"/>
      <c r="B352"/>
      <c r="C352"/>
      <c r="D352"/>
      <c r="E352"/>
      <c r="F352"/>
      <c r="G352"/>
      <c r="H352"/>
    </row>
    <row r="353" spans="1:8">
      <c r="A353"/>
      <c r="B353"/>
      <c r="C353"/>
      <c r="D353"/>
      <c r="E353"/>
      <c r="F353"/>
      <c r="G353"/>
      <c r="H353"/>
    </row>
    <row r="354" spans="1:8">
      <c r="A354"/>
      <c r="B354"/>
      <c r="C354"/>
      <c r="D354"/>
      <c r="E354"/>
      <c r="F354"/>
      <c r="G354"/>
      <c r="H354"/>
    </row>
    <row r="355" spans="1:8">
      <c r="A355"/>
      <c r="B355"/>
      <c r="C355"/>
      <c r="D355"/>
      <c r="E355"/>
      <c r="F355"/>
      <c r="G355"/>
      <c r="H355"/>
    </row>
    <row r="356" spans="1:8">
      <c r="A356"/>
      <c r="B356"/>
      <c r="C356"/>
      <c r="D356"/>
      <c r="E356"/>
      <c r="F356"/>
      <c r="G356"/>
      <c r="H356"/>
    </row>
    <row r="357" spans="1:8">
      <c r="A357"/>
      <c r="B357"/>
      <c r="C357"/>
      <c r="D357"/>
      <c r="E357"/>
      <c r="F357"/>
      <c r="G357"/>
      <c r="H357"/>
    </row>
    <row r="358" spans="1:8">
      <c r="A358"/>
      <c r="B358"/>
      <c r="C358"/>
      <c r="D358"/>
      <c r="E358"/>
      <c r="F358"/>
      <c r="G358"/>
      <c r="H358"/>
    </row>
    <row r="359" spans="1:8">
      <c r="A359"/>
      <c r="B359"/>
      <c r="C359"/>
      <c r="D359"/>
      <c r="E359"/>
      <c r="F359"/>
      <c r="G359"/>
      <c r="H359"/>
    </row>
    <row r="360" spans="1:8">
      <c r="A360"/>
      <c r="B360"/>
      <c r="C360"/>
      <c r="D360"/>
      <c r="E360"/>
      <c r="F360"/>
      <c r="G360"/>
      <c r="H360"/>
    </row>
    <row r="361" spans="1:8">
      <c r="A361"/>
      <c r="B361"/>
      <c r="C361"/>
      <c r="D361"/>
      <c r="E361"/>
      <c r="F361"/>
      <c r="G361"/>
      <c r="H361"/>
    </row>
    <row r="362" spans="1:8">
      <c r="A362"/>
      <c r="B362"/>
      <c r="C362"/>
      <c r="D362"/>
      <c r="E362"/>
      <c r="F362"/>
      <c r="G362"/>
      <c r="H362"/>
    </row>
    <row r="363" spans="1:8">
      <c r="A363"/>
      <c r="B363"/>
      <c r="C363"/>
      <c r="D363"/>
      <c r="E363"/>
      <c r="F363"/>
      <c r="G363"/>
      <c r="H363"/>
    </row>
    <row r="364" spans="1:8">
      <c r="A364"/>
      <c r="B364"/>
      <c r="C364"/>
      <c r="D364"/>
      <c r="E364"/>
      <c r="F364"/>
      <c r="G364"/>
      <c r="H364"/>
    </row>
    <row r="365" spans="1:8">
      <c r="A365"/>
      <c r="B365"/>
      <c r="C365"/>
      <c r="D365"/>
      <c r="E365"/>
      <c r="F365"/>
      <c r="G365"/>
      <c r="H365"/>
    </row>
    <row r="366" spans="1:8">
      <c r="A366"/>
      <c r="B366"/>
      <c r="C366"/>
      <c r="D366"/>
      <c r="E366"/>
      <c r="F366"/>
      <c r="G366"/>
      <c r="H366"/>
    </row>
    <row r="367" spans="1:8">
      <c r="A367"/>
      <c r="B367"/>
      <c r="C367"/>
      <c r="D367"/>
      <c r="E367"/>
      <c r="F367"/>
      <c r="G367"/>
      <c r="H367"/>
    </row>
    <row r="368" spans="1:8">
      <c r="A368"/>
      <c r="B368"/>
      <c r="C368"/>
      <c r="D368"/>
      <c r="E368"/>
      <c r="F368"/>
      <c r="G368"/>
      <c r="H368"/>
    </row>
    <row r="369" spans="1:8">
      <c r="A369"/>
      <c r="B369"/>
      <c r="C369"/>
      <c r="D369"/>
      <c r="E369"/>
      <c r="F369"/>
      <c r="G369"/>
      <c r="H369"/>
    </row>
    <row r="370" spans="1:8">
      <c r="A370"/>
      <c r="B370"/>
      <c r="C370"/>
      <c r="D370"/>
      <c r="E370"/>
      <c r="F370"/>
      <c r="G370"/>
      <c r="H370"/>
    </row>
    <row r="371" spans="1:8">
      <c r="A371"/>
      <c r="B371"/>
      <c r="C371"/>
      <c r="D371"/>
      <c r="E371"/>
      <c r="F371"/>
      <c r="G371"/>
      <c r="H371"/>
    </row>
    <row r="372" spans="1:8">
      <c r="A372"/>
      <c r="B372"/>
      <c r="C372"/>
      <c r="D372"/>
      <c r="E372"/>
      <c r="F372"/>
      <c r="G372"/>
      <c r="H372"/>
    </row>
    <row r="373" spans="1:8">
      <c r="A373"/>
      <c r="B373"/>
      <c r="C373"/>
      <c r="D373"/>
      <c r="E373"/>
      <c r="F373"/>
      <c r="G373"/>
      <c r="H373"/>
    </row>
    <row r="374" spans="1:8">
      <c r="A374"/>
      <c r="B374"/>
      <c r="C374"/>
      <c r="D374"/>
      <c r="E374"/>
      <c r="F374"/>
      <c r="G374"/>
      <c r="H374"/>
    </row>
    <row r="375" spans="1:8">
      <c r="A375"/>
      <c r="B375"/>
      <c r="C375"/>
      <c r="D375"/>
      <c r="E375"/>
      <c r="F375"/>
      <c r="G375"/>
      <c r="H375"/>
    </row>
    <row r="376" spans="1:8">
      <c r="A376"/>
      <c r="B376"/>
      <c r="C376"/>
      <c r="D376"/>
      <c r="E376"/>
      <c r="F376"/>
      <c r="G376"/>
      <c r="H376"/>
    </row>
    <row r="377" spans="1:8">
      <c r="A377"/>
      <c r="B377"/>
      <c r="C377"/>
      <c r="D377"/>
      <c r="E377"/>
      <c r="F377"/>
      <c r="G377"/>
      <c r="H377"/>
    </row>
    <row r="378" spans="1:8">
      <c r="A378"/>
      <c r="B378"/>
      <c r="C378"/>
      <c r="D378"/>
      <c r="E378"/>
      <c r="F378"/>
      <c r="G378"/>
      <c r="H378"/>
    </row>
    <row r="379" spans="1:8">
      <c r="A379"/>
      <c r="B379"/>
      <c r="C379"/>
      <c r="D379"/>
      <c r="E379"/>
      <c r="F379"/>
      <c r="G379"/>
      <c r="H379"/>
    </row>
    <row r="380" spans="1:8">
      <c r="A380"/>
      <c r="B380"/>
      <c r="C380"/>
      <c r="D380"/>
      <c r="E380"/>
      <c r="F380"/>
      <c r="G380"/>
      <c r="H380"/>
    </row>
    <row r="381" spans="1:8">
      <c r="A381"/>
      <c r="B381"/>
      <c r="C381"/>
      <c r="D381"/>
      <c r="E381"/>
      <c r="F381"/>
      <c r="G381"/>
      <c r="H381"/>
    </row>
    <row r="382" spans="1:8">
      <c r="A382"/>
      <c r="B382"/>
      <c r="C382"/>
      <c r="D382"/>
      <c r="E382"/>
      <c r="F382"/>
      <c r="G382"/>
      <c r="H382"/>
    </row>
    <row r="383" spans="1:8">
      <c r="A383"/>
      <c r="B383"/>
      <c r="C383"/>
      <c r="D383"/>
      <c r="E383"/>
      <c r="F383"/>
      <c r="G383"/>
      <c r="H383"/>
    </row>
    <row r="384" spans="1:8">
      <c r="A384"/>
      <c r="B384"/>
      <c r="C384"/>
      <c r="D384"/>
      <c r="E384"/>
      <c r="F384"/>
      <c r="G384"/>
      <c r="H384"/>
    </row>
    <row r="385" spans="1:8">
      <c r="A385"/>
      <c r="B385"/>
      <c r="C385"/>
      <c r="D385"/>
      <c r="E385"/>
      <c r="F385"/>
      <c r="G385"/>
      <c r="H385"/>
    </row>
    <row r="386" spans="1:8">
      <c r="A386"/>
      <c r="B386"/>
      <c r="C386"/>
      <c r="D386"/>
      <c r="E386"/>
      <c r="F386"/>
      <c r="G386"/>
      <c r="H386"/>
    </row>
    <row r="387" spans="1:8">
      <c r="A387"/>
      <c r="B387"/>
      <c r="C387"/>
      <c r="D387"/>
      <c r="E387"/>
      <c r="F387"/>
      <c r="G387"/>
      <c r="H387"/>
    </row>
    <row r="388" spans="1:8">
      <c r="A388"/>
      <c r="B388"/>
      <c r="C388"/>
      <c r="D388"/>
      <c r="E388"/>
      <c r="F388"/>
      <c r="G388"/>
      <c r="H388"/>
    </row>
    <row r="389" spans="1:8">
      <c r="A389"/>
      <c r="B389"/>
      <c r="C389"/>
      <c r="D389"/>
      <c r="E389"/>
      <c r="F389"/>
      <c r="G389"/>
      <c r="H389"/>
    </row>
    <row r="390" spans="1:8">
      <c r="A390"/>
      <c r="B390"/>
      <c r="C390"/>
      <c r="D390"/>
      <c r="E390"/>
      <c r="F390"/>
      <c r="G390"/>
      <c r="H390"/>
    </row>
    <row r="391" spans="1:8">
      <c r="A391"/>
      <c r="B391"/>
      <c r="C391"/>
      <c r="D391"/>
      <c r="E391"/>
      <c r="F391"/>
      <c r="G391"/>
      <c r="H391"/>
    </row>
    <row r="392" spans="1:8">
      <c r="A392"/>
      <c r="B392"/>
      <c r="C392"/>
      <c r="D392"/>
      <c r="E392"/>
      <c r="F392"/>
      <c r="G392"/>
      <c r="H392"/>
    </row>
    <row r="393" spans="1:8">
      <c r="A393"/>
      <c r="B393"/>
      <c r="C393"/>
      <c r="D393"/>
      <c r="E393"/>
      <c r="F393"/>
      <c r="G393"/>
      <c r="H393"/>
    </row>
    <row r="394" spans="1:8">
      <c r="A394"/>
      <c r="B394"/>
      <c r="C394"/>
      <c r="D394"/>
      <c r="E394"/>
      <c r="F394"/>
      <c r="G394"/>
      <c r="H394"/>
    </row>
    <row r="395" spans="1:8">
      <c r="A395"/>
      <c r="B395"/>
      <c r="C395"/>
      <c r="D395"/>
      <c r="E395"/>
      <c r="F395"/>
      <c r="G395"/>
      <c r="H395"/>
    </row>
    <row r="396" spans="1:8">
      <c r="A396"/>
      <c r="B396"/>
      <c r="C396"/>
      <c r="D396"/>
      <c r="E396"/>
      <c r="F396"/>
      <c r="G396"/>
      <c r="H396"/>
    </row>
    <row r="397" spans="1:8">
      <c r="A397"/>
      <c r="B397"/>
      <c r="C397"/>
      <c r="D397"/>
      <c r="E397"/>
      <c r="F397"/>
      <c r="G397"/>
      <c r="H397"/>
    </row>
    <row r="398" spans="1:8">
      <c r="A398"/>
      <c r="B398"/>
      <c r="C398"/>
      <c r="D398"/>
      <c r="E398"/>
      <c r="F398"/>
      <c r="G398"/>
      <c r="H398"/>
    </row>
    <row r="399" spans="1:8">
      <c r="A399"/>
      <c r="B399"/>
      <c r="C399"/>
      <c r="D399"/>
      <c r="E399"/>
      <c r="F399"/>
      <c r="G399"/>
      <c r="H399"/>
    </row>
    <row r="400" spans="1:8">
      <c r="A400"/>
      <c r="B400"/>
      <c r="C400"/>
      <c r="D400"/>
      <c r="E400"/>
      <c r="F400"/>
      <c r="G400"/>
      <c r="H400"/>
    </row>
    <row r="401" spans="1:8">
      <c r="A401"/>
      <c r="B401"/>
      <c r="C401"/>
      <c r="D401"/>
      <c r="E401"/>
      <c r="F401"/>
      <c r="G401"/>
      <c r="H401"/>
    </row>
    <row r="402" spans="1:8">
      <c r="A402"/>
      <c r="B402"/>
      <c r="C402"/>
      <c r="D402"/>
      <c r="E402"/>
      <c r="F402"/>
      <c r="G402"/>
      <c r="H402"/>
    </row>
    <row r="403" spans="1:8">
      <c r="A403"/>
      <c r="B403"/>
      <c r="C403"/>
      <c r="D403"/>
      <c r="E403"/>
      <c r="F403"/>
      <c r="G403"/>
      <c r="H403"/>
    </row>
    <row r="404" spans="1:8">
      <c r="A404"/>
      <c r="B404"/>
      <c r="C404"/>
      <c r="D404"/>
      <c r="E404"/>
      <c r="F404"/>
      <c r="G404"/>
      <c r="H404"/>
    </row>
    <row r="405" spans="1:8">
      <c r="A405"/>
      <c r="B405"/>
      <c r="C405"/>
      <c r="D405"/>
      <c r="E405"/>
      <c r="F405"/>
      <c r="G405"/>
      <c r="H405"/>
    </row>
    <row r="406" spans="1:8">
      <c r="A406"/>
      <c r="B406"/>
      <c r="C406"/>
      <c r="D406"/>
      <c r="E406"/>
      <c r="F406"/>
      <c r="G406"/>
      <c r="H406"/>
    </row>
    <row r="407" spans="1:8">
      <c r="A407"/>
      <c r="B407"/>
      <c r="C407"/>
      <c r="D407"/>
      <c r="E407"/>
      <c r="F407"/>
      <c r="G407"/>
      <c r="H407"/>
    </row>
    <row r="408" spans="1:8">
      <c r="A408"/>
      <c r="B408"/>
      <c r="C408"/>
      <c r="D408"/>
      <c r="E408"/>
      <c r="F408"/>
      <c r="G408"/>
      <c r="H408"/>
    </row>
    <row r="409" spans="1:8">
      <c r="A409"/>
      <c r="B409"/>
      <c r="C409"/>
      <c r="D409"/>
      <c r="E409"/>
      <c r="F409"/>
      <c r="G409"/>
      <c r="H409"/>
    </row>
    <row r="410" spans="1:8">
      <c r="A410"/>
      <c r="B410"/>
      <c r="C410"/>
      <c r="D410"/>
      <c r="E410"/>
      <c r="F410"/>
      <c r="G410"/>
      <c r="H410"/>
    </row>
    <row r="411" spans="1:8">
      <c r="A411"/>
      <c r="B411"/>
      <c r="C411"/>
      <c r="D411"/>
      <c r="E411"/>
      <c r="F411"/>
      <c r="G411"/>
      <c r="H411"/>
    </row>
    <row r="412" spans="1:8">
      <c r="A412"/>
      <c r="B412"/>
      <c r="C412"/>
      <c r="D412"/>
      <c r="E412"/>
      <c r="F412"/>
      <c r="G412"/>
      <c r="H412"/>
    </row>
    <row r="413" spans="1:8">
      <c r="A413"/>
      <c r="B413"/>
      <c r="C413"/>
      <c r="D413"/>
      <c r="E413"/>
      <c r="F413"/>
      <c r="G413"/>
      <c r="H413"/>
    </row>
    <row r="414" spans="1:8">
      <c r="A414"/>
      <c r="B414"/>
      <c r="C414"/>
      <c r="D414"/>
      <c r="E414"/>
      <c r="F414"/>
      <c r="G414"/>
      <c r="H414"/>
    </row>
    <row r="415" spans="1:8">
      <c r="A415"/>
      <c r="B415"/>
      <c r="C415"/>
      <c r="D415"/>
      <c r="E415"/>
      <c r="F415"/>
      <c r="G415"/>
      <c r="H415"/>
    </row>
    <row r="416" spans="1:8">
      <c r="A416"/>
      <c r="B416"/>
      <c r="C416"/>
      <c r="D416"/>
      <c r="E416"/>
      <c r="F416"/>
      <c r="G416"/>
      <c r="H416"/>
    </row>
    <row r="417" spans="1:8">
      <c r="A417"/>
      <c r="B417"/>
      <c r="C417"/>
      <c r="D417"/>
      <c r="E417"/>
      <c r="F417"/>
      <c r="G417"/>
      <c r="H417"/>
    </row>
    <row r="418" spans="1:8">
      <c r="A418"/>
      <c r="B418"/>
      <c r="C418"/>
      <c r="D418"/>
      <c r="E418"/>
      <c r="F418"/>
      <c r="G418"/>
      <c r="H418"/>
    </row>
    <row r="419" spans="1:8">
      <c r="A419"/>
      <c r="B419"/>
      <c r="C419"/>
      <c r="D419"/>
      <c r="E419"/>
      <c r="F419"/>
      <c r="G419"/>
      <c r="H419"/>
    </row>
    <row r="420" spans="1:8">
      <c r="A420"/>
      <c r="B420"/>
      <c r="C420"/>
      <c r="D420"/>
      <c r="E420"/>
      <c r="F420"/>
      <c r="G420"/>
      <c r="H420"/>
    </row>
    <row r="421" spans="1:8">
      <c r="A421"/>
      <c r="B421"/>
      <c r="C421"/>
      <c r="D421"/>
      <c r="E421"/>
      <c r="F421"/>
      <c r="G421"/>
      <c r="H421"/>
    </row>
    <row r="422" spans="1:8">
      <c r="A422"/>
      <c r="B422"/>
      <c r="C422"/>
      <c r="D422"/>
      <c r="E422"/>
      <c r="F422"/>
      <c r="G422"/>
      <c r="H422"/>
    </row>
    <row r="423" spans="1:8">
      <c r="A423"/>
      <c r="B423"/>
      <c r="C423"/>
      <c r="D423"/>
      <c r="E423"/>
      <c r="F423"/>
      <c r="G423"/>
      <c r="H423"/>
    </row>
    <row r="424" spans="1:8">
      <c r="A424"/>
      <c r="B424"/>
      <c r="C424"/>
      <c r="D424"/>
      <c r="E424"/>
      <c r="F424"/>
      <c r="G424"/>
      <c r="H424"/>
    </row>
    <row r="425" spans="1:8">
      <c r="A425"/>
      <c r="B425"/>
      <c r="C425"/>
      <c r="D425"/>
      <c r="E425"/>
      <c r="F425"/>
      <c r="G425"/>
      <c r="H425"/>
    </row>
    <row r="426" spans="1:8">
      <c r="A426"/>
      <c r="B426"/>
      <c r="C426"/>
      <c r="D426"/>
      <c r="E426"/>
      <c r="F426"/>
      <c r="G426"/>
      <c r="H426"/>
    </row>
    <row r="427" spans="1:8">
      <c r="A427"/>
      <c r="B427"/>
      <c r="C427"/>
      <c r="D427"/>
      <c r="E427"/>
      <c r="F427"/>
      <c r="G427"/>
      <c r="H427"/>
    </row>
    <row r="428" spans="1:8">
      <c r="A428"/>
      <c r="B428"/>
      <c r="C428"/>
      <c r="D428"/>
      <c r="E428"/>
      <c r="F428"/>
      <c r="G428"/>
      <c r="H428"/>
    </row>
    <row r="429" spans="1:8">
      <c r="A429"/>
      <c r="B429"/>
      <c r="C429"/>
      <c r="D429"/>
      <c r="E429"/>
      <c r="F429"/>
      <c r="G429"/>
      <c r="H429"/>
    </row>
    <row r="430" spans="1:8">
      <c r="A430"/>
      <c r="B430"/>
      <c r="C430"/>
      <c r="D430"/>
      <c r="E430"/>
      <c r="F430"/>
      <c r="G430"/>
      <c r="H430"/>
    </row>
    <row r="431" spans="1:8">
      <c r="A431"/>
      <c r="B431"/>
      <c r="C431"/>
      <c r="D431"/>
      <c r="E431"/>
      <c r="F431"/>
      <c r="G431"/>
      <c r="H431"/>
    </row>
    <row r="432" spans="1:8">
      <c r="A432"/>
      <c r="B432"/>
      <c r="C432"/>
      <c r="D432"/>
      <c r="E432"/>
      <c r="F432"/>
      <c r="G432"/>
      <c r="H432"/>
    </row>
    <row r="433" spans="1:8">
      <c r="A433"/>
      <c r="B433"/>
      <c r="C433"/>
      <c r="D433"/>
      <c r="E433"/>
      <c r="F433"/>
      <c r="G433"/>
      <c r="H433"/>
    </row>
    <row r="434" spans="1:8">
      <c r="A434"/>
      <c r="B434"/>
      <c r="C434"/>
      <c r="D434"/>
      <c r="E434"/>
      <c r="F434"/>
      <c r="G434"/>
      <c r="H434"/>
    </row>
    <row r="435" spans="1:8">
      <c r="A435"/>
      <c r="B435"/>
      <c r="C435"/>
      <c r="D435"/>
      <c r="E435"/>
      <c r="F435"/>
      <c r="G435"/>
      <c r="H435"/>
    </row>
    <row r="436" spans="1:8">
      <c r="A436"/>
      <c r="B436"/>
      <c r="C436"/>
      <c r="D436"/>
      <c r="E436"/>
      <c r="F436"/>
      <c r="G436"/>
      <c r="H436"/>
    </row>
    <row r="437" spans="1:8">
      <c r="A437"/>
      <c r="B437"/>
      <c r="C437"/>
      <c r="D437"/>
      <c r="E437"/>
      <c r="F437"/>
      <c r="G437"/>
      <c r="H437"/>
    </row>
    <row r="438" spans="1:8">
      <c r="A438"/>
      <c r="B438"/>
      <c r="C438"/>
      <c r="D438"/>
      <c r="E438"/>
      <c r="F438"/>
      <c r="G438"/>
      <c r="H438"/>
    </row>
    <row r="439" spans="1:8">
      <c r="A439"/>
      <c r="B439"/>
      <c r="C439"/>
      <c r="D439"/>
      <c r="E439"/>
      <c r="F439"/>
      <c r="G439"/>
      <c r="H439"/>
    </row>
    <row r="440" spans="1:8">
      <c r="A440"/>
      <c r="B440"/>
      <c r="C440"/>
      <c r="D440"/>
      <c r="E440"/>
      <c r="F440"/>
      <c r="G440"/>
      <c r="H440"/>
    </row>
    <row r="441" spans="1:8">
      <c r="A441"/>
      <c r="B441"/>
      <c r="C441"/>
      <c r="D441"/>
      <c r="E441"/>
      <c r="F441"/>
      <c r="G441"/>
      <c r="H441"/>
    </row>
    <row r="442" spans="1:8">
      <c r="A442"/>
      <c r="B442"/>
      <c r="C442"/>
      <c r="D442"/>
      <c r="E442"/>
      <c r="F442"/>
      <c r="G442"/>
      <c r="H442"/>
    </row>
    <row r="443" spans="1:8">
      <c r="A443"/>
      <c r="B443"/>
      <c r="C443"/>
      <c r="D443"/>
      <c r="E443"/>
      <c r="F443"/>
      <c r="G443"/>
      <c r="H443"/>
    </row>
    <row r="444" spans="1:8">
      <c r="A444"/>
      <c r="B444"/>
      <c r="C444"/>
      <c r="D444"/>
      <c r="E444"/>
      <c r="F444"/>
      <c r="G444"/>
      <c r="H444"/>
    </row>
    <row r="445" spans="1:8">
      <c r="A445"/>
      <c r="B445"/>
      <c r="C445"/>
      <c r="D445"/>
      <c r="E445"/>
      <c r="F445"/>
      <c r="G445"/>
      <c r="H445"/>
    </row>
    <row r="446" spans="1:8">
      <c r="A446"/>
      <c r="B446"/>
      <c r="C446"/>
      <c r="D446"/>
      <c r="E446"/>
      <c r="F446"/>
      <c r="G446"/>
      <c r="H446"/>
    </row>
    <row r="447" spans="1:8">
      <c r="A447"/>
      <c r="B447"/>
      <c r="C447"/>
      <c r="D447"/>
      <c r="E447"/>
      <c r="F447"/>
      <c r="G447"/>
      <c r="H447"/>
    </row>
    <row r="448" spans="1:8">
      <c r="A448"/>
      <c r="B448"/>
      <c r="C448"/>
      <c r="D448"/>
      <c r="E448"/>
      <c r="F448"/>
      <c r="G448"/>
      <c r="H448"/>
    </row>
    <row r="449" spans="1:8">
      <c r="A449"/>
      <c r="B449"/>
      <c r="C449"/>
      <c r="D449"/>
      <c r="E449"/>
      <c r="F449"/>
      <c r="G449"/>
      <c r="H449"/>
    </row>
    <row r="450" spans="1:8">
      <c r="A450"/>
      <c r="B450"/>
      <c r="C450"/>
      <c r="D450"/>
      <c r="E450"/>
      <c r="F450"/>
      <c r="G450"/>
      <c r="H450"/>
    </row>
    <row r="451" spans="1:8">
      <c r="A451"/>
      <c r="B451"/>
      <c r="C451"/>
      <c r="D451"/>
      <c r="E451"/>
      <c r="F451"/>
      <c r="G451"/>
      <c r="H451"/>
    </row>
    <row r="452" spans="1:8">
      <c r="A452"/>
      <c r="B452"/>
      <c r="C452"/>
      <c r="D452"/>
      <c r="E452"/>
      <c r="F452"/>
      <c r="G452"/>
      <c r="H452"/>
    </row>
    <row r="453" spans="1:8">
      <c r="A453"/>
      <c r="B453"/>
      <c r="C453"/>
      <c r="D453"/>
      <c r="E453"/>
      <c r="F453"/>
      <c r="G453"/>
      <c r="H453"/>
    </row>
    <row r="454" spans="1:8">
      <c r="A454"/>
      <c r="B454"/>
      <c r="C454"/>
      <c r="D454"/>
      <c r="E454"/>
      <c r="F454"/>
      <c r="G454"/>
      <c r="H454"/>
    </row>
    <row r="455" spans="1:8">
      <c r="A455"/>
      <c r="B455"/>
      <c r="C455"/>
      <c r="D455"/>
      <c r="E455"/>
      <c r="F455"/>
      <c r="G455"/>
      <c r="H455"/>
    </row>
    <row r="456" spans="1:8">
      <c r="A456"/>
      <c r="B456"/>
      <c r="C456"/>
      <c r="D456"/>
      <c r="E456"/>
      <c r="F456"/>
      <c r="G456"/>
      <c r="H456"/>
    </row>
    <row r="457" spans="1:8">
      <c r="A457"/>
      <c r="B457"/>
      <c r="C457"/>
      <c r="D457"/>
      <c r="E457"/>
      <c r="F457"/>
      <c r="G457"/>
      <c r="H457"/>
    </row>
    <row r="458" spans="1:8">
      <c r="A458"/>
      <c r="B458"/>
      <c r="C458"/>
      <c r="D458"/>
      <c r="E458"/>
      <c r="F458"/>
      <c r="G458"/>
      <c r="H458"/>
    </row>
    <row r="459" spans="1:8">
      <c r="A459"/>
      <c r="B459"/>
      <c r="C459"/>
      <c r="D459"/>
      <c r="E459"/>
      <c r="F459"/>
      <c r="G459"/>
      <c r="H459"/>
    </row>
    <row r="460" spans="1:8">
      <c r="A460"/>
      <c r="B460"/>
      <c r="C460"/>
      <c r="D460"/>
      <c r="E460"/>
      <c r="F460"/>
      <c r="G460"/>
      <c r="H460"/>
    </row>
    <row r="461" spans="1:8">
      <c r="A461"/>
      <c r="B461"/>
      <c r="C461"/>
      <c r="D461"/>
      <c r="E461"/>
      <c r="F461"/>
      <c r="G461"/>
      <c r="H461"/>
    </row>
    <row r="462" spans="1:8">
      <c r="A462"/>
      <c r="B462"/>
      <c r="C462"/>
      <c r="D462"/>
      <c r="E462"/>
      <c r="F462"/>
      <c r="G462"/>
      <c r="H462"/>
    </row>
    <row r="463" spans="1:8">
      <c r="A463"/>
      <c r="B463"/>
      <c r="C463"/>
      <c r="D463"/>
      <c r="E463"/>
      <c r="F463"/>
      <c r="G463"/>
      <c r="H463"/>
    </row>
    <row r="464" spans="1:8">
      <c r="A464"/>
      <c r="B464"/>
      <c r="C464"/>
      <c r="D464"/>
      <c r="E464"/>
      <c r="F464"/>
      <c r="G464"/>
      <c r="H464"/>
    </row>
    <row r="465" spans="1:8">
      <c r="A465"/>
      <c r="B465"/>
      <c r="C465"/>
      <c r="D465"/>
      <c r="E465"/>
      <c r="F465"/>
      <c r="G465"/>
      <c r="H465"/>
    </row>
    <row r="466" spans="1:8">
      <c r="A466"/>
      <c r="B466"/>
      <c r="C466"/>
      <c r="D466"/>
      <c r="E466"/>
      <c r="F466"/>
      <c r="G466"/>
      <c r="H466"/>
    </row>
    <row r="467" spans="1:8">
      <c r="A467"/>
      <c r="B467"/>
      <c r="C467"/>
      <c r="D467"/>
      <c r="E467"/>
      <c r="F467"/>
      <c r="G467"/>
      <c r="H467"/>
    </row>
    <row r="468" spans="1:8">
      <c r="A468"/>
      <c r="B468"/>
      <c r="C468"/>
      <c r="D468"/>
      <c r="E468"/>
      <c r="F468"/>
      <c r="G468"/>
      <c r="H468"/>
    </row>
    <row r="469" spans="1:8">
      <c r="A469"/>
      <c r="B469"/>
      <c r="C469"/>
      <c r="D469"/>
      <c r="E469"/>
      <c r="F469"/>
      <c r="G469"/>
      <c r="H469"/>
    </row>
    <row r="470" spans="1:8">
      <c r="A470"/>
      <c r="B470"/>
      <c r="C470"/>
      <c r="D470"/>
      <c r="E470"/>
      <c r="F470"/>
      <c r="G470"/>
      <c r="H470"/>
    </row>
    <row r="471" spans="1:8">
      <c r="A471"/>
      <c r="B471"/>
      <c r="C471"/>
      <c r="D471"/>
      <c r="E471"/>
      <c r="F471"/>
      <c r="G471"/>
      <c r="H471"/>
    </row>
    <row r="472" spans="1:8">
      <c r="A472"/>
      <c r="B472"/>
      <c r="C472"/>
      <c r="D472"/>
      <c r="E472"/>
      <c r="F472"/>
      <c r="G472"/>
      <c r="H472"/>
    </row>
    <row r="473" spans="1:8">
      <c r="A473"/>
      <c r="B473"/>
      <c r="C473"/>
      <c r="D473"/>
      <c r="E473"/>
      <c r="F473"/>
      <c r="G473"/>
      <c r="H473"/>
    </row>
    <row r="474" spans="1:8">
      <c r="A474"/>
      <c r="B474"/>
      <c r="C474"/>
      <c r="D474"/>
      <c r="E474"/>
      <c r="F474"/>
      <c r="G474"/>
      <c r="H474"/>
    </row>
    <row r="475" spans="1:8">
      <c r="A475"/>
      <c r="B475"/>
      <c r="C475"/>
      <c r="D475"/>
      <c r="E475"/>
      <c r="F475"/>
      <c r="G475"/>
      <c r="H475"/>
    </row>
    <row r="476" spans="1:8">
      <c r="A476"/>
      <c r="B476"/>
      <c r="C476"/>
      <c r="D476"/>
      <c r="E476"/>
      <c r="F476"/>
      <c r="G476"/>
      <c r="H476"/>
    </row>
    <row r="477" spans="1:8">
      <c r="A477"/>
      <c r="B477"/>
      <c r="C477"/>
      <c r="D477"/>
      <c r="E477"/>
      <c r="F477"/>
      <c r="G477"/>
      <c r="H477"/>
    </row>
    <row r="478" spans="1:8">
      <c r="A478"/>
      <c r="B478"/>
      <c r="C478"/>
      <c r="D478"/>
      <c r="E478"/>
      <c r="F478"/>
      <c r="G478"/>
      <c r="H478"/>
    </row>
    <row r="479" spans="1:8">
      <c r="A479"/>
      <c r="B479"/>
      <c r="C479"/>
      <c r="D479"/>
      <c r="E479"/>
      <c r="F479"/>
      <c r="G479"/>
      <c r="H479"/>
    </row>
    <row r="480" spans="1:8">
      <c r="A480"/>
      <c r="B480"/>
      <c r="C480"/>
      <c r="D480"/>
      <c r="E480"/>
      <c r="F480"/>
      <c r="G480"/>
      <c r="H480"/>
    </row>
    <row r="481" spans="1:8">
      <c r="A481"/>
      <c r="B481"/>
      <c r="C481"/>
      <c r="D481"/>
      <c r="E481"/>
      <c r="F481"/>
      <c r="G481"/>
      <c r="H481"/>
    </row>
    <row r="482" spans="1:8">
      <c r="A482"/>
      <c r="B482"/>
      <c r="C482"/>
      <c r="D482"/>
      <c r="E482"/>
      <c r="F482"/>
      <c r="G482"/>
      <c r="H482"/>
    </row>
    <row r="483" spans="1:8">
      <c r="A483"/>
      <c r="B483"/>
      <c r="C483"/>
      <c r="D483"/>
      <c r="E483"/>
      <c r="F483"/>
      <c r="G483"/>
      <c r="H483"/>
    </row>
    <row r="484" spans="1:8">
      <c r="A484"/>
      <c r="B484"/>
      <c r="C484"/>
      <c r="D484"/>
      <c r="E484"/>
      <c r="F484"/>
      <c r="G484"/>
      <c r="H484"/>
    </row>
    <row r="485" spans="1:8">
      <c r="A485"/>
      <c r="B485"/>
      <c r="C485"/>
      <c r="D485"/>
      <c r="E485"/>
      <c r="F485"/>
      <c r="G485"/>
      <c r="H485"/>
    </row>
    <row r="486" spans="1:8">
      <c r="A486"/>
      <c r="B486"/>
      <c r="C486"/>
      <c r="D486"/>
      <c r="E486"/>
      <c r="F486"/>
      <c r="G486"/>
      <c r="H486"/>
    </row>
    <row r="487" spans="1:8">
      <c r="A487"/>
      <c r="B487"/>
      <c r="C487"/>
      <c r="D487"/>
      <c r="E487"/>
      <c r="F487"/>
      <c r="G487"/>
      <c r="H487"/>
    </row>
    <row r="488" spans="1:8">
      <c r="A488"/>
      <c r="B488"/>
      <c r="C488"/>
      <c r="D488"/>
      <c r="E488"/>
      <c r="F488"/>
      <c r="G488"/>
      <c r="H488"/>
    </row>
    <row r="489" spans="1:8">
      <c r="A489"/>
      <c r="B489"/>
      <c r="C489"/>
      <c r="D489"/>
      <c r="E489"/>
      <c r="F489"/>
      <c r="G489"/>
      <c r="H489"/>
    </row>
    <row r="490" spans="1:8">
      <c r="A490"/>
      <c r="B490"/>
      <c r="C490"/>
      <c r="D490"/>
      <c r="E490"/>
      <c r="F490"/>
      <c r="G490"/>
      <c r="H490"/>
    </row>
    <row r="491" spans="1:8">
      <c r="A491"/>
      <c r="B491"/>
      <c r="C491"/>
      <c r="D491"/>
      <c r="E491"/>
      <c r="F491"/>
      <c r="G491"/>
      <c r="H491"/>
    </row>
    <row r="492" spans="1:8">
      <c r="A492"/>
      <c r="B492"/>
      <c r="C492"/>
      <c r="D492"/>
      <c r="E492"/>
      <c r="F492"/>
      <c r="G492"/>
      <c r="H492"/>
    </row>
    <row r="493" spans="1:8">
      <c r="A493"/>
      <c r="B493"/>
      <c r="C493"/>
      <c r="D493"/>
      <c r="E493"/>
      <c r="F493"/>
      <c r="G493"/>
      <c r="H493"/>
    </row>
    <row r="494" spans="1:8">
      <c r="A494"/>
      <c r="B494"/>
      <c r="C494"/>
      <c r="D494"/>
      <c r="E494"/>
      <c r="F494"/>
      <c r="G494"/>
      <c r="H494"/>
    </row>
    <row r="495" spans="1:8">
      <c r="A495"/>
      <c r="B495"/>
      <c r="C495"/>
      <c r="D495"/>
      <c r="E495"/>
      <c r="F495"/>
      <c r="G495"/>
      <c r="H495"/>
    </row>
    <row r="496" spans="1:8">
      <c r="A496"/>
      <c r="B496"/>
      <c r="C496"/>
      <c r="D496"/>
      <c r="E496"/>
      <c r="F496"/>
      <c r="G496"/>
      <c r="H496"/>
    </row>
    <row r="497" spans="1:8">
      <c r="A497"/>
      <c r="B497"/>
      <c r="C497"/>
      <c r="D497"/>
      <c r="E497"/>
      <c r="F497"/>
      <c r="G497"/>
      <c r="H497"/>
    </row>
    <row r="498" spans="1:8">
      <c r="A498"/>
      <c r="B498"/>
      <c r="C498"/>
      <c r="D498"/>
      <c r="E498"/>
      <c r="F498"/>
      <c r="G498"/>
      <c r="H498"/>
    </row>
    <row r="499" spans="1:8">
      <c r="A499"/>
      <c r="B499"/>
      <c r="C499"/>
      <c r="D499"/>
      <c r="E499"/>
      <c r="F499"/>
      <c r="G499"/>
      <c r="H499"/>
    </row>
    <row r="500" spans="1:8">
      <c r="A500"/>
      <c r="B500"/>
      <c r="C500"/>
      <c r="D500"/>
      <c r="E500"/>
      <c r="F500"/>
      <c r="G500"/>
      <c r="H500"/>
    </row>
    <row r="501" spans="1:8">
      <c r="A501"/>
      <c r="B501"/>
      <c r="C501"/>
      <c r="D501"/>
      <c r="E501"/>
      <c r="F501"/>
      <c r="G501"/>
      <c r="H501"/>
    </row>
    <row r="502" spans="1:8">
      <c r="A502"/>
      <c r="B502"/>
      <c r="C502"/>
      <c r="D502"/>
      <c r="E502"/>
      <c r="F502"/>
      <c r="G502"/>
      <c r="H502"/>
    </row>
    <row r="503" spans="1:8">
      <c r="A503"/>
      <c r="B503"/>
      <c r="C503"/>
      <c r="D503"/>
      <c r="E503"/>
      <c r="F503"/>
      <c r="G503"/>
      <c r="H503"/>
    </row>
    <row r="504" spans="1:8">
      <c r="A504"/>
      <c r="B504"/>
      <c r="C504"/>
      <c r="D504"/>
      <c r="E504"/>
      <c r="F504"/>
      <c r="G504"/>
      <c r="H504"/>
    </row>
    <row r="505" spans="1:8">
      <c r="A505"/>
      <c r="B505"/>
      <c r="C505"/>
      <c r="D505"/>
      <c r="E505"/>
      <c r="F505"/>
      <c r="G505"/>
      <c r="H505"/>
    </row>
    <row r="506" spans="1:8">
      <c r="A506"/>
      <c r="B506"/>
      <c r="C506"/>
      <c r="D506"/>
      <c r="E506"/>
      <c r="F506"/>
      <c r="G506"/>
      <c r="H506"/>
    </row>
  </sheetData>
  <autoFilter ref="A1:H147" xr:uid="{00000000-0009-0000-0000-00000B000000}"/>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74"/>
  <sheetViews>
    <sheetView topLeftCell="X1" workbookViewId="0">
      <pane ySplit="1" topLeftCell="A2" activePane="bottomLeft" state="frozen"/>
      <selection pane="bottomLeft" activeCell="AC2" sqref="AC2"/>
    </sheetView>
  </sheetViews>
  <sheetFormatPr baseColWidth="10" defaultColWidth="8.83203125" defaultRowHeight="15"/>
  <cols>
    <col min="1" max="1" width="9.83203125" style="224" customWidth="1"/>
    <col min="2" max="2" width="13.1640625" style="224" customWidth="1"/>
    <col min="3" max="3" width="34.5" style="224" customWidth="1"/>
    <col min="4" max="4" width="22.83203125" style="224" customWidth="1"/>
    <col min="5" max="5" width="38.33203125" style="224" customWidth="1"/>
    <col min="6" max="9" width="8.5" style="224" customWidth="1"/>
    <col min="10" max="10" width="31" style="224" customWidth="1"/>
    <col min="11" max="12" width="8.5" style="224" customWidth="1"/>
    <col min="13" max="13" width="10.1640625" style="224" customWidth="1"/>
    <col min="14" max="14" width="12.83203125" style="224" customWidth="1"/>
    <col min="15" max="15" width="11.6640625" style="224" customWidth="1"/>
    <col min="16" max="16" width="23.83203125" style="224" customWidth="1"/>
    <col min="17" max="17" width="24.83203125" style="224" customWidth="1"/>
    <col min="18" max="18" width="23" style="224" customWidth="1"/>
    <col min="19" max="19" width="20.1640625" style="224" customWidth="1"/>
    <col min="20" max="20" width="15.5" style="226" bestFit="1" customWidth="1"/>
    <col min="21" max="21" width="12" style="224" customWidth="1"/>
    <col min="22" max="22" width="11.33203125" style="224" customWidth="1"/>
    <col min="23" max="23" width="8.5" style="224" customWidth="1"/>
    <col min="24" max="24" width="33.33203125" style="224" customWidth="1"/>
    <col min="25" max="25" width="21.33203125" style="224" customWidth="1"/>
    <col min="26" max="26" width="20.1640625" style="224" customWidth="1"/>
    <col min="27" max="27" width="14.83203125" style="226" customWidth="1"/>
    <col min="28" max="28" width="15.6640625" style="226" customWidth="1"/>
    <col min="29" max="29" width="30.83203125" style="226" customWidth="1"/>
    <col min="30" max="30" width="23.1640625" style="226" customWidth="1"/>
    <col min="31" max="16384" width="8.83203125" style="224"/>
  </cols>
  <sheetData>
    <row r="1" spans="1:30" s="231" customFormat="1">
      <c r="A1" s="238" t="s">
        <v>3187</v>
      </c>
      <c r="B1" s="238" t="s">
        <v>3188</v>
      </c>
      <c r="C1" s="238"/>
      <c r="D1" s="238" t="s">
        <v>3189</v>
      </c>
      <c r="E1" s="238" t="s">
        <v>3190</v>
      </c>
      <c r="F1" s="228"/>
      <c r="G1" s="248" t="s">
        <v>3349</v>
      </c>
      <c r="H1" s="248" t="s">
        <v>3187</v>
      </c>
      <c r="I1" s="248" t="s">
        <v>3188</v>
      </c>
      <c r="J1" s="248" t="s">
        <v>3350</v>
      </c>
      <c r="K1" s="248" t="s">
        <v>3351</v>
      </c>
      <c r="L1" s="248" t="s">
        <v>3352</v>
      </c>
      <c r="M1" s="248" t="s">
        <v>3354</v>
      </c>
      <c r="N1" s="248" t="s">
        <v>3355</v>
      </c>
      <c r="O1" s="228"/>
      <c r="P1" s="228" t="s">
        <v>3202</v>
      </c>
      <c r="Q1" s="228" t="s">
        <v>3203</v>
      </c>
      <c r="R1" s="228" t="s">
        <v>3334</v>
      </c>
      <c r="S1" s="229"/>
      <c r="T1" s="230" t="s">
        <v>3348</v>
      </c>
      <c r="U1" s="230" t="s">
        <v>3179</v>
      </c>
      <c r="V1" s="230" t="s">
        <v>3180</v>
      </c>
      <c r="W1" s="230" t="s">
        <v>2175</v>
      </c>
      <c r="X1" s="230" t="s">
        <v>2176</v>
      </c>
      <c r="Y1" s="230" t="s">
        <v>3335</v>
      </c>
      <c r="Z1" s="230" t="s">
        <v>3336</v>
      </c>
      <c r="AA1" s="230" t="s">
        <v>3331</v>
      </c>
      <c r="AB1" s="230" t="s">
        <v>3332</v>
      </c>
      <c r="AC1" s="230" t="s">
        <v>3337</v>
      </c>
      <c r="AD1" s="230" t="s">
        <v>3181</v>
      </c>
    </row>
    <row r="2" spans="1:30">
      <c r="A2" s="239" t="s">
        <v>1923</v>
      </c>
      <c r="B2" s="239" t="s">
        <v>2763</v>
      </c>
      <c r="C2" s="239"/>
      <c r="D2" s="239" t="s">
        <v>3191</v>
      </c>
      <c r="E2" s="239" t="s">
        <v>3201</v>
      </c>
      <c r="F2" s="232"/>
      <c r="G2" s="249">
        <v>1</v>
      </c>
      <c r="H2" s="249" t="s">
        <v>1922</v>
      </c>
      <c r="I2" s="249" t="s">
        <v>2445</v>
      </c>
      <c r="J2" s="249" t="s">
        <v>2450</v>
      </c>
      <c r="K2" s="249">
        <v>735663</v>
      </c>
      <c r="L2" s="249">
        <v>2689661</v>
      </c>
      <c r="M2" s="249">
        <v>101.32086700000001</v>
      </c>
      <c r="N2" s="249">
        <v>24.292164</v>
      </c>
      <c r="O2" s="232"/>
      <c r="P2" s="224" t="str">
        <f>IF(ISNA(VLOOKUP(B2,ranger_database_2016!$C$2:$C$147,1,FALSE)) = TRUE, IF(ISNA(VLOOKUP(B2,ranger_database_2016!$G$2:$G$147,1,FALSE)) = TRUE,"NA",(VLOOKUP(B2,ranger_database_2016!$G$2:$G$147,1,FALSE))), VLOOKUP(B2,ranger_database_2016!$C$2:$C$147,1,FALSE))</f>
        <v>吴丙华</v>
      </c>
      <c r="Q2" s="224" t="str">
        <f>IF(ISNA(VLOOKUP(E2,sample_database!$AX$2:$AX$173,1,FALSE)) = TRUE, "NA", VLOOKUP(E2,sample_database!$AX$2:$AX$173,1,FALSE))</f>
        <v>杨忠顺</v>
      </c>
      <c r="R2" s="226">
        <f>IF(Q2="NA","NA",VLOOKUP(Q2,sample_database!$AX$2:$AY$173,2,FALSE))</f>
        <v>120</v>
      </c>
      <c r="T2" s="226">
        <v>1</v>
      </c>
      <c r="U2" s="226" t="str">
        <f>sample_database!E334</f>
        <v>王景法</v>
      </c>
      <c r="V2" s="226" t="str">
        <f>sample_database!I334</f>
        <v>刘文明</v>
      </c>
      <c r="W2" s="226" t="str">
        <f>sample_database!J334</f>
        <v>双柏县鄂嘉镇麻旺村委会下村7号</v>
      </c>
      <c r="X2" s="226" t="str">
        <f>sample_database!K334</f>
        <v>海拔2461，N24°26′31.81″ E101°07′43.81″</v>
      </c>
      <c r="Y2" s="226" t="str">
        <f>IF(ISNA(VLOOKUP(U2,$P$2:$R$67,3,FALSE)),"NA",VLOOKUP(U2,$P$2:$R$67,3,FALSE))</f>
        <v>NA</v>
      </c>
      <c r="Z2" s="224" t="str">
        <f>IF(ISNA(VLOOKUP(V2,$P$2:$R$67,3,FALSE)),"NA",VLOOKUP(V2,$P$2:$R$67,3,FALSE))</f>
        <v>NA</v>
      </c>
      <c r="AA2" s="227">
        <f>101+7/60+43.81/3600</f>
        <v>101.1288361111111</v>
      </c>
      <c r="AB2" s="226">
        <f>24+26/60+31.81/3600</f>
        <v>24.442169444444446</v>
      </c>
      <c r="AC2" s="226" t="str">
        <f>IF(ISNA(VLOOKUP(T2,Export_to_ArcGIS!$A$2:$I$111,9,FALSE)),"NA",VLOOKUP(T2,Export_to_ArcGIS!$A$2:$I$111,9,FALSE))</f>
        <v>NA</v>
      </c>
      <c r="AD2" s="226" t="str">
        <f>IF(Y2&lt;&gt;"NA",Y2,AC2)</f>
        <v>NA</v>
      </c>
    </row>
    <row r="3" spans="1:30">
      <c r="A3" s="240" t="s">
        <v>1923</v>
      </c>
      <c r="B3" s="241" t="s">
        <v>2788</v>
      </c>
      <c r="C3" s="241"/>
      <c r="D3" s="241" t="s">
        <v>3191</v>
      </c>
      <c r="E3" s="241" t="s">
        <v>3192</v>
      </c>
      <c r="F3" s="233"/>
      <c r="G3" s="250">
        <v>2</v>
      </c>
      <c r="H3" s="250" t="s">
        <v>1922</v>
      </c>
      <c r="I3" s="250" t="s">
        <v>2445</v>
      </c>
      <c r="J3" s="250" t="s">
        <v>2458</v>
      </c>
      <c r="K3" s="250">
        <v>733590</v>
      </c>
      <c r="L3" s="250">
        <v>2691341</v>
      </c>
      <c r="M3" s="250">
        <v>101.300738</v>
      </c>
      <c r="N3" s="250">
        <v>24.30763</v>
      </c>
      <c r="O3" s="233"/>
      <c r="P3" s="224" t="str">
        <f>IF(ISNA(VLOOKUP(B3,ranger_database_2016!$C$2:$C$147,1,FALSE)) = TRUE, IF(ISNA(VLOOKUP(B3,ranger_database_2016!$G$2:$G$147,1,FALSE)) = TRUE,"NA",(VLOOKUP(B3,ranger_database_2016!$G$2:$G$147,1,FALSE))), VLOOKUP(B3,ranger_database_2016!$C$2:$C$147,1,FALSE))</f>
        <v>杨华安</v>
      </c>
      <c r="Q3" s="224" t="str">
        <f>IF(ISNA(VLOOKUP(E3,sample_database!$AX$2:$AX$173,1,FALSE)) = TRUE, "NA", VLOOKUP(E3,sample_database!$AX$2:$AX$173,1,FALSE))</f>
        <v>NA</v>
      </c>
      <c r="R3" s="226" t="str">
        <f>IF(Q3="NA","NA",VLOOKUP(Q3,sample_database!$AX$2:$AY$173,2,FALSE))</f>
        <v>NA</v>
      </c>
      <c r="T3" s="226">
        <v>2</v>
      </c>
      <c r="U3" s="226" t="str">
        <f>sample_database!E335</f>
        <v>王景法</v>
      </c>
      <c r="V3" s="226" t="str">
        <f>sample_database!I335</f>
        <v>刘文明</v>
      </c>
      <c r="W3" s="226" t="str">
        <f>sample_database!J335</f>
        <v>双柏县鄂嘉镇新厂村委会大龙汤村一号</v>
      </c>
      <c r="X3" s="226" t="str">
        <f>sample_database!K335</f>
        <v>海拔2454，2461，N24°26′31.81″ E101°07′45.81″</v>
      </c>
      <c r="Y3" s="226" t="str">
        <f t="shared" ref="Y3:Y66" si="0">IF(ISNA(VLOOKUP(U3,$P$2:$R$67,3,FALSE)),"NA",VLOOKUP(U3,$P$2:$R$67,3,FALSE))</f>
        <v>NA</v>
      </c>
      <c r="Z3" s="224" t="str">
        <f t="shared" ref="Z3:Z66" si="1">IF(ISNA(VLOOKUP(V3,$P$2:$R$67,3,FALSE)),"NA",VLOOKUP(V3,$P$2:$R$67,3,FALSE))</f>
        <v>NA</v>
      </c>
      <c r="AA3" s="226">
        <f>101+7/60+45.81/3600</f>
        <v>101.12939166666666</v>
      </c>
      <c r="AB3" s="226">
        <f>24+26/60+31.81/3600</f>
        <v>24.442169444444446</v>
      </c>
      <c r="AC3" s="226" t="str">
        <f>IF(ISNA(VLOOKUP(T3,Export_to_ArcGIS!$A$2:$I$111,9,FALSE)),"NA",VLOOKUP(T3,Export_to_ArcGIS!$A$2:$I$111,9,FALSE))</f>
        <v>NA</v>
      </c>
      <c r="AD3" s="226" t="str">
        <f t="shared" ref="AD3:AD66" si="2">IF(Y3&lt;&gt;"NA",Y3,AC3)</f>
        <v>NA</v>
      </c>
    </row>
    <row r="4" spans="1:30">
      <c r="A4" s="239" t="s">
        <v>1923</v>
      </c>
      <c r="B4" s="239" t="s">
        <v>2845</v>
      </c>
      <c r="C4" s="239"/>
      <c r="D4" s="239" t="s">
        <v>3191</v>
      </c>
      <c r="E4" s="239" t="s">
        <v>3196</v>
      </c>
      <c r="F4" s="232"/>
      <c r="G4" s="249">
        <v>3</v>
      </c>
      <c r="H4" s="249" t="s">
        <v>1922</v>
      </c>
      <c r="I4" s="249" t="s">
        <v>2445</v>
      </c>
      <c r="J4" s="249" t="s">
        <v>2457</v>
      </c>
      <c r="K4" s="249">
        <v>734000</v>
      </c>
      <c r="L4" s="249">
        <v>2690447</v>
      </c>
      <c r="M4" s="249">
        <v>101.30462799999999</v>
      </c>
      <c r="N4" s="249">
        <v>24.299503999999999</v>
      </c>
      <c r="O4" s="232"/>
      <c r="P4" s="224" t="str">
        <f>IF(ISNA(VLOOKUP(B4,ranger_database_2016!$C$2:$C$147,1,FALSE)) = TRUE, IF(ISNA(VLOOKUP(B4,ranger_database_2016!$G$2:$G$147,1,FALSE)) = TRUE,"NA",(VLOOKUP(B4,ranger_database_2016!$G$2:$G$147,1,FALSE))), VLOOKUP(B4,ranger_database_2016!$C$2:$C$147,1,FALSE))</f>
        <v>杨朝华</v>
      </c>
      <c r="Q4" s="224" t="str">
        <f>IF(ISNA(VLOOKUP(E4,sample_database!$AX$2:$AX$173,1,FALSE)) = TRUE, "NA", VLOOKUP(E4,sample_database!$AX$2:$AX$173,1,FALSE))</f>
        <v>杞朝华</v>
      </c>
      <c r="R4" s="226">
        <f>IF(Q4="NA","NA",VLOOKUP(Q4,sample_database!$AX$2:$AY$173,2,FALSE))</f>
        <v>107</v>
      </c>
      <c r="T4" s="226">
        <v>3</v>
      </c>
      <c r="U4" s="226" t="str">
        <f>sample_database!E336</f>
        <v>王景法</v>
      </c>
      <c r="V4" s="226" t="str">
        <f>sample_database!I336</f>
        <v>刘文明</v>
      </c>
      <c r="W4" s="226" t="str">
        <f>sample_database!J336</f>
        <v>双柏县鄂嘉镇新厂村委会大龙汤村一号</v>
      </c>
      <c r="X4" s="226" t="str">
        <f>sample_database!K336</f>
        <v xml:space="preserve">海拔2496，2461，N24°25′19.56″ </v>
      </c>
      <c r="Y4" s="226" t="str">
        <f t="shared" si="0"/>
        <v>NA</v>
      </c>
      <c r="Z4" s="224" t="str">
        <f t="shared" si="1"/>
        <v>NA</v>
      </c>
      <c r="AA4" s="227" t="s">
        <v>10</v>
      </c>
      <c r="AB4" s="227" t="s">
        <v>10</v>
      </c>
      <c r="AC4" s="226" t="str">
        <f>IF(ISNA(VLOOKUP(T4,Export_to_ArcGIS!$A$2:$I$111,9,FALSE)),"NA",VLOOKUP(T4,Export_to_ArcGIS!$A$2:$I$111,9,FALSE))</f>
        <v>NA</v>
      </c>
      <c r="AD4" s="226" t="str">
        <f t="shared" si="2"/>
        <v>NA</v>
      </c>
    </row>
    <row r="5" spans="1:30">
      <c r="A5" s="239" t="s">
        <v>1922</v>
      </c>
      <c r="B5" s="240" t="s">
        <v>2445</v>
      </c>
      <c r="C5" s="239" t="s">
        <v>3193</v>
      </c>
      <c r="D5" s="239" t="s">
        <v>3191</v>
      </c>
      <c r="E5" s="239" t="s">
        <v>3281</v>
      </c>
      <c r="F5" s="232"/>
      <c r="G5" s="249">
        <v>4</v>
      </c>
      <c r="H5" s="249" t="s">
        <v>1922</v>
      </c>
      <c r="I5" s="249" t="s">
        <v>2445</v>
      </c>
      <c r="J5" s="249" t="s">
        <v>2455</v>
      </c>
      <c r="K5" s="249">
        <v>734351</v>
      </c>
      <c r="L5" s="249">
        <v>2691102</v>
      </c>
      <c r="M5" s="249">
        <v>101.308189</v>
      </c>
      <c r="N5" s="249">
        <v>24.30536</v>
      </c>
      <c r="O5" s="232"/>
      <c r="P5" s="224" t="str">
        <f>IF(ISNA(VLOOKUP(B5,ranger_database_2016!$C$2:$C$147,1,FALSE)) = TRUE, IF(ISNA(VLOOKUP(B5,ranger_database_2016!$G$2:$G$147,1,FALSE)) = TRUE,"NA",(VLOOKUP(B5,ranger_database_2016!$G$2:$G$147,1,FALSE))), VLOOKUP(B5,ranger_database_2016!$C$2:$C$147,1,FALSE))</f>
        <v>李发新</v>
      </c>
      <c r="Q5" s="224" t="str">
        <f>IF(ISNA(VLOOKUP(E5,sample_database!$AX$2:$AX$173,1,FALSE)) = TRUE, "NA", VLOOKUP(E5,sample_database!$AX$2:$AX$173,1,FALSE))</f>
        <v>NA</v>
      </c>
      <c r="R5" s="226" t="str">
        <f>IF(Q5="NA","NA",VLOOKUP(Q5,sample_database!$AX$2:$AY$173,2,FALSE))</f>
        <v>NA</v>
      </c>
      <c r="T5" s="226">
        <v>4</v>
      </c>
      <c r="U5" s="226" t="str">
        <f>sample_database!E337</f>
        <v>王景法</v>
      </c>
      <c r="V5" s="226" t="str">
        <f>sample_database!I337</f>
        <v>刘文明</v>
      </c>
      <c r="W5" s="226" t="str">
        <f>sample_database!J337</f>
        <v>双柏县鄂嘉镇新厂村委会大龙汤村一号</v>
      </c>
      <c r="X5" s="226" t="str">
        <f>sample_database!K337</f>
        <v>海拔2445，2442，E101°07′53.96″</v>
      </c>
      <c r="Y5" s="226" t="str">
        <f t="shared" si="0"/>
        <v>NA</v>
      </c>
      <c r="Z5" s="224" t="str">
        <f t="shared" si="1"/>
        <v>NA</v>
      </c>
      <c r="AA5" s="227" t="s">
        <v>10</v>
      </c>
      <c r="AB5" s="227" t="s">
        <v>10</v>
      </c>
      <c r="AC5" s="226" t="str">
        <f>IF(ISNA(VLOOKUP(T5,Export_to_ArcGIS!$A$2:$I$111,9,FALSE)),"NA",VLOOKUP(T5,Export_to_ArcGIS!$A$2:$I$111,9,FALSE))</f>
        <v>NA</v>
      </c>
      <c r="AD5" s="226" t="str">
        <f t="shared" si="2"/>
        <v>NA</v>
      </c>
    </row>
    <row r="6" spans="1:30">
      <c r="A6" s="239" t="s">
        <v>1922</v>
      </c>
      <c r="B6" s="239" t="s">
        <v>2579</v>
      </c>
      <c r="C6" s="239"/>
      <c r="D6" s="239" t="s">
        <v>3191</v>
      </c>
      <c r="E6" s="239" t="s">
        <v>3276</v>
      </c>
      <c r="F6" s="232"/>
      <c r="G6" s="249">
        <v>5</v>
      </c>
      <c r="H6" s="249" t="s">
        <v>1922</v>
      </c>
      <c r="I6" s="249" t="s">
        <v>2445</v>
      </c>
      <c r="J6" s="249" t="s">
        <v>2453</v>
      </c>
      <c r="K6" s="249">
        <v>734928</v>
      </c>
      <c r="L6" s="249">
        <v>2688340</v>
      </c>
      <c r="M6" s="249">
        <v>101.313417</v>
      </c>
      <c r="N6" s="249">
        <v>24.280358</v>
      </c>
      <c r="O6" s="232"/>
      <c r="P6" s="224" t="str">
        <f>IF(ISNA(VLOOKUP(B6,ranger_database_2016!$C$2:$C$147,1,FALSE)) = TRUE, IF(ISNA(VLOOKUP(B6,ranger_database_2016!$G$2:$G$147,1,FALSE)) = TRUE,"NA",(VLOOKUP(B6,ranger_database_2016!$G$2:$G$147,1,FALSE))), VLOOKUP(B6,ranger_database_2016!$C$2:$C$147,1,FALSE))</f>
        <v>张学林</v>
      </c>
      <c r="Q6" s="224" t="str">
        <f>IF(ISNA(VLOOKUP(E6,sample_database!$AX$2:$AX$173,1,FALSE)) = TRUE, "NA", VLOOKUP(E6,sample_database!$AX$2:$AX$173,1,FALSE))</f>
        <v>NA</v>
      </c>
      <c r="R6" s="226" t="str">
        <f>IF(Q6="NA","NA",VLOOKUP(Q6,sample_database!$AX$2:$AY$173,2,FALSE))</f>
        <v>NA</v>
      </c>
      <c r="T6" s="226">
        <v>5</v>
      </c>
      <c r="U6" s="226" t="str">
        <f>sample_database!E338</f>
        <v>李有华</v>
      </c>
      <c r="V6" s="226" t="str">
        <f>sample_database!I338</f>
        <v>李廷梅</v>
      </c>
      <c r="W6" s="226" t="str">
        <f>sample_database!J338</f>
        <v>双柏县鄂嘉镇新树村委会</v>
      </c>
      <c r="X6" s="226" t="str">
        <f>sample_database!K338</f>
        <v>海拔2691 N24°17′22.03″，E101°17′10.24″</v>
      </c>
      <c r="Y6" s="226" t="str">
        <f t="shared" si="0"/>
        <v>NA</v>
      </c>
      <c r="Z6" s="224" t="str">
        <f t="shared" si="1"/>
        <v>NA</v>
      </c>
      <c r="AA6" s="226">
        <f>101+17/60+10.24/3600</f>
        <v>101.28617777777778</v>
      </c>
      <c r="AB6" s="226">
        <f>24+17/60+22.03/3600</f>
        <v>24.289452777777779</v>
      </c>
      <c r="AC6" s="226">
        <f>IF(ISNA(VLOOKUP(T6,Export_to_ArcGIS!$A$2:$I$111,9,FALSE)),"NA",VLOOKUP(T6,Export_to_ArcGIS!$A$2:$I$111,9,FALSE))</f>
        <v>141</v>
      </c>
      <c r="AD6" s="226">
        <f t="shared" si="2"/>
        <v>141</v>
      </c>
    </row>
    <row r="7" spans="1:30" ht="16">
      <c r="A7" s="239" t="s">
        <v>1922</v>
      </c>
      <c r="B7" s="239" t="s">
        <v>3194</v>
      </c>
      <c r="C7" s="242" t="s">
        <v>3195</v>
      </c>
      <c r="D7" s="239" t="s">
        <v>3191</v>
      </c>
      <c r="E7" s="239" t="s">
        <v>3276</v>
      </c>
      <c r="F7" s="232"/>
      <c r="G7" s="249">
        <v>6</v>
      </c>
      <c r="H7" s="249" t="s">
        <v>1922</v>
      </c>
      <c r="I7" s="249" t="s">
        <v>2445</v>
      </c>
      <c r="J7" s="249" t="s">
        <v>2459</v>
      </c>
      <c r="K7" s="249">
        <v>733590</v>
      </c>
      <c r="L7" s="249">
        <v>2690774</v>
      </c>
      <c r="M7" s="249">
        <v>101.300645</v>
      </c>
      <c r="N7" s="249">
        <v>24.302515</v>
      </c>
      <c r="O7" s="232"/>
      <c r="P7" s="224" t="str">
        <f>IF(ISNA(VLOOKUP(B7,ranger_database_2016!$C$2:$C$147,1,FALSE)) = TRUE, IF(ISNA(VLOOKUP(B7,ranger_database_2016!$G$2:$G$147,1,FALSE)) = TRUE,"NA",(VLOOKUP(B7,ranger_database_2016!$G$2:$G$147,1,FALSE))), VLOOKUP(B7,ranger_database_2016!$C$2:$C$147,1,FALSE))</f>
        <v>李荣兵</v>
      </c>
      <c r="Q7" s="224" t="str">
        <f>IF(ISNA(VLOOKUP(E7,sample_database!$AX$2:$AX$173,1,FALSE)) = TRUE, "NA", VLOOKUP(E7,sample_database!$AX$2:$AX$173,1,FALSE))</f>
        <v>NA</v>
      </c>
      <c r="R7" s="226" t="str">
        <f>IF(Q7="NA","NA",VLOOKUP(Q7,sample_database!$AX$2:$AY$173,2,FALSE))</f>
        <v>NA</v>
      </c>
      <c r="T7" s="226">
        <v>6</v>
      </c>
      <c r="U7" s="226" t="str">
        <f>sample_database!E339</f>
        <v>李有华</v>
      </c>
      <c r="V7" s="226" t="str">
        <f>sample_database!I339</f>
        <v>李廷梅</v>
      </c>
      <c r="W7" s="226" t="str">
        <f>sample_database!J339</f>
        <v>双柏县鄂嘉镇新树村委会</v>
      </c>
      <c r="X7" s="226" t="str">
        <f>sample_database!K339</f>
        <v>海拔2691 N24°17′22.03″，E101°17′10.24″</v>
      </c>
      <c r="Y7" s="226" t="str">
        <f t="shared" si="0"/>
        <v>NA</v>
      </c>
      <c r="Z7" s="224" t="str">
        <f t="shared" si="1"/>
        <v>NA</v>
      </c>
      <c r="AA7" s="226">
        <f t="shared" ref="AA7:AA9" si="3">101+17/60+10.24/3600</f>
        <v>101.28617777777778</v>
      </c>
      <c r="AB7" s="226">
        <f t="shared" ref="AB7:AB9" si="4">24+17/60+22.03/3600</f>
        <v>24.289452777777779</v>
      </c>
      <c r="AC7" s="226">
        <f>IF(ISNA(VLOOKUP(T7,Export_to_ArcGIS!$A$2:$I$111,9,FALSE)),"NA",VLOOKUP(T7,Export_to_ArcGIS!$A$2:$I$111,9,FALSE))</f>
        <v>141</v>
      </c>
      <c r="AD7" s="226">
        <f t="shared" si="2"/>
        <v>141</v>
      </c>
    </row>
    <row r="8" spans="1:30">
      <c r="A8" s="239" t="s">
        <v>1922</v>
      </c>
      <c r="B8" s="239" t="s">
        <v>2592</v>
      </c>
      <c r="C8" s="239"/>
      <c r="D8" s="239" t="s">
        <v>3191</v>
      </c>
      <c r="E8" s="239" t="s">
        <v>3276</v>
      </c>
      <c r="F8" s="232"/>
      <c r="G8" s="249">
        <v>7</v>
      </c>
      <c r="H8" s="249" t="s">
        <v>1922</v>
      </c>
      <c r="I8" s="249" t="s">
        <v>2445</v>
      </c>
      <c r="J8" s="249" t="s">
        <v>2447</v>
      </c>
      <c r="K8" s="249">
        <v>736115</v>
      </c>
      <c r="L8" s="249">
        <v>2690663</v>
      </c>
      <c r="M8" s="249">
        <v>101.32548</v>
      </c>
      <c r="N8" s="249">
        <v>24.301134999999999</v>
      </c>
      <c r="O8" s="232"/>
      <c r="P8" s="224" t="str">
        <f>IF(ISNA(VLOOKUP(B8,ranger_database_2016!$C$2:$C$147,1,FALSE)) = TRUE, IF(ISNA(VLOOKUP(B8,ranger_database_2016!$G$2:$G$147,1,FALSE)) = TRUE,"NA",(VLOOKUP(B8,ranger_database_2016!$G$2:$G$147,1,FALSE))), VLOOKUP(B8,ranger_database_2016!$C$2:$C$147,1,FALSE))</f>
        <v>张立德</v>
      </c>
      <c r="Q8" s="224" t="str">
        <f>IF(ISNA(VLOOKUP(E8,sample_database!$AX$2:$AX$173,1,FALSE)) = TRUE, "NA", VLOOKUP(E8,sample_database!$AX$2:$AX$173,1,FALSE))</f>
        <v>NA</v>
      </c>
      <c r="R8" s="226" t="str">
        <f>IF(Q8="NA","NA",VLOOKUP(Q8,sample_database!$AX$2:$AY$173,2,FALSE))</f>
        <v>NA</v>
      </c>
      <c r="T8" s="226">
        <v>7</v>
      </c>
      <c r="U8" s="226" t="str">
        <f>sample_database!E340</f>
        <v>李有华</v>
      </c>
      <c r="V8" s="226" t="str">
        <f>sample_database!I340</f>
        <v>李廷梅</v>
      </c>
      <c r="W8" s="226" t="str">
        <f>sample_database!J340</f>
        <v>双柏县鄂嘉镇新树村委会</v>
      </c>
      <c r="X8" s="226" t="str">
        <f>sample_database!K340</f>
        <v>海拔2691 N24°17′22.03″，E101°17′10.24″</v>
      </c>
      <c r="Y8" s="226" t="str">
        <f t="shared" si="0"/>
        <v>NA</v>
      </c>
      <c r="Z8" s="224" t="str">
        <f t="shared" si="1"/>
        <v>NA</v>
      </c>
      <c r="AA8" s="226">
        <f t="shared" si="3"/>
        <v>101.28617777777778</v>
      </c>
      <c r="AB8" s="226">
        <f t="shared" si="4"/>
        <v>24.289452777777779</v>
      </c>
      <c r="AC8" s="226">
        <f>IF(ISNA(VLOOKUP(T8,Export_to_ArcGIS!$A$2:$I$111,9,FALSE)),"NA",VLOOKUP(T8,Export_to_ArcGIS!$A$2:$I$111,9,FALSE))</f>
        <v>141</v>
      </c>
      <c r="AD8" s="226">
        <f t="shared" si="2"/>
        <v>141</v>
      </c>
    </row>
    <row r="9" spans="1:30">
      <c r="A9" s="239" t="s">
        <v>1922</v>
      </c>
      <c r="B9" s="239" t="s">
        <v>2600</v>
      </c>
      <c r="C9" s="239"/>
      <c r="D9" s="239" t="s">
        <v>3191</v>
      </c>
      <c r="E9" s="239" t="s">
        <v>3276</v>
      </c>
      <c r="F9" s="232"/>
      <c r="G9" s="249">
        <v>8</v>
      </c>
      <c r="H9" s="249" t="s">
        <v>1922</v>
      </c>
      <c r="I9" s="249" t="s">
        <v>2445</v>
      </c>
      <c r="J9" s="249" t="s">
        <v>2452</v>
      </c>
      <c r="K9" s="249">
        <v>735363</v>
      </c>
      <c r="L9" s="249">
        <v>2689211</v>
      </c>
      <c r="M9" s="249">
        <v>101.31784</v>
      </c>
      <c r="N9" s="249">
        <v>24.288150000000002</v>
      </c>
      <c r="O9" s="232"/>
      <c r="P9" s="224" t="str">
        <f>IF(ISNA(VLOOKUP(B9,ranger_database_2016!$C$2:$C$147,1,FALSE)) = TRUE, IF(ISNA(VLOOKUP(B9,ranger_database_2016!$G$2:$G$147,1,FALSE)) = TRUE,"NA",(VLOOKUP(B9,ranger_database_2016!$G$2:$G$147,1,FALSE))), VLOOKUP(B9,ranger_database_2016!$C$2:$C$147,1,FALSE))</f>
        <v>李荣昌</v>
      </c>
      <c r="Q9" s="224" t="str">
        <f>IF(ISNA(VLOOKUP(E9,sample_database!$AX$2:$AX$173,1,FALSE)) = TRUE, "NA", VLOOKUP(E9,sample_database!$AX$2:$AX$173,1,FALSE))</f>
        <v>NA</v>
      </c>
      <c r="R9" s="226" t="str">
        <f>IF(Q9="NA","NA",VLOOKUP(Q9,sample_database!$AX$2:$AY$173,2,FALSE))</f>
        <v>NA</v>
      </c>
      <c r="T9" s="226">
        <v>8</v>
      </c>
      <c r="U9" s="226" t="str">
        <f>sample_database!E341</f>
        <v>李有华</v>
      </c>
      <c r="V9" s="226" t="str">
        <f>sample_database!I341</f>
        <v>李廷梅</v>
      </c>
      <c r="W9" s="226" t="str">
        <f>sample_database!J341</f>
        <v>双柏县鄂嘉镇新树村委会</v>
      </c>
      <c r="X9" s="226" t="str">
        <f>sample_database!K341</f>
        <v>海拔2691 N24°17′22.03″，E101°17′10.24″</v>
      </c>
      <c r="Y9" s="226" t="str">
        <f>IF(ISNA(VLOOKUP(U9,$P$2:$R$67,3,FALSE)),"NA",VLOOKUP(U9,$P$2:$R$67,3,FALSE))</f>
        <v>NA</v>
      </c>
      <c r="Z9" s="224" t="str">
        <f t="shared" si="1"/>
        <v>NA</v>
      </c>
      <c r="AA9" s="226">
        <f t="shared" si="3"/>
        <v>101.28617777777778</v>
      </c>
      <c r="AB9" s="226">
        <f t="shared" si="4"/>
        <v>24.289452777777779</v>
      </c>
      <c r="AC9" s="226">
        <f>IF(ISNA(VLOOKUP(T9,Export_to_ArcGIS!$A$2:$I$111,9,FALSE)),"NA",VLOOKUP(T9,Export_to_ArcGIS!$A$2:$I$111,9,FALSE))</f>
        <v>141</v>
      </c>
      <c r="AD9" s="226">
        <f t="shared" si="2"/>
        <v>141</v>
      </c>
    </row>
    <row r="10" spans="1:30">
      <c r="A10" s="239" t="s">
        <v>1922</v>
      </c>
      <c r="B10" s="239" t="s">
        <v>2616</v>
      </c>
      <c r="C10" s="239"/>
      <c r="D10" s="239" t="s">
        <v>3191</v>
      </c>
      <c r="E10" s="239" t="s">
        <v>3276</v>
      </c>
      <c r="F10" s="232"/>
      <c r="G10" s="249">
        <v>9</v>
      </c>
      <c r="H10" s="249" t="s">
        <v>1922</v>
      </c>
      <c r="I10" s="249" t="s">
        <v>2669</v>
      </c>
      <c r="J10" s="249" t="s">
        <v>2591</v>
      </c>
      <c r="K10" s="249">
        <v>743664</v>
      </c>
      <c r="L10" s="249">
        <v>2677457</v>
      </c>
      <c r="M10" s="249">
        <v>101.39754499999999</v>
      </c>
      <c r="N10" s="249">
        <v>24.180857</v>
      </c>
      <c r="O10" s="232"/>
      <c r="P10" s="224" t="str">
        <f>IF(ISNA(VLOOKUP(B10,ranger_database_2016!$C$2:$C$147,1,FALSE)) = TRUE, IF(ISNA(VLOOKUP(B10,ranger_database_2016!$G$2:$G$147,1,FALSE)) = TRUE,"NA",(VLOOKUP(B10,ranger_database_2016!$G$2:$G$147,1,FALSE))), VLOOKUP(B10,ranger_database_2016!$C$2:$C$147,1,FALSE))</f>
        <v>张春应</v>
      </c>
      <c r="Q10" s="224" t="str">
        <f>IF(ISNA(VLOOKUP(E10,sample_database!$AX$2:$AX$173,1,FALSE)) = TRUE, "NA", VLOOKUP(E10,sample_database!$AX$2:$AX$173,1,FALSE))</f>
        <v>NA</v>
      </c>
      <c r="R10" s="226" t="str">
        <f>IF(Q10="NA","NA",VLOOKUP(Q10,sample_database!$AX$2:$AY$173,2,FALSE))</f>
        <v>NA</v>
      </c>
      <c r="T10" s="226">
        <v>9</v>
      </c>
      <c r="U10" s="226" t="str">
        <f>sample_database!E342</f>
        <v>杨荣高</v>
      </c>
      <c r="V10" s="226" t="str">
        <f>sample_database!I342</f>
        <v>李波</v>
      </c>
      <c r="W10" s="226" t="str">
        <f>sample_database!J342</f>
        <v>双柏县鄂嘉镇义隆村</v>
      </c>
      <c r="X10" s="226" t="str">
        <f>sample_database!K342</f>
        <v>海拔2501，N24°23′56.35″ E101°15′01.84″</v>
      </c>
      <c r="Y10" s="226" t="str">
        <f t="shared" si="0"/>
        <v>NA</v>
      </c>
      <c r="Z10" s="224" t="str">
        <f t="shared" si="1"/>
        <v>NA</v>
      </c>
      <c r="AA10" s="226">
        <f>101+15/60+1.84/3600</f>
        <v>101.25051111111111</v>
      </c>
      <c r="AB10" s="226">
        <f>24+23/60+56.35/3600</f>
        <v>24.39898611111111</v>
      </c>
      <c r="AC10" s="226" t="str">
        <f>IF(ISNA(VLOOKUP(T10,Export_to_ArcGIS!$A$2:$I$111,9,FALSE)),"NA",VLOOKUP(T10,Export_to_ArcGIS!$A$2:$I$111,9,FALSE))</f>
        <v>NA</v>
      </c>
      <c r="AD10" s="226" t="str">
        <f t="shared" si="2"/>
        <v>NA</v>
      </c>
    </row>
    <row r="11" spans="1:30">
      <c r="A11" s="239" t="s">
        <v>1922</v>
      </c>
      <c r="B11" s="239" t="s">
        <v>2628</v>
      </c>
      <c r="C11" s="239"/>
      <c r="D11" s="239" t="s">
        <v>3191</v>
      </c>
      <c r="E11" s="239" t="s">
        <v>3276</v>
      </c>
      <c r="F11" s="232"/>
      <c r="G11" s="249">
        <v>10</v>
      </c>
      <c r="H11" s="249" t="s">
        <v>1922</v>
      </c>
      <c r="I11" s="249" t="s">
        <v>2669</v>
      </c>
      <c r="J11" s="249" t="s">
        <v>2674</v>
      </c>
      <c r="K11" s="249">
        <v>755419</v>
      </c>
      <c r="L11" s="249">
        <v>2650879</v>
      </c>
      <c r="M11" s="249">
        <v>101.50845700000001</v>
      </c>
      <c r="N11" s="249">
        <v>23.939267999999998</v>
      </c>
      <c r="O11" s="232"/>
      <c r="P11" s="224" t="str">
        <f>IF(ISNA(VLOOKUP(B11,ranger_database_2016!$C$2:$C$147,1,FALSE)) = TRUE, IF(ISNA(VLOOKUP(B11,ranger_database_2016!$G$2:$G$147,1,FALSE)) = TRUE,"NA",(VLOOKUP(B11,ranger_database_2016!$G$2:$G$147,1,FALSE))), VLOOKUP(B11,ranger_database_2016!$C$2:$C$147,1,FALSE))</f>
        <v>张明忠</v>
      </c>
      <c r="Q11" s="224" t="str">
        <f>IF(ISNA(VLOOKUP(E11,sample_database!$AX$2:$AX$173,1,FALSE)) = TRUE, "NA", VLOOKUP(E11,sample_database!$AX$2:$AX$173,1,FALSE))</f>
        <v>NA</v>
      </c>
      <c r="R11" s="226" t="str">
        <f>IF(Q11="NA","NA",VLOOKUP(Q11,sample_database!$AX$2:$AY$173,2,FALSE))</f>
        <v>NA</v>
      </c>
      <c r="T11" s="226">
        <v>10</v>
      </c>
      <c r="U11" s="226" t="str">
        <f>sample_database!E343</f>
        <v>杨荣高</v>
      </c>
      <c r="V11" s="226" t="str">
        <f>sample_database!I343</f>
        <v>李波</v>
      </c>
      <c r="W11" s="226" t="str">
        <f>sample_database!J343</f>
        <v>双柏县鄂嘉镇义隆村</v>
      </c>
      <c r="X11" s="226" t="str">
        <f>sample_database!K343</f>
        <v>海拔2640，N24°22′07.02″ E101°15′25.82″</v>
      </c>
      <c r="Y11" s="226" t="str">
        <f t="shared" si="0"/>
        <v>NA</v>
      </c>
      <c r="Z11" s="224" t="str">
        <f t="shared" si="1"/>
        <v>NA</v>
      </c>
      <c r="AA11" s="226">
        <f>101+15/60+25.82/3600</f>
        <v>101.25717222222222</v>
      </c>
      <c r="AB11" s="226">
        <f>24+22/60+7.02/3600</f>
        <v>24.368616666666668</v>
      </c>
      <c r="AC11" s="226" t="str">
        <f>IF(ISNA(VLOOKUP(T11,Export_to_ArcGIS!$A$2:$I$111,9,FALSE)),"NA",VLOOKUP(T11,Export_to_ArcGIS!$A$2:$I$111,9,FALSE))</f>
        <v>NA</v>
      </c>
      <c r="AD11" s="226" t="str">
        <f t="shared" si="2"/>
        <v>NA</v>
      </c>
    </row>
    <row r="12" spans="1:30">
      <c r="A12" s="239" t="s">
        <v>1922</v>
      </c>
      <c r="B12" s="239" t="s">
        <v>3292</v>
      </c>
      <c r="C12" s="239"/>
      <c r="D12" s="239" t="s">
        <v>3191</v>
      </c>
      <c r="E12" s="239" t="s">
        <v>3276</v>
      </c>
      <c r="F12" s="232"/>
      <c r="G12" s="249">
        <v>11</v>
      </c>
      <c r="H12" s="249" t="s">
        <v>1922</v>
      </c>
      <c r="I12" s="249" t="s">
        <v>2669</v>
      </c>
      <c r="J12" s="249" t="s">
        <v>2670</v>
      </c>
      <c r="K12" s="249">
        <v>755464</v>
      </c>
      <c r="L12" s="249">
        <v>2650814</v>
      </c>
      <c r="M12" s="249">
        <v>101.508887</v>
      </c>
      <c r="N12" s="249">
        <v>23.938673999999999</v>
      </c>
      <c r="O12" s="232"/>
      <c r="P12" s="224" t="str">
        <f>IF(ISNA(VLOOKUP(B12,ranger_database_2016!$C$2:$C$147,1,FALSE)) = TRUE, IF(ISNA(VLOOKUP(B12,ranger_database_2016!$G$2:$G$147,1,FALSE)) = TRUE,"NA",(VLOOKUP(B12,ranger_database_2016!$G$2:$G$147,1,FALSE))), VLOOKUP(B12,ranger_database_2016!$C$2:$C$147,1,FALSE))</f>
        <v>自正荣</v>
      </c>
      <c r="Q12" s="224" t="str">
        <f>IF(ISNA(VLOOKUP(E12,sample_database!$AX$2:$AX$173,1,FALSE)) = TRUE, "NA", VLOOKUP(E12,sample_database!$AX$2:$AX$173,1,FALSE))</f>
        <v>NA</v>
      </c>
      <c r="R12" s="226" t="str">
        <f>IF(Q12="NA","NA",VLOOKUP(Q12,sample_database!$AX$2:$AY$173,2,FALSE))</f>
        <v>NA</v>
      </c>
      <c r="T12" s="226">
        <v>11</v>
      </c>
      <c r="U12" s="226" t="str">
        <f>sample_database!E344</f>
        <v>杨荣高</v>
      </c>
      <c r="V12" s="226" t="str">
        <f>sample_database!I344</f>
        <v>李波</v>
      </c>
      <c r="W12" s="226" t="str">
        <f>sample_database!J344</f>
        <v>双柏县鄂嘉镇义隆村</v>
      </c>
      <c r="X12" s="226" t="str">
        <f>sample_database!K344</f>
        <v>海拔2640，N24°22′07.02″ E101°15′25.82″</v>
      </c>
      <c r="Y12" s="226" t="str">
        <f t="shared" si="0"/>
        <v>NA</v>
      </c>
      <c r="Z12" s="224" t="str">
        <f t="shared" si="1"/>
        <v>NA</v>
      </c>
      <c r="AA12" s="226">
        <f>101+15/60+25.82/3600</f>
        <v>101.25717222222222</v>
      </c>
      <c r="AB12" s="226">
        <f>24+22/60+7.02/3600</f>
        <v>24.368616666666668</v>
      </c>
      <c r="AC12" s="226" t="str">
        <f>IF(ISNA(VLOOKUP(T12,Export_to_ArcGIS!$A$2:$I$111,9,FALSE)),"NA",VLOOKUP(T12,Export_to_ArcGIS!$A$2:$I$111,9,FALSE))</f>
        <v>NA</v>
      </c>
      <c r="AD12" s="226" t="str">
        <f t="shared" si="2"/>
        <v>NA</v>
      </c>
    </row>
    <row r="13" spans="1:30">
      <c r="A13" s="239" t="s">
        <v>1922</v>
      </c>
      <c r="B13" s="239" t="s">
        <v>2648</v>
      </c>
      <c r="C13" s="239"/>
      <c r="D13" s="239" t="s">
        <v>3191</v>
      </c>
      <c r="E13" s="239" t="s">
        <v>3276</v>
      </c>
      <c r="F13" s="232"/>
      <c r="G13" s="249">
        <v>12</v>
      </c>
      <c r="H13" s="249" t="s">
        <v>1922</v>
      </c>
      <c r="I13" s="249" t="s">
        <v>2600</v>
      </c>
      <c r="J13" s="249" t="s">
        <v>2603</v>
      </c>
      <c r="K13" s="249">
        <v>755092</v>
      </c>
      <c r="L13" s="249">
        <v>2658717</v>
      </c>
      <c r="M13" s="249">
        <v>101.50661599999999</v>
      </c>
      <c r="N13" s="249">
        <v>24.010017999999999</v>
      </c>
      <c r="O13" s="232"/>
      <c r="P13" s="224" t="str">
        <f>IF(ISNA(VLOOKUP(B13,ranger_database_2016!$C$2:$C$147,1,FALSE)) = TRUE, IF(ISNA(VLOOKUP(B13,ranger_database_2016!$G$2:$G$147,1,FALSE)) = TRUE,"NA",(VLOOKUP(B13,ranger_database_2016!$G$2:$G$147,1,FALSE))), VLOOKUP(B13,ranger_database_2016!$C$2:$C$147,1,FALSE))</f>
        <v>普国全</v>
      </c>
      <c r="Q13" s="224" t="str">
        <f>IF(ISNA(VLOOKUP(E13,sample_database!$AX$2:$AX$173,1,FALSE)) = TRUE, "NA", VLOOKUP(E13,sample_database!$AX$2:$AX$173,1,FALSE))</f>
        <v>NA</v>
      </c>
      <c r="R13" s="226" t="str">
        <f>IF(Q13="NA","NA",VLOOKUP(Q13,sample_database!$AX$2:$AY$173,2,FALSE))</f>
        <v>NA</v>
      </c>
      <c r="T13" s="226">
        <v>12</v>
      </c>
      <c r="U13" s="226" t="str">
        <f>sample_database!E345</f>
        <v>杨荣高</v>
      </c>
      <c r="V13" s="226" t="str">
        <f>sample_database!I345</f>
        <v>李波</v>
      </c>
      <c r="W13" s="226" t="str">
        <f>sample_database!J345</f>
        <v>双柏县鄂嘉镇义隆村</v>
      </c>
      <c r="X13" s="226" t="str">
        <f>sample_database!K345</f>
        <v>海拔2750，N24°21′49.51″ E101°21′49.51″</v>
      </c>
      <c r="Y13" s="226" t="str">
        <f t="shared" si="0"/>
        <v>NA</v>
      </c>
      <c r="Z13" s="224" t="str">
        <f t="shared" si="1"/>
        <v>NA</v>
      </c>
      <c r="AA13" s="226">
        <f>101+21/60+49.51/3600</f>
        <v>101.36375277777778</v>
      </c>
      <c r="AB13" s="226">
        <f>24+21/60+49.51/3600</f>
        <v>24.36375277777778</v>
      </c>
      <c r="AC13" s="226" t="str">
        <f>IF(ISNA(VLOOKUP(T13,Export_to_ArcGIS!$A$2:$I$111,9,FALSE)),"NA",VLOOKUP(T13,Export_to_ArcGIS!$A$2:$I$111,9,FALSE))</f>
        <v>NA</v>
      </c>
      <c r="AD13" s="226" t="str">
        <f t="shared" si="2"/>
        <v>NA</v>
      </c>
    </row>
    <row r="14" spans="1:30">
      <c r="A14" s="239" t="s">
        <v>1922</v>
      </c>
      <c r="B14" s="239" t="s">
        <v>2658</v>
      </c>
      <c r="C14" s="239"/>
      <c r="D14" s="239" t="s">
        <v>3191</v>
      </c>
      <c r="E14" s="239" t="s">
        <v>3276</v>
      </c>
      <c r="F14" s="232"/>
      <c r="G14" s="249">
        <v>13</v>
      </c>
      <c r="H14" s="249" t="s">
        <v>1922</v>
      </c>
      <c r="I14" s="249" t="s">
        <v>2600</v>
      </c>
      <c r="J14" s="249" t="s">
        <v>2607</v>
      </c>
      <c r="K14" s="249">
        <v>755107</v>
      </c>
      <c r="L14" s="249">
        <v>2658729</v>
      </c>
      <c r="M14" s="249">
        <v>101.506766</v>
      </c>
      <c r="N14" s="249">
        <v>24.010124000000001</v>
      </c>
      <c r="O14" s="232"/>
      <c r="P14" s="224" t="str">
        <f>IF(ISNA(VLOOKUP(B14,ranger_database_2016!$C$2:$C$147,1,FALSE)) = TRUE, IF(ISNA(VLOOKUP(B14,ranger_database_2016!$G$2:$G$147,1,FALSE)) = TRUE,"NA",(VLOOKUP(B14,ranger_database_2016!$G$2:$G$147,1,FALSE))), VLOOKUP(B14,ranger_database_2016!$C$2:$C$147,1,FALSE))</f>
        <v>王平</v>
      </c>
      <c r="Q14" s="224" t="str">
        <f>IF(ISNA(VLOOKUP(E14,sample_database!$AX$2:$AX$173,1,FALSE)) = TRUE, "NA", VLOOKUP(E14,sample_database!$AX$2:$AX$173,1,FALSE))</f>
        <v>NA</v>
      </c>
      <c r="R14" s="226" t="str">
        <f>IF(Q14="NA","NA",VLOOKUP(Q14,sample_database!$AX$2:$AY$173,2,FALSE))</f>
        <v>NA</v>
      </c>
      <c r="T14" s="226">
        <v>13</v>
      </c>
      <c r="U14" s="226" t="str">
        <f>sample_database!E346</f>
        <v>杨荣高</v>
      </c>
      <c r="V14" s="226" t="str">
        <f>sample_database!I346</f>
        <v>李波</v>
      </c>
      <c r="W14" s="226" t="str">
        <f>sample_database!J346</f>
        <v>双柏县鄂嘉镇义隆村</v>
      </c>
      <c r="X14" s="226" t="str">
        <f>sample_database!K346</f>
        <v>海拔2361，N24°22′46.92″ E101°15′45.10″</v>
      </c>
      <c r="Y14" s="226" t="str">
        <f t="shared" si="0"/>
        <v>NA</v>
      </c>
      <c r="Z14" s="224" t="str">
        <f t="shared" si="1"/>
        <v>NA</v>
      </c>
      <c r="AA14" s="226">
        <f>101+15/60+45.1/3600</f>
        <v>101.26252777777778</v>
      </c>
      <c r="AB14" s="226">
        <f>24+22/60+46.92/3600</f>
        <v>24.3797</v>
      </c>
      <c r="AC14" s="226" t="str">
        <f>IF(ISNA(VLOOKUP(T14,Export_to_ArcGIS!$A$2:$I$111,9,FALSE)),"NA",VLOOKUP(T14,Export_to_ArcGIS!$A$2:$I$111,9,FALSE))</f>
        <v>NA</v>
      </c>
      <c r="AD14" s="226" t="str">
        <f t="shared" si="2"/>
        <v>NA</v>
      </c>
    </row>
    <row r="15" spans="1:30">
      <c r="A15" s="239" t="s">
        <v>1922</v>
      </c>
      <c r="B15" s="239" t="s">
        <v>3182</v>
      </c>
      <c r="C15" s="239"/>
      <c r="D15" s="239" t="s">
        <v>3191</v>
      </c>
      <c r="E15" s="239" t="s">
        <v>3276</v>
      </c>
      <c r="F15" s="232"/>
      <c r="G15" s="249">
        <v>14</v>
      </c>
      <c r="H15" s="249" t="s">
        <v>1922</v>
      </c>
      <c r="I15" s="249" t="s">
        <v>2600</v>
      </c>
      <c r="J15" s="249" t="s">
        <v>2611</v>
      </c>
      <c r="K15" s="249">
        <v>755087</v>
      </c>
      <c r="L15" s="249">
        <v>2658706</v>
      </c>
      <c r="M15" s="249">
        <v>101.50656499999999</v>
      </c>
      <c r="N15" s="249">
        <v>24.009920000000001</v>
      </c>
      <c r="O15" s="232"/>
      <c r="P15" s="224" t="str">
        <f>IF(ISNA(VLOOKUP(B15,ranger_database_2016!$C$2:$C$147,1,FALSE)) = TRUE, IF(ISNA(VLOOKUP(B15,ranger_database_2016!$G$2:$G$147,1,FALSE)) = TRUE,"NA",(VLOOKUP(B15,ranger_database_2016!$G$2:$G$147,1,FALSE))), VLOOKUP(B15,ranger_database_2016!$C$2:$C$147,1,FALSE))</f>
        <v>NA</v>
      </c>
      <c r="Q15" s="224" t="str">
        <f>IF(ISNA(VLOOKUP(E15,sample_database!$AX$2:$AX$173,1,FALSE)) = TRUE, "NA", VLOOKUP(E15,sample_database!$AX$2:$AX$173,1,FALSE))</f>
        <v>NA</v>
      </c>
      <c r="R15" s="226" t="str">
        <f>IF(Q15="NA","NA",VLOOKUP(Q15,sample_database!$AX$2:$AY$173,2,FALSE))</f>
        <v>NA</v>
      </c>
      <c r="T15" s="226">
        <v>14</v>
      </c>
      <c r="U15" s="226" t="str">
        <f>sample_database!E347</f>
        <v>郭存祥</v>
      </c>
      <c r="V15" s="226" t="str">
        <f>sample_database!I347</f>
        <v>NA</v>
      </c>
      <c r="W15" s="226" t="str">
        <f>sample_database!J347</f>
        <v>双柏县老厂岔河站</v>
      </c>
      <c r="X15" s="226">
        <f>sample_database!K347</f>
        <v>0</v>
      </c>
      <c r="Y15" s="226" t="str">
        <f t="shared" si="0"/>
        <v>NA</v>
      </c>
      <c r="Z15" s="224" t="str">
        <f t="shared" si="1"/>
        <v>NA</v>
      </c>
      <c r="AA15" s="202" t="s">
        <v>3339</v>
      </c>
      <c r="AB15" s="202" t="s">
        <v>3339</v>
      </c>
      <c r="AC15" s="226" t="str">
        <f>IF(ISNA(VLOOKUP(T15,Export_to_ArcGIS!$A$2:$I$111,9,FALSE)),"NA",VLOOKUP(T15,Export_to_ArcGIS!$A$2:$I$111,9,FALSE))</f>
        <v>NA</v>
      </c>
      <c r="AD15" s="226" t="str">
        <f t="shared" si="2"/>
        <v>NA</v>
      </c>
    </row>
    <row r="16" spans="1:30">
      <c r="A16" s="239" t="s">
        <v>1922</v>
      </c>
      <c r="B16" s="239" t="s">
        <v>3183</v>
      </c>
      <c r="C16" s="239"/>
      <c r="D16" s="239" t="s">
        <v>3191</v>
      </c>
      <c r="E16" s="239" t="s">
        <v>3276</v>
      </c>
      <c r="F16" s="232"/>
      <c r="G16" s="249">
        <v>15</v>
      </c>
      <c r="H16" s="249" t="s">
        <v>1922</v>
      </c>
      <c r="I16" s="249" t="s">
        <v>2600</v>
      </c>
      <c r="J16" s="249" t="s">
        <v>2614</v>
      </c>
      <c r="K16" s="249">
        <v>754694</v>
      </c>
      <c r="L16" s="249">
        <v>2659290</v>
      </c>
      <c r="M16" s="249">
        <v>101.502808</v>
      </c>
      <c r="N16" s="249">
        <v>24.015250000000002</v>
      </c>
      <c r="O16" s="232"/>
      <c r="P16" s="224" t="str">
        <f>IF(ISNA(VLOOKUP(B16,ranger_database_2016!$C$2:$C$147,1,FALSE)) = TRUE, IF(ISNA(VLOOKUP(B16,ranger_database_2016!$G$2:$G$147,1,FALSE)) = TRUE,"NA",(VLOOKUP(B16,ranger_database_2016!$G$2:$G$147,1,FALSE))), VLOOKUP(B16,ranger_database_2016!$C$2:$C$147,1,FALSE))</f>
        <v>NA</v>
      </c>
      <c r="Q16" s="224" t="str">
        <f>IF(ISNA(VLOOKUP(E16,sample_database!$AX$2:$AX$173,1,FALSE)) = TRUE, "NA", VLOOKUP(E16,sample_database!$AX$2:$AX$173,1,FALSE))</f>
        <v>NA</v>
      </c>
      <c r="R16" s="226" t="str">
        <f>IF(Q16="NA","NA",VLOOKUP(Q16,sample_database!$AX$2:$AY$173,2,FALSE))</f>
        <v>NA</v>
      </c>
      <c r="T16" s="226">
        <v>15</v>
      </c>
      <c r="U16" s="226" t="str">
        <f>sample_database!E348</f>
        <v>郭存祥</v>
      </c>
      <c r="V16" s="226" t="str">
        <f>sample_database!I348</f>
        <v>NA</v>
      </c>
      <c r="W16" s="226" t="str">
        <f>sample_database!J348</f>
        <v>双柏县老厂岔河站</v>
      </c>
      <c r="X16" s="226">
        <f>sample_database!K348</f>
        <v>0</v>
      </c>
      <c r="Y16" s="226" t="str">
        <f t="shared" si="0"/>
        <v>NA</v>
      </c>
      <c r="Z16" s="224" t="str">
        <f t="shared" si="1"/>
        <v>NA</v>
      </c>
      <c r="AA16" s="202" t="s">
        <v>3339</v>
      </c>
      <c r="AB16" s="202" t="s">
        <v>3339</v>
      </c>
      <c r="AC16" s="226" t="str">
        <f>IF(ISNA(VLOOKUP(T16,Export_to_ArcGIS!$A$2:$I$111,9,FALSE)),"NA",VLOOKUP(T16,Export_to_ArcGIS!$A$2:$I$111,9,FALSE))</f>
        <v>NA</v>
      </c>
      <c r="AD16" s="226" t="str">
        <f t="shared" si="2"/>
        <v>NA</v>
      </c>
    </row>
    <row r="17" spans="1:30">
      <c r="A17" s="239" t="s">
        <v>1922</v>
      </c>
      <c r="B17" s="239" t="s">
        <v>3184</v>
      </c>
      <c r="C17" s="239"/>
      <c r="D17" s="239" t="s">
        <v>3191</v>
      </c>
      <c r="E17" s="239" t="s">
        <v>3276</v>
      </c>
      <c r="F17" s="232"/>
      <c r="G17" s="249">
        <v>16</v>
      </c>
      <c r="H17" s="249" t="s">
        <v>1922</v>
      </c>
      <c r="I17" s="249" t="s">
        <v>2628</v>
      </c>
      <c r="J17" s="249" t="s">
        <v>2631</v>
      </c>
      <c r="K17" s="249">
        <v>755086</v>
      </c>
      <c r="L17" s="249">
        <v>2650893</v>
      </c>
      <c r="M17" s="249">
        <v>101.505191</v>
      </c>
      <c r="N17" s="249">
        <v>23.939447000000001</v>
      </c>
      <c r="O17" s="232"/>
      <c r="P17" s="224" t="str">
        <f>IF(ISNA(VLOOKUP(B17,ranger_database_2016!$C$2:$C$147,1,FALSE)) = TRUE, IF(ISNA(VLOOKUP(B17,ranger_database_2016!$G$2:$G$147,1,FALSE)) = TRUE,"NA",(VLOOKUP(B17,ranger_database_2016!$G$2:$G$147,1,FALSE))), VLOOKUP(B17,ranger_database_2016!$C$2:$C$147,1,FALSE))</f>
        <v>NA</v>
      </c>
      <c r="Q17" s="224" t="str">
        <f>IF(ISNA(VLOOKUP(E17,sample_database!$AX$2:$AX$173,1,FALSE)) = TRUE, "NA", VLOOKUP(E17,sample_database!$AX$2:$AX$173,1,FALSE))</f>
        <v>NA</v>
      </c>
      <c r="R17" s="226" t="str">
        <f>IF(Q17="NA","NA",VLOOKUP(Q17,sample_database!$AX$2:$AY$173,2,FALSE))</f>
        <v>NA</v>
      </c>
      <c r="T17" s="226">
        <v>16</v>
      </c>
      <c r="U17" s="226" t="str">
        <f>sample_database!E349</f>
        <v>王贵学</v>
      </c>
      <c r="V17" s="226" t="str">
        <f>sample_database!I349</f>
        <v>NA</v>
      </c>
      <c r="W17" s="226" t="str">
        <f>sample_database!J349</f>
        <v>双柏县鄂嘉镇老厂村委会茶树村10号</v>
      </c>
      <c r="X17" s="226" t="str">
        <f>sample_database!K349</f>
        <v>海拔2454，N24°21′40.46″ E101°7′45.24″</v>
      </c>
      <c r="Y17" s="226" t="str">
        <f t="shared" si="0"/>
        <v>NA</v>
      </c>
      <c r="Z17" s="224" t="str">
        <f t="shared" si="1"/>
        <v>NA</v>
      </c>
      <c r="AA17" s="226">
        <f>101+7/60+45.24/3600</f>
        <v>101.12923333333333</v>
      </c>
      <c r="AB17" s="226">
        <f>24+21/60+40.46/3600</f>
        <v>24.361238888888892</v>
      </c>
      <c r="AC17" s="226" t="str">
        <f>IF(ISNA(VLOOKUP(T17,Export_to_ArcGIS!$A$2:$I$111,9,FALSE)),"NA",VLOOKUP(T17,Export_to_ArcGIS!$A$2:$I$111,9,FALSE))</f>
        <v>NA</v>
      </c>
      <c r="AD17" s="226" t="str">
        <f t="shared" si="2"/>
        <v>NA</v>
      </c>
    </row>
    <row r="18" spans="1:30">
      <c r="A18" s="239" t="s">
        <v>1926</v>
      </c>
      <c r="B18" s="239" t="s">
        <v>2999</v>
      </c>
      <c r="C18" s="239"/>
      <c r="D18" s="239" t="s">
        <v>3191</v>
      </c>
      <c r="E18" s="239" t="s">
        <v>3277</v>
      </c>
      <c r="F18" s="232"/>
      <c r="G18" s="249">
        <v>17</v>
      </c>
      <c r="H18" s="249" t="s">
        <v>1922</v>
      </c>
      <c r="I18" s="249" t="s">
        <v>2628</v>
      </c>
      <c r="J18" s="249" t="s">
        <v>2635</v>
      </c>
      <c r="K18" s="249">
        <v>755190</v>
      </c>
      <c r="L18" s="249">
        <v>2650911</v>
      </c>
      <c r="M18" s="249">
        <v>101.506215</v>
      </c>
      <c r="N18" s="249">
        <v>23.939592999999999</v>
      </c>
      <c r="O18" s="232"/>
      <c r="P18" s="224" t="str">
        <f>IF(ISNA(VLOOKUP(B18,ranger_database_2016!$C$2:$C$147,1,FALSE)) = TRUE, IF(ISNA(VLOOKUP(B18,ranger_database_2016!$G$2:$G$147,1,FALSE)) = TRUE,"NA",(VLOOKUP(B18,ranger_database_2016!$G$2:$G$147,1,FALSE))), VLOOKUP(B18,ranger_database_2016!$C$2:$C$147,1,FALSE))</f>
        <v>李坤</v>
      </c>
      <c r="Q18" s="224" t="str">
        <f>IF(ISNA(VLOOKUP("王彪",sample_database!$AX$2:$AX$173,1,FALSE)) = TRUE, "NA", VLOOKUP("王彪",sample_database!$AX$2:$AX$173,1,FALSE))</f>
        <v>王彪</v>
      </c>
      <c r="R18" s="226">
        <f>IF(Q18="NA","NA",VLOOKUP(Q18,sample_database!$AX$2:$AY$173,2,FALSE))</f>
        <v>72</v>
      </c>
      <c r="T18" s="226">
        <v>17</v>
      </c>
      <c r="U18" s="226" t="str">
        <f>sample_database!E350</f>
        <v>王贵学</v>
      </c>
      <c r="V18" s="226" t="str">
        <f>sample_database!I350</f>
        <v>NA</v>
      </c>
      <c r="W18" s="226" t="str">
        <f>sample_database!J350</f>
        <v>双柏县鄂嘉镇老厂村委会茶树村10号</v>
      </c>
      <c r="X18" s="226" t="str">
        <f>sample_database!K350</f>
        <v>海拔2495，N24°23′51.67″ E101°6′45.23″</v>
      </c>
      <c r="Y18" s="226" t="str">
        <f t="shared" si="0"/>
        <v>NA</v>
      </c>
      <c r="Z18" s="224" t="str">
        <f t="shared" si="1"/>
        <v>NA</v>
      </c>
      <c r="AA18" s="226">
        <f>101+6/60+45.23/3600</f>
        <v>101.11256388888889</v>
      </c>
      <c r="AB18" s="226">
        <f>24+23/60+51.67/3600</f>
        <v>24.39768611111111</v>
      </c>
      <c r="AC18" s="226" t="str">
        <f>IF(ISNA(VLOOKUP(T18,Export_to_ArcGIS!$A$2:$I$111,9,FALSE)),"NA",VLOOKUP(T18,Export_to_ArcGIS!$A$2:$I$111,9,FALSE))</f>
        <v>NA</v>
      </c>
      <c r="AD18" s="226" t="str">
        <f t="shared" si="2"/>
        <v>NA</v>
      </c>
    </row>
    <row r="19" spans="1:30">
      <c r="A19" s="239" t="s">
        <v>1926</v>
      </c>
      <c r="B19" s="239" t="s">
        <v>2036</v>
      </c>
      <c r="C19" s="239"/>
      <c r="D19" s="239" t="s">
        <v>3191</v>
      </c>
      <c r="E19" s="239" t="s">
        <v>3278</v>
      </c>
      <c r="F19" s="232"/>
      <c r="G19" s="249">
        <v>18</v>
      </c>
      <c r="H19" s="249" t="s">
        <v>1922</v>
      </c>
      <c r="I19" s="249" t="s">
        <v>2628</v>
      </c>
      <c r="J19" s="249" t="s">
        <v>2640</v>
      </c>
      <c r="K19" s="249">
        <v>755496</v>
      </c>
      <c r="L19" s="249">
        <v>2651204</v>
      </c>
      <c r="M19" s="249">
        <v>101.509269</v>
      </c>
      <c r="N19" s="249">
        <v>23.942187000000001</v>
      </c>
      <c r="O19" s="232"/>
      <c r="P19" s="224" t="str">
        <f>IF(ISNA(VLOOKUP(B19,ranger_database_2016!$C$2:$C$147,1,FALSE)) = TRUE, IF(ISNA(VLOOKUP(B19,ranger_database_2016!$G$2:$G$147,1,FALSE)) = TRUE,"NA",(VLOOKUP(B19,ranger_database_2016!$G$2:$G$147,1,FALSE))), VLOOKUP(B19,ranger_database_2016!$C$2:$C$147,1,FALSE))</f>
        <v>范学恩</v>
      </c>
      <c r="Q19" s="224" t="str">
        <f>IF(ISNA(VLOOKUP("范学恩",sample_database!$AX$2:$AX$173,1,FALSE)) = TRUE, "NA", VLOOKUP("范学恩",sample_database!$AX$2:$AX$173,1,FALSE))</f>
        <v>范学恩</v>
      </c>
      <c r="R19" s="226">
        <f>IF(Q19="NA","NA",VLOOKUP(Q19,sample_database!$AX$2:$AY$173,2,FALSE))</f>
        <v>163</v>
      </c>
      <c r="T19" s="226">
        <v>18</v>
      </c>
      <c r="U19" s="226" t="str">
        <f>sample_database!E351</f>
        <v>王贵学</v>
      </c>
      <c r="V19" s="226" t="str">
        <f>sample_database!I351</f>
        <v>NA</v>
      </c>
      <c r="W19" s="226" t="str">
        <f>sample_database!J351</f>
        <v>双柏县鄂嘉镇老厂村委会茶树村10号</v>
      </c>
      <c r="X19" s="226" t="str">
        <f>sample_database!K351</f>
        <v>海拔2475，N24°23′41.35″ E101°8′45.14″</v>
      </c>
      <c r="Y19" s="226" t="str">
        <f t="shared" si="0"/>
        <v>NA</v>
      </c>
      <c r="Z19" s="224" t="str">
        <f t="shared" si="1"/>
        <v>NA</v>
      </c>
      <c r="AA19" s="226">
        <f>101+8/60+45.14/3600</f>
        <v>101.14587222222222</v>
      </c>
      <c r="AB19" s="226">
        <f>24+23/60+41.35/3600</f>
        <v>24.394819444444444</v>
      </c>
      <c r="AC19" s="226">
        <f>IF(ISNA(VLOOKUP(T19,Export_to_ArcGIS!$A$2:$I$111,9,FALSE)),"NA",VLOOKUP(T19,Export_to_ArcGIS!$A$2:$I$111,9,FALSE))</f>
        <v>17</v>
      </c>
      <c r="AD19" s="226">
        <f t="shared" si="2"/>
        <v>17</v>
      </c>
    </row>
    <row r="20" spans="1:30">
      <c r="A20" s="239" t="s">
        <v>1926</v>
      </c>
      <c r="B20" s="239" t="s">
        <v>3045</v>
      </c>
      <c r="C20" s="239"/>
      <c r="D20" s="239" t="s">
        <v>3191</v>
      </c>
      <c r="E20" s="239" t="s">
        <v>3279</v>
      </c>
      <c r="F20" s="232"/>
      <c r="G20" s="249">
        <v>19</v>
      </c>
      <c r="H20" s="249" t="s">
        <v>1922</v>
      </c>
      <c r="I20" s="249" t="s">
        <v>2628</v>
      </c>
      <c r="J20" s="249" t="s">
        <v>2638</v>
      </c>
      <c r="K20" s="249">
        <v>755397</v>
      </c>
      <c r="L20" s="249">
        <v>2651054</v>
      </c>
      <c r="M20" s="249">
        <v>101.50827200000001</v>
      </c>
      <c r="N20" s="249">
        <v>23.940850000000001</v>
      </c>
      <c r="O20" s="232"/>
      <c r="P20" s="224" t="str">
        <f>IF(ISNA(VLOOKUP(B20,ranger_database_2016!$C$2:$C$147,1,FALSE)) = TRUE, IF(ISNA(VLOOKUP(B20,ranger_database_2016!$G$2:$G$147,1,FALSE)) = TRUE,"NA",(VLOOKUP(B20,ranger_database_2016!$G$2:$G$147,1,FALSE))), VLOOKUP(B20,ranger_database_2016!$C$2:$C$147,1,FALSE))</f>
        <v>周国宇</v>
      </c>
      <c r="Q20" s="224" t="str">
        <f>IF(ISNA(VLOOKUP("肖子云",sample_database!$AX$2:$AX$173,1,FALSE)) = TRUE, "NA", VLOOKUP("肖子云",sample_database!$AX$2:$AX$173,1,FALSE))</f>
        <v>肖子云</v>
      </c>
      <c r="R20" s="226">
        <f>IF(Q20="NA","NA",VLOOKUP(Q20,sample_database!$AX$2:$AY$173,2,FALSE))</f>
        <v>78</v>
      </c>
      <c r="T20" s="226">
        <v>19</v>
      </c>
      <c r="U20" s="226" t="str">
        <f>sample_database!E352</f>
        <v>王贵学</v>
      </c>
      <c r="V20" s="226" t="str">
        <f>sample_database!I352</f>
        <v>NA</v>
      </c>
      <c r="W20" s="226" t="str">
        <f>sample_database!J352</f>
        <v>双柏县鄂嘉镇老厂村委会茶树村10号</v>
      </c>
      <c r="X20" s="226" t="str">
        <f>sample_database!K352</f>
        <v>海拔2478，N24°23′38.45″ E101°8′45.24″</v>
      </c>
      <c r="Y20" s="226" t="str">
        <f t="shared" si="0"/>
        <v>NA</v>
      </c>
      <c r="Z20" s="224" t="str">
        <f t="shared" si="1"/>
        <v>NA</v>
      </c>
      <c r="AA20" s="226">
        <f>101+8/60+45.24/3600</f>
        <v>101.14590000000001</v>
      </c>
      <c r="AB20" s="226">
        <f>24+23/60+38.45/3600</f>
        <v>24.394013888888889</v>
      </c>
      <c r="AC20" s="226">
        <f>IF(ISNA(VLOOKUP(T20,Export_to_ArcGIS!$A$2:$I$111,9,FALSE)),"NA",VLOOKUP(T20,Export_to_ArcGIS!$A$2:$I$111,9,FALSE))</f>
        <v>17</v>
      </c>
      <c r="AD20" s="226">
        <f t="shared" si="2"/>
        <v>17</v>
      </c>
    </row>
    <row r="21" spans="1:30">
      <c r="A21" s="239" t="s">
        <v>1926</v>
      </c>
      <c r="B21" s="239" t="s">
        <v>2064</v>
      </c>
      <c r="C21" s="239"/>
      <c r="D21" s="239" t="s">
        <v>3191</v>
      </c>
      <c r="E21" s="239" t="s">
        <v>3199</v>
      </c>
      <c r="F21" s="232"/>
      <c r="G21" s="249">
        <v>20</v>
      </c>
      <c r="H21" s="249" t="s">
        <v>1922</v>
      </c>
      <c r="I21" s="249" t="s">
        <v>2628</v>
      </c>
      <c r="J21" s="249" t="s">
        <v>2643</v>
      </c>
      <c r="K21" s="249">
        <v>755473</v>
      </c>
      <c r="L21" s="249">
        <v>2650798</v>
      </c>
      <c r="M21" s="249">
        <v>101.508973</v>
      </c>
      <c r="N21" s="249">
        <v>23.938528999999999</v>
      </c>
      <c r="O21" s="232"/>
      <c r="P21" s="224" t="str">
        <f>IF(ISNA(VLOOKUP(B21,ranger_database_2016!$C$2:$C$147,1,FALSE)) = TRUE, IF(ISNA(VLOOKUP(B21,ranger_database_2016!$G$2:$G$147,1,FALSE)) = TRUE,"NA",(VLOOKUP(B21,ranger_database_2016!$G$2:$G$147,1,FALSE))), VLOOKUP(B21,ranger_database_2016!$C$2:$C$147,1,FALSE))</f>
        <v>李加坤</v>
      </c>
      <c r="Q21" s="224" t="str">
        <f>IF(ISNA(VLOOKUP("李加华",sample_database!$AX$2:$AX$173,1,FALSE)) = TRUE, "NA", VLOOKUP("李加华",sample_database!$AX$2:$AX$173,1,FALSE))</f>
        <v>李加华</v>
      </c>
      <c r="R21" s="226">
        <f>IF(Q21="NA","NA",VLOOKUP(Q21,sample_database!$AX$2:$AY$173,2,FALSE))</f>
        <v>165</v>
      </c>
      <c r="T21" s="226">
        <v>20</v>
      </c>
      <c r="U21" s="226" t="str">
        <f>sample_database!E353</f>
        <v>王贵学</v>
      </c>
      <c r="V21" s="226" t="str">
        <f>sample_database!I353</f>
        <v>NA</v>
      </c>
      <c r="W21" s="226" t="str">
        <f>sample_database!J353</f>
        <v>双柏县鄂嘉镇老厂村委会茶树村10号</v>
      </c>
      <c r="X21" s="226">
        <f>sample_database!K353</f>
        <v>0</v>
      </c>
      <c r="Y21" s="226" t="str">
        <f t="shared" si="0"/>
        <v>NA</v>
      </c>
      <c r="Z21" s="224" t="str">
        <f t="shared" si="1"/>
        <v>NA</v>
      </c>
      <c r="AA21" s="202" t="s">
        <v>3339</v>
      </c>
      <c r="AB21" s="202" t="s">
        <v>3339</v>
      </c>
      <c r="AC21" s="226" t="str">
        <f>IF(ISNA(VLOOKUP(T21,Export_to_ArcGIS!$A$2:$I$111,9,FALSE)),"NA",VLOOKUP(T21,Export_to_ArcGIS!$A$2:$I$111,9,FALSE))</f>
        <v>NA</v>
      </c>
      <c r="AD21" s="226" t="str">
        <f t="shared" si="2"/>
        <v>NA</v>
      </c>
    </row>
    <row r="22" spans="1:30">
      <c r="A22" s="239" t="s">
        <v>1926</v>
      </c>
      <c r="B22" s="239" t="s">
        <v>3066</v>
      </c>
      <c r="C22" s="239"/>
      <c r="D22" s="239" t="s">
        <v>3191</v>
      </c>
      <c r="E22" s="239" t="s">
        <v>3200</v>
      </c>
      <c r="F22" s="232"/>
      <c r="G22" s="249">
        <v>21</v>
      </c>
      <c r="H22" s="249" t="s">
        <v>1922</v>
      </c>
      <c r="I22" s="249" t="s">
        <v>2648</v>
      </c>
      <c r="J22" s="249" t="s">
        <v>2651</v>
      </c>
      <c r="K22" s="249">
        <v>757171</v>
      </c>
      <c r="L22" s="249">
        <v>2651749</v>
      </c>
      <c r="M22" s="249">
        <v>101.525803</v>
      </c>
      <c r="N22" s="249">
        <v>23.946833000000002</v>
      </c>
      <c r="O22" s="232"/>
      <c r="P22" s="224" t="str">
        <f>IF(ISNA(VLOOKUP(B22,ranger_database_2016!$C$2:$C$147,1,FALSE)) = TRUE, IF(ISNA(VLOOKUP(B22,ranger_database_2016!$G$2:$G$147,1,FALSE)) = TRUE,"NA",(VLOOKUP(B22,ranger_database_2016!$G$2:$G$147,1,FALSE))), VLOOKUP(B22,ranger_database_2016!$C$2:$C$147,1,FALSE))</f>
        <v>普宁</v>
      </c>
      <c r="Q22" s="224" t="str">
        <f>CONCATENATE(IF(ISNA(VLOOKUP("普恒章",sample_database!$AX$2:$AX$173,1,FALSE))=TRUE,"NA",VLOOKUP("普恒章",sample_database!$AX$2:$AX$173,1,FALSE)),",",IF(ISNA(VLOOKUP("熊开良",sample_database!$AX$2:$AX$173,1,FALSE))=TRUE,"NA",VLOOKUP("熊开良",sample_database!$AX$2:$AX$173,1,FALSE)),",",IF(ISNA(VLOOKUP("张兆寿",sample_database!$AX$2:$AX$173,1,FALSE))=TRUE,"NA",VLOOKUP("张兆寿",sample_database!$AX$2:$AX$173,1,FALSE)))</f>
        <v>普恒章,NA,张兆寿</v>
      </c>
      <c r="R22" s="202" t="str">
        <f>CONCATENATE(VLOOKUP("普恒章",sample_database!$AX$2:$AY$173,2,FALSE)," or ",VLOOKUP("张兆寿",sample_database!$AX$2:$AY$173,2,FALSE))</f>
        <v>89 or 90</v>
      </c>
      <c r="T22" s="226">
        <v>21</v>
      </c>
      <c r="U22" s="226" t="str">
        <f>sample_database!E354</f>
        <v>李先富</v>
      </c>
      <c r="V22" s="226" t="str">
        <f>sample_database!I354</f>
        <v>何学会</v>
      </c>
      <c r="W22" s="226" t="str">
        <f>sample_database!J354</f>
        <v>双柏县鄂嘉镇义隆村钠嫩村民小组</v>
      </c>
      <c r="X22" s="226" t="str">
        <f>sample_database!K354</f>
        <v>海拔2706 N24°21′54.43″，E101°15′46.94″</v>
      </c>
      <c r="Y22" s="226" t="str">
        <f t="shared" si="0"/>
        <v>NA</v>
      </c>
      <c r="Z22" s="224" t="str">
        <f t="shared" si="1"/>
        <v>NA</v>
      </c>
      <c r="AA22" s="226">
        <f>101+15/60+46.94/3600</f>
        <v>101.26303888888889</v>
      </c>
      <c r="AB22" s="226">
        <f>24+21/60+54.43/3600</f>
        <v>24.365119444444446</v>
      </c>
      <c r="AC22" s="226">
        <f>IF(ISNA(VLOOKUP(T22,Export_to_ArcGIS!$A$2:$I$111,9,FALSE)),"NA",VLOOKUP(T22,Export_to_ArcGIS!$A$2:$I$111,9,FALSE))</f>
        <v>30</v>
      </c>
      <c r="AD22" s="226">
        <f t="shared" si="2"/>
        <v>30</v>
      </c>
    </row>
    <row r="23" spans="1:30">
      <c r="A23" s="239" t="s">
        <v>1926</v>
      </c>
      <c r="B23" s="239" t="s">
        <v>2054</v>
      </c>
      <c r="C23" s="239"/>
      <c r="D23" s="239" t="s">
        <v>3191</v>
      </c>
      <c r="E23" s="239" t="s">
        <v>3204</v>
      </c>
      <c r="F23" s="232"/>
      <c r="G23" s="249">
        <v>22</v>
      </c>
      <c r="H23" s="249" t="s">
        <v>1922</v>
      </c>
      <c r="I23" s="249" t="s">
        <v>2648</v>
      </c>
      <c r="J23" s="249" t="s">
        <v>2654</v>
      </c>
      <c r="K23" s="249">
        <v>755473</v>
      </c>
      <c r="L23" s="249">
        <v>2650708</v>
      </c>
      <c r="M23" s="249">
        <v>101.508957</v>
      </c>
      <c r="N23" s="249">
        <v>23.937716999999999</v>
      </c>
      <c r="O23" s="232"/>
      <c r="P23" s="224" t="str">
        <f>IF(ISNA(VLOOKUP(B23,ranger_database_2016!$C$2:$C$147,1,FALSE)) = TRUE, IF(ISNA(VLOOKUP(B23,ranger_database_2016!$G$2:$G$147,1,FALSE)) = TRUE,"NA",(VLOOKUP(B23,ranger_database_2016!$G$2:$G$147,1,FALSE))), VLOOKUP(B23,ranger_database_2016!$C$2:$C$147,1,FALSE))</f>
        <v>李昌恩</v>
      </c>
      <c r="Q23" s="224" t="str">
        <f>IF(ISNA(VLOOKUP("何兴能",sample_database!$AX$2:$AX$173,1,FALSE)) = TRUE, "NA", VLOOKUP("何兴能",sample_database!$AX$2:$AX$173,1,FALSE))</f>
        <v>何兴能</v>
      </c>
      <c r="R23" s="202">
        <f>IF(Q23="NA","NA",VLOOKUP(Q23,sample_database!$AX$2:$AY$173,2,FALSE))</f>
        <v>93</v>
      </c>
      <c r="T23" s="226">
        <v>22</v>
      </c>
      <c r="U23" s="226" t="str">
        <f>sample_database!E355</f>
        <v>李先富</v>
      </c>
      <c r="V23" s="226" t="str">
        <f>sample_database!I355</f>
        <v>何学会</v>
      </c>
      <c r="W23" s="226" t="str">
        <f>sample_database!J355</f>
        <v>双柏县鄂嘉镇义隆村钠嫩村民小组</v>
      </c>
      <c r="X23" s="226" t="str">
        <f>sample_database!K355</f>
        <v>海拔2416 N24°22′53.70″，E101°15′02.61″</v>
      </c>
      <c r="Y23" s="226" t="str">
        <f t="shared" si="0"/>
        <v>NA</v>
      </c>
      <c r="Z23" s="224" t="str">
        <f t="shared" si="1"/>
        <v>NA</v>
      </c>
      <c r="AA23" s="226">
        <f>101+15/60+2.61/3600</f>
        <v>101.250725</v>
      </c>
      <c r="AB23" s="226">
        <f>24+22/60+53.7/3600</f>
        <v>24.381583333333335</v>
      </c>
      <c r="AC23" s="226" t="str">
        <f>IF(ISNA(VLOOKUP(T23,Export_to_ArcGIS!$A$2:$I$111,9,FALSE)),"NA",VLOOKUP(T23,Export_to_ArcGIS!$A$2:$I$111,9,FALSE))</f>
        <v>NA</v>
      </c>
      <c r="AD23" s="226" t="str">
        <f t="shared" si="2"/>
        <v>NA</v>
      </c>
    </row>
    <row r="24" spans="1:30">
      <c r="A24" s="243" t="s">
        <v>1921</v>
      </c>
      <c r="B24" s="243" t="s">
        <v>3175</v>
      </c>
      <c r="C24" s="243" t="s">
        <v>3205</v>
      </c>
      <c r="D24" s="243" t="s">
        <v>3206</v>
      </c>
      <c r="E24" s="243"/>
      <c r="F24" s="234"/>
      <c r="G24" s="249">
        <v>23</v>
      </c>
      <c r="H24" s="249" t="s">
        <v>1922</v>
      </c>
      <c r="I24" s="249" t="s">
        <v>2648</v>
      </c>
      <c r="J24" s="249" t="s">
        <v>2655</v>
      </c>
      <c r="K24" s="249">
        <v>755470</v>
      </c>
      <c r="L24" s="249">
        <v>2650764</v>
      </c>
      <c r="M24" s="249">
        <v>101.508937</v>
      </c>
      <c r="N24" s="249">
        <v>23.938222</v>
      </c>
      <c r="O24" s="234"/>
      <c r="P24" s="224" t="str">
        <f>IF(ISNA(VLOOKUP(B24,ranger_database_2016!$C$2:$C$147,1,FALSE)) = TRUE, IF(ISNA(VLOOKUP(B24,ranger_database_2016!$G$2:$G$147,1,FALSE)) = TRUE,"NA",(VLOOKUP(B24,ranger_database_2016!$G$2:$G$147,1,FALSE))), VLOOKUP(B24,ranger_database_2016!$C$2:$C$147,1,FALSE))</f>
        <v>苏连发</v>
      </c>
      <c r="Q24" s="224" t="str">
        <f>IF(ISNA(VLOOKUP(E24,sample_database!$AX$2:$AX$173,1,FALSE)) = TRUE, "NA", VLOOKUP(E24,sample_database!$AX$2:$AX$173,1,FALSE))</f>
        <v>NA</v>
      </c>
      <c r="R24" s="202" t="str">
        <f>IF(Q24="NA","NA",VLOOKUP(Q24,sample_database!$AX$2:$AY$173,2,FALSE))</f>
        <v>NA</v>
      </c>
      <c r="T24" s="226">
        <v>23</v>
      </c>
      <c r="U24" s="226" t="str">
        <f>sample_database!E356</f>
        <v>李先富</v>
      </c>
      <c r="V24" s="226" t="str">
        <f>sample_database!I356</f>
        <v>何学会</v>
      </c>
      <c r="W24" s="226" t="str">
        <f>sample_database!J356</f>
        <v>双柏县鄂嘉镇义隆村钠嫩村民小组</v>
      </c>
      <c r="X24" s="226" t="str">
        <f>sample_database!K356</f>
        <v>海拔2502 N24°22′50.59″，E101°15′03.05″</v>
      </c>
      <c r="Y24" s="226" t="str">
        <f t="shared" si="0"/>
        <v>NA</v>
      </c>
      <c r="Z24" s="224" t="str">
        <f t="shared" si="1"/>
        <v>NA</v>
      </c>
      <c r="AA24" s="226">
        <f>101+15/60+3.05/3600</f>
        <v>101.25084722222222</v>
      </c>
      <c r="AB24" s="226">
        <f>24+22/60+50.59/3600</f>
        <v>24.380719444444445</v>
      </c>
      <c r="AC24" s="226" t="str">
        <f>IF(ISNA(VLOOKUP(T24,Export_to_ArcGIS!$A$2:$I$111,9,FALSE)),"NA",VLOOKUP(T24,Export_to_ArcGIS!$A$2:$I$111,9,FALSE))</f>
        <v>NA</v>
      </c>
      <c r="AD24" s="226" t="str">
        <f t="shared" si="2"/>
        <v>NA</v>
      </c>
    </row>
    <row r="25" spans="1:30">
      <c r="A25" s="243" t="s">
        <v>1921</v>
      </c>
      <c r="B25" s="243" t="s">
        <v>3165</v>
      </c>
      <c r="C25" s="243" t="s">
        <v>3207</v>
      </c>
      <c r="D25" s="243" t="s">
        <v>3208</v>
      </c>
      <c r="E25" s="243"/>
      <c r="F25" s="234"/>
      <c r="G25" s="249">
        <v>24</v>
      </c>
      <c r="H25" s="249" t="s">
        <v>1922</v>
      </c>
      <c r="I25" s="249" t="s">
        <v>2648</v>
      </c>
      <c r="J25" s="249" t="s">
        <v>2656</v>
      </c>
      <c r="K25" s="249">
        <v>755865</v>
      </c>
      <c r="L25" s="249">
        <v>2652589</v>
      </c>
      <c r="M25" s="249">
        <v>101.513133</v>
      </c>
      <c r="N25" s="249">
        <v>23.954619999999998</v>
      </c>
      <c r="O25" s="234"/>
      <c r="P25" s="224" t="str">
        <f>IF(ISNA(VLOOKUP(B25,ranger_database_2016!$C$2:$C$147,1,FALSE)) = TRUE, IF(ISNA(VLOOKUP(B25,ranger_database_2016!$G$2:$G$147,1,FALSE)) = TRUE,"NA",(VLOOKUP(B25,ranger_database_2016!$G$2:$G$147,1,FALSE))), VLOOKUP(B25,ranger_database_2016!$C$2:$C$147,1,FALSE))</f>
        <v>王开岳</v>
      </c>
      <c r="Q25" s="224" t="str">
        <f>IF(ISNA(VLOOKUP(E25,sample_database!$AX$2:$AX$173,1,FALSE)) = TRUE, "NA", VLOOKUP(E25,sample_database!$AX$2:$AX$173,1,FALSE))</f>
        <v>NA</v>
      </c>
      <c r="R25" s="202" t="str">
        <f>IF(Q25="NA","NA",VLOOKUP(Q25,sample_database!$AX$2:$AY$173,2,FALSE))</f>
        <v>NA</v>
      </c>
      <c r="T25" s="226">
        <v>24</v>
      </c>
      <c r="U25" s="226" t="str">
        <f>sample_database!E357</f>
        <v>李先富</v>
      </c>
      <c r="V25" s="226" t="str">
        <f>sample_database!I357</f>
        <v>何学会</v>
      </c>
      <c r="W25" s="226" t="str">
        <f>sample_database!J357</f>
        <v>双柏县鄂嘉镇义隆村钠嫩村民小组</v>
      </c>
      <c r="X25" s="226" t="str">
        <f>sample_database!K357</f>
        <v>海拔2475 N24°22′26.27″，E101°15′20.41″</v>
      </c>
      <c r="Y25" s="226" t="str">
        <f t="shared" si="0"/>
        <v>NA</v>
      </c>
      <c r="Z25" s="224" t="str">
        <f t="shared" si="1"/>
        <v>NA</v>
      </c>
      <c r="AA25" s="226">
        <f>101+15/60+20.41/3600</f>
        <v>101.25566944444445</v>
      </c>
      <c r="AB25" s="226">
        <f>24+22/60+26.27/3600</f>
        <v>24.373963888888888</v>
      </c>
      <c r="AC25" s="226" t="str">
        <f>IF(ISNA(VLOOKUP(T25,Export_to_ArcGIS!$A$2:$I$111,9,FALSE)),"NA",VLOOKUP(T25,Export_to_ArcGIS!$A$2:$I$111,9,FALSE))</f>
        <v>NA</v>
      </c>
      <c r="AD25" s="226" t="str">
        <f t="shared" si="2"/>
        <v>NA</v>
      </c>
    </row>
    <row r="26" spans="1:30">
      <c r="A26" s="243" t="s">
        <v>1921</v>
      </c>
      <c r="B26" s="243" t="s">
        <v>3153</v>
      </c>
      <c r="C26" s="243" t="s">
        <v>3209</v>
      </c>
      <c r="D26" s="243" t="s">
        <v>3210</v>
      </c>
      <c r="E26" s="243"/>
      <c r="F26" s="234"/>
      <c r="G26" s="249">
        <v>25</v>
      </c>
      <c r="H26" s="249" t="s">
        <v>1922</v>
      </c>
      <c r="I26" s="249" t="s">
        <v>2648</v>
      </c>
      <c r="J26" s="249" t="s">
        <v>2657</v>
      </c>
      <c r="K26" s="249">
        <v>754510</v>
      </c>
      <c r="L26" s="249">
        <v>2651398</v>
      </c>
      <c r="M26" s="249">
        <v>101.499627</v>
      </c>
      <c r="N26" s="249">
        <v>23.944095000000001</v>
      </c>
      <c r="O26" s="234"/>
      <c r="P26" s="224" t="str">
        <f>IF(ISNA(VLOOKUP(B26,ranger_database_2016!$C$2:$C$147,1,FALSE)) = TRUE, IF(ISNA(VLOOKUP(B26,ranger_database_2016!$G$2:$G$147,1,FALSE)) = TRUE,"NA",(VLOOKUP(B26,ranger_database_2016!$G$2:$G$147,1,FALSE))), VLOOKUP(B26,ranger_database_2016!$C$2:$C$147,1,FALSE))</f>
        <v>周开军</v>
      </c>
      <c r="Q26" s="224" t="str">
        <f>IF(ISNA(VLOOKUP(E26,sample_database!$AX$2:$AX$173,1,FALSE)) = TRUE, "NA", VLOOKUP(E26,sample_database!$AX$2:$AX$173,1,FALSE))</f>
        <v>NA</v>
      </c>
      <c r="R26" s="202" t="str">
        <f>IF(Q26="NA","NA",VLOOKUP(Q26,sample_database!$AX$2:$AY$173,2,FALSE))</f>
        <v>NA</v>
      </c>
      <c r="T26" s="226">
        <v>25</v>
      </c>
      <c r="U26" s="226" t="str">
        <f>sample_database!E358</f>
        <v>李先富</v>
      </c>
      <c r="V26" s="226" t="str">
        <f>sample_database!I358</f>
        <v>何学会</v>
      </c>
      <c r="W26" s="226" t="str">
        <f>sample_database!J358</f>
        <v>双柏县鄂嘉镇义隆村钠嫩村民小组</v>
      </c>
      <c r="X26" s="226" t="str">
        <f>sample_database!K358</f>
        <v>海拔2213 N24°22′46.92″，E101°16′22.23″</v>
      </c>
      <c r="Y26" s="226" t="str">
        <f t="shared" si="0"/>
        <v>NA</v>
      </c>
      <c r="Z26" s="224" t="str">
        <f t="shared" si="1"/>
        <v>NA</v>
      </c>
      <c r="AA26" s="226">
        <f>101+16/60+22.23/3600</f>
        <v>101.27284166666666</v>
      </c>
      <c r="AB26" s="226">
        <f>24+22/60+46.92/3600</f>
        <v>24.3797</v>
      </c>
      <c r="AC26" s="226" t="str">
        <f>IF(ISNA(VLOOKUP(T26,Export_to_ArcGIS!$A$2:$I$111,9,FALSE)),"NA",VLOOKUP(T26,Export_to_ArcGIS!$A$2:$I$111,9,FALSE))</f>
        <v>NA</v>
      </c>
      <c r="AD26" s="226" t="str">
        <f t="shared" si="2"/>
        <v>NA</v>
      </c>
    </row>
    <row r="27" spans="1:30">
      <c r="A27" s="243" t="s">
        <v>1921</v>
      </c>
      <c r="B27" s="243" t="s">
        <v>3168</v>
      </c>
      <c r="C27" s="243" t="s">
        <v>3211</v>
      </c>
      <c r="D27" s="243" t="s">
        <v>3212</v>
      </c>
      <c r="E27" s="243"/>
      <c r="F27" s="234"/>
      <c r="G27" s="249">
        <v>26</v>
      </c>
      <c r="H27" s="249" t="s">
        <v>1922</v>
      </c>
      <c r="I27" s="249" t="s">
        <v>2669</v>
      </c>
      <c r="J27" s="249" t="s">
        <v>2676</v>
      </c>
      <c r="K27" s="249">
        <v>755466</v>
      </c>
      <c r="L27" s="249">
        <v>2650790</v>
      </c>
      <c r="M27" s="249">
        <v>101.508903</v>
      </c>
      <c r="N27" s="249">
        <v>23.938457</v>
      </c>
      <c r="O27" s="234"/>
      <c r="P27" s="224" t="str">
        <f>IF(ISNA(VLOOKUP(B27,ranger_database_2016!$C$2:$C$147,1,FALSE)) = TRUE, IF(ISNA(VLOOKUP(B27,ranger_database_2016!$G$2:$G$147,1,FALSE)) = TRUE,"NA",(VLOOKUP(B27,ranger_database_2016!$G$2:$G$147,1,FALSE))), VLOOKUP(B27,ranger_database_2016!$C$2:$C$147,1,FALSE))</f>
        <v>徐丕芳</v>
      </c>
      <c r="Q27" s="224" t="str">
        <f>IF(ISNA(VLOOKUP(E27,sample_database!$AX$2:$AX$173,1,FALSE)) = TRUE, "NA", VLOOKUP(E27,sample_database!$AX$2:$AX$173,1,FALSE))</f>
        <v>NA</v>
      </c>
      <c r="R27" s="202" t="str">
        <f>IF(Q27="NA","NA",VLOOKUP(Q27,sample_database!$AX$2:$AY$173,2,FALSE))</f>
        <v>NA</v>
      </c>
      <c r="T27" s="226">
        <v>26</v>
      </c>
      <c r="U27" s="226" t="str">
        <f>sample_database!E359</f>
        <v>李进才</v>
      </c>
      <c r="V27" s="226" t="str">
        <f>sample_database!I359</f>
        <v>NA</v>
      </c>
      <c r="W27" s="226" t="str">
        <f>sample_database!J359</f>
        <v>双柏县鄂嘉镇义隆村</v>
      </c>
      <c r="X27" s="226" t="str">
        <f>sample_database!K359</f>
        <v>海拔2329，N24°22′52.5″ E101°15′40.2″</v>
      </c>
      <c r="Y27" s="226" t="str">
        <f t="shared" si="0"/>
        <v>NA</v>
      </c>
      <c r="Z27" s="224" t="str">
        <f t="shared" si="1"/>
        <v>NA</v>
      </c>
      <c r="AA27" s="227">
        <f>101+15/60+40.2/3600</f>
        <v>101.26116666666667</v>
      </c>
      <c r="AB27" s="227">
        <f>24+22/60+52.5/3600</f>
        <v>24.381250000000001</v>
      </c>
      <c r="AC27" s="226" t="str">
        <f>IF(ISNA(VLOOKUP(T27,Export_to_ArcGIS!$A$2:$I$111,9,FALSE)),"NA",VLOOKUP(T27,Export_to_ArcGIS!$A$2:$I$111,9,FALSE))</f>
        <v>NA</v>
      </c>
      <c r="AD27" s="226" t="str">
        <f t="shared" si="2"/>
        <v>NA</v>
      </c>
    </row>
    <row r="28" spans="1:30">
      <c r="A28" s="243" t="s">
        <v>1921</v>
      </c>
      <c r="B28" s="243" t="s">
        <v>3162</v>
      </c>
      <c r="C28" s="243" t="s">
        <v>3213</v>
      </c>
      <c r="D28" s="243" t="s">
        <v>3214</v>
      </c>
      <c r="E28" s="243"/>
      <c r="F28" s="234"/>
      <c r="G28" s="249">
        <v>27</v>
      </c>
      <c r="H28" s="249" t="s">
        <v>1922</v>
      </c>
      <c r="I28" s="249" t="s">
        <v>2669</v>
      </c>
      <c r="J28" s="249" t="s">
        <v>2678</v>
      </c>
      <c r="K28" s="249">
        <v>755420</v>
      </c>
      <c r="L28" s="249">
        <v>2650990</v>
      </c>
      <c r="M28" s="249">
        <v>101.508486</v>
      </c>
      <c r="N28" s="249">
        <v>23.940269000000001</v>
      </c>
      <c r="O28" s="234"/>
      <c r="P28" s="224" t="str">
        <f>IF(ISNA(VLOOKUP(B28,ranger_database_2016!$C$2:$C$147,1,FALSE)) = TRUE, IF(ISNA(VLOOKUP(B28,ranger_database_2016!$G$2:$G$147,1,FALSE)) = TRUE,"NA",(VLOOKUP(B28,ranger_database_2016!$G$2:$G$147,1,FALSE))), VLOOKUP(B28,ranger_database_2016!$C$2:$C$147,1,FALSE))</f>
        <v>李廷华</v>
      </c>
      <c r="Q28" s="224" t="str">
        <f>IF(ISNA(VLOOKUP(E28,sample_database!$AX$2:$AX$173,1,FALSE)) = TRUE, "NA", VLOOKUP(E28,sample_database!$AX$2:$AX$173,1,FALSE))</f>
        <v>NA</v>
      </c>
      <c r="R28" s="202" t="str">
        <f>IF(Q28="NA","NA",VLOOKUP(Q28,sample_database!$AX$2:$AY$173,2,FALSE))</f>
        <v>NA</v>
      </c>
      <c r="T28" s="226">
        <v>27</v>
      </c>
      <c r="U28" s="226" t="str">
        <f>sample_database!E360</f>
        <v>李进才</v>
      </c>
      <c r="V28" s="226" t="str">
        <f>sample_database!I360</f>
        <v>NA</v>
      </c>
      <c r="W28" s="226" t="str">
        <f>sample_database!J360</f>
        <v>双柏县鄂嘉镇义隆村</v>
      </c>
      <c r="X28" s="226" t="str">
        <f>sample_database!K360</f>
        <v>海拔2751，N24°21′44.4″ E101°15′56.41″</v>
      </c>
      <c r="Y28" s="226" t="str">
        <f t="shared" si="0"/>
        <v>NA</v>
      </c>
      <c r="Z28" s="224" t="str">
        <f t="shared" si="1"/>
        <v>NA</v>
      </c>
      <c r="AA28" s="226">
        <f>101+15/60+56.41/3600</f>
        <v>101.26566944444444</v>
      </c>
      <c r="AB28" s="226">
        <f>24+21/60+44.4/3600</f>
        <v>24.362333333333336</v>
      </c>
      <c r="AC28" s="226">
        <f>IF(ISNA(VLOOKUP(T28,Export_to_ArcGIS!$A$2:$I$111,9,FALSE)),"NA",VLOOKUP(T28,Export_to_ArcGIS!$A$2:$I$111,9,FALSE))</f>
        <v>30</v>
      </c>
      <c r="AD28" s="226">
        <f t="shared" si="2"/>
        <v>30</v>
      </c>
    </row>
    <row r="29" spans="1:30">
      <c r="A29" s="243" t="s">
        <v>1921</v>
      </c>
      <c r="B29" s="243" t="s">
        <v>3152</v>
      </c>
      <c r="C29" s="243" t="s">
        <v>3215</v>
      </c>
      <c r="D29" s="243" t="s">
        <v>3216</v>
      </c>
      <c r="E29" s="243"/>
      <c r="F29" s="234"/>
      <c r="G29" s="249">
        <v>28</v>
      </c>
      <c r="H29" s="249" t="s">
        <v>1922</v>
      </c>
      <c r="I29" s="249" t="s">
        <v>2669</v>
      </c>
      <c r="J29" s="249" t="s">
        <v>2676</v>
      </c>
      <c r="K29" s="249">
        <v>755466</v>
      </c>
      <c r="L29" s="249">
        <v>2650790</v>
      </c>
      <c r="M29" s="249">
        <v>101.508903</v>
      </c>
      <c r="N29" s="249">
        <v>23.938457</v>
      </c>
      <c r="O29" s="234"/>
      <c r="P29" s="224" t="str">
        <f>IF(ISNA(VLOOKUP(B29,ranger_database_2016!$C$2:$C$147,1,FALSE)) = TRUE, IF(ISNA(VLOOKUP(B29,ranger_database_2016!$G$2:$G$147,1,FALSE)) = TRUE,"NA",(VLOOKUP(B29,ranger_database_2016!$G$2:$G$147,1,FALSE))), VLOOKUP(B29,ranger_database_2016!$C$2:$C$147,1,FALSE))</f>
        <v>鲁兴连</v>
      </c>
      <c r="Q29" s="224" t="str">
        <f>IF(ISNA(VLOOKUP(E29,sample_database!$AX$2:$AX$173,1,FALSE)) = TRUE, "NA", VLOOKUP(E29,sample_database!$AX$2:$AX$173,1,FALSE))</f>
        <v>NA</v>
      </c>
      <c r="R29" s="202" t="str">
        <f>IF(Q29="NA","NA",VLOOKUP(Q29,sample_database!$AX$2:$AY$173,2,FALSE))</f>
        <v>NA</v>
      </c>
      <c r="T29" s="226">
        <v>28</v>
      </c>
      <c r="U29" s="226" t="str">
        <f>sample_database!E361</f>
        <v>李进才</v>
      </c>
      <c r="V29" s="226" t="str">
        <f>sample_database!I361</f>
        <v>NA</v>
      </c>
      <c r="W29" s="226" t="str">
        <f>sample_database!J361</f>
        <v>双柏县鄂嘉镇义隆村</v>
      </c>
      <c r="X29" s="226" t="str">
        <f>sample_database!K361</f>
        <v>海拔2369，N24°22′54.0″ E101°15′27.5″</v>
      </c>
      <c r="Y29" s="226" t="str">
        <f t="shared" si="0"/>
        <v>NA</v>
      </c>
      <c r="Z29" s="224" t="str">
        <f t="shared" si="1"/>
        <v>NA</v>
      </c>
      <c r="AA29" s="226">
        <f>101+15/60+27.5/3600</f>
        <v>101.25763888888889</v>
      </c>
      <c r="AB29" s="226">
        <f>24+22/60+54/3600</f>
        <v>24.381666666666668</v>
      </c>
      <c r="AC29" s="226" t="str">
        <f>IF(ISNA(VLOOKUP(T29,Export_to_ArcGIS!$A$2:$I$111,9,FALSE)),"NA",VLOOKUP(T29,Export_to_ArcGIS!$A$2:$I$111,9,FALSE))</f>
        <v>NA</v>
      </c>
      <c r="AD29" s="226" t="str">
        <f t="shared" si="2"/>
        <v>NA</v>
      </c>
    </row>
    <row r="30" spans="1:30">
      <c r="A30" s="243" t="s">
        <v>1921</v>
      </c>
      <c r="B30" s="243" t="s">
        <v>3174</v>
      </c>
      <c r="C30" s="243" t="s">
        <v>3217</v>
      </c>
      <c r="D30" s="243" t="s">
        <v>3218</v>
      </c>
      <c r="E30" s="243"/>
      <c r="F30" s="234"/>
      <c r="G30" s="249">
        <v>29</v>
      </c>
      <c r="H30" s="249" t="s">
        <v>1922</v>
      </c>
      <c r="I30" s="249" t="s">
        <v>3182</v>
      </c>
      <c r="J30" s="249" t="s">
        <v>2680</v>
      </c>
      <c r="K30" s="249">
        <v>755085</v>
      </c>
      <c r="L30" s="249">
        <v>2658807</v>
      </c>
      <c r="M30" s="249">
        <v>101.506563</v>
      </c>
      <c r="N30" s="249">
        <v>24.010831</v>
      </c>
      <c r="O30" s="234"/>
      <c r="P30" s="224" t="str">
        <f>IF(ISNA(VLOOKUP(B30,ranger_database_2016!$C$2:$C$147,1,FALSE)) = TRUE, IF(ISNA(VLOOKUP(B30,ranger_database_2016!$G$2:$G$147,1,FALSE)) = TRUE,"NA",(VLOOKUP(B30,ranger_database_2016!$G$2:$G$147,1,FALSE))), VLOOKUP(B30,ranger_database_2016!$C$2:$C$147,1,FALSE))</f>
        <v>李富全</v>
      </c>
      <c r="Q30" s="224" t="str">
        <f>IF(ISNA(VLOOKUP(E30,sample_database!$AX$2:$AX$173,1,FALSE)) = TRUE, "NA", VLOOKUP(E30,sample_database!$AX$2:$AX$173,1,FALSE))</f>
        <v>NA</v>
      </c>
      <c r="R30" s="202" t="str">
        <f>IF(Q30="NA","NA",VLOOKUP(Q30,sample_database!$AX$2:$AY$173,2,FALSE))</f>
        <v>NA</v>
      </c>
      <c r="T30" s="226">
        <v>29</v>
      </c>
      <c r="U30" s="226" t="str">
        <f>sample_database!E362</f>
        <v>李进才</v>
      </c>
      <c r="V30" s="226" t="str">
        <f>sample_database!I362</f>
        <v>NA</v>
      </c>
      <c r="W30" s="226" t="str">
        <f>sample_database!J362</f>
        <v>双柏县鄂嘉镇义隆村</v>
      </c>
      <c r="X30" s="226" t="str">
        <f>sample_database!K362</f>
        <v>海拔2481，N24°22′46.9″ E101°15′19.8″</v>
      </c>
      <c r="Y30" s="226" t="str">
        <f t="shared" si="0"/>
        <v>NA</v>
      </c>
      <c r="Z30" s="224" t="str">
        <f t="shared" si="1"/>
        <v>NA</v>
      </c>
      <c r="AA30" s="226">
        <f>101+15/60+19.8/3600</f>
        <v>101.2555</v>
      </c>
      <c r="AB30" s="226">
        <f>24+22/60+46.9/3600</f>
        <v>24.379694444444446</v>
      </c>
      <c r="AC30" s="226" t="str">
        <f>IF(ISNA(VLOOKUP(T30,Export_to_ArcGIS!$A$2:$I$111,9,FALSE)),"NA",VLOOKUP(T30,Export_to_ArcGIS!$A$2:$I$111,9,FALSE))</f>
        <v>NA</v>
      </c>
      <c r="AD30" s="226" t="str">
        <f t="shared" si="2"/>
        <v>NA</v>
      </c>
    </row>
    <row r="31" spans="1:30">
      <c r="A31" s="243" t="s">
        <v>1921</v>
      </c>
      <c r="B31" s="243" t="s">
        <v>2162</v>
      </c>
      <c r="C31" s="243" t="s">
        <v>3219</v>
      </c>
      <c r="D31" s="243" t="s">
        <v>3220</v>
      </c>
      <c r="E31" s="243" t="s">
        <v>3221</v>
      </c>
      <c r="F31" s="234"/>
      <c r="G31" s="249">
        <v>30</v>
      </c>
      <c r="H31" s="249" t="s">
        <v>1922</v>
      </c>
      <c r="I31" s="249" t="s">
        <v>3182</v>
      </c>
      <c r="J31" s="249" t="s">
        <v>2683</v>
      </c>
      <c r="K31" s="249">
        <v>755048</v>
      </c>
      <c r="L31" s="249">
        <v>2658710</v>
      </c>
      <c r="M31" s="249">
        <v>101.50618299999999</v>
      </c>
      <c r="N31" s="249">
        <v>24.009962000000002</v>
      </c>
      <c r="O31" s="234"/>
      <c r="P31" s="224" t="str">
        <f>IF(ISNA(VLOOKUP(B31,ranger_database_2016!$C$2:$C$147,1,FALSE)) = TRUE, IF(ISNA(VLOOKUP(B31,ranger_database_2016!$G$2:$G$147,1,FALSE)) = TRUE,"NA",(VLOOKUP(B31,ranger_database_2016!$G$2:$G$147,1,FALSE))), VLOOKUP(B31,ranger_database_2016!$C$2:$C$147,1,FALSE))</f>
        <v>周强</v>
      </c>
      <c r="Q31" s="224" t="str">
        <f>IF(ISNA(VLOOKUP(E31,sample_database!$AX$2:$AX$173,1,FALSE)) = TRUE, "NA", VLOOKUP(E31,sample_database!$AX$2:$AX$173,1,FALSE))</f>
        <v>王光鹏</v>
      </c>
      <c r="R31" s="202">
        <f>IF(Q31="NA","NA",VLOOKUP(Q31,sample_database!$AX$2:$AY$173,2,FALSE))</f>
        <v>6</v>
      </c>
      <c r="T31" s="226">
        <v>30</v>
      </c>
      <c r="U31" s="226" t="str">
        <f>sample_database!E363</f>
        <v>李进才</v>
      </c>
      <c r="V31" s="226" t="str">
        <f>sample_database!I363</f>
        <v>NA</v>
      </c>
      <c r="W31" s="226" t="str">
        <f>sample_database!J363</f>
        <v>双柏县鄂嘉镇义隆村</v>
      </c>
      <c r="X31" s="226" t="str">
        <f>sample_database!K363</f>
        <v>海拔2188，N24°22′49.1″ E101°10′08.9″</v>
      </c>
      <c r="Y31" s="226" t="str">
        <f t="shared" si="0"/>
        <v>NA</v>
      </c>
      <c r="Z31" s="224" t="str">
        <f t="shared" si="1"/>
        <v>NA</v>
      </c>
      <c r="AA31" s="226">
        <f>101+10/60+8.9/3600</f>
        <v>101.1691388888889</v>
      </c>
      <c r="AB31" s="226">
        <f>24+22/60+49.1/3600</f>
        <v>24.380305555555555</v>
      </c>
      <c r="AC31" s="226">
        <f>IF(ISNA(VLOOKUP(T31,Export_to_ArcGIS!$A$2:$I$111,9,FALSE)),"NA",VLOOKUP(T31,Export_to_ArcGIS!$A$2:$I$111,9,FALSE))</f>
        <v>19</v>
      </c>
      <c r="AD31" s="226">
        <f t="shared" si="2"/>
        <v>19</v>
      </c>
    </row>
    <row r="32" spans="1:30">
      <c r="A32" s="243" t="s">
        <v>1921</v>
      </c>
      <c r="B32" s="243" t="s">
        <v>2085</v>
      </c>
      <c r="C32" s="243" t="s">
        <v>3222</v>
      </c>
      <c r="D32" s="243" t="s">
        <v>3223</v>
      </c>
      <c r="E32" s="243" t="s">
        <v>3224</v>
      </c>
      <c r="F32" s="234"/>
      <c r="G32" s="249">
        <v>31</v>
      </c>
      <c r="H32" s="249" t="s">
        <v>1922</v>
      </c>
      <c r="I32" s="249" t="s">
        <v>3183</v>
      </c>
      <c r="J32" s="249" t="s">
        <v>2686</v>
      </c>
      <c r="K32" s="249">
        <v>755056</v>
      </c>
      <c r="L32" s="249">
        <v>2658725</v>
      </c>
      <c r="M32" s="249">
        <v>101.506264</v>
      </c>
      <c r="N32" s="249">
        <v>24.010096000000001</v>
      </c>
      <c r="O32" s="234"/>
      <c r="P32" s="224" t="str">
        <f>IF(ISNA(VLOOKUP(B32,ranger_database_2016!$C$2:$C$147,1,FALSE)) = TRUE, IF(ISNA(VLOOKUP(B32,ranger_database_2016!$G$2:$G$147,1,FALSE)) = TRUE,"NA",(VLOOKUP(B32,ranger_database_2016!$G$2:$G$147,1,FALSE))), VLOOKUP(B32,ranger_database_2016!$C$2:$C$147,1,FALSE))</f>
        <v>李有国</v>
      </c>
      <c r="Q32" s="224" t="str">
        <f>IF(ISNA(VLOOKUP(E32,sample_database!$AX$2:$AX$173,1,FALSE)) = TRUE, "NA", VLOOKUP(E32,sample_database!$AX$2:$AX$173,1,FALSE))</f>
        <v>郭万明</v>
      </c>
      <c r="R32" s="202">
        <f>IF(Q32="NA","NA",VLOOKUP(Q32,sample_database!$AX$2:$AY$173,2,FALSE))</f>
        <v>9</v>
      </c>
      <c r="T32" s="226">
        <v>31</v>
      </c>
      <c r="U32" s="226" t="str">
        <f>sample_database!E364</f>
        <v>李荣</v>
      </c>
      <c r="V32" s="226" t="str">
        <f>sample_database!I364</f>
        <v>NA</v>
      </c>
      <c r="W32" s="226" t="str">
        <f>sample_database!J364</f>
        <v>双柏县鄂嘉镇鄂嘉村成外小组</v>
      </c>
      <c r="X32" s="226" t="str">
        <f>sample_database!K364</f>
        <v>2456-2376</v>
      </c>
      <c r="Y32" s="226" t="str">
        <f t="shared" si="0"/>
        <v>NA</v>
      </c>
      <c r="Z32" s="224" t="str">
        <f t="shared" si="1"/>
        <v>NA</v>
      </c>
      <c r="AA32" s="202" t="s">
        <v>3339</v>
      </c>
      <c r="AB32" s="202" t="s">
        <v>3339</v>
      </c>
      <c r="AC32" s="226" t="str">
        <f>IF(ISNA(VLOOKUP(T32,Export_to_ArcGIS!$A$2:$I$111,9,FALSE)),"NA",VLOOKUP(T32,Export_to_ArcGIS!$A$2:$I$111,9,FALSE))</f>
        <v>NA</v>
      </c>
      <c r="AD32" s="226" t="str">
        <f t="shared" si="2"/>
        <v>NA</v>
      </c>
    </row>
    <row r="33" spans="1:30">
      <c r="A33" s="243" t="s">
        <v>1921</v>
      </c>
      <c r="B33" s="243" t="s">
        <v>2118</v>
      </c>
      <c r="C33" s="243" t="s">
        <v>3225</v>
      </c>
      <c r="D33" s="243" t="s">
        <v>3226</v>
      </c>
      <c r="E33" s="243" t="s">
        <v>3227</v>
      </c>
      <c r="F33" s="234"/>
      <c r="G33" s="249">
        <v>32</v>
      </c>
      <c r="H33" s="249" t="s">
        <v>1922</v>
      </c>
      <c r="I33" s="249" t="s">
        <v>2600</v>
      </c>
      <c r="J33" s="249" t="s">
        <v>2690</v>
      </c>
      <c r="K33" s="249">
        <v>755022</v>
      </c>
      <c r="L33" s="249">
        <v>2658804</v>
      </c>
      <c r="M33" s="249">
        <v>101.505944</v>
      </c>
      <c r="N33" s="249">
        <v>24.010814</v>
      </c>
      <c r="O33" s="234"/>
      <c r="P33" s="224" t="str">
        <f>IF(ISNA(VLOOKUP(B33,ranger_database_2016!$C$2:$C$147,1,FALSE)) = TRUE, IF(ISNA(VLOOKUP(B33,ranger_database_2016!$G$2:$G$147,1,FALSE)) = TRUE,"NA",(VLOOKUP(B33,ranger_database_2016!$G$2:$G$147,1,FALSE))), VLOOKUP(B33,ranger_database_2016!$C$2:$C$147,1,FALSE))</f>
        <v>王炳富</v>
      </c>
      <c r="Q33" s="224" t="str">
        <f>IF(ISNA(VLOOKUP(E33,sample_database!$AX$2:$AX$173,1,FALSE)) = TRUE, "NA", VLOOKUP(E33,sample_database!$AX$2:$AX$173,1,FALSE))</f>
        <v>卞荣</v>
      </c>
      <c r="R33" s="202">
        <f>IF(Q33="NA","NA",VLOOKUP(Q33,sample_database!$AX$2:$AY$173,2,FALSE))</f>
        <v>12</v>
      </c>
      <c r="T33" s="226">
        <v>32</v>
      </c>
      <c r="U33" s="226" t="str">
        <f>sample_database!E365</f>
        <v>李荣</v>
      </c>
      <c r="V33" s="226" t="str">
        <f>sample_database!I365</f>
        <v>NA</v>
      </c>
      <c r="W33" s="226" t="str">
        <f>sample_database!J365</f>
        <v>双柏县鄂嘉镇鄂嘉村成外小组</v>
      </c>
      <c r="X33" s="226" t="str">
        <f>sample_database!K365</f>
        <v>2640-2348</v>
      </c>
      <c r="Y33" s="226" t="str">
        <f t="shared" si="0"/>
        <v>NA</v>
      </c>
      <c r="Z33" s="224" t="str">
        <f t="shared" si="1"/>
        <v>NA</v>
      </c>
      <c r="AA33" s="202" t="s">
        <v>3339</v>
      </c>
      <c r="AB33" s="202" t="s">
        <v>3339</v>
      </c>
      <c r="AC33" s="226" t="str">
        <f>IF(ISNA(VLOOKUP(T33,Export_to_ArcGIS!$A$2:$I$111,9,FALSE)),"NA",VLOOKUP(T33,Export_to_ArcGIS!$A$2:$I$111,9,FALSE))</f>
        <v>NA</v>
      </c>
      <c r="AD33" s="226" t="str">
        <f t="shared" si="2"/>
        <v>NA</v>
      </c>
    </row>
    <row r="34" spans="1:30">
      <c r="A34" s="243" t="s">
        <v>1921</v>
      </c>
      <c r="B34" s="243" t="s">
        <v>2066</v>
      </c>
      <c r="C34" s="243" t="s">
        <v>3228</v>
      </c>
      <c r="D34" s="243" t="s">
        <v>3229</v>
      </c>
      <c r="E34" s="243" t="s">
        <v>3230</v>
      </c>
      <c r="F34" s="234"/>
      <c r="G34" s="249">
        <v>33</v>
      </c>
      <c r="H34" s="249" t="s">
        <v>1922</v>
      </c>
      <c r="I34" s="249" t="s">
        <v>2600</v>
      </c>
      <c r="J34" s="249" t="s">
        <v>2609</v>
      </c>
      <c r="K34" s="249">
        <v>755197</v>
      </c>
      <c r="L34" s="249">
        <v>2658746</v>
      </c>
      <c r="M34" s="249">
        <v>101.50765199999999</v>
      </c>
      <c r="N34" s="249">
        <v>24.010262999999998</v>
      </c>
      <c r="O34" s="234"/>
      <c r="P34" s="224" t="str">
        <f>IF(ISNA(VLOOKUP(B34,ranger_database_2016!$C$2:$C$147,1,FALSE)) = TRUE, IF(ISNA(VLOOKUP(B34,ranger_database_2016!$G$2:$G$147,1,FALSE)) = TRUE,"NA",(VLOOKUP(B34,ranger_database_2016!$G$2:$G$147,1,FALSE))), VLOOKUP(B34,ranger_database_2016!$C$2:$C$147,1,FALSE))</f>
        <v>李开华</v>
      </c>
      <c r="Q34" s="224" t="str">
        <f>IF(ISNA(VLOOKUP(E34,sample_database!$AX$2:$AX$173,1,FALSE)) = TRUE, "NA", VLOOKUP(E34,sample_database!$AX$2:$AX$173,1,FALSE))</f>
        <v>朱荣兴</v>
      </c>
      <c r="R34" s="202">
        <f>IF(Q34="NA","NA",VLOOKUP(Q34,sample_database!$AX$2:$AY$173,2,FALSE))</f>
        <v>13</v>
      </c>
      <c r="T34" s="226">
        <v>33</v>
      </c>
      <c r="U34" s="226" t="str">
        <f>sample_database!E366</f>
        <v>李荣</v>
      </c>
      <c r="V34" s="226" t="str">
        <f>sample_database!I366</f>
        <v>NA</v>
      </c>
      <c r="W34" s="226" t="str">
        <f>sample_database!J366</f>
        <v>双柏县鄂嘉镇鄂嘉村成外小组</v>
      </c>
      <c r="X34" s="226" t="str">
        <f>sample_database!K366</f>
        <v>2544-2328</v>
      </c>
      <c r="Y34" s="226" t="str">
        <f t="shared" si="0"/>
        <v>NA</v>
      </c>
      <c r="Z34" s="224" t="str">
        <f t="shared" si="1"/>
        <v>NA</v>
      </c>
      <c r="AA34" s="202" t="s">
        <v>3339</v>
      </c>
      <c r="AB34" s="202" t="s">
        <v>3339</v>
      </c>
      <c r="AC34" s="226" t="str">
        <f>IF(ISNA(VLOOKUP(T34,Export_to_ArcGIS!$A$2:$I$111,9,FALSE)),"NA",VLOOKUP(T34,Export_to_ArcGIS!$A$2:$I$111,9,FALSE))</f>
        <v>NA</v>
      </c>
      <c r="AD34" s="226" t="str">
        <f t="shared" si="2"/>
        <v>NA</v>
      </c>
    </row>
    <row r="35" spans="1:30">
      <c r="A35" s="243" t="s">
        <v>1921</v>
      </c>
      <c r="B35" s="243" t="s">
        <v>3154</v>
      </c>
      <c r="C35" s="243" t="s">
        <v>3231</v>
      </c>
      <c r="D35" s="243" t="s">
        <v>3232</v>
      </c>
      <c r="E35" s="243"/>
      <c r="F35" s="234"/>
      <c r="G35" s="249">
        <v>34</v>
      </c>
      <c r="H35" s="249" t="s">
        <v>1922</v>
      </c>
      <c r="I35" s="249" t="s">
        <v>3184</v>
      </c>
      <c r="J35" s="249" t="s">
        <v>2693</v>
      </c>
      <c r="K35" s="249">
        <v>755045</v>
      </c>
      <c r="L35" s="249">
        <v>2658735</v>
      </c>
      <c r="M35" s="249">
        <v>101.506158</v>
      </c>
      <c r="N35" s="249">
        <v>24.010187999999999</v>
      </c>
      <c r="O35" s="234"/>
      <c r="P35" s="224" t="str">
        <f>IF(ISNA(VLOOKUP(B35,ranger_database_2016!$C$2:$C$147,1,FALSE)) = TRUE, IF(ISNA(VLOOKUP(B35,ranger_database_2016!$G$2:$G$147,1,FALSE)) = TRUE,"NA",(VLOOKUP(B35,ranger_database_2016!$G$2:$G$147,1,FALSE))), VLOOKUP(B35,ranger_database_2016!$C$2:$C$147,1,FALSE))</f>
        <v>王景法</v>
      </c>
      <c r="Q35" s="224" t="str">
        <f>IF(ISNA(VLOOKUP(E35,sample_database!$AX$2:$AX$173,1,FALSE)) = TRUE, "NA", VLOOKUP(E35,sample_database!$AX$2:$AX$173,1,FALSE))</f>
        <v>NA</v>
      </c>
      <c r="R35" s="202" t="str">
        <f>IF(Q35="NA","NA",VLOOKUP(Q35,sample_database!$AX$2:$AY$173,2,FALSE))</f>
        <v>NA</v>
      </c>
      <c r="T35" s="226">
        <v>34</v>
      </c>
      <c r="U35" s="226" t="str">
        <f>sample_database!E367</f>
        <v>李荣</v>
      </c>
      <c r="V35" s="226" t="str">
        <f>sample_database!I367</f>
        <v>NA</v>
      </c>
      <c r="W35" s="226" t="str">
        <f>sample_database!J367</f>
        <v>双柏县鄂嘉镇鄂嘉村成外小组</v>
      </c>
      <c r="X35" s="226" t="str">
        <f>sample_database!K367</f>
        <v>2485-2356</v>
      </c>
      <c r="Y35" s="226" t="str">
        <f t="shared" si="0"/>
        <v>NA</v>
      </c>
      <c r="Z35" s="224" t="str">
        <f t="shared" si="1"/>
        <v>NA</v>
      </c>
      <c r="AA35" s="202" t="s">
        <v>3339</v>
      </c>
      <c r="AB35" s="202" t="s">
        <v>3339</v>
      </c>
      <c r="AC35" s="226" t="str">
        <f>IF(ISNA(VLOOKUP(T35,Export_to_ArcGIS!$A$2:$I$111,9,FALSE)),"NA",VLOOKUP(T35,Export_to_ArcGIS!$A$2:$I$111,9,FALSE))</f>
        <v>NA</v>
      </c>
      <c r="AD35" s="226" t="str">
        <f t="shared" si="2"/>
        <v>NA</v>
      </c>
    </row>
    <row r="36" spans="1:30">
      <c r="A36" s="243" t="s">
        <v>1921</v>
      </c>
      <c r="B36" s="243" t="s">
        <v>3155</v>
      </c>
      <c r="C36" s="243" t="s">
        <v>3233</v>
      </c>
      <c r="D36" s="243" t="s">
        <v>3234</v>
      </c>
      <c r="E36" s="243"/>
      <c r="F36" s="234"/>
      <c r="G36" s="234"/>
      <c r="H36" s="234"/>
      <c r="I36" s="234"/>
      <c r="J36" s="234"/>
      <c r="K36" s="234"/>
      <c r="L36" s="234"/>
      <c r="M36" s="234"/>
      <c r="N36" s="234"/>
      <c r="O36" s="234"/>
      <c r="P36" s="224" t="str">
        <f>IF(ISNA(VLOOKUP(B36,ranger_database_2016!$C$2:$C$147,1,FALSE)) = TRUE, IF(ISNA(VLOOKUP(B36,ranger_database_2016!$G$2:$G$147,1,FALSE)) = TRUE,"NA",(VLOOKUP(B36,ranger_database_2016!$G$2:$G$147,1,FALSE))), VLOOKUP(B36,ranger_database_2016!$C$2:$C$147,1,FALSE))</f>
        <v>刘文明</v>
      </c>
      <c r="Q36" s="224" t="str">
        <f>IF(ISNA(VLOOKUP(E36,sample_database!$AX$2:$AX$173,1,FALSE)) = TRUE, "NA", VLOOKUP(E36,sample_database!$AX$2:$AX$173,1,FALSE))</f>
        <v>NA</v>
      </c>
      <c r="R36" s="226" t="str">
        <f>IF(Q36="NA","NA",VLOOKUP(Q36,sample_database!$AX$2:$AY$173,2,FALSE))</f>
        <v>NA</v>
      </c>
      <c r="T36" s="226">
        <v>35</v>
      </c>
      <c r="U36" s="226" t="str">
        <f>sample_database!E368</f>
        <v>王开丙</v>
      </c>
      <c r="V36" s="226" t="str">
        <f>sample_database!I368</f>
        <v>董应付</v>
      </c>
      <c r="W36" s="226" t="str">
        <f>sample_database!J368</f>
        <v>双柏县鄂嘉镇茶叶村委会三岔河管护点</v>
      </c>
      <c r="X36" s="226" t="str">
        <f>sample_database!K368</f>
        <v>海拔2246，N24°29′28.19″ E101°4′49.22″</v>
      </c>
      <c r="Y36" s="226" t="str">
        <f t="shared" si="0"/>
        <v>NA</v>
      </c>
      <c r="Z36" s="224" t="str">
        <f t="shared" si="1"/>
        <v>NA</v>
      </c>
      <c r="AA36" s="226">
        <f>101+4/60+49.22/3600</f>
        <v>101.08033888888889</v>
      </c>
      <c r="AB36" s="226">
        <f>24+29/60+28.19/3600</f>
        <v>24.491163888888888</v>
      </c>
      <c r="AC36" s="226">
        <f>IF(ISNA(VLOOKUP(T36,Export_to_ArcGIS!$A$2:$I$111,9,FALSE)),"NA",VLOOKUP(T36,Export_to_ArcGIS!$A$2:$I$111,9,FALSE))</f>
        <v>6</v>
      </c>
      <c r="AD36" s="226">
        <f t="shared" si="2"/>
        <v>6</v>
      </c>
    </row>
    <row r="37" spans="1:30">
      <c r="A37" s="243" t="s">
        <v>1921</v>
      </c>
      <c r="B37" s="243" t="s">
        <v>3156</v>
      </c>
      <c r="C37" s="243" t="s">
        <v>3235</v>
      </c>
      <c r="D37" s="243" t="s">
        <v>3214</v>
      </c>
      <c r="E37" s="243"/>
      <c r="F37" s="234"/>
      <c r="G37" s="234"/>
      <c r="H37" s="234"/>
      <c r="I37" s="234"/>
      <c r="J37" s="234"/>
      <c r="K37" s="234"/>
      <c r="L37" s="234"/>
      <c r="M37" s="234"/>
      <c r="N37" s="234"/>
      <c r="O37" s="234"/>
      <c r="P37" s="224" t="str">
        <f>IF(ISNA(VLOOKUP(B37,ranger_database_2016!$C$2:$C$147,1,FALSE)) = TRUE, IF(ISNA(VLOOKUP(B37,ranger_database_2016!$G$2:$G$147,1,FALSE)) = TRUE,"NA",(VLOOKUP(B37,ranger_database_2016!$G$2:$G$147,1,FALSE))), VLOOKUP(B37,ranger_database_2016!$C$2:$C$147,1,FALSE))</f>
        <v>李有华</v>
      </c>
      <c r="Q37" s="224" t="str">
        <f>IF(ISNA(VLOOKUP(E37,sample_database!$AX$2:$AX$173,1,FALSE)) = TRUE, "NA", VLOOKUP(E37,sample_database!$AX$2:$AX$173,1,FALSE))</f>
        <v>NA</v>
      </c>
      <c r="R37" s="226" t="str">
        <f>IF(Q37="NA","NA",VLOOKUP(Q37,sample_database!$AX$2:$AY$173,2,FALSE))</f>
        <v>NA</v>
      </c>
      <c r="T37" s="226">
        <v>36</v>
      </c>
      <c r="U37" s="226" t="str">
        <f>sample_database!E369</f>
        <v>王开丙</v>
      </c>
      <c r="V37" s="226" t="str">
        <f>sample_database!I369</f>
        <v>董应付</v>
      </c>
      <c r="W37" s="226" t="str">
        <f>sample_database!J369</f>
        <v>双柏县鄂嘉镇茶叶村委会三岔河管护点</v>
      </c>
      <c r="X37" s="226" t="str">
        <f>sample_database!K369</f>
        <v>海拔2416，N24°27′31.17″ E101°5′43.85″</v>
      </c>
      <c r="Y37" s="226" t="str">
        <f t="shared" si="0"/>
        <v>NA</v>
      </c>
      <c r="Z37" s="224" t="str">
        <f t="shared" si="1"/>
        <v>NA</v>
      </c>
      <c r="AA37" s="226">
        <f>101+5/60+43.85/3600</f>
        <v>101.09551388888889</v>
      </c>
      <c r="AB37" s="226">
        <f>24+27/60+31.17/3600</f>
        <v>24.458658333333332</v>
      </c>
      <c r="AC37" s="226">
        <f>IF(ISNA(VLOOKUP(T37,Export_to_ArcGIS!$A$2:$I$111,9,FALSE)),"NA",VLOOKUP(T37,Export_to_ArcGIS!$A$2:$I$111,9,FALSE))</f>
        <v>9</v>
      </c>
      <c r="AD37" s="226">
        <f t="shared" si="2"/>
        <v>9</v>
      </c>
    </row>
    <row r="38" spans="1:30">
      <c r="A38" s="243" t="s">
        <v>1921</v>
      </c>
      <c r="B38" s="243" t="s">
        <v>3157</v>
      </c>
      <c r="C38" s="243" t="s">
        <v>3236</v>
      </c>
      <c r="D38" s="243" t="s">
        <v>3237</v>
      </c>
      <c r="E38" s="243"/>
      <c r="F38" s="234"/>
      <c r="G38" s="234"/>
      <c r="H38" s="234"/>
      <c r="I38" s="234"/>
      <c r="J38" s="234"/>
      <c r="K38" s="234"/>
      <c r="L38" s="234"/>
      <c r="M38" s="234"/>
      <c r="N38" s="234"/>
      <c r="O38" s="234"/>
      <c r="P38" s="224" t="str">
        <f>IF(ISNA(VLOOKUP(B38,ranger_database_2016!$C$2:$C$147,1,FALSE)) = TRUE, IF(ISNA(VLOOKUP(B38,ranger_database_2016!$G$2:$G$147,1,FALSE)) = TRUE,"NA",(VLOOKUP(B38,ranger_database_2016!$G$2:$G$147,1,FALSE))), VLOOKUP(B38,ranger_database_2016!$C$2:$C$147,1,FALSE))</f>
        <v>李廷梅</v>
      </c>
      <c r="Q38" s="224" t="str">
        <f>IF(ISNA(VLOOKUP(E38,sample_database!$AX$2:$AX$173,1,FALSE)) = TRUE, "NA", VLOOKUP(E38,sample_database!$AX$2:$AX$173,1,FALSE))</f>
        <v>NA</v>
      </c>
      <c r="R38" s="226" t="str">
        <f>IF(Q38="NA","NA",VLOOKUP(Q38,sample_database!$AX$2:$AY$173,2,FALSE))</f>
        <v>NA</v>
      </c>
      <c r="T38" s="226">
        <v>37</v>
      </c>
      <c r="U38" s="226" t="str">
        <f>sample_database!E370</f>
        <v>王开丙</v>
      </c>
      <c r="V38" s="226" t="str">
        <f>sample_database!I370</f>
        <v>董应付</v>
      </c>
      <c r="W38" s="226" t="str">
        <f>sample_database!J370</f>
        <v>双柏县鄂嘉镇茶叶村委会三岔河管护点</v>
      </c>
      <c r="X38" s="226" t="str">
        <f>sample_database!K370</f>
        <v>N24°23′33.16″ E101°5′14.73″</v>
      </c>
      <c r="Y38" s="226" t="str">
        <f t="shared" si="0"/>
        <v>NA</v>
      </c>
      <c r="Z38" s="224" t="str">
        <f t="shared" si="1"/>
        <v>NA</v>
      </c>
      <c r="AA38" s="226">
        <f>101+5/60+14.73/3600</f>
        <v>101.087425</v>
      </c>
      <c r="AB38" s="226">
        <f>24+23/60+33.16/3600</f>
        <v>24.392544444444443</v>
      </c>
      <c r="AC38" s="226" t="str">
        <f>IF(ISNA(VLOOKUP(T38,Export_to_ArcGIS!$A$2:$I$111,9,FALSE)),"NA",VLOOKUP(T38,Export_to_ArcGIS!$A$2:$I$111,9,FALSE))</f>
        <v>NA</v>
      </c>
      <c r="AD38" s="226" t="str">
        <f t="shared" si="2"/>
        <v>NA</v>
      </c>
    </row>
    <row r="39" spans="1:30">
      <c r="A39" s="243" t="s">
        <v>1921</v>
      </c>
      <c r="B39" s="243" t="s">
        <v>3158</v>
      </c>
      <c r="C39" s="243" t="s">
        <v>3238</v>
      </c>
      <c r="D39" s="243" t="s">
        <v>3239</v>
      </c>
      <c r="E39" s="243"/>
      <c r="F39" s="234"/>
      <c r="G39" s="234"/>
      <c r="H39" s="234"/>
      <c r="I39" s="234"/>
      <c r="J39" s="234"/>
      <c r="K39" s="234"/>
      <c r="L39" s="234"/>
      <c r="M39" s="234"/>
      <c r="N39" s="234"/>
      <c r="O39" s="234"/>
      <c r="P39" s="224" t="str">
        <f>IF(ISNA(VLOOKUP(B39,ranger_database_2016!$C$2:$C$147,1,FALSE)) = TRUE, IF(ISNA(VLOOKUP(B39,ranger_database_2016!$G$2:$G$147,1,FALSE)) = TRUE,"NA",(VLOOKUP(B39,ranger_database_2016!$G$2:$G$147,1,FALSE))), VLOOKUP(B39,ranger_database_2016!$C$2:$C$147,1,FALSE))</f>
        <v>杨荣高</v>
      </c>
      <c r="Q39" s="224" t="str">
        <f>IF(ISNA(VLOOKUP(E39,sample_database!$AX$2:$AX$173,1,FALSE)) = TRUE, "NA", VLOOKUP(E39,sample_database!$AX$2:$AX$173,1,FALSE))</f>
        <v>NA</v>
      </c>
      <c r="R39" s="226" t="str">
        <f>IF(Q39="NA","NA",VLOOKUP(Q39,sample_database!$AX$2:$AY$173,2,FALSE))</f>
        <v>NA</v>
      </c>
      <c r="T39" s="226">
        <v>38</v>
      </c>
      <c r="U39" s="226" t="str">
        <f>sample_database!E371</f>
        <v>王开丙</v>
      </c>
      <c r="V39" s="226" t="str">
        <f>sample_database!I371</f>
        <v>董应付</v>
      </c>
      <c r="W39" s="226" t="str">
        <f>sample_database!J371</f>
        <v>双柏县鄂嘉镇茶叶村委会三岔河管护点</v>
      </c>
      <c r="X39" s="226" t="str">
        <f>sample_database!K371</f>
        <v>海拔2417，N24°27′17.22″ E101°5′25.06″</v>
      </c>
      <c r="Y39" s="226" t="str">
        <f t="shared" si="0"/>
        <v>NA</v>
      </c>
      <c r="Z39" s="224" t="str">
        <f t="shared" si="1"/>
        <v>NA</v>
      </c>
      <c r="AA39" s="226">
        <f>101+5/60+25.06/3600</f>
        <v>101.09029444444444</v>
      </c>
      <c r="AB39" s="226">
        <f>24+27/60+17.22/3600</f>
        <v>24.454783333333332</v>
      </c>
      <c r="AC39" s="226">
        <f>IF(ISNA(VLOOKUP(T39,Export_to_ArcGIS!$A$2:$I$111,9,FALSE)),"NA",VLOOKUP(T39,Export_to_ArcGIS!$A$2:$I$111,9,FALSE))</f>
        <v>9</v>
      </c>
      <c r="AD39" s="226">
        <f t="shared" si="2"/>
        <v>9</v>
      </c>
    </row>
    <row r="40" spans="1:30">
      <c r="A40" s="243" t="s">
        <v>1921</v>
      </c>
      <c r="B40" s="243" t="s">
        <v>3159</v>
      </c>
      <c r="C40" s="243" t="s">
        <v>3240</v>
      </c>
      <c r="D40" s="243" t="s">
        <v>3239</v>
      </c>
      <c r="E40" s="243"/>
      <c r="F40" s="234"/>
      <c r="G40" s="234"/>
      <c r="H40" s="234"/>
      <c r="I40" s="234"/>
      <c r="J40" s="234"/>
      <c r="K40" s="234"/>
      <c r="L40" s="234"/>
      <c r="M40" s="234"/>
      <c r="N40" s="234"/>
      <c r="O40" s="234"/>
      <c r="P40" s="224" t="str">
        <f>IF(ISNA(VLOOKUP(B40,ranger_database_2016!$C$2:$C$147,1,FALSE)) = TRUE, IF(ISNA(VLOOKUP(B40,ranger_database_2016!$G$2:$G$147,1,FALSE)) = TRUE,"NA",(VLOOKUP(B40,ranger_database_2016!$G$2:$G$147,1,FALSE))), VLOOKUP(B40,ranger_database_2016!$C$2:$C$147,1,FALSE))</f>
        <v>李波</v>
      </c>
      <c r="Q40" s="224" t="str">
        <f>IF(ISNA(VLOOKUP(E40,sample_database!$AX$2:$AX$173,1,FALSE)) = TRUE, "NA", VLOOKUP(E40,sample_database!$AX$2:$AX$173,1,FALSE))</f>
        <v>NA</v>
      </c>
      <c r="R40" s="226" t="str">
        <f>IF(Q40="NA","NA",VLOOKUP(Q40,sample_database!$AX$2:$AY$173,2,FALSE))</f>
        <v>NA</v>
      </c>
      <c r="T40" s="226">
        <v>39</v>
      </c>
      <c r="U40" s="226" t="str">
        <f>sample_database!E372</f>
        <v>郭存寿</v>
      </c>
      <c r="V40" s="226" t="str">
        <f>sample_database!I372</f>
        <v>王培有</v>
      </c>
      <c r="W40" s="226" t="str">
        <f>sample_database!J372</f>
        <v>双柏县鄂嘉镇老厂村委会杏子树</v>
      </c>
      <c r="X40" s="226" t="str">
        <f>sample_database!K372</f>
        <v>海拔2487 N24°23′40.46″，E101°9′46.24″</v>
      </c>
      <c r="Y40" s="226" t="str">
        <f t="shared" si="0"/>
        <v>NA</v>
      </c>
      <c r="Z40" s="224" t="str">
        <f t="shared" si="1"/>
        <v>NA</v>
      </c>
      <c r="AA40" s="226">
        <f>101+9/60+46.24/3600</f>
        <v>101.16284444444445</v>
      </c>
      <c r="AB40" s="226">
        <f>24+23/60+40.46/3600</f>
        <v>24.394572222222223</v>
      </c>
      <c r="AC40" s="226">
        <f>IF(ISNA(VLOOKUP(T40,Export_to_ArcGIS!$A$2:$I$111,9,FALSE)),"NA",VLOOKUP(T40,Export_to_ArcGIS!$A$2:$I$111,9,FALSE))</f>
        <v>17</v>
      </c>
      <c r="AD40" s="226">
        <f t="shared" si="2"/>
        <v>17</v>
      </c>
    </row>
    <row r="41" spans="1:30">
      <c r="A41" s="243" t="s">
        <v>1921</v>
      </c>
      <c r="B41" s="243" t="s">
        <v>2244</v>
      </c>
      <c r="C41" s="243" t="s">
        <v>3241</v>
      </c>
      <c r="D41" s="243" t="s">
        <v>3242</v>
      </c>
      <c r="E41" s="243"/>
      <c r="F41" s="234"/>
      <c r="G41" s="234"/>
      <c r="H41" s="234"/>
      <c r="I41" s="234"/>
      <c r="J41" s="234"/>
      <c r="K41" s="234"/>
      <c r="L41" s="234"/>
      <c r="M41" s="234"/>
      <c r="N41" s="234"/>
      <c r="O41" s="234"/>
      <c r="P41" s="224" t="str">
        <f>IF(ISNA(VLOOKUP(B41,ranger_database_2016!$C$2:$C$147,1,FALSE)) = TRUE, IF(ISNA(VLOOKUP(B41,ranger_database_2016!$G$2:$G$147,1,FALSE)) = TRUE,"NA",(VLOOKUP(B41,ranger_database_2016!$G$2:$G$147,1,FALSE))), VLOOKUP(B41,ranger_database_2016!$C$2:$C$147,1,FALSE))</f>
        <v>郭存祥</v>
      </c>
      <c r="Q41" s="224" t="str">
        <f>IF(ISNA(VLOOKUP(E41,sample_database!$AX$2:$AX$173,1,FALSE)) = TRUE, "NA", VLOOKUP(E41,sample_database!$AX$2:$AX$173,1,FALSE))</f>
        <v>NA</v>
      </c>
      <c r="R41" s="226" t="str">
        <f>IF(Q41="NA","NA",VLOOKUP(Q41,sample_database!$AX$2:$AY$173,2,FALSE))</f>
        <v>NA</v>
      </c>
      <c r="T41" s="226">
        <v>40</v>
      </c>
      <c r="U41" s="226" t="str">
        <f>sample_database!E373</f>
        <v>郭存寿</v>
      </c>
      <c r="V41" s="226" t="str">
        <f>sample_database!I373</f>
        <v>王培有</v>
      </c>
      <c r="W41" s="226" t="str">
        <f>sample_database!J373</f>
        <v>双柏县鄂嘉镇老厂村委会杏子树</v>
      </c>
      <c r="X41" s="226" t="str">
        <f>sample_database!K373</f>
        <v>海拔2351 N24°23′41.39″，E101°9′42.71″</v>
      </c>
      <c r="Y41" s="226" t="str">
        <f t="shared" si="0"/>
        <v>NA</v>
      </c>
      <c r="Z41" s="224" t="str">
        <f t="shared" si="1"/>
        <v>NA</v>
      </c>
      <c r="AA41" s="226">
        <f>101+9/60+42.71/3600</f>
        <v>101.16186388888889</v>
      </c>
      <c r="AB41" s="226">
        <f>24+23/60+41.39/3600</f>
        <v>24.394830555555554</v>
      </c>
      <c r="AC41" s="226">
        <f>IF(ISNA(VLOOKUP(T41,Export_to_ArcGIS!$A$2:$I$111,9,FALSE)),"NA",VLOOKUP(T41,Export_to_ArcGIS!$A$2:$I$111,9,FALSE))</f>
        <v>17</v>
      </c>
      <c r="AD41" s="226">
        <f t="shared" si="2"/>
        <v>17</v>
      </c>
    </row>
    <row r="42" spans="1:30">
      <c r="A42" s="243" t="s">
        <v>1921</v>
      </c>
      <c r="B42" s="243" t="s">
        <v>2249</v>
      </c>
      <c r="C42" s="243" t="s">
        <v>3243</v>
      </c>
      <c r="D42" s="243" t="s">
        <v>3244</v>
      </c>
      <c r="E42" s="243"/>
      <c r="F42" s="234"/>
      <c r="G42" s="234"/>
      <c r="H42" s="234"/>
      <c r="I42" s="234"/>
      <c r="J42" s="234"/>
      <c r="K42" s="234"/>
      <c r="L42" s="234"/>
      <c r="M42" s="234"/>
      <c r="N42" s="234"/>
      <c r="O42" s="234"/>
      <c r="P42" s="224" t="str">
        <f>IF(ISNA(VLOOKUP(B42,ranger_database_2016!$C$2:$C$147,1,FALSE)) = TRUE, IF(ISNA(VLOOKUP(B42,ranger_database_2016!$G$2:$G$147,1,FALSE)) = TRUE,"NA",(VLOOKUP(B42,ranger_database_2016!$G$2:$G$147,1,FALSE))), VLOOKUP(B42,ranger_database_2016!$C$2:$C$147,1,FALSE))</f>
        <v>王贵学</v>
      </c>
      <c r="Q42" s="224" t="str">
        <f>IF(ISNA(VLOOKUP(E42,sample_database!$AX$2:$AX$173,1,FALSE)) = TRUE, "NA", VLOOKUP(E42,sample_database!$AX$2:$AX$173,1,FALSE))</f>
        <v>NA</v>
      </c>
      <c r="R42" s="226" t="str">
        <f>IF(Q42="NA","NA",VLOOKUP(Q42,sample_database!$AX$2:$AY$173,2,FALSE))</f>
        <v>NA</v>
      </c>
      <c r="T42" s="226">
        <v>41</v>
      </c>
      <c r="U42" s="226" t="str">
        <f>sample_database!E374</f>
        <v>郭存寿</v>
      </c>
      <c r="V42" s="226" t="str">
        <f>sample_database!I374</f>
        <v>王培有</v>
      </c>
      <c r="W42" s="226" t="str">
        <f>sample_database!J374</f>
        <v>双柏县鄂嘉镇老厂村岔河三家村</v>
      </c>
      <c r="X42" s="226" t="str">
        <f>sample_database!K374</f>
        <v>海拔2405 N24°23′40.35″，E101°9′46.17″</v>
      </c>
      <c r="Y42" s="226" t="str">
        <f t="shared" si="0"/>
        <v>NA</v>
      </c>
      <c r="Z42" s="224" t="str">
        <f t="shared" si="1"/>
        <v>NA</v>
      </c>
      <c r="AA42" s="226">
        <f>101+9/60+46.17/3600</f>
        <v>101.16282500000001</v>
      </c>
      <c r="AB42" s="226">
        <f>24+23/60+40.35/3600</f>
        <v>24.394541666666665</v>
      </c>
      <c r="AC42" s="226">
        <f>IF(ISNA(VLOOKUP(T42,Export_to_ArcGIS!$A$2:$I$111,9,FALSE)),"NA",VLOOKUP(T42,Export_to_ArcGIS!$A$2:$I$111,9,FALSE))</f>
        <v>17</v>
      </c>
      <c r="AD42" s="226">
        <f t="shared" si="2"/>
        <v>17</v>
      </c>
    </row>
    <row r="43" spans="1:30">
      <c r="A43" s="243" t="s">
        <v>1921</v>
      </c>
      <c r="B43" s="243" t="s">
        <v>3160</v>
      </c>
      <c r="C43" s="243" t="s">
        <v>3245</v>
      </c>
      <c r="D43" s="243" t="s">
        <v>3246</v>
      </c>
      <c r="E43" s="243"/>
      <c r="F43" s="234"/>
      <c r="G43" s="234"/>
      <c r="H43" s="234"/>
      <c r="I43" s="234"/>
      <c r="J43" s="234"/>
      <c r="K43" s="234"/>
      <c r="L43" s="234"/>
      <c r="M43" s="234"/>
      <c r="N43" s="234"/>
      <c r="O43" s="234"/>
      <c r="P43" s="224" t="str">
        <f>IF(ISNA(VLOOKUP(B43,ranger_database_2016!$C$2:$C$147,1,FALSE)) = TRUE, IF(ISNA(VLOOKUP(B43,ranger_database_2016!$G$2:$G$147,1,FALSE)) = TRUE,"NA",(VLOOKUP(B43,ranger_database_2016!$G$2:$G$147,1,FALSE))), VLOOKUP(B43,ranger_database_2016!$C$2:$C$147,1,FALSE))</f>
        <v>李先富</v>
      </c>
      <c r="Q43" s="224" t="str">
        <f>IF(ISNA(VLOOKUP(E43,sample_database!$AX$2:$AX$173,1,FALSE)) = TRUE, "NA", VLOOKUP(E43,sample_database!$AX$2:$AX$173,1,FALSE))</f>
        <v>NA</v>
      </c>
      <c r="R43" s="226" t="str">
        <f>IF(Q43="NA","NA",VLOOKUP(Q43,sample_database!$AX$2:$AY$173,2,FALSE))</f>
        <v>NA</v>
      </c>
      <c r="T43" s="226">
        <v>42</v>
      </c>
      <c r="U43" s="226" t="str">
        <f>sample_database!E375</f>
        <v>郭存寿</v>
      </c>
      <c r="V43" s="226" t="str">
        <f>sample_database!I375</f>
        <v>王培有</v>
      </c>
      <c r="W43" s="226" t="str">
        <f>sample_database!J375</f>
        <v>双柏县鄂嘉镇老厂村委会杏子树</v>
      </c>
      <c r="X43" s="226" t="str">
        <f>sample_database!K375</f>
        <v>海拔2496 N24°24′51.57″，E101°6′45.23″</v>
      </c>
      <c r="Y43" s="226" t="str">
        <f t="shared" si="0"/>
        <v>NA</v>
      </c>
      <c r="Z43" s="224" t="str">
        <f t="shared" si="1"/>
        <v>NA</v>
      </c>
      <c r="AA43" s="226">
        <f>101+6/60+45.23/3600</f>
        <v>101.11256388888889</v>
      </c>
      <c r="AB43" s="226">
        <f>24+24/60+51.57/3600</f>
        <v>24.414324999999998</v>
      </c>
      <c r="AC43" s="226">
        <f>IF(ISNA(VLOOKUP(T43,Export_to_ArcGIS!$A$2:$I$111,9,FALSE)),"NA",VLOOKUP(T43,Export_to_ArcGIS!$A$2:$I$111,9,FALSE))</f>
        <v>115</v>
      </c>
      <c r="AD43" s="226">
        <f t="shared" si="2"/>
        <v>115</v>
      </c>
    </row>
    <row r="44" spans="1:30">
      <c r="A44" s="243" t="s">
        <v>1921</v>
      </c>
      <c r="B44" s="243" t="s">
        <v>3161</v>
      </c>
      <c r="C44" s="243" t="s">
        <v>3247</v>
      </c>
      <c r="D44" s="243" t="s">
        <v>3248</v>
      </c>
      <c r="E44" s="243"/>
      <c r="F44" s="234"/>
      <c r="G44" s="234"/>
      <c r="H44" s="234"/>
      <c r="I44" s="234"/>
      <c r="J44" s="234"/>
      <c r="K44" s="234"/>
      <c r="L44" s="234"/>
      <c r="M44" s="234"/>
      <c r="N44" s="234"/>
      <c r="O44" s="234"/>
      <c r="P44" s="224" t="str">
        <f>IF(ISNA(VLOOKUP(B44,ranger_database_2016!$C$2:$C$147,1,FALSE)) = TRUE, IF(ISNA(VLOOKUP(B44,ranger_database_2016!$G$2:$G$147,1,FALSE)) = TRUE,"NA",(VLOOKUP(B44,ranger_database_2016!$G$2:$G$147,1,FALSE))), VLOOKUP(B44,ranger_database_2016!$C$2:$C$147,1,FALSE))</f>
        <v>何学会</v>
      </c>
      <c r="Q44" s="224" t="str">
        <f>IF(ISNA(VLOOKUP(E44,sample_database!$AX$2:$AX$173,1,FALSE)) = TRUE, "NA", VLOOKUP(E44,sample_database!$AX$2:$AX$173,1,FALSE))</f>
        <v>NA</v>
      </c>
      <c r="R44" s="226" t="str">
        <f>IF(Q44="NA","NA",VLOOKUP(Q44,sample_database!$AX$2:$AY$173,2,FALSE))</f>
        <v>NA</v>
      </c>
      <c r="T44" s="226">
        <v>43</v>
      </c>
      <c r="U44" s="226" t="str">
        <f>sample_database!E376</f>
        <v>郭存寿</v>
      </c>
      <c r="V44" s="226" t="str">
        <f>sample_database!I376</f>
        <v>王培有</v>
      </c>
      <c r="W44" s="226" t="str">
        <f>sample_database!J376</f>
        <v>双柏县鄂嘉镇老厂村委会杏子树</v>
      </c>
      <c r="X44" s="226" t="str">
        <f>sample_database!K376</f>
        <v>海拔2351 N24°23′41.38″，E101°9′42.71″</v>
      </c>
      <c r="Y44" s="226" t="str">
        <f t="shared" si="0"/>
        <v>NA</v>
      </c>
      <c r="Z44" s="224" t="str">
        <f t="shared" si="1"/>
        <v>NA</v>
      </c>
      <c r="AA44" s="226">
        <f>101+9/60+42.71/3600</f>
        <v>101.16186388888889</v>
      </c>
      <c r="AB44" s="226">
        <f>24+23/60+41.38/3600</f>
        <v>24.394827777777778</v>
      </c>
      <c r="AC44" s="226">
        <f>IF(ISNA(VLOOKUP(T44,Export_to_ArcGIS!$A$2:$I$111,9,FALSE)),"NA",VLOOKUP(T44,Export_to_ArcGIS!$A$2:$I$111,9,FALSE))</f>
        <v>17</v>
      </c>
      <c r="AD44" s="226">
        <f t="shared" si="2"/>
        <v>17</v>
      </c>
    </row>
    <row r="45" spans="1:30">
      <c r="A45" s="243" t="s">
        <v>1921</v>
      </c>
      <c r="B45" s="243" t="s">
        <v>2282</v>
      </c>
      <c r="C45" s="243" t="s">
        <v>3249</v>
      </c>
      <c r="D45" s="243" t="s">
        <v>3250</v>
      </c>
      <c r="E45" s="243"/>
      <c r="F45" s="234"/>
      <c r="G45" s="234"/>
      <c r="H45" s="234"/>
      <c r="I45" s="234"/>
      <c r="J45" s="234"/>
      <c r="K45" s="234"/>
      <c r="L45" s="234"/>
      <c r="M45" s="234"/>
      <c r="N45" s="234"/>
      <c r="O45" s="234"/>
      <c r="P45" s="224" t="str">
        <f>IF(ISNA(VLOOKUP(B45,ranger_database_2016!$C$2:$C$147,1,FALSE)) = TRUE, IF(ISNA(VLOOKUP(B45,ranger_database_2016!$G$2:$G$147,1,FALSE)) = TRUE,"NA",(VLOOKUP(B45,ranger_database_2016!$G$2:$G$147,1,FALSE))), VLOOKUP(B45,ranger_database_2016!$C$2:$C$147,1,FALSE))</f>
        <v>李进才</v>
      </c>
      <c r="Q45" s="224" t="str">
        <f>IF(ISNA(VLOOKUP(E45,sample_database!$AX$2:$AX$173,1,FALSE)) = TRUE, "NA", VLOOKUP(E45,sample_database!$AX$2:$AX$173,1,FALSE))</f>
        <v>NA</v>
      </c>
      <c r="R45" s="226" t="str">
        <f>IF(Q45="NA","NA",VLOOKUP(Q45,sample_database!$AX$2:$AY$173,2,FALSE))</f>
        <v>NA</v>
      </c>
      <c r="T45" s="226">
        <v>44</v>
      </c>
      <c r="U45" s="226" t="str">
        <f>sample_database!E377</f>
        <v>李福安</v>
      </c>
      <c r="V45" s="226" t="str">
        <f>sample_database!I377</f>
        <v>NA</v>
      </c>
      <c r="W45" s="226" t="str">
        <f>sample_database!J377</f>
        <v>双柏县鄂嘉镇老厂村委会龙打坝小组</v>
      </c>
      <c r="X45" s="226" t="str">
        <f>sample_database!K377</f>
        <v>2476</v>
      </c>
      <c r="Y45" s="226" t="str">
        <f t="shared" si="0"/>
        <v>NA</v>
      </c>
      <c r="Z45" s="224" t="str">
        <f t="shared" si="1"/>
        <v>NA</v>
      </c>
      <c r="AA45" s="226" t="s">
        <v>3338</v>
      </c>
      <c r="AB45" s="226" t="s">
        <v>3338</v>
      </c>
      <c r="AC45" s="226" t="str">
        <f>IF(ISNA(VLOOKUP(T45,Export_to_ArcGIS!$A$2:$I$111,9,FALSE)),"NA",VLOOKUP(T45,Export_to_ArcGIS!$A$2:$I$111,9,FALSE))</f>
        <v>NA</v>
      </c>
      <c r="AD45" s="226" t="str">
        <f t="shared" si="2"/>
        <v>NA</v>
      </c>
    </row>
    <row r="46" spans="1:30">
      <c r="A46" s="243" t="s">
        <v>1921</v>
      </c>
      <c r="B46" s="243" t="s">
        <v>2289</v>
      </c>
      <c r="C46" s="243" t="s">
        <v>3251</v>
      </c>
      <c r="D46" s="243" t="s">
        <v>3250</v>
      </c>
      <c r="E46" s="243"/>
      <c r="F46" s="234"/>
      <c r="G46" s="234"/>
      <c r="H46" s="234"/>
      <c r="I46" s="234"/>
      <c r="J46" s="234"/>
      <c r="K46" s="234"/>
      <c r="L46" s="234"/>
      <c r="M46" s="234"/>
      <c r="N46" s="234"/>
      <c r="O46" s="234"/>
      <c r="P46" s="224" t="str">
        <f>IF(ISNA(VLOOKUP(B46,ranger_database_2016!$C$2:$C$147,1,FALSE)) = TRUE, IF(ISNA(VLOOKUP(B46,ranger_database_2016!$G$2:$G$147,1,FALSE)) = TRUE,"NA",(VLOOKUP(B46,ranger_database_2016!$G$2:$G$147,1,FALSE))), VLOOKUP(B46,ranger_database_2016!$C$2:$C$147,1,FALSE))</f>
        <v>李荣</v>
      </c>
      <c r="Q46" s="224" t="str">
        <f>IF(ISNA(VLOOKUP(E46,sample_database!$AX$2:$AX$173,1,FALSE)) = TRUE, "NA", VLOOKUP(E46,sample_database!$AX$2:$AX$173,1,FALSE))</f>
        <v>NA</v>
      </c>
      <c r="R46" s="226" t="str">
        <f>IF(Q46="NA","NA",VLOOKUP(Q46,sample_database!$AX$2:$AY$173,2,FALSE))</f>
        <v>NA</v>
      </c>
      <c r="T46" s="226">
        <v>45</v>
      </c>
      <c r="U46" s="226" t="str">
        <f>sample_database!E378</f>
        <v>李福安</v>
      </c>
      <c r="V46" s="226" t="str">
        <f>sample_database!I378</f>
        <v>NA</v>
      </c>
      <c r="W46" s="226" t="str">
        <f>sample_database!J378</f>
        <v>双柏县鄂嘉镇老厂村委会龙打坝小组</v>
      </c>
      <c r="X46" s="226" t="str">
        <f>sample_database!K378</f>
        <v>2524</v>
      </c>
      <c r="Y46" s="226" t="str">
        <f t="shared" si="0"/>
        <v>NA</v>
      </c>
      <c r="Z46" s="224" t="str">
        <f t="shared" si="1"/>
        <v>NA</v>
      </c>
      <c r="AA46" s="226" t="s">
        <v>3338</v>
      </c>
      <c r="AB46" s="226" t="s">
        <v>3338</v>
      </c>
      <c r="AC46" s="226" t="str">
        <f>IF(ISNA(VLOOKUP(T46,Export_to_ArcGIS!$A$2:$I$111,9,FALSE)),"NA",VLOOKUP(T46,Export_to_ArcGIS!$A$2:$I$111,9,FALSE))</f>
        <v>NA</v>
      </c>
      <c r="AD46" s="226" t="str">
        <f t="shared" si="2"/>
        <v>NA</v>
      </c>
    </row>
    <row r="47" spans="1:30">
      <c r="A47" s="243" t="s">
        <v>1921</v>
      </c>
      <c r="B47" s="243" t="s">
        <v>3163</v>
      </c>
      <c r="C47" s="243" t="s">
        <v>3252</v>
      </c>
      <c r="D47" s="243" t="s">
        <v>3253</v>
      </c>
      <c r="E47" s="243"/>
      <c r="F47" s="234"/>
      <c r="G47" s="234"/>
      <c r="H47" s="234"/>
      <c r="I47" s="234"/>
      <c r="J47" s="234"/>
      <c r="K47" s="234"/>
      <c r="L47" s="234"/>
      <c r="M47" s="234"/>
      <c r="N47" s="234"/>
      <c r="O47" s="234"/>
      <c r="P47" s="224" t="str">
        <f>IF(ISNA(VLOOKUP(B47,ranger_database_2016!$C$2:$C$147,1,FALSE)) = TRUE, IF(ISNA(VLOOKUP(B47,ranger_database_2016!$G$2:$G$147,1,FALSE)) = TRUE,"NA",(VLOOKUP(B47,ranger_database_2016!$G$2:$G$147,1,FALSE))), VLOOKUP(B47,ranger_database_2016!$C$2:$C$147,1,FALSE))</f>
        <v>王开丙</v>
      </c>
      <c r="Q47" s="224" t="str">
        <f>IF(ISNA(VLOOKUP(E47,sample_database!$AX$2:$AX$173,1,FALSE)) = TRUE, "NA", VLOOKUP(E47,sample_database!$AX$2:$AX$173,1,FALSE))</f>
        <v>NA</v>
      </c>
      <c r="R47" s="226" t="str">
        <f>IF(Q47="NA","NA",VLOOKUP(Q47,sample_database!$AX$2:$AY$173,2,FALSE))</f>
        <v>NA</v>
      </c>
      <c r="T47" s="226">
        <v>46</v>
      </c>
      <c r="U47" s="226" t="str">
        <f>sample_database!E379</f>
        <v>李福安</v>
      </c>
      <c r="V47" s="226" t="str">
        <f>sample_database!I379</f>
        <v>NA</v>
      </c>
      <c r="W47" s="226" t="str">
        <f>sample_database!J379</f>
        <v>双柏县鄂嘉镇老厂村委会龙打坝小组</v>
      </c>
      <c r="X47" s="226" t="str">
        <f>sample_database!K379</f>
        <v>2423</v>
      </c>
      <c r="Y47" s="226" t="str">
        <f t="shared" si="0"/>
        <v>NA</v>
      </c>
      <c r="Z47" s="224" t="str">
        <f t="shared" si="1"/>
        <v>NA</v>
      </c>
      <c r="AA47" s="226" t="s">
        <v>3338</v>
      </c>
      <c r="AB47" s="226" t="s">
        <v>3338</v>
      </c>
      <c r="AC47" s="226" t="str">
        <f>IF(ISNA(VLOOKUP(T47,Export_to_ArcGIS!$A$2:$I$111,9,FALSE)),"NA",VLOOKUP(T47,Export_to_ArcGIS!$A$2:$I$111,9,FALSE))</f>
        <v>NA</v>
      </c>
      <c r="AD47" s="226" t="str">
        <f t="shared" si="2"/>
        <v>NA</v>
      </c>
    </row>
    <row r="48" spans="1:30">
      <c r="A48" s="243" t="s">
        <v>1921</v>
      </c>
      <c r="B48" s="243" t="s">
        <v>3164</v>
      </c>
      <c r="C48" s="243" t="s">
        <v>3254</v>
      </c>
      <c r="D48" s="243" t="s">
        <v>3255</v>
      </c>
      <c r="E48" s="243"/>
      <c r="F48" s="234"/>
      <c r="G48" s="234"/>
      <c r="H48" s="234"/>
      <c r="I48" s="234"/>
      <c r="J48" s="234"/>
      <c r="K48" s="234"/>
      <c r="L48" s="234"/>
      <c r="M48" s="234"/>
      <c r="N48" s="234"/>
      <c r="O48" s="234"/>
      <c r="P48" s="224" t="str">
        <f>IF(ISNA(VLOOKUP(B48,ranger_database_2016!$C$2:$C$147,1,FALSE)) = TRUE, IF(ISNA(VLOOKUP(B48,ranger_database_2016!$G$2:$G$147,1,FALSE)) = TRUE,"NA",(VLOOKUP(B48,ranger_database_2016!$G$2:$G$147,1,FALSE))), VLOOKUP(B48,ranger_database_2016!$C$2:$C$147,1,FALSE))</f>
        <v>董应付</v>
      </c>
      <c r="Q48" s="224" t="str">
        <f>IF(ISNA(VLOOKUP(E48,sample_database!$AX$2:$AX$173,1,FALSE)) = TRUE, "NA", VLOOKUP(E48,sample_database!$AX$2:$AX$173,1,FALSE))</f>
        <v>NA</v>
      </c>
      <c r="R48" s="226" t="str">
        <f>IF(Q48="NA","NA",VLOOKUP(Q48,sample_database!$AX$2:$AY$173,2,FALSE))</f>
        <v>NA</v>
      </c>
      <c r="T48" s="226">
        <v>47</v>
      </c>
      <c r="U48" s="226" t="str">
        <f>sample_database!E380</f>
        <v>李福安</v>
      </c>
      <c r="V48" s="226" t="str">
        <f>sample_database!I380</f>
        <v>NA</v>
      </c>
      <c r="W48" s="226" t="str">
        <f>sample_database!J380</f>
        <v>双柏县鄂嘉镇老厂村委会龙打坝小组</v>
      </c>
      <c r="X48" s="226" t="str">
        <f>sample_database!K380</f>
        <v>2386</v>
      </c>
      <c r="Y48" s="226" t="str">
        <f t="shared" si="0"/>
        <v>NA</v>
      </c>
      <c r="Z48" s="224" t="str">
        <f t="shared" si="1"/>
        <v>NA</v>
      </c>
      <c r="AA48" s="226" t="s">
        <v>3338</v>
      </c>
      <c r="AB48" s="226" t="s">
        <v>3338</v>
      </c>
      <c r="AC48" s="226" t="str">
        <f>IF(ISNA(VLOOKUP(T48,Export_to_ArcGIS!$A$2:$I$111,9,FALSE)),"NA",VLOOKUP(T48,Export_to_ArcGIS!$A$2:$I$111,9,FALSE))</f>
        <v>NA</v>
      </c>
      <c r="AD48" s="226" t="str">
        <f t="shared" si="2"/>
        <v>NA</v>
      </c>
    </row>
    <row r="49" spans="1:30">
      <c r="A49" s="243" t="s">
        <v>1921</v>
      </c>
      <c r="B49" s="243" t="s">
        <v>3166</v>
      </c>
      <c r="C49" s="243" t="s">
        <v>3256</v>
      </c>
      <c r="D49" s="243" t="s">
        <v>3257</v>
      </c>
      <c r="E49" s="243"/>
      <c r="F49" s="234"/>
      <c r="G49" s="234"/>
      <c r="H49" s="234"/>
      <c r="I49" s="234"/>
      <c r="J49" s="234"/>
      <c r="K49" s="234"/>
      <c r="L49" s="234"/>
      <c r="M49" s="234"/>
      <c r="N49" s="234"/>
      <c r="O49" s="234"/>
      <c r="P49" s="224" t="str">
        <f>IF(ISNA(VLOOKUP(B49,ranger_database_2016!$C$2:$C$147,1,FALSE)) = TRUE, IF(ISNA(VLOOKUP(B49,ranger_database_2016!$G$2:$G$147,1,FALSE)) = TRUE,"NA",(VLOOKUP(B49,ranger_database_2016!$G$2:$G$147,1,FALSE))), VLOOKUP(B49,ranger_database_2016!$C$2:$C$147,1,FALSE))</f>
        <v>郭存寿</v>
      </c>
      <c r="Q49" s="224" t="str">
        <f>IF(ISNA(VLOOKUP(E49,sample_database!$AX$2:$AX$173,1,FALSE)) = TRUE, "NA", VLOOKUP(E49,sample_database!$AX$2:$AX$173,1,FALSE))</f>
        <v>NA</v>
      </c>
      <c r="R49" s="226" t="str">
        <f>IF(Q49="NA","NA",VLOOKUP(Q49,sample_database!$AX$2:$AY$173,2,FALSE))</f>
        <v>NA</v>
      </c>
      <c r="T49" s="226">
        <v>48</v>
      </c>
      <c r="U49" s="226" t="str">
        <f>sample_database!E381</f>
        <v>代发荣</v>
      </c>
      <c r="V49" s="226" t="str">
        <f>sample_database!I381</f>
        <v>李学良</v>
      </c>
      <c r="W49" s="226" t="str">
        <f>sample_database!J381</f>
        <v>双柏县鄂嘉镇义隆村委会上村村民小组</v>
      </c>
      <c r="X49" s="226" t="str">
        <f>sample_database!K381</f>
        <v>海拔2551，N24°22′20.4″ E101°15′26.4″</v>
      </c>
      <c r="Y49" s="226" t="str">
        <f t="shared" si="0"/>
        <v>NA</v>
      </c>
      <c r="Z49" s="224" t="str">
        <f t="shared" si="1"/>
        <v>NA</v>
      </c>
      <c r="AA49" s="226">
        <f>101+15/60+26.4/3600</f>
        <v>101.25733333333334</v>
      </c>
      <c r="AB49" s="226">
        <f>24+22/60+20.4/3600</f>
        <v>24.372333333333334</v>
      </c>
      <c r="AC49" s="226" t="str">
        <f>IF(ISNA(VLOOKUP(T49,Export_to_ArcGIS!$A$2:$I$111,9,FALSE)),"NA",VLOOKUP(T49,Export_to_ArcGIS!$A$2:$I$111,9,FALSE))</f>
        <v>NA</v>
      </c>
      <c r="AD49" s="226" t="str">
        <f t="shared" si="2"/>
        <v>NA</v>
      </c>
    </row>
    <row r="50" spans="1:30">
      <c r="A50" s="243" t="s">
        <v>1921</v>
      </c>
      <c r="B50" s="243" t="s">
        <v>3167</v>
      </c>
      <c r="C50" s="243" t="s">
        <v>3258</v>
      </c>
      <c r="D50" s="243" t="s">
        <v>3259</v>
      </c>
      <c r="E50" s="243"/>
      <c r="F50" s="234"/>
      <c r="G50" s="234"/>
      <c r="H50" s="234"/>
      <c r="I50" s="234"/>
      <c r="J50" s="234"/>
      <c r="K50" s="234"/>
      <c r="L50" s="234"/>
      <c r="M50" s="234"/>
      <c r="N50" s="234"/>
      <c r="O50" s="234"/>
      <c r="P50" s="224" t="str">
        <f>IF(ISNA(VLOOKUP(B50,ranger_database_2016!$C$2:$C$147,1,FALSE)) = TRUE, IF(ISNA(VLOOKUP(B50,ranger_database_2016!$G$2:$G$147,1,FALSE)) = TRUE,"NA",(VLOOKUP(B50,ranger_database_2016!$G$2:$G$147,1,FALSE))), VLOOKUP(B50,ranger_database_2016!$C$2:$C$147,1,FALSE))</f>
        <v>王培有</v>
      </c>
      <c r="Q50" s="224" t="str">
        <f>IF(ISNA(VLOOKUP(E50,sample_database!$AX$2:$AX$173,1,FALSE)) = TRUE, "NA", VLOOKUP(E50,sample_database!$AX$2:$AX$173,1,FALSE))</f>
        <v>NA</v>
      </c>
      <c r="R50" s="226" t="str">
        <f>IF(Q50="NA","NA",VLOOKUP(Q50,sample_database!$AX$2:$AY$173,2,FALSE))</f>
        <v>NA</v>
      </c>
      <c r="T50" s="226">
        <v>49</v>
      </c>
      <c r="U50" s="226" t="str">
        <f>sample_database!E382</f>
        <v>代发荣</v>
      </c>
      <c r="V50" s="226" t="str">
        <f>sample_database!I382</f>
        <v>李学良</v>
      </c>
      <c r="W50" s="226" t="str">
        <f>sample_database!J382</f>
        <v>双柏县鄂嘉镇义隆村委会上村村民小组</v>
      </c>
      <c r="X50" s="226" t="str">
        <f>sample_database!K382</f>
        <v>海拔2329，N24°22′52.5″ E101°15′40.2″</v>
      </c>
      <c r="Y50" s="226" t="str">
        <f t="shared" si="0"/>
        <v>NA</v>
      </c>
      <c r="Z50" s="224" t="str">
        <f t="shared" si="1"/>
        <v>NA</v>
      </c>
      <c r="AA50" s="226">
        <f>101+15/60+40.2/3600</f>
        <v>101.26116666666667</v>
      </c>
      <c r="AB50" s="226">
        <f>24+22/60+52.5/3600</f>
        <v>24.381250000000001</v>
      </c>
      <c r="AC50" s="226" t="str">
        <f>IF(ISNA(VLOOKUP(T50,Export_to_ArcGIS!$A$2:$I$111,9,FALSE)),"NA",VLOOKUP(T50,Export_to_ArcGIS!$A$2:$I$111,9,FALSE))</f>
        <v>NA</v>
      </c>
      <c r="AD50" s="226" t="str">
        <f t="shared" si="2"/>
        <v>NA</v>
      </c>
    </row>
    <row r="51" spans="1:30">
      <c r="A51" s="243" t="s">
        <v>1921</v>
      </c>
      <c r="B51" s="243" t="s">
        <v>2334</v>
      </c>
      <c r="C51" s="243" t="s">
        <v>3260</v>
      </c>
      <c r="D51" s="243" t="s">
        <v>3261</v>
      </c>
      <c r="E51" s="243"/>
      <c r="F51" s="234"/>
      <c r="G51" s="234"/>
      <c r="H51" s="234"/>
      <c r="I51" s="234"/>
      <c r="J51" s="234"/>
      <c r="K51" s="234"/>
      <c r="L51" s="234"/>
      <c r="M51" s="234"/>
      <c r="N51" s="234"/>
      <c r="O51" s="234"/>
      <c r="P51" s="224" t="str">
        <f>IF(ISNA(VLOOKUP(B51,ranger_database_2016!$C$2:$C$147,1,FALSE)) = TRUE, IF(ISNA(VLOOKUP(B51,ranger_database_2016!$G$2:$G$147,1,FALSE)) = TRUE,"NA",(VLOOKUP(B51,ranger_database_2016!$G$2:$G$147,1,FALSE))), VLOOKUP(B51,ranger_database_2016!$C$2:$C$147,1,FALSE))</f>
        <v>李福安</v>
      </c>
      <c r="Q51" s="224" t="str">
        <f>IF(ISNA(VLOOKUP(E51,sample_database!$AX$2:$AX$173,1,FALSE)) = TRUE, "NA", VLOOKUP(E51,sample_database!$AX$2:$AX$173,1,FALSE))</f>
        <v>NA</v>
      </c>
      <c r="R51" s="226" t="str">
        <f>IF(Q51="NA","NA",VLOOKUP(Q51,sample_database!$AX$2:$AY$173,2,FALSE))</f>
        <v>NA</v>
      </c>
      <c r="T51" s="226">
        <v>50</v>
      </c>
      <c r="U51" s="226" t="str">
        <f>sample_database!E383</f>
        <v>代发荣</v>
      </c>
      <c r="V51" s="226" t="str">
        <f>sample_database!I383</f>
        <v>李学良</v>
      </c>
      <c r="W51" s="226" t="str">
        <f>sample_database!J383</f>
        <v>双柏县鄂嘉镇义隆村委会上村村民小组</v>
      </c>
      <c r="X51" s="226" t="str">
        <f>sample_database!K383</f>
        <v>海拔2771，N24°21′26.2″ E101°16′13.4″</v>
      </c>
      <c r="Y51" s="226" t="str">
        <f t="shared" si="0"/>
        <v>NA</v>
      </c>
      <c r="Z51" s="224" t="str">
        <f t="shared" si="1"/>
        <v>NA</v>
      </c>
      <c r="AA51" s="226">
        <f>101+16/60+13.4/3600</f>
        <v>101.27038888888889</v>
      </c>
      <c r="AB51" s="226">
        <f>24+21/60+26.2/3600</f>
        <v>24.357277777777778</v>
      </c>
      <c r="AC51" s="226">
        <f>IF(ISNA(VLOOKUP(T51,Export_to_ArcGIS!$A$2:$I$111,9,FALSE)),"NA",VLOOKUP(T51,Export_to_ArcGIS!$A$2:$I$111,9,FALSE))</f>
        <v>4</v>
      </c>
      <c r="AD51" s="226">
        <f t="shared" si="2"/>
        <v>4</v>
      </c>
    </row>
    <row r="52" spans="1:30">
      <c r="A52" s="243" t="s">
        <v>1921</v>
      </c>
      <c r="B52" s="243" t="s">
        <v>3262</v>
      </c>
      <c r="C52" s="243" t="s">
        <v>3263</v>
      </c>
      <c r="D52" s="243" t="s">
        <v>3261</v>
      </c>
      <c r="E52" s="243"/>
      <c r="F52" s="234"/>
      <c r="G52" s="234"/>
      <c r="H52" s="234"/>
      <c r="I52" s="234"/>
      <c r="J52" s="234"/>
      <c r="K52" s="234"/>
      <c r="L52" s="234"/>
      <c r="M52" s="234"/>
      <c r="N52" s="234"/>
      <c r="O52" s="234"/>
      <c r="P52" s="224" t="str">
        <f>IF(ISNA(VLOOKUP(B52,ranger_database_2016!$C$2:$C$147,1,FALSE)) = TRUE, IF(ISNA(VLOOKUP(B52,ranger_database_2016!$G$2:$G$147,1,FALSE)) = TRUE,"NA",(VLOOKUP(B52,ranger_database_2016!$G$2:$G$147,1,FALSE))), VLOOKUP(B52,ranger_database_2016!$C$2:$C$147,1,FALSE))</f>
        <v>代发荣</v>
      </c>
      <c r="Q52" s="224" t="str">
        <f>IF(ISNA(VLOOKUP(E52,sample_database!$AX$2:$AX$173,1,FALSE)) = TRUE, "NA", VLOOKUP(E52,sample_database!$AX$2:$AX$173,1,FALSE))</f>
        <v>NA</v>
      </c>
      <c r="R52" s="226" t="str">
        <f>IF(Q52="NA","NA",VLOOKUP(Q52,sample_database!$AX$2:$AY$173,2,FALSE))</f>
        <v>NA</v>
      </c>
      <c r="T52" s="226">
        <v>51</v>
      </c>
      <c r="U52" s="226" t="str">
        <f>sample_database!E384</f>
        <v>代发荣</v>
      </c>
      <c r="V52" s="226" t="str">
        <f>sample_database!I384</f>
        <v>李学良</v>
      </c>
      <c r="W52" s="226" t="str">
        <f>sample_database!J384</f>
        <v>双柏县鄂嘉镇义隆村委会上村村民小组</v>
      </c>
      <c r="X52" s="226" t="str">
        <f>sample_database!K384</f>
        <v>海拔2453，N24°22′46.9″ E101°15′20.3″</v>
      </c>
      <c r="Y52" s="226" t="str">
        <f t="shared" si="0"/>
        <v>NA</v>
      </c>
      <c r="Z52" s="224" t="str">
        <f t="shared" si="1"/>
        <v>NA</v>
      </c>
      <c r="AA52" s="226">
        <f>101+15/60+20.3/3600</f>
        <v>101.25563888888888</v>
      </c>
      <c r="AB52" s="226">
        <f>24+22/60+46.9/3600</f>
        <v>24.379694444444446</v>
      </c>
      <c r="AC52" s="226" t="str">
        <f>IF(ISNA(VLOOKUP(T52,Export_to_ArcGIS!$A$2:$I$111,9,FALSE)),"NA",VLOOKUP(T52,Export_to_ArcGIS!$A$2:$I$111,9,FALSE))</f>
        <v>NA</v>
      </c>
      <c r="AD52" s="226" t="str">
        <f t="shared" si="2"/>
        <v>NA</v>
      </c>
    </row>
    <row r="53" spans="1:30">
      <c r="A53" s="243" t="s">
        <v>1921</v>
      </c>
      <c r="B53" s="243" t="s">
        <v>3169</v>
      </c>
      <c r="C53" s="243" t="s">
        <v>3264</v>
      </c>
      <c r="D53" s="243" t="s">
        <v>3265</v>
      </c>
      <c r="E53" s="243"/>
      <c r="F53" s="234"/>
      <c r="G53" s="234"/>
      <c r="H53" s="234"/>
      <c r="I53" s="234"/>
      <c r="J53" s="234"/>
      <c r="K53" s="234"/>
      <c r="L53" s="234"/>
      <c r="M53" s="234"/>
      <c r="N53" s="234"/>
      <c r="O53" s="234"/>
      <c r="P53" s="224" t="str">
        <f>IF(ISNA(VLOOKUP(B53,ranger_database_2016!$C$2:$C$147,1,FALSE)) = TRUE, IF(ISNA(VLOOKUP(B53,ranger_database_2016!$G$2:$G$147,1,FALSE)) = TRUE,"NA",(VLOOKUP(B53,ranger_database_2016!$G$2:$G$147,1,FALSE))), VLOOKUP(B53,ranger_database_2016!$C$2:$C$147,1,FALSE))</f>
        <v>李学良</v>
      </c>
      <c r="Q53" s="224" t="str">
        <f>IF(ISNA(VLOOKUP(E53,sample_database!$AX$2:$AX$173,1,FALSE)) = TRUE, "NA", VLOOKUP(E53,sample_database!$AX$2:$AX$173,1,FALSE))</f>
        <v>NA</v>
      </c>
      <c r="R53" s="226" t="str">
        <f>IF(Q53="NA","NA",VLOOKUP(Q53,sample_database!$AX$2:$AY$173,2,FALSE))</f>
        <v>NA</v>
      </c>
      <c r="T53" s="226">
        <v>52</v>
      </c>
      <c r="U53" s="226" t="str">
        <f>sample_database!E385</f>
        <v>代发荣</v>
      </c>
      <c r="V53" s="226" t="str">
        <f>sample_database!I385</f>
        <v>李学良</v>
      </c>
      <c r="W53" s="226" t="str">
        <f>sample_database!J385</f>
        <v>双柏县鄂嘉镇义隆村委会上村村民小组</v>
      </c>
      <c r="X53" s="226" t="str">
        <f>sample_database!K385</f>
        <v>海拔2225，N24°22′48.9″ E101°16′02.8″</v>
      </c>
      <c r="Y53" s="226" t="str">
        <f t="shared" si="0"/>
        <v>NA</v>
      </c>
      <c r="Z53" s="224" t="str">
        <f t="shared" si="1"/>
        <v>NA</v>
      </c>
      <c r="AA53" s="226">
        <f>101+16/60+2.8/3600</f>
        <v>101.26744444444445</v>
      </c>
      <c r="AB53" s="226">
        <f>24+22/60+48.9/3600</f>
        <v>24.38025</v>
      </c>
      <c r="AC53" s="226" t="str">
        <f>IF(ISNA(VLOOKUP(T53,Export_to_ArcGIS!$A$2:$I$111,9,FALSE)),"NA",VLOOKUP(T53,Export_to_ArcGIS!$A$2:$I$111,9,FALSE))</f>
        <v>NA</v>
      </c>
      <c r="AD53" s="226" t="str">
        <f t="shared" si="2"/>
        <v>NA</v>
      </c>
    </row>
    <row r="54" spans="1:30">
      <c r="A54" s="243" t="s">
        <v>1921</v>
      </c>
      <c r="B54" s="243" t="s">
        <v>2359</v>
      </c>
      <c r="C54" s="243" t="s">
        <v>3266</v>
      </c>
      <c r="D54" s="243" t="s">
        <v>3191</v>
      </c>
      <c r="E54" s="243"/>
      <c r="F54" s="234"/>
      <c r="G54" s="234"/>
      <c r="H54" s="234"/>
      <c r="I54" s="234"/>
      <c r="J54" s="234"/>
      <c r="K54" s="234"/>
      <c r="L54" s="234"/>
      <c r="M54" s="234"/>
      <c r="N54" s="234"/>
      <c r="O54" s="234"/>
      <c r="P54" s="224" t="str">
        <f>IF(ISNA(VLOOKUP(B54,ranger_database_2016!$C$2:$C$147,1,FALSE)) = TRUE, IF(ISNA(VLOOKUP(B54,ranger_database_2016!$G$2:$G$147,1,FALSE)) = TRUE,"NA",(VLOOKUP(B54,ranger_database_2016!$G$2:$G$147,1,FALSE))), VLOOKUP(B54,ranger_database_2016!$C$2:$C$147,1,FALSE))</f>
        <v>刘文祥</v>
      </c>
      <c r="Q54" s="224" t="str">
        <f>IF(ISNA(VLOOKUP(E54,sample_database!$AX$2:$AX$173,1,FALSE)) = TRUE, "NA", VLOOKUP(E54,sample_database!$AX$2:$AX$173,1,FALSE))</f>
        <v>NA</v>
      </c>
      <c r="R54" s="226" t="str">
        <f>IF(Q54="NA","NA",VLOOKUP(Q54,sample_database!$AX$2:$AY$173,2,FALSE))</f>
        <v>NA</v>
      </c>
      <c r="T54" s="226">
        <v>53</v>
      </c>
      <c r="U54" s="226" t="str">
        <f>sample_database!E386</f>
        <v>刘文祥</v>
      </c>
      <c r="V54" s="226" t="str">
        <f>sample_database!I386</f>
        <v>NA</v>
      </c>
      <c r="W54" s="226" t="str">
        <f>sample_database!J386</f>
        <v>双柏县鄂嘉镇新厂村大龙汤1号</v>
      </c>
      <c r="X54" s="226" t="str">
        <f>sample_database!K386</f>
        <v>海拔2382 N24°26′48.89″，E101°7′41.65″</v>
      </c>
      <c r="Y54" s="226" t="str">
        <f t="shared" si="0"/>
        <v>NA</v>
      </c>
      <c r="Z54" s="224" t="str">
        <f t="shared" si="1"/>
        <v>NA</v>
      </c>
      <c r="AA54" s="226">
        <f>101+7/60+41.65/3600</f>
        <v>101.12823611111111</v>
      </c>
      <c r="AB54" s="226">
        <f>24+26/60+48.89/3600</f>
        <v>24.44691388888889</v>
      </c>
      <c r="AC54" s="226" t="str">
        <f>IF(ISNA(VLOOKUP(T54,Export_to_ArcGIS!$A$2:$I$111,9,FALSE)),"NA",VLOOKUP(T54,Export_to_ArcGIS!$A$2:$I$111,9,FALSE))</f>
        <v>NA</v>
      </c>
      <c r="AD54" s="226" t="str">
        <f t="shared" si="2"/>
        <v>NA</v>
      </c>
    </row>
    <row r="55" spans="1:30">
      <c r="A55" s="243" t="s">
        <v>1921</v>
      </c>
      <c r="B55" s="243" t="s">
        <v>3170</v>
      </c>
      <c r="C55" s="243" t="s">
        <v>3267</v>
      </c>
      <c r="D55" s="243" t="s">
        <v>3191</v>
      </c>
      <c r="E55" s="243"/>
      <c r="F55" s="234"/>
      <c r="G55" s="234"/>
      <c r="H55" s="234"/>
      <c r="I55" s="234"/>
      <c r="J55" s="234"/>
      <c r="K55" s="234"/>
      <c r="L55" s="234"/>
      <c r="M55" s="234"/>
      <c r="N55" s="234"/>
      <c r="O55" s="234"/>
      <c r="P55" s="224" t="str">
        <f>IF(ISNA(VLOOKUP(B55,ranger_database_2016!$C$2:$C$147,1,FALSE)) = TRUE, IF(ISNA(VLOOKUP(B55,ranger_database_2016!$G$2:$G$147,1,FALSE)) = TRUE,"NA",(VLOOKUP(B55,ranger_database_2016!$G$2:$G$147,1,FALSE))), VLOOKUP(B55,ranger_database_2016!$C$2:$C$147,1,FALSE))</f>
        <v>王以华</v>
      </c>
      <c r="Q55" s="224" t="str">
        <f>IF(ISNA(VLOOKUP(E55,sample_database!$AX$2:$AX$173,1,FALSE)) = TRUE, "NA", VLOOKUP(E55,sample_database!$AX$2:$AX$173,1,FALSE))</f>
        <v>NA</v>
      </c>
      <c r="R55" s="226" t="str">
        <f>IF(Q55="NA","NA",VLOOKUP(Q55,sample_database!$AX$2:$AY$173,2,FALSE))</f>
        <v>NA</v>
      </c>
      <c r="T55" s="226">
        <v>54</v>
      </c>
      <c r="U55" s="226" t="str">
        <f>sample_database!E387</f>
        <v>刘文祥</v>
      </c>
      <c r="V55" s="226" t="str">
        <f>sample_database!I387</f>
        <v>NA</v>
      </c>
      <c r="W55" s="226" t="str">
        <f>sample_database!J387</f>
        <v>双柏县鄂嘉镇新厂村大龙汤1号</v>
      </c>
      <c r="X55" s="226" t="str">
        <f>sample_database!K387</f>
        <v>海拔2388 N24°26′32.63″，E101°7′35.87″</v>
      </c>
      <c r="Y55" s="226" t="str">
        <f t="shared" si="0"/>
        <v>NA</v>
      </c>
      <c r="Z55" s="224" t="str">
        <f t="shared" si="1"/>
        <v>NA</v>
      </c>
      <c r="AA55" s="226">
        <f>101+7/60+35.87/3600</f>
        <v>101.12663055555555</v>
      </c>
      <c r="AB55" s="226">
        <f>24+26/60+32.63/3600</f>
        <v>24.442397222222223</v>
      </c>
      <c r="AC55" s="226" t="str">
        <f>IF(ISNA(VLOOKUP(T55,Export_to_ArcGIS!$A$2:$I$111,9,FALSE)),"NA",VLOOKUP(T55,Export_to_ArcGIS!$A$2:$I$111,9,FALSE))</f>
        <v>NA</v>
      </c>
      <c r="AD55" s="226" t="str">
        <f t="shared" si="2"/>
        <v>NA</v>
      </c>
    </row>
    <row r="56" spans="1:30">
      <c r="A56" s="243" t="s">
        <v>1921</v>
      </c>
      <c r="B56" s="243" t="s">
        <v>3171</v>
      </c>
      <c r="C56" s="243" t="s">
        <v>3268</v>
      </c>
      <c r="D56" s="243" t="s">
        <v>3191</v>
      </c>
      <c r="E56" s="243"/>
      <c r="F56" s="234"/>
      <c r="G56" s="234"/>
      <c r="H56" s="234"/>
      <c r="I56" s="234"/>
      <c r="J56" s="234"/>
      <c r="K56" s="234"/>
      <c r="L56" s="234"/>
      <c r="M56" s="234"/>
      <c r="N56" s="234"/>
      <c r="O56" s="234"/>
      <c r="P56" s="224" t="str">
        <f>IF(ISNA(VLOOKUP(B56,ranger_database_2016!$C$2:$C$147,1,FALSE)) = TRUE, IF(ISNA(VLOOKUP(B56,ranger_database_2016!$G$2:$G$147,1,FALSE)) = TRUE,"NA",(VLOOKUP(B56,ranger_database_2016!$G$2:$G$147,1,FALSE))), VLOOKUP(B56,ranger_database_2016!$C$2:$C$147,1,FALSE))</f>
        <v>鲁光荣</v>
      </c>
      <c r="Q56" s="224" t="str">
        <f>IF(ISNA(VLOOKUP(E56,sample_database!$AX$2:$AX$173,1,FALSE)) = TRUE, "NA", VLOOKUP(E56,sample_database!$AX$2:$AX$173,1,FALSE))</f>
        <v>NA</v>
      </c>
      <c r="R56" s="226" t="str">
        <f>IF(Q56="NA","NA",VLOOKUP(Q56,sample_database!$AX$2:$AY$173,2,FALSE))</f>
        <v>NA</v>
      </c>
      <c r="T56" s="226">
        <v>55</v>
      </c>
      <c r="U56" s="226" t="str">
        <f>sample_database!E388</f>
        <v>刘文祥</v>
      </c>
      <c r="V56" s="226" t="str">
        <f>sample_database!I388</f>
        <v>NA</v>
      </c>
      <c r="W56" s="226" t="str">
        <f>sample_database!J388</f>
        <v>双柏县鄂嘉镇新厂村大龙汤</v>
      </c>
      <c r="X56" s="226" t="str">
        <f>sample_database!K388</f>
        <v>海拔2500-2529 E101°7′72.76″</v>
      </c>
      <c r="Y56" s="226" t="str">
        <f t="shared" si="0"/>
        <v>NA</v>
      </c>
      <c r="Z56" s="224" t="str">
        <f t="shared" si="1"/>
        <v>NA</v>
      </c>
      <c r="AA56" s="226" t="s">
        <v>10</v>
      </c>
      <c r="AB56" s="226" t="s">
        <v>10</v>
      </c>
      <c r="AC56" s="226" t="str">
        <f>IF(ISNA(VLOOKUP(T56,Export_to_ArcGIS!$A$2:$I$111,9,FALSE)),"NA",VLOOKUP(T56,Export_to_ArcGIS!$A$2:$I$111,9,FALSE))</f>
        <v>NA</v>
      </c>
      <c r="AD56" s="226" t="str">
        <f t="shared" si="2"/>
        <v>NA</v>
      </c>
    </row>
    <row r="57" spans="1:30">
      <c r="A57" s="243" t="s">
        <v>1921</v>
      </c>
      <c r="B57" s="243" t="s">
        <v>3172</v>
      </c>
      <c r="C57" s="243" t="s">
        <v>3269</v>
      </c>
      <c r="D57" s="243" t="s">
        <v>3191</v>
      </c>
      <c r="E57" s="243"/>
      <c r="F57" s="234"/>
      <c r="G57" s="234"/>
      <c r="H57" s="234"/>
      <c r="I57" s="234"/>
      <c r="J57" s="234"/>
      <c r="K57" s="234"/>
      <c r="L57" s="234"/>
      <c r="M57" s="234"/>
      <c r="N57" s="234"/>
      <c r="O57" s="234"/>
      <c r="P57" s="224" t="str">
        <f>IF(ISNA(VLOOKUP(B57,ranger_database_2016!$C$2:$C$147,1,FALSE)) = TRUE, IF(ISNA(VLOOKUP(B57,ranger_database_2016!$G$2:$G$147,1,FALSE)) = TRUE,"NA",(VLOOKUP(B57,ranger_database_2016!$G$2:$G$147,1,FALSE))), VLOOKUP(B57,ranger_database_2016!$C$2:$C$147,1,FALSE))</f>
        <v>王开佐</v>
      </c>
      <c r="Q57" s="224" t="str">
        <f>IF(ISNA(VLOOKUP(E57,sample_database!$AX$2:$AX$173,1,FALSE)) = TRUE, "NA", VLOOKUP(E57,sample_database!$AX$2:$AX$173,1,FALSE))</f>
        <v>NA</v>
      </c>
      <c r="R57" s="226" t="str">
        <f>IF(Q57="NA","NA",VLOOKUP(Q57,sample_database!$AX$2:$AY$173,2,FALSE))</f>
        <v>NA</v>
      </c>
      <c r="T57" s="226">
        <v>56</v>
      </c>
      <c r="U57" s="226" t="str">
        <f>sample_database!E389</f>
        <v>刘文祥</v>
      </c>
      <c r="V57" s="226" t="str">
        <f>sample_database!I389</f>
        <v>NA</v>
      </c>
      <c r="W57" s="226" t="str">
        <f>sample_database!J389</f>
        <v>双柏县鄂嘉镇新厂村大龙汤</v>
      </c>
      <c r="X57" s="226" t="str">
        <f>sample_database!K389</f>
        <v>海拔2387-2492 E101°7′35.87″</v>
      </c>
      <c r="Y57" s="226" t="str">
        <f t="shared" si="0"/>
        <v>NA</v>
      </c>
      <c r="Z57" s="224" t="str">
        <f t="shared" si="1"/>
        <v>NA</v>
      </c>
      <c r="AA57" s="226" t="s">
        <v>10</v>
      </c>
      <c r="AB57" s="226" t="s">
        <v>10</v>
      </c>
      <c r="AC57" s="226" t="str">
        <f>IF(ISNA(VLOOKUP(T57,Export_to_ArcGIS!$A$2:$I$111,9,FALSE)),"NA",VLOOKUP(T57,Export_to_ArcGIS!$A$2:$I$111,9,FALSE))</f>
        <v>NA</v>
      </c>
      <c r="AD57" s="226" t="str">
        <f t="shared" si="2"/>
        <v>NA</v>
      </c>
    </row>
    <row r="58" spans="1:30">
      <c r="A58" s="243" t="s">
        <v>1921</v>
      </c>
      <c r="B58" s="243" t="s">
        <v>3173</v>
      </c>
      <c r="C58" s="243" t="s">
        <v>3270</v>
      </c>
      <c r="D58" s="243" t="s">
        <v>3191</v>
      </c>
      <c r="E58" s="243"/>
      <c r="F58" s="234"/>
      <c r="G58" s="234"/>
      <c r="H58" s="234"/>
      <c r="I58" s="234"/>
      <c r="J58" s="234"/>
      <c r="K58" s="234"/>
      <c r="L58" s="234"/>
      <c r="M58" s="234"/>
      <c r="N58" s="234"/>
      <c r="O58" s="234"/>
      <c r="P58" s="224" t="str">
        <f>IF(ISNA(VLOOKUP(B58,ranger_database_2016!$C$2:$C$147,1,FALSE)) = TRUE, IF(ISNA(VLOOKUP(B58,ranger_database_2016!$G$2:$G$147,1,FALSE)) = TRUE,"NA",(VLOOKUP(B58,ranger_database_2016!$G$2:$G$147,1,FALSE))), VLOOKUP(B58,ranger_database_2016!$C$2:$C$147,1,FALSE))</f>
        <v>周开洪</v>
      </c>
      <c r="Q58" s="224" t="str">
        <f>IF(ISNA(VLOOKUP(E58,sample_database!$AX$2:$AX$173,1,FALSE)) = TRUE, "NA", VLOOKUP(E58,sample_database!$AX$2:$AX$173,1,FALSE))</f>
        <v>NA</v>
      </c>
      <c r="R58" s="226" t="str">
        <f>IF(Q58="NA","NA",VLOOKUP(Q58,sample_database!$AX$2:$AY$173,2,FALSE))</f>
        <v>NA</v>
      </c>
      <c r="T58" s="226">
        <v>57</v>
      </c>
      <c r="U58" s="226" t="str">
        <f>sample_database!E390</f>
        <v>王以华</v>
      </c>
      <c r="V58" s="226" t="str">
        <f>sample_database!I390</f>
        <v>鲁光荣</v>
      </c>
      <c r="W58" s="226" t="str">
        <f>sample_database!J390</f>
        <v>双柏县鄂嘉镇老厂村委会岔河大亳山</v>
      </c>
      <c r="X58" s="226" t="str">
        <f>sample_database!K390</f>
        <v>海拔2487，N24°23′40.46″ E101°9′46.24″</v>
      </c>
      <c r="Y58" s="226" t="str">
        <f t="shared" si="0"/>
        <v>NA</v>
      </c>
      <c r="Z58" s="224" t="str">
        <f t="shared" si="1"/>
        <v>NA</v>
      </c>
      <c r="AA58" s="226">
        <f>101+9/60+46.24/3600</f>
        <v>101.16284444444445</v>
      </c>
      <c r="AB58" s="226">
        <f>24+23/60+40.46/3600</f>
        <v>24.394572222222223</v>
      </c>
      <c r="AC58" s="226">
        <f>IF(ISNA(VLOOKUP(T58,Export_to_ArcGIS!$A$2:$I$111,9,FALSE)),"NA",VLOOKUP(T58,Export_to_ArcGIS!$A$2:$I$111,9,FALSE))</f>
        <v>17</v>
      </c>
      <c r="AD58" s="226">
        <f t="shared" si="2"/>
        <v>17</v>
      </c>
    </row>
    <row r="59" spans="1:30">
      <c r="A59" s="243" t="s">
        <v>1921</v>
      </c>
      <c r="B59" s="243" t="s">
        <v>2410</v>
      </c>
      <c r="C59" s="243" t="s">
        <v>3271</v>
      </c>
      <c r="D59" s="243" t="s">
        <v>3191</v>
      </c>
      <c r="E59" s="243"/>
      <c r="F59" s="234"/>
      <c r="G59" s="234"/>
      <c r="H59" s="234"/>
      <c r="I59" s="234"/>
      <c r="J59" s="234"/>
      <c r="K59" s="234"/>
      <c r="L59" s="234"/>
      <c r="M59" s="234"/>
      <c r="N59" s="234"/>
      <c r="O59" s="234"/>
      <c r="P59" s="224" t="str">
        <f>IF(ISNA(VLOOKUP(B59,ranger_database_2016!$C$2:$C$147,1,FALSE)) = TRUE, IF(ISNA(VLOOKUP(B59,ranger_database_2016!$G$2:$G$147,1,FALSE)) = TRUE,"NA",(VLOOKUP(B59,ranger_database_2016!$G$2:$G$147,1,FALSE))), VLOOKUP(B59,ranger_database_2016!$C$2:$C$147,1,FALSE))</f>
        <v>张玉龙</v>
      </c>
      <c r="Q59" s="224" t="str">
        <f>IF(ISNA(VLOOKUP(E59,sample_database!$AX$2:$AX$173,1,FALSE)) = TRUE, "NA", VLOOKUP(E59,sample_database!$AX$2:$AX$173,1,FALSE))</f>
        <v>NA</v>
      </c>
      <c r="R59" s="226" t="str">
        <f>IF(Q59="NA","NA",VLOOKUP(Q59,sample_database!$AX$2:$AY$173,2,FALSE))</f>
        <v>NA</v>
      </c>
      <c r="T59" s="226">
        <v>58</v>
      </c>
      <c r="U59" s="226" t="str">
        <f>sample_database!E391</f>
        <v>王以华</v>
      </c>
      <c r="V59" s="226" t="str">
        <f>sample_database!I391</f>
        <v>鲁光荣</v>
      </c>
      <c r="W59" s="226" t="str">
        <f>sample_database!J391</f>
        <v>双柏县鄂嘉镇老厂村委会铺子</v>
      </c>
      <c r="X59" s="226" t="str">
        <f>sample_database!K391</f>
        <v>海拔2405，N24°23′42.8″ E101°10′21.5″</v>
      </c>
      <c r="Y59" s="226" t="str">
        <f t="shared" si="0"/>
        <v>NA</v>
      </c>
      <c r="Z59" s="224" t="str">
        <f t="shared" si="1"/>
        <v>NA</v>
      </c>
      <c r="AA59" s="226">
        <f>101+10/60+21.5/3600</f>
        <v>101.1726388888889</v>
      </c>
      <c r="AB59" s="226">
        <f>24+23/60+42.8/3600</f>
        <v>24.395222222222223</v>
      </c>
      <c r="AC59" s="226" t="str">
        <f>IF(ISNA(VLOOKUP(T59,Export_to_ArcGIS!$A$2:$I$111,9,FALSE)),"NA",VLOOKUP(T59,Export_to_ArcGIS!$A$2:$I$111,9,FALSE))</f>
        <v>NA</v>
      </c>
      <c r="AD59" s="226" t="str">
        <f t="shared" si="2"/>
        <v>NA</v>
      </c>
    </row>
    <row r="60" spans="1:30">
      <c r="A60" s="243" t="s">
        <v>1921</v>
      </c>
      <c r="B60" s="243" t="s">
        <v>3176</v>
      </c>
      <c r="C60" s="243" t="s">
        <v>3272</v>
      </c>
      <c r="D60" s="243" t="s">
        <v>3191</v>
      </c>
      <c r="E60" s="243"/>
      <c r="F60" s="234"/>
      <c r="G60" s="234"/>
      <c r="H60" s="234"/>
      <c r="I60" s="234"/>
      <c r="J60" s="234"/>
      <c r="K60" s="234"/>
      <c r="L60" s="234"/>
      <c r="M60" s="234"/>
      <c r="N60" s="234"/>
      <c r="O60" s="234"/>
      <c r="P60" s="224" t="str">
        <f>IF(ISNA(VLOOKUP(B60,ranger_database_2016!$C$2:$C$147,1,FALSE)) = TRUE, IF(ISNA(VLOOKUP(B60,ranger_database_2016!$G$2:$G$147,1,FALSE)) = TRUE,"NA",(VLOOKUP(B60,ranger_database_2016!$G$2:$G$147,1,FALSE))), VLOOKUP(B60,ranger_database_2016!$C$2:$C$147,1,FALSE))</f>
        <v>王开宽</v>
      </c>
      <c r="Q60" s="224" t="str">
        <f>IF(ISNA(VLOOKUP(E60,sample_database!$AX$2:$AX$173,1,FALSE)) = TRUE, "NA", VLOOKUP(E60,sample_database!$AX$2:$AX$173,1,FALSE))</f>
        <v>NA</v>
      </c>
      <c r="R60" s="226" t="str">
        <f>IF(Q60="NA","NA",VLOOKUP(Q60,sample_database!$AX$2:$AY$173,2,FALSE))</f>
        <v>NA</v>
      </c>
      <c r="T60" s="226">
        <v>59</v>
      </c>
      <c r="U60" s="226" t="str">
        <f>sample_database!E392</f>
        <v>王以华</v>
      </c>
      <c r="V60" s="226" t="str">
        <f>sample_database!I392</f>
        <v>鲁光荣</v>
      </c>
      <c r="W60" s="226" t="str">
        <f>sample_database!J392</f>
        <v>双柏县鄂嘉镇老厂村委会铺子</v>
      </c>
      <c r="X60" s="226" t="str">
        <f>sample_database!K392</f>
        <v>海拔2504，N24°23′40.57″ E101°7′45.24″</v>
      </c>
      <c r="Y60" s="226" t="str">
        <f t="shared" si="0"/>
        <v>NA</v>
      </c>
      <c r="Z60" s="224" t="str">
        <f t="shared" si="1"/>
        <v>NA</v>
      </c>
      <c r="AA60" s="226">
        <f>101+7/60+45.24/3600</f>
        <v>101.12923333333333</v>
      </c>
      <c r="AB60" s="226">
        <f>24+23/60+40.57/3600</f>
        <v>24.394602777777777</v>
      </c>
      <c r="AC60" s="226" t="str">
        <f>IF(ISNA(VLOOKUP(T60,Export_to_ArcGIS!$A$2:$I$111,9,FALSE)),"NA",VLOOKUP(T60,Export_to_ArcGIS!$A$2:$I$111,9,FALSE))</f>
        <v>NA</v>
      </c>
      <c r="AD60" s="226" t="str">
        <f t="shared" si="2"/>
        <v>NA</v>
      </c>
    </row>
    <row r="61" spans="1:30">
      <c r="A61" s="244" t="s">
        <v>1927</v>
      </c>
      <c r="B61" s="244" t="s">
        <v>3092</v>
      </c>
      <c r="C61" s="244"/>
      <c r="D61" s="244" t="s">
        <v>3191</v>
      </c>
      <c r="E61" s="245" t="s">
        <v>3273</v>
      </c>
      <c r="F61" s="235"/>
      <c r="G61" s="235"/>
      <c r="H61" s="235"/>
      <c r="I61" s="235"/>
      <c r="J61" s="235"/>
      <c r="K61" s="235"/>
      <c r="L61" s="235"/>
      <c r="M61" s="235"/>
      <c r="N61" s="235"/>
      <c r="O61" s="235"/>
      <c r="P61" s="224" t="str">
        <f>IF(ISNA(VLOOKUP(B61,ranger_database_2016!$C$2:$C$147,1,FALSE)) = TRUE, IF(ISNA(VLOOKUP(B61,ranger_database_2016!$G$2:$G$147,1,FALSE)) = TRUE,"NA",(VLOOKUP(B61,ranger_database_2016!$G$2:$G$147,1,FALSE))), VLOOKUP(B61,ranger_database_2016!$C$2:$C$147,1,FALSE))</f>
        <v>施国强</v>
      </c>
      <c r="Q61" s="224" t="str">
        <f>IF(ISNA(VLOOKUP(E61,sample_database!$AX$2:$AX$173,1,FALSE)) = TRUE, "NA", VLOOKUP(E61,sample_database!$AX$2:$AX$173,1,FALSE))</f>
        <v>王芳</v>
      </c>
      <c r="R61" s="226">
        <f>IF(Q61="NA","NA",VLOOKUP(Q61,sample_database!$AX$2:$AY$173,2,FALSE))</f>
        <v>69</v>
      </c>
      <c r="T61" s="226">
        <v>60</v>
      </c>
      <c r="U61" s="226" t="str">
        <f>sample_database!E393</f>
        <v>王以华</v>
      </c>
      <c r="V61" s="226" t="str">
        <f>sample_database!I393</f>
        <v>鲁光荣</v>
      </c>
      <c r="W61" s="226" t="str">
        <f>sample_database!J393</f>
        <v>双柏县鄂嘉镇老厂村委会铺子</v>
      </c>
      <c r="X61" s="226" t="str">
        <f>sample_database!K393</f>
        <v>海拔2351，N24°23′41.38″ E101°9′42.71″</v>
      </c>
      <c r="Y61" s="226" t="str">
        <f t="shared" si="0"/>
        <v>NA</v>
      </c>
      <c r="Z61" s="224" t="str">
        <f t="shared" si="1"/>
        <v>NA</v>
      </c>
      <c r="AA61" s="226">
        <f>101+9/60+42.71/3600</f>
        <v>101.16186388888889</v>
      </c>
      <c r="AB61" s="226">
        <f>24+23/60+41.38/3600</f>
        <v>24.394827777777778</v>
      </c>
      <c r="AC61" s="226">
        <f>IF(ISNA(VLOOKUP(T61,Export_to_ArcGIS!$A$2:$I$111,9,FALSE)),"NA",VLOOKUP(T61,Export_to_ArcGIS!$A$2:$I$111,9,FALSE))</f>
        <v>17</v>
      </c>
      <c r="AD61" s="226">
        <f t="shared" si="2"/>
        <v>17</v>
      </c>
    </row>
    <row r="62" spans="1:30">
      <c r="A62" s="244" t="s">
        <v>1927</v>
      </c>
      <c r="B62" s="244" t="s">
        <v>3096</v>
      </c>
      <c r="C62" s="244"/>
      <c r="D62" s="244" t="s">
        <v>3191</v>
      </c>
      <c r="E62" s="246" t="s">
        <v>3280</v>
      </c>
      <c r="F62" s="236"/>
      <c r="G62" s="236"/>
      <c r="H62" s="236"/>
      <c r="I62" s="236"/>
      <c r="J62" s="236"/>
      <c r="K62" s="236"/>
      <c r="L62" s="236"/>
      <c r="M62" s="236"/>
      <c r="N62" s="236"/>
      <c r="O62" s="236"/>
      <c r="P62" s="224" t="str">
        <f>IF(ISNA(VLOOKUP(B62,ranger_database_2016!$C$2:$C$147,1,FALSE)) = TRUE, IF(ISNA(VLOOKUP(B62,ranger_database_2016!$G$2:$G$147,1,FALSE)) = TRUE,"NA",(VLOOKUP(B62,ranger_database_2016!$G$2:$G$147,1,FALSE))), VLOOKUP(B62,ranger_database_2016!$C$2:$C$147,1,FALSE))</f>
        <v>罗文洪</v>
      </c>
      <c r="Q62" s="224" t="str">
        <f>IF(ISNA(VLOOKUP(E62,sample_database!$AX$2:$AX$173,1,FALSE)) = TRUE, "NA", VLOOKUP(E62,sample_database!$AX$2:$AX$173,1,FALSE))</f>
        <v>蒋文奎</v>
      </c>
      <c r="R62" s="226">
        <f>IF(Q62="NA","NA",VLOOKUP(Q62,sample_database!$AX$2:$AY$173,2,FALSE))</f>
        <v>43</v>
      </c>
      <c r="T62" s="226">
        <v>61</v>
      </c>
      <c r="U62" s="226" t="str">
        <f>sample_database!E394</f>
        <v>王以华</v>
      </c>
      <c r="V62" s="226" t="str">
        <f>sample_database!I394</f>
        <v>鲁光荣</v>
      </c>
      <c r="W62" s="226" t="str">
        <f>sample_database!J394</f>
        <v>双柏县鄂嘉镇老厂村委会铺子</v>
      </c>
      <c r="X62" s="226" t="str">
        <f>sample_database!K394</f>
        <v>海拔2305，N24°21′51.47″ E101°7′42.74″</v>
      </c>
      <c r="Y62" s="226" t="str">
        <f t="shared" si="0"/>
        <v>NA</v>
      </c>
      <c r="Z62" s="224" t="str">
        <f t="shared" si="1"/>
        <v>NA</v>
      </c>
      <c r="AA62" s="226">
        <f>101+7/60+42.74/3600</f>
        <v>101.12853888888888</v>
      </c>
      <c r="AB62" s="226">
        <f>24+21/60+51.47/3600</f>
        <v>24.364297222222223</v>
      </c>
      <c r="AC62" s="226" t="str">
        <f>IF(ISNA(VLOOKUP(T62,Export_to_ArcGIS!$A$2:$I$111,9,FALSE)),"NA",VLOOKUP(T62,Export_to_ArcGIS!$A$2:$I$111,9,FALSE))</f>
        <v>NA</v>
      </c>
      <c r="AD62" s="226" t="str">
        <f t="shared" si="2"/>
        <v>NA</v>
      </c>
    </row>
    <row r="63" spans="1:30">
      <c r="A63" s="244" t="s">
        <v>1927</v>
      </c>
      <c r="B63" s="244" t="s">
        <v>3097</v>
      </c>
      <c r="C63" s="244"/>
      <c r="D63" s="244" t="s">
        <v>3191</v>
      </c>
      <c r="E63" s="245" t="s">
        <v>3274</v>
      </c>
      <c r="F63" s="235"/>
      <c r="G63" s="235"/>
      <c r="H63" s="235"/>
      <c r="I63" s="235"/>
      <c r="J63" s="235"/>
      <c r="K63" s="235"/>
      <c r="L63" s="235"/>
      <c r="M63" s="235"/>
      <c r="N63" s="235"/>
      <c r="O63" s="235"/>
      <c r="P63" s="224" t="str">
        <f>IF(ISNA(VLOOKUP(B63,ranger_database_2016!$C$2:$C$147,1,FALSE)) = TRUE, IF(ISNA(VLOOKUP(B63,ranger_database_2016!$G$2:$G$147,1,FALSE)) = TRUE,"NA",(VLOOKUP(B63,ranger_database_2016!$G$2:$G$147,1,FALSE))), VLOOKUP(B63,ranger_database_2016!$C$2:$C$147,1,FALSE))</f>
        <v>李茂天</v>
      </c>
      <c r="Q63" s="224" t="str">
        <f>IF(ISNA(VLOOKUP(E63,sample_database!$AX$2:$AX$173,1,FALSE)) = TRUE, "NA", VLOOKUP(E63,sample_database!$AX$2:$AX$173,1,FALSE))</f>
        <v>李恒进</v>
      </c>
      <c r="R63" s="226">
        <f>IF(Q63="NA","NA",VLOOKUP(Q63,sample_database!$AX$2:$AY$173,2,FALSE))</f>
        <v>44</v>
      </c>
      <c r="T63" s="226">
        <v>62</v>
      </c>
      <c r="U63" s="226" t="str">
        <f>sample_database!E395</f>
        <v>王开佐</v>
      </c>
      <c r="V63" s="226" t="str">
        <f>sample_database!I395</f>
        <v>周开洪</v>
      </c>
      <c r="W63" s="226" t="str">
        <f>sample_database!J395</f>
        <v>双柏县鄂嘉镇茶叶村委会三岔河管护点</v>
      </c>
      <c r="X63" s="226" t="str">
        <f>sample_database!K395</f>
        <v>N24°28′25.68″ E101°5′22.25″</v>
      </c>
      <c r="Y63" s="226" t="str">
        <f t="shared" si="0"/>
        <v>NA</v>
      </c>
      <c r="Z63" s="224" t="str">
        <f t="shared" si="1"/>
        <v>NA</v>
      </c>
      <c r="AA63" s="226">
        <f>101+5/60+22.25/3600</f>
        <v>101.08951388888889</v>
      </c>
      <c r="AB63" s="226">
        <f>24+28/60+25.68/3600</f>
        <v>24.473799999999997</v>
      </c>
      <c r="AC63" s="226">
        <f>IF(ISNA(VLOOKUP(T63,Export_to_ArcGIS!$A$2:$I$111,9,FALSE)),"NA",VLOOKUP(T63,Export_to_ArcGIS!$A$2:$I$111,9,FALSE))</f>
        <v>8</v>
      </c>
      <c r="AD63" s="226">
        <f t="shared" si="2"/>
        <v>8</v>
      </c>
    </row>
    <row r="64" spans="1:30">
      <c r="A64" s="244" t="s">
        <v>1927</v>
      </c>
      <c r="B64" s="247" t="s">
        <v>3297</v>
      </c>
      <c r="C64" s="244"/>
      <c r="D64" s="244" t="s">
        <v>3191</v>
      </c>
      <c r="E64" s="246" t="s">
        <v>3298</v>
      </c>
      <c r="F64" s="236"/>
      <c r="G64" s="236"/>
      <c r="H64" s="236"/>
      <c r="I64" s="236"/>
      <c r="J64" s="236"/>
      <c r="K64" s="236"/>
      <c r="L64" s="236"/>
      <c r="M64" s="236"/>
      <c r="N64" s="236"/>
      <c r="O64" s="236"/>
      <c r="P64" s="224" t="str">
        <f>IF(ISNA(VLOOKUP(B64,ranger_database_2016!$C$2:$C$147,1,FALSE)) = TRUE, IF(ISNA(VLOOKUP(B64,ranger_database_2016!$G$2:$G$147,1,FALSE)) = TRUE,"NA",(VLOOKUP(B64,ranger_database_2016!$G$2:$G$147,1,FALSE))), VLOOKUP(B64,ranger_database_2016!$C$2:$C$147,1,FALSE))</f>
        <v>李桂芳</v>
      </c>
      <c r="Q64" s="224" t="str">
        <f>IF(ISNA(VLOOKUP(E64,sample_database!$AX$2:$AX$173,1,FALSE)) = TRUE, "NA", VLOOKUP(E64,sample_database!$AX$2:$AX$173,1,FALSE))</f>
        <v>李桂芳</v>
      </c>
      <c r="R64" s="226">
        <f>IF(Q64="NA","NA",VLOOKUP(Q64,sample_database!$AX$2:$AY$173,2,FALSE))</f>
        <v>58</v>
      </c>
      <c r="T64" s="226">
        <v>63</v>
      </c>
      <c r="U64" s="226" t="str">
        <f>sample_database!E396</f>
        <v>王开佐</v>
      </c>
      <c r="V64" s="226" t="str">
        <f>sample_database!I396</f>
        <v>周开洪</v>
      </c>
      <c r="W64" s="226" t="str">
        <f>sample_database!J396</f>
        <v>双柏县鄂嘉镇茶叶村委会三岔河管护点</v>
      </c>
      <c r="X64" s="226" t="str">
        <f>sample_database!K396</f>
        <v>N24°27′23.70″ E101°5′17.51″</v>
      </c>
      <c r="Y64" s="226" t="str">
        <f t="shared" si="0"/>
        <v>NA</v>
      </c>
      <c r="Z64" s="224" t="str">
        <f t="shared" si="1"/>
        <v>NA</v>
      </c>
      <c r="AA64" s="226">
        <f>101+5/60+17.51/3600</f>
        <v>101.08819722222222</v>
      </c>
      <c r="AB64" s="226">
        <f>24+27/60+23.7/3600</f>
        <v>24.456583333333331</v>
      </c>
      <c r="AC64" s="226">
        <f>IF(ISNA(VLOOKUP(T64,Export_to_ArcGIS!$A$2:$I$111,9,FALSE)),"NA",VLOOKUP(T64,Export_to_ArcGIS!$A$2:$I$111,9,FALSE))</f>
        <v>9</v>
      </c>
      <c r="AD64" s="226">
        <f t="shared" si="2"/>
        <v>9</v>
      </c>
    </row>
    <row r="65" spans="1:30">
      <c r="A65" s="244" t="s">
        <v>1927</v>
      </c>
      <c r="B65" s="247" t="s">
        <v>1634</v>
      </c>
      <c r="C65" s="244"/>
      <c r="D65" s="244" t="s">
        <v>3191</v>
      </c>
      <c r="E65" s="246" t="s">
        <v>3299</v>
      </c>
      <c r="F65" s="236"/>
      <c r="G65" s="236"/>
      <c r="H65" s="236"/>
      <c r="I65" s="236"/>
      <c r="J65" s="236"/>
      <c r="K65" s="236"/>
      <c r="L65" s="236"/>
      <c r="M65" s="236"/>
      <c r="N65" s="236"/>
      <c r="O65" s="236"/>
      <c r="P65" s="224" t="str">
        <f>IF(ISNA(VLOOKUP(B65,ranger_database_2016!$C$2:$C$147,1,FALSE)) = TRUE, IF(ISNA(VLOOKUP(B65,ranger_database_2016!$G$2:$G$147,1,FALSE)) = TRUE,"NA",(VLOOKUP(B65,ranger_database_2016!$G$2:$G$147,1,FALSE))), VLOOKUP(B65,ranger_database_2016!$C$2:$C$147,1,FALSE))</f>
        <v>何成富</v>
      </c>
      <c r="Q65" s="224" t="str">
        <f>IF(ISNA(VLOOKUP(E65,sample_database!$AX$2:$AX$173,1,FALSE)) = TRUE, "NA", VLOOKUP(E65,sample_database!$AX$2:$AX$173,1,FALSE))</f>
        <v>何成富</v>
      </c>
      <c r="R65" s="226">
        <f>IF(Q65="NA","NA",VLOOKUP(Q65,sample_database!$AX$2:$AY$173,2,FALSE))</f>
        <v>56</v>
      </c>
      <c r="T65" s="226">
        <v>64</v>
      </c>
      <c r="U65" s="226" t="str">
        <f>sample_database!E397</f>
        <v>王开佐</v>
      </c>
      <c r="V65" s="226" t="str">
        <f>sample_database!I397</f>
        <v>周开洪</v>
      </c>
      <c r="W65" s="226" t="str">
        <f>sample_database!J397</f>
        <v>双柏县鄂嘉镇茶叶村委会三岔河管护点</v>
      </c>
      <c r="X65" s="226" t="str">
        <f>sample_database!K397</f>
        <v>N24°28′31.71″ E101°5′17.05″</v>
      </c>
      <c r="Y65" s="226" t="str">
        <f t="shared" si="0"/>
        <v>NA</v>
      </c>
      <c r="Z65" s="224" t="str">
        <f t="shared" si="1"/>
        <v>NA</v>
      </c>
      <c r="AA65" s="226">
        <f>101+5/60+17.05/3600</f>
        <v>101.08806944444444</v>
      </c>
      <c r="AB65" s="226">
        <f>24+28/60+31.71/3600</f>
        <v>24.475474999999999</v>
      </c>
      <c r="AC65" s="226">
        <f>IF(ISNA(VLOOKUP(T65,Export_to_ArcGIS!$A$2:$I$111,9,FALSE)),"NA",VLOOKUP(T65,Export_to_ArcGIS!$A$2:$I$111,9,FALSE))</f>
        <v>7</v>
      </c>
      <c r="AD65" s="226">
        <f t="shared" si="2"/>
        <v>7</v>
      </c>
    </row>
    <row r="66" spans="1:30">
      <c r="A66" s="244" t="s">
        <v>1927</v>
      </c>
      <c r="B66" s="244" t="s">
        <v>3140</v>
      </c>
      <c r="C66" s="244"/>
      <c r="D66" s="244" t="s">
        <v>3191</v>
      </c>
      <c r="E66" s="245" t="s">
        <v>3275</v>
      </c>
      <c r="F66" s="235"/>
      <c r="G66" s="235"/>
      <c r="H66" s="235"/>
      <c r="I66" s="235"/>
      <c r="J66" s="235"/>
      <c r="K66" s="235"/>
      <c r="L66" s="235"/>
      <c r="M66" s="235"/>
      <c r="N66" s="235"/>
      <c r="O66" s="235"/>
      <c r="P66" s="224" t="str">
        <f>IF(ISNA(VLOOKUP(B66,ranger_database_2016!$C$2:$C$147,1,FALSE)) = TRUE, IF(ISNA(VLOOKUP(B66,ranger_database_2016!$G$2:$G$147,1,FALSE)) = TRUE,"NA",(VLOOKUP(B66,ranger_database_2016!$G$2:$G$147,1,FALSE))), VLOOKUP(B66,ranger_database_2016!$C$2:$C$147,1,FALSE))</f>
        <v>鲁新正</v>
      </c>
      <c r="Q66" s="224" t="str">
        <f>IF(ISNA(VLOOKUP(E66,sample_database!$AX$2:$AX$173,1,FALSE)) = TRUE, "NA", VLOOKUP(E66,sample_database!$AX$2:$AX$173,1,FALSE))</f>
        <v>李文和</v>
      </c>
      <c r="R66" s="226">
        <f>IF(Q66="NA","NA",VLOOKUP(Q66,sample_database!$AX$2:$AY$173,2,FALSE))</f>
        <v>65</v>
      </c>
      <c r="T66" s="226">
        <v>65</v>
      </c>
      <c r="U66" s="226" t="str">
        <f>sample_database!E398</f>
        <v>王开佐</v>
      </c>
      <c r="V66" s="226" t="str">
        <f>sample_database!I398</f>
        <v>周开洪</v>
      </c>
      <c r="W66" s="226" t="str">
        <f>sample_database!J398</f>
        <v>双柏县鄂嘉镇茶叶村委会三岔河管护点</v>
      </c>
      <c r="X66" s="226" t="str">
        <f>sample_database!K398</f>
        <v>海拔2437，N24°27′35.59″ E101°5′31.62″</v>
      </c>
      <c r="Y66" s="226" t="str">
        <f t="shared" si="0"/>
        <v>NA</v>
      </c>
      <c r="Z66" s="224" t="str">
        <f t="shared" si="1"/>
        <v>NA</v>
      </c>
      <c r="AA66" s="226">
        <f>101+5/60+31.62/3600</f>
        <v>101.09211666666666</v>
      </c>
      <c r="AB66" s="226">
        <f>24+27/60+35.59/3600</f>
        <v>24.459886111111111</v>
      </c>
      <c r="AC66" s="226">
        <f>IF(ISNA(VLOOKUP(T66,Export_to_ArcGIS!$A$2:$I$111,9,FALSE)),"NA",VLOOKUP(T66,Export_to_ArcGIS!$A$2:$I$111,9,FALSE))</f>
        <v>9</v>
      </c>
      <c r="AD66" s="226">
        <f t="shared" si="2"/>
        <v>9</v>
      </c>
    </row>
    <row r="67" spans="1:30">
      <c r="A67" s="244" t="s">
        <v>1927</v>
      </c>
      <c r="B67" s="247" t="s">
        <v>3300</v>
      </c>
      <c r="C67" s="244"/>
      <c r="D67" s="244" t="s">
        <v>3191</v>
      </c>
      <c r="E67" s="246" t="s">
        <v>3301</v>
      </c>
      <c r="F67" s="236"/>
      <c r="G67" s="236"/>
      <c r="H67" s="236"/>
      <c r="I67" s="236"/>
      <c r="J67" s="236"/>
      <c r="K67" s="236"/>
      <c r="L67" s="236"/>
      <c r="M67" s="236"/>
      <c r="N67" s="236"/>
      <c r="O67" s="236"/>
      <c r="P67" s="224" t="str">
        <f>IF(ISNA(VLOOKUP(B67,ranger_database_2016!$C$2:$C$147,1,FALSE)) = TRUE, IF(ISNA(VLOOKUP(B67,ranger_database_2016!$G$2:$G$147,1,FALSE)) = TRUE,"NA",(VLOOKUP(B67,ranger_database_2016!$G$2:$G$147,1,FALSE))), VLOOKUP(B67,ranger_database_2016!$C$2:$C$147,1,FALSE))</f>
        <v>张应有</v>
      </c>
      <c r="Q67" s="224" t="str">
        <f>IF(ISNA(VLOOKUP(E67,sample_database!$AX$2:$AX$173,1,FALSE)) = TRUE, "NA", VLOOKUP(E67,sample_database!$AX$2:$AX$173,1,FALSE))</f>
        <v>张应有</v>
      </c>
      <c r="R67" s="226">
        <f>IF(Q67="NA","NA",VLOOKUP(Q67,sample_database!$AX$2:$AY$173,2,FALSE))</f>
        <v>67</v>
      </c>
      <c r="T67" s="226">
        <v>66</v>
      </c>
      <c r="U67" s="226" t="str">
        <f>sample_database!E399</f>
        <v>张玉龙</v>
      </c>
      <c r="V67" s="226" t="str">
        <f>sample_database!I399</f>
        <v>NA</v>
      </c>
      <c r="W67" s="226" t="str">
        <f>sample_database!J399</f>
        <v>双柏县鄂嘉镇新厂村委会张家社</v>
      </c>
      <c r="X67" s="226" t="str">
        <f>sample_database!K399</f>
        <v>2483</v>
      </c>
      <c r="Y67" s="226" t="str">
        <f t="shared" ref="Y67:Y130" si="5">IF(ISNA(VLOOKUP(U67,$P$2:$R$67,3,FALSE)),"NA",VLOOKUP(U67,$P$2:$R$67,3,FALSE))</f>
        <v>NA</v>
      </c>
      <c r="Z67" s="224" t="str">
        <f t="shared" ref="Z67:Z130" si="6">IF(ISNA(VLOOKUP(V67,$P$2:$R$67,3,FALSE)),"NA",VLOOKUP(V67,$P$2:$R$67,3,FALSE))</f>
        <v>NA</v>
      </c>
      <c r="AA67" s="226" t="s">
        <v>3338</v>
      </c>
      <c r="AB67" s="226" t="s">
        <v>3338</v>
      </c>
      <c r="AC67" s="226" t="str">
        <f>IF(ISNA(VLOOKUP(T67,Export_to_ArcGIS!$A$2:$I$111,9,FALSE)),"NA",VLOOKUP(T67,Export_to_ArcGIS!$A$2:$I$111,9,FALSE))</f>
        <v>NA</v>
      </c>
      <c r="AD67" s="226" t="str">
        <f t="shared" ref="AD67:AD130" si="7">IF(Y67&lt;&gt;"NA",Y67,AC67)</f>
        <v>NA</v>
      </c>
    </row>
    <row r="68" spans="1:30">
      <c r="A68"/>
      <c r="B68"/>
      <c r="C68"/>
      <c r="D68"/>
      <c r="E68"/>
      <c r="F68"/>
      <c r="G68"/>
      <c r="H68"/>
      <c r="I68"/>
      <c r="J68"/>
      <c r="K68"/>
      <c r="L68"/>
      <c r="M68"/>
      <c r="N68"/>
      <c r="O68"/>
      <c r="P68"/>
      <c r="Q68"/>
      <c r="R68"/>
      <c r="S68"/>
      <c r="T68" s="226">
        <v>67</v>
      </c>
      <c r="U68" s="226" t="str">
        <f>sample_database!E400</f>
        <v>张玉龙</v>
      </c>
      <c r="V68" s="226" t="str">
        <f>sample_database!I400</f>
        <v>NA</v>
      </c>
      <c r="W68" s="226" t="str">
        <f>sample_database!J400</f>
        <v>双柏县鄂嘉镇新厂村委会张家社</v>
      </c>
      <c r="X68" s="226" t="str">
        <f>sample_database!K400</f>
        <v>海拔2614 N24°26′54.63″，E101°6′47.77″</v>
      </c>
      <c r="Y68" s="226" t="str">
        <f t="shared" si="5"/>
        <v>NA</v>
      </c>
      <c r="Z68" s="224" t="str">
        <f t="shared" si="6"/>
        <v>NA</v>
      </c>
      <c r="AA68" s="226">
        <f>101+6/60+47.77/3600</f>
        <v>101.11326944444444</v>
      </c>
      <c r="AB68" s="226">
        <f>24+26/60+54.63/3600</f>
        <v>24.448508333333333</v>
      </c>
      <c r="AC68" s="226">
        <f>IF(ISNA(VLOOKUP(T68,Export_to_ArcGIS!$A$2:$I$111,9,FALSE)),"NA",VLOOKUP(T68,Export_to_ArcGIS!$A$2:$I$111,9,FALSE))</f>
        <v>11</v>
      </c>
      <c r="AD68" s="226">
        <f t="shared" si="7"/>
        <v>11</v>
      </c>
    </row>
    <row r="69" spans="1:30">
      <c r="A69"/>
      <c r="B69"/>
      <c r="C69"/>
      <c r="D69"/>
      <c r="E69"/>
      <c r="F69"/>
      <c r="G69"/>
      <c r="H69"/>
      <c r="I69"/>
      <c r="J69"/>
      <c r="K69"/>
      <c r="L69"/>
      <c r="M69"/>
      <c r="N69"/>
      <c r="O69"/>
      <c r="P69"/>
      <c r="Q69"/>
      <c r="R69"/>
      <c r="S69"/>
      <c r="T69" s="226">
        <v>68</v>
      </c>
      <c r="U69" s="226" t="str">
        <f>sample_database!E401</f>
        <v>张玉龙</v>
      </c>
      <c r="V69" s="226" t="str">
        <f>sample_database!I401</f>
        <v>NA</v>
      </c>
      <c r="W69" s="226" t="str">
        <f>sample_database!J401</f>
        <v>双柏县鄂嘉镇新厂村委会张家社 季青林</v>
      </c>
      <c r="X69" s="226" t="str">
        <f>sample_database!K401</f>
        <v>海拔2423 N24°17′64″，E101°6′51.1″</v>
      </c>
      <c r="Y69" s="226" t="str">
        <f t="shared" si="5"/>
        <v>NA</v>
      </c>
      <c r="Z69" s="224" t="str">
        <f t="shared" si="6"/>
        <v>NA</v>
      </c>
      <c r="AA69" s="226">
        <f>101+6/60+51.1/3600</f>
        <v>101.11419444444444</v>
      </c>
      <c r="AB69" s="227">
        <f>24+17/60+64/3600</f>
        <v>24.301111111111112</v>
      </c>
      <c r="AC69" s="226" t="str">
        <f>IF(ISNA(VLOOKUP(T69,Export_to_ArcGIS!$A$2:$I$111,9,FALSE)),"NA",VLOOKUP(T69,Export_to_ArcGIS!$A$2:$I$111,9,FALSE))</f>
        <v>NA</v>
      </c>
      <c r="AD69" s="226" t="str">
        <f t="shared" si="7"/>
        <v>NA</v>
      </c>
    </row>
    <row r="70" spans="1:30">
      <c r="A70"/>
      <c r="B70"/>
      <c r="C70"/>
      <c r="D70"/>
      <c r="E70"/>
      <c r="F70"/>
      <c r="G70"/>
      <c r="H70"/>
      <c r="I70"/>
      <c r="J70"/>
      <c r="K70"/>
      <c r="L70"/>
      <c r="M70"/>
      <c r="N70"/>
      <c r="O70"/>
      <c r="P70"/>
      <c r="Q70"/>
      <c r="R70"/>
      <c r="S70"/>
      <c r="T70" s="226">
        <v>69</v>
      </c>
      <c r="U70" s="226" t="str">
        <f>sample_database!E402</f>
        <v>张玉龙</v>
      </c>
      <c r="V70" s="226" t="str">
        <f>sample_database!I402</f>
        <v>NA</v>
      </c>
      <c r="W70" s="226" t="str">
        <f>sample_database!J402</f>
        <v>双柏县鄂嘉镇新厂村委会张家社</v>
      </c>
      <c r="X70" s="226" t="str">
        <f>sample_database!K402</f>
        <v>海拔2508 N24°27′5.63″，E101°6′45.43″</v>
      </c>
      <c r="Y70" s="226" t="str">
        <f t="shared" si="5"/>
        <v>NA</v>
      </c>
      <c r="Z70" s="224" t="str">
        <f t="shared" si="6"/>
        <v>NA</v>
      </c>
      <c r="AA70" s="226">
        <f>101+6/60+45.43/3600</f>
        <v>101.11261944444443</v>
      </c>
      <c r="AB70" s="226">
        <f>24+27/60+5.63/3600</f>
        <v>24.451563888888888</v>
      </c>
      <c r="AC70" s="226">
        <f>IF(ISNA(VLOOKUP(T70,Export_to_ArcGIS!$A$2:$I$111,9,FALSE)),"NA",VLOOKUP(T70,Export_to_ArcGIS!$A$2:$I$111,9,FALSE))</f>
        <v>11</v>
      </c>
      <c r="AD70" s="226">
        <f t="shared" si="7"/>
        <v>11</v>
      </c>
    </row>
    <row r="71" spans="1:30">
      <c r="T71" s="226">
        <v>70</v>
      </c>
      <c r="U71" s="226" t="str">
        <f>sample_database!E403</f>
        <v>王开宽</v>
      </c>
      <c r="V71" s="226" t="str">
        <f>sample_database!I403</f>
        <v>王开润</v>
      </c>
      <c r="W71" s="226" t="str">
        <f>sample_database!J403</f>
        <v>双柏县鄂嘉镇茶叶村委会三岔河管护点</v>
      </c>
      <c r="X71" s="226" t="str">
        <f>sample_database!K403</f>
        <v>海拔2206，N24°28′10.60″ E101°5′47.14″</v>
      </c>
      <c r="Y71" s="226" t="str">
        <f t="shared" si="5"/>
        <v>NA</v>
      </c>
      <c r="Z71" s="224" t="str">
        <f t="shared" si="6"/>
        <v>NA</v>
      </c>
      <c r="AA71" s="226">
        <f>101+5/60+47.14/3600</f>
        <v>101.09642777777778</v>
      </c>
      <c r="AB71" s="226">
        <f>24+28/60+10.6/3600</f>
        <v>24.46961111111111</v>
      </c>
      <c r="AC71" s="226">
        <f>IF(ISNA(VLOOKUP(T71,Export_to_ArcGIS!$A$2:$I$111,9,FALSE)),"NA",VLOOKUP(T71,Export_to_ArcGIS!$A$2:$I$111,9,FALSE))</f>
        <v>8</v>
      </c>
      <c r="AD71" s="226">
        <f t="shared" si="7"/>
        <v>8</v>
      </c>
    </row>
    <row r="72" spans="1:30">
      <c r="T72" s="226">
        <v>71</v>
      </c>
      <c r="U72" s="226" t="str">
        <f>sample_database!E404</f>
        <v>王开宽</v>
      </c>
      <c r="V72" s="226" t="str">
        <f>sample_database!I404</f>
        <v>王开润</v>
      </c>
      <c r="W72" s="226" t="str">
        <f>sample_database!J404</f>
        <v>双柏县鄂嘉镇茶叶村委会三岔河管护点</v>
      </c>
      <c r="X72" s="226" t="str">
        <f>sample_database!K404</f>
        <v>海拔2352，N24°28′40.48″ E101°5′38.74″</v>
      </c>
      <c r="Y72" s="226" t="str">
        <f t="shared" si="5"/>
        <v>NA</v>
      </c>
      <c r="Z72" s="224" t="str">
        <f t="shared" si="6"/>
        <v>NA</v>
      </c>
      <c r="AA72" s="226">
        <f>101+5/60+38.74/3600</f>
        <v>101.09409444444444</v>
      </c>
      <c r="AB72" s="226">
        <f>24+28/60+40.48/3600</f>
        <v>24.477911111111109</v>
      </c>
      <c r="AC72" s="226">
        <f>IF(ISNA(VLOOKUP(T72,Export_to_ArcGIS!$A$2:$I$111,9,FALSE)),"NA",VLOOKUP(T72,Export_to_ArcGIS!$A$2:$I$111,9,FALSE))</f>
        <v>8</v>
      </c>
      <c r="AD72" s="226">
        <f t="shared" si="7"/>
        <v>8</v>
      </c>
    </row>
    <row r="73" spans="1:30">
      <c r="T73" s="226">
        <v>72</v>
      </c>
      <c r="U73" s="226" t="str">
        <f>sample_database!E405</f>
        <v>王开宽</v>
      </c>
      <c r="V73" s="226" t="str">
        <f>sample_database!I405</f>
        <v>王开润</v>
      </c>
      <c r="W73" s="226" t="str">
        <f>sample_database!J405</f>
        <v>双柏县鄂嘉镇茶叶村委会三岔河管护点</v>
      </c>
      <c r="X73" s="226" t="str">
        <f>sample_database!K405</f>
        <v>海拔2626，N24°28′11.67″ E101°5′46.34″</v>
      </c>
      <c r="Y73" s="226" t="str">
        <f t="shared" si="5"/>
        <v>NA</v>
      </c>
      <c r="Z73" s="224" t="str">
        <f t="shared" si="6"/>
        <v>NA</v>
      </c>
      <c r="AA73" s="226">
        <f>101+5/60+46.34/3600</f>
        <v>101.09620555555556</v>
      </c>
      <c r="AB73" s="226">
        <f>24+28/60+11.67/3600</f>
        <v>24.469908333333333</v>
      </c>
      <c r="AC73" s="226">
        <f>IF(ISNA(VLOOKUP(T73,Export_to_ArcGIS!$A$2:$I$111,9,FALSE)),"NA",VLOOKUP(T73,Export_to_ArcGIS!$A$2:$I$111,9,FALSE))</f>
        <v>8</v>
      </c>
      <c r="AD73" s="226">
        <f t="shared" si="7"/>
        <v>8</v>
      </c>
    </row>
    <row r="74" spans="1:30">
      <c r="T74" s="226">
        <v>73</v>
      </c>
      <c r="U74" s="226" t="str">
        <f>sample_database!E406</f>
        <v>王开宽</v>
      </c>
      <c r="V74" s="226" t="str">
        <f>sample_database!I406</f>
        <v>王开润</v>
      </c>
      <c r="W74" s="226" t="str">
        <f>sample_database!J406</f>
        <v>双柏县鄂嘉镇茶叶村委会三岔河管护点</v>
      </c>
      <c r="X74" s="226" t="str">
        <f>sample_database!K406</f>
        <v>海拔2323，N24°27′36.55″ E101°5′38.84″</v>
      </c>
      <c r="Y74" s="226" t="str">
        <f t="shared" si="5"/>
        <v>NA</v>
      </c>
      <c r="Z74" s="224" t="str">
        <f t="shared" si="6"/>
        <v>NA</v>
      </c>
      <c r="AA74" s="226">
        <f>101+5/60+38.84/3600</f>
        <v>101.09412222222221</v>
      </c>
      <c r="AB74" s="226">
        <f>24+27/60+36.55/3600</f>
        <v>24.460152777777775</v>
      </c>
      <c r="AC74" s="226">
        <f>IF(ISNA(VLOOKUP(T74,Export_to_ArcGIS!$A$2:$I$111,9,FALSE)),"NA",VLOOKUP(T74,Export_to_ArcGIS!$A$2:$I$111,9,FALSE))</f>
        <v>9</v>
      </c>
      <c r="AD74" s="226">
        <f t="shared" si="7"/>
        <v>9</v>
      </c>
    </row>
    <row r="75" spans="1:30">
      <c r="T75" s="226">
        <v>74</v>
      </c>
      <c r="U75" s="226" t="str">
        <f>sample_database!E407</f>
        <v>王开宽</v>
      </c>
      <c r="V75" s="226" t="str">
        <f>sample_database!I407</f>
        <v>王开润</v>
      </c>
      <c r="W75" s="226" t="str">
        <f>sample_database!J407</f>
        <v>双柏县鄂嘉镇茶叶村委会茶叶新村</v>
      </c>
      <c r="X75" s="226" t="str">
        <f>sample_database!K407</f>
        <v>海拔2354，N24°47′47.69″ E101°12′52.84″</v>
      </c>
      <c r="Y75" s="226" t="str">
        <f t="shared" si="5"/>
        <v>NA</v>
      </c>
      <c r="Z75" s="224" t="str">
        <f t="shared" si="6"/>
        <v>NA</v>
      </c>
      <c r="AA75" s="226">
        <f>101+12/60+52.84/3600</f>
        <v>101.21467777777778</v>
      </c>
      <c r="AB75" s="226">
        <f>24+47/60+47.69/3600</f>
        <v>24.796580555555558</v>
      </c>
      <c r="AC75" s="226" t="str">
        <f>IF(ISNA(VLOOKUP(T75,Export_to_ArcGIS!$A$2:$I$111,9,FALSE)),"NA",VLOOKUP(T75,Export_to_ArcGIS!$A$2:$I$111,9,FALSE))</f>
        <v>NA</v>
      </c>
      <c r="AD75" s="226" t="str">
        <f t="shared" si="7"/>
        <v>NA</v>
      </c>
    </row>
    <row r="76" spans="1:30">
      <c r="T76" s="226">
        <v>75</v>
      </c>
      <c r="U76" s="226" t="str">
        <f>sample_database!E408</f>
        <v>李发新</v>
      </c>
      <c r="V76" s="226" t="str">
        <f>sample_database!I408</f>
        <v>NA</v>
      </c>
      <c r="W76" s="226" t="str">
        <f>sample_database!J408</f>
        <v>新平县者竜乡者竜村</v>
      </c>
      <c r="X76" s="226" t="str">
        <f>sample_database!K408</f>
        <v>2690663-17736115</v>
      </c>
      <c r="Y76" s="226" t="str">
        <f>IF(ISNA(VLOOKUP(U76,$P$2:$R$67,3,FALSE)),"NA",VLOOKUP(U76,$P$2:$R$67,3,FALSE))</f>
        <v>NA</v>
      </c>
      <c r="Z76" s="224" t="str">
        <f t="shared" si="6"/>
        <v>NA</v>
      </c>
      <c r="AA76" s="226">
        <f>IF(ISNA(VLOOKUP(X76,$J$2:$N$35,4,FALSE)),"NA",VLOOKUP(X76,$J$2:$N$35,4,FALSE))</f>
        <v>101.32548</v>
      </c>
      <c r="AB76" s="226">
        <f>IF(ISNA(VLOOKUP(X76,$J$2:$N$35,5,FALSE)),"NA",VLOOKUP(X76,$J$2:$N$35,5,FALSE))</f>
        <v>24.301134999999999</v>
      </c>
      <c r="AC76" s="226" t="str">
        <f>IF(ISNA(VLOOKUP(T76,Export_to_ArcGIS!$A$2:$I$111,9,FALSE)),"NA",VLOOKUP(T76,Export_to_ArcGIS!$A$2:$I$111,9,FALSE))</f>
        <v>NA</v>
      </c>
      <c r="AD76" s="226" t="str">
        <f t="shared" si="7"/>
        <v>NA</v>
      </c>
    </row>
    <row r="77" spans="1:30">
      <c r="T77" s="226">
        <v>76</v>
      </c>
      <c r="U77" s="226" t="str">
        <f>sample_database!E409</f>
        <v>李发新</v>
      </c>
      <c r="V77" s="226" t="str">
        <f>sample_database!I409</f>
        <v>NA</v>
      </c>
      <c r="W77" s="226" t="str">
        <f>sample_database!J409</f>
        <v>新平县者竜乡者竜村</v>
      </c>
      <c r="X77" s="226" t="str">
        <f>sample_database!K409</f>
        <v>2689661-17735663</v>
      </c>
      <c r="Y77" s="226" t="str">
        <f t="shared" si="5"/>
        <v>NA</v>
      </c>
      <c r="Z77" s="224" t="str">
        <f t="shared" si="6"/>
        <v>NA</v>
      </c>
      <c r="AA77" s="226">
        <f t="shared" ref="AA77:AA140" si="8">IF(ISNA(VLOOKUP(X77,$J$2:$N$35,4,FALSE)),"NA",VLOOKUP(X77,$J$2:$N$35,4,FALSE))</f>
        <v>101.32086700000001</v>
      </c>
      <c r="AB77" s="226">
        <f t="shared" ref="AB77:AB140" si="9">IF(ISNA(VLOOKUP(X77,$J$2:$N$35,5,FALSE)),"NA",VLOOKUP(X77,$J$2:$N$35,5,FALSE))</f>
        <v>24.292164</v>
      </c>
      <c r="AC77" s="226" t="str">
        <f>IF(ISNA(VLOOKUP(T77,Export_to_ArcGIS!$A$2:$I$111,9,FALSE)),"NA",VLOOKUP(T77,Export_to_ArcGIS!$A$2:$I$111,9,FALSE))</f>
        <v>NA</v>
      </c>
      <c r="AD77" s="226" t="str">
        <f t="shared" si="7"/>
        <v>NA</v>
      </c>
    </row>
    <row r="78" spans="1:30">
      <c r="T78" s="226">
        <v>77</v>
      </c>
      <c r="U78" s="226" t="str">
        <f>sample_database!E410</f>
        <v>李发新</v>
      </c>
      <c r="V78" s="226" t="str">
        <f>sample_database!I410</f>
        <v>NA</v>
      </c>
      <c r="W78" s="226" t="str">
        <f>sample_database!J410</f>
        <v>新平县者竜乡者竜村</v>
      </c>
      <c r="X78" s="226" t="str">
        <f>sample_database!K410</f>
        <v>2689211-17735363</v>
      </c>
      <c r="Y78" s="226" t="str">
        <f t="shared" si="5"/>
        <v>NA</v>
      </c>
      <c r="Z78" s="224" t="str">
        <f t="shared" si="6"/>
        <v>NA</v>
      </c>
      <c r="AA78" s="226">
        <f t="shared" si="8"/>
        <v>101.31784</v>
      </c>
      <c r="AB78" s="226">
        <f t="shared" si="9"/>
        <v>24.288150000000002</v>
      </c>
      <c r="AC78" s="226" t="str">
        <f>IF(ISNA(VLOOKUP(T78,Export_to_ArcGIS!$A$2:$I$111,9,FALSE)),"NA",VLOOKUP(T78,Export_to_ArcGIS!$A$2:$I$111,9,FALSE))</f>
        <v>NA</v>
      </c>
      <c r="AD78" s="226" t="str">
        <f t="shared" si="7"/>
        <v>NA</v>
      </c>
    </row>
    <row r="79" spans="1:30">
      <c r="T79" s="226">
        <v>78</v>
      </c>
      <c r="U79" s="226" t="str">
        <f>sample_database!E411</f>
        <v>李发新</v>
      </c>
      <c r="V79" s="226" t="str">
        <f>sample_database!I411</f>
        <v>NA</v>
      </c>
      <c r="W79" s="226" t="str">
        <f>sample_database!J411</f>
        <v>新平县者竜乡者竜村</v>
      </c>
      <c r="X79" s="226" t="str">
        <f>sample_database!K411</f>
        <v>2688340-17734928</v>
      </c>
      <c r="Y79" s="226" t="str">
        <f t="shared" si="5"/>
        <v>NA</v>
      </c>
      <c r="Z79" s="224" t="str">
        <f t="shared" si="6"/>
        <v>NA</v>
      </c>
      <c r="AA79" s="226">
        <f t="shared" si="8"/>
        <v>101.313417</v>
      </c>
      <c r="AB79" s="226">
        <f t="shared" si="9"/>
        <v>24.280358</v>
      </c>
      <c r="AC79" s="226">
        <f>IF(ISNA(VLOOKUP(T79,Export_to_ArcGIS!$A$2:$I$111,9,FALSE)),"NA",VLOOKUP(T79,Export_to_ArcGIS!$A$2:$I$111,9,FALSE))</f>
        <v>157</v>
      </c>
      <c r="AD79" s="226">
        <f t="shared" si="7"/>
        <v>157</v>
      </c>
    </row>
    <row r="80" spans="1:30">
      <c r="T80" s="226">
        <v>79</v>
      </c>
      <c r="U80" s="226" t="str">
        <f>sample_database!E412</f>
        <v>李发新</v>
      </c>
      <c r="V80" s="226" t="str">
        <f>sample_database!I412</f>
        <v>NA</v>
      </c>
      <c r="W80" s="226" t="str">
        <f>sample_database!J412</f>
        <v>新平县者竜乡者竜村</v>
      </c>
      <c r="X80" s="226" t="str">
        <f>sample_database!K412</f>
        <v>2691102-17734351</v>
      </c>
      <c r="Y80" s="226" t="str">
        <f t="shared" si="5"/>
        <v>NA</v>
      </c>
      <c r="Z80" s="224" t="str">
        <f t="shared" si="6"/>
        <v>NA</v>
      </c>
      <c r="AA80" s="226">
        <f t="shared" si="8"/>
        <v>101.308189</v>
      </c>
      <c r="AB80" s="226">
        <f t="shared" si="9"/>
        <v>24.30536</v>
      </c>
      <c r="AC80" s="226" t="str">
        <f>IF(ISNA(VLOOKUP(T80,Export_to_ArcGIS!$A$2:$I$111,9,FALSE)),"NA",VLOOKUP(T80,Export_to_ArcGIS!$A$2:$I$111,9,FALSE))</f>
        <v>NA</v>
      </c>
      <c r="AD80" s="226" t="str">
        <f t="shared" si="7"/>
        <v>NA</v>
      </c>
    </row>
    <row r="81" spans="20:30">
      <c r="T81" s="226">
        <v>80</v>
      </c>
      <c r="U81" s="226" t="str">
        <f>sample_database!E413</f>
        <v>李发新</v>
      </c>
      <c r="V81" s="226" t="str">
        <f>sample_database!I413</f>
        <v>NA</v>
      </c>
      <c r="W81" s="226" t="str">
        <f>sample_database!J413</f>
        <v>新平县者竜乡者竜村</v>
      </c>
      <c r="X81" s="226" t="str">
        <f>sample_database!K413</f>
        <v>2690447-1773400</v>
      </c>
      <c r="Y81" s="226" t="str">
        <f t="shared" si="5"/>
        <v>NA</v>
      </c>
      <c r="Z81" s="224" t="str">
        <f t="shared" si="6"/>
        <v>NA</v>
      </c>
      <c r="AA81" s="226">
        <f t="shared" si="8"/>
        <v>101.30462799999999</v>
      </c>
      <c r="AB81" s="226">
        <f t="shared" si="9"/>
        <v>24.299503999999999</v>
      </c>
      <c r="AC81" s="226">
        <f>IF(ISNA(VLOOKUP(T81,Export_to_ArcGIS!$A$2:$I$111,9,FALSE)),"NA",VLOOKUP(T81,Export_to_ArcGIS!$A$2:$I$111,9,FALSE))</f>
        <v>144</v>
      </c>
      <c r="AD81" s="226">
        <f t="shared" si="7"/>
        <v>144</v>
      </c>
    </row>
    <row r="82" spans="20:30">
      <c r="T82" s="226">
        <v>81</v>
      </c>
      <c r="U82" s="226" t="str">
        <f>sample_database!E414</f>
        <v>李发新</v>
      </c>
      <c r="V82" s="226" t="str">
        <f>sample_database!I414</f>
        <v>NA</v>
      </c>
      <c r="W82" s="226" t="str">
        <f>sample_database!J414</f>
        <v>新平县者竜乡者竜村</v>
      </c>
      <c r="X82" s="226" t="str">
        <f>sample_database!K414</f>
        <v>2691341-17733590</v>
      </c>
      <c r="Y82" s="226" t="str">
        <f t="shared" si="5"/>
        <v>NA</v>
      </c>
      <c r="Z82" s="224" t="str">
        <f t="shared" si="6"/>
        <v>NA</v>
      </c>
      <c r="AA82" s="226">
        <f t="shared" si="8"/>
        <v>101.300738</v>
      </c>
      <c r="AB82" s="226">
        <f t="shared" si="9"/>
        <v>24.30763</v>
      </c>
      <c r="AC82" s="226">
        <f>IF(ISNA(VLOOKUP(T82,Export_to_ArcGIS!$A$2:$I$111,9,FALSE)),"NA",VLOOKUP(T82,Export_to_ArcGIS!$A$2:$I$111,9,FALSE))</f>
        <v>143</v>
      </c>
      <c r="AD82" s="226">
        <f t="shared" si="7"/>
        <v>143</v>
      </c>
    </row>
    <row r="83" spans="20:30">
      <c r="T83" s="226">
        <v>82</v>
      </c>
      <c r="U83" s="226" t="str">
        <f>sample_database!E415</f>
        <v>李发新</v>
      </c>
      <c r="V83" s="226" t="str">
        <f>sample_database!I415</f>
        <v>NA</v>
      </c>
      <c r="W83" s="226" t="str">
        <f>sample_database!J415</f>
        <v>新平县者竜乡者竜村</v>
      </c>
      <c r="X83" s="226" t="str">
        <f>sample_database!K415</f>
        <v>2690774-17733590</v>
      </c>
      <c r="Y83" s="226" t="str">
        <f t="shared" si="5"/>
        <v>NA</v>
      </c>
      <c r="Z83" s="224" t="str">
        <f t="shared" si="6"/>
        <v>NA</v>
      </c>
      <c r="AA83" s="226">
        <f t="shared" si="8"/>
        <v>101.300645</v>
      </c>
      <c r="AB83" s="226">
        <f t="shared" si="9"/>
        <v>24.302515</v>
      </c>
      <c r="AC83" s="226">
        <f>IF(ISNA(VLOOKUP(T83,Export_to_ArcGIS!$A$2:$I$111,9,FALSE)),"NA",VLOOKUP(T83,Export_to_ArcGIS!$A$2:$I$111,9,FALSE))</f>
        <v>142</v>
      </c>
      <c r="AD83" s="226">
        <f t="shared" si="7"/>
        <v>142</v>
      </c>
    </row>
    <row r="84" spans="20:30">
      <c r="T84" s="226">
        <v>83</v>
      </c>
      <c r="U84" s="226" t="str">
        <f>sample_database!E416</f>
        <v>张学林</v>
      </c>
      <c r="V84" s="226" t="str">
        <f>sample_database!I416</f>
        <v>NA</v>
      </c>
      <c r="W84" s="226" t="str">
        <f>sample_database!J416</f>
        <v>新平县戛沙镇小坝多村阴波黑组</v>
      </c>
      <c r="X84" s="226" t="str">
        <f>sample_database!K416</f>
        <v>老箐，海拔2222。N23°49′59.05″ E101°36′30.31″</v>
      </c>
      <c r="Y84" s="226" t="str">
        <f t="shared" si="5"/>
        <v>NA</v>
      </c>
      <c r="Z84" s="224" t="str">
        <f t="shared" si="6"/>
        <v>NA</v>
      </c>
      <c r="AA84" s="226">
        <f>101+36/60+30.31/3600</f>
        <v>101.60841944444444</v>
      </c>
      <c r="AB84" s="226">
        <f>23+49/60+59.05/3600</f>
        <v>23.833069444444444</v>
      </c>
      <c r="AC84" s="226" t="str">
        <f>IF(ISNA(VLOOKUP(T84,Export_to_ArcGIS!$A$2:$I$111,9,FALSE)),"NA",VLOOKUP(T84,Export_to_ArcGIS!$A$2:$I$111,9,FALSE))</f>
        <v>NA</v>
      </c>
      <c r="AD84" s="226" t="str">
        <f t="shared" si="7"/>
        <v>NA</v>
      </c>
    </row>
    <row r="85" spans="20:30">
      <c r="T85" s="226">
        <v>84</v>
      </c>
      <c r="U85" s="226" t="str">
        <f>sample_database!E417</f>
        <v>张学林</v>
      </c>
      <c r="V85" s="226" t="str">
        <f>sample_database!I417</f>
        <v>NA</v>
      </c>
      <c r="W85" s="226" t="str">
        <f>sample_database!J417</f>
        <v>NA</v>
      </c>
      <c r="X85" s="226">
        <f>sample_database!K417</f>
        <v>0</v>
      </c>
      <c r="Y85" s="226" t="str">
        <f t="shared" si="5"/>
        <v>NA</v>
      </c>
      <c r="Z85" s="224" t="str">
        <f t="shared" si="6"/>
        <v>NA</v>
      </c>
      <c r="AA85" s="226" t="str">
        <f t="shared" si="8"/>
        <v>NA</v>
      </c>
      <c r="AB85" s="226" t="str">
        <f t="shared" si="9"/>
        <v>NA</v>
      </c>
      <c r="AC85" s="226" t="str">
        <f>IF(ISNA(VLOOKUP(T85,Export_to_ArcGIS!$A$2:$I$111,9,FALSE)),"NA",VLOOKUP(T85,Export_to_ArcGIS!$A$2:$I$111,9,FALSE))</f>
        <v>NA</v>
      </c>
      <c r="AD85" s="226" t="str">
        <f t="shared" si="7"/>
        <v>NA</v>
      </c>
    </row>
    <row r="86" spans="20:30">
      <c r="T86" s="226">
        <v>85</v>
      </c>
      <c r="U86" s="226" t="str">
        <f>sample_database!E418</f>
        <v>张学林</v>
      </c>
      <c r="V86" s="226" t="str">
        <f>sample_database!I418</f>
        <v>NA</v>
      </c>
      <c r="W86" s="226" t="str">
        <f>sample_database!J418</f>
        <v>NA</v>
      </c>
      <c r="X86" s="226">
        <f>sample_database!K418</f>
        <v>0</v>
      </c>
      <c r="Y86" s="226" t="str">
        <f t="shared" si="5"/>
        <v>NA</v>
      </c>
      <c r="Z86" s="224" t="str">
        <f t="shared" si="6"/>
        <v>NA</v>
      </c>
      <c r="AA86" s="226" t="str">
        <f t="shared" si="8"/>
        <v>NA</v>
      </c>
      <c r="AB86" s="226" t="str">
        <f t="shared" si="9"/>
        <v>NA</v>
      </c>
      <c r="AC86" s="226" t="str">
        <f>IF(ISNA(VLOOKUP(T86,Export_to_ArcGIS!$A$2:$I$111,9,FALSE)),"NA",VLOOKUP(T86,Export_to_ArcGIS!$A$2:$I$111,9,FALSE))</f>
        <v>NA</v>
      </c>
      <c r="AD86" s="226" t="str">
        <f t="shared" si="7"/>
        <v>NA</v>
      </c>
    </row>
    <row r="87" spans="20:30">
      <c r="T87" s="226">
        <v>86</v>
      </c>
      <c r="U87" s="226" t="str">
        <f>sample_database!E419</f>
        <v>张学林</v>
      </c>
      <c r="V87" s="226" t="str">
        <f>sample_database!I419</f>
        <v>NA</v>
      </c>
      <c r="W87" s="226" t="str">
        <f>sample_database!J419</f>
        <v>NA</v>
      </c>
      <c r="X87" s="226">
        <f>sample_database!K419</f>
        <v>0</v>
      </c>
      <c r="Y87" s="226" t="str">
        <f t="shared" si="5"/>
        <v>NA</v>
      </c>
      <c r="Z87" s="224" t="str">
        <f t="shared" si="6"/>
        <v>NA</v>
      </c>
      <c r="AA87" s="226" t="str">
        <f t="shared" si="8"/>
        <v>NA</v>
      </c>
      <c r="AB87" s="226" t="str">
        <f t="shared" si="9"/>
        <v>NA</v>
      </c>
      <c r="AC87" s="226" t="str">
        <f>IF(ISNA(VLOOKUP(T87,Export_to_ArcGIS!$A$2:$I$111,9,FALSE)),"NA",VLOOKUP(T87,Export_to_ArcGIS!$A$2:$I$111,9,FALSE))</f>
        <v>NA</v>
      </c>
      <c r="AD87" s="226" t="str">
        <f t="shared" si="7"/>
        <v>NA</v>
      </c>
    </row>
    <row r="88" spans="20:30">
      <c r="T88" s="226">
        <v>87</v>
      </c>
      <c r="U88" s="226" t="str">
        <f>sample_database!E420</f>
        <v>张学林</v>
      </c>
      <c r="V88" s="226" t="str">
        <f>sample_database!I420</f>
        <v>NA</v>
      </c>
      <c r="W88" s="226" t="str">
        <f>sample_database!J420</f>
        <v>NA</v>
      </c>
      <c r="X88" s="226">
        <f>sample_database!K420</f>
        <v>0</v>
      </c>
      <c r="Y88" s="226" t="str">
        <f t="shared" si="5"/>
        <v>NA</v>
      </c>
      <c r="Z88" s="224" t="str">
        <f t="shared" si="6"/>
        <v>NA</v>
      </c>
      <c r="AA88" s="226" t="str">
        <f t="shared" si="8"/>
        <v>NA</v>
      </c>
      <c r="AB88" s="226" t="str">
        <f t="shared" si="9"/>
        <v>NA</v>
      </c>
      <c r="AC88" s="226" t="str">
        <f>IF(ISNA(VLOOKUP(T88,Export_to_ArcGIS!$A$2:$I$111,9,FALSE)),"NA",VLOOKUP(T88,Export_to_ArcGIS!$A$2:$I$111,9,FALSE))</f>
        <v>NA</v>
      </c>
      <c r="AD88" s="226" t="str">
        <f t="shared" si="7"/>
        <v>NA</v>
      </c>
    </row>
    <row r="89" spans="20:30">
      <c r="T89" s="226">
        <v>88</v>
      </c>
      <c r="U89" s="226" t="str">
        <f>sample_database!E421</f>
        <v>李荣兵</v>
      </c>
      <c r="V89" s="226" t="str">
        <f>sample_database!I421</f>
        <v>NA</v>
      </c>
      <c r="W89" s="226" t="str">
        <f>sample_database!J421</f>
        <v>新平水塘波村杨家箐</v>
      </c>
      <c r="X89" s="226">
        <f>sample_database!K421</f>
        <v>0</v>
      </c>
      <c r="Y89" s="226" t="str">
        <f t="shared" si="5"/>
        <v>NA</v>
      </c>
      <c r="Z89" s="224" t="str">
        <f t="shared" si="6"/>
        <v>NA</v>
      </c>
      <c r="AA89" s="226" t="str">
        <f t="shared" si="8"/>
        <v>NA</v>
      </c>
      <c r="AB89" s="226" t="str">
        <f t="shared" si="9"/>
        <v>NA</v>
      </c>
      <c r="AC89" s="226" t="str">
        <f>IF(ISNA(VLOOKUP(T89,Export_to_ArcGIS!$A$2:$I$111,9,FALSE)),"NA",VLOOKUP(T89,Export_to_ArcGIS!$A$2:$I$111,9,FALSE))</f>
        <v>NA</v>
      </c>
      <c r="AD89" s="226" t="str">
        <f t="shared" si="7"/>
        <v>NA</v>
      </c>
    </row>
    <row r="90" spans="20:30">
      <c r="T90" s="226">
        <v>89</v>
      </c>
      <c r="U90" s="226" t="str">
        <f>sample_database!E422</f>
        <v>李荣兵</v>
      </c>
      <c r="V90" s="226" t="str">
        <f>sample_database!I422</f>
        <v>NA</v>
      </c>
      <c r="W90" s="226" t="str">
        <f>sample_database!J422</f>
        <v>新平水塘波村老牛场</v>
      </c>
      <c r="X90" s="226" t="str">
        <f>sample_database!K422</f>
        <v>N02677457，E00743664</v>
      </c>
      <c r="Y90" s="226" t="str">
        <f t="shared" si="5"/>
        <v>NA</v>
      </c>
      <c r="Z90" s="224" t="str">
        <f t="shared" si="6"/>
        <v>NA</v>
      </c>
      <c r="AA90" s="226">
        <f t="shared" si="8"/>
        <v>101.39754499999999</v>
      </c>
      <c r="AB90" s="226">
        <f t="shared" si="9"/>
        <v>24.180857</v>
      </c>
      <c r="AC90" s="226" t="str">
        <f>IF(ISNA(VLOOKUP(T90,Export_to_ArcGIS!$A$2:$I$111,9,FALSE)),"NA",VLOOKUP(T90,Export_to_ArcGIS!$A$2:$I$111,9,FALSE))</f>
        <v>NA</v>
      </c>
      <c r="AD90" s="226" t="str">
        <f t="shared" si="7"/>
        <v>NA</v>
      </c>
    </row>
    <row r="91" spans="20:30">
      <c r="T91" s="226">
        <v>90</v>
      </c>
      <c r="U91" s="226" t="str">
        <f>sample_database!E423</f>
        <v>张立德</v>
      </c>
      <c r="V91" s="226" t="str">
        <f>sample_database!I423</f>
        <v>NA</v>
      </c>
      <c r="W91" s="226" t="str">
        <f>sample_database!J423</f>
        <v>NA</v>
      </c>
      <c r="X91" s="226" t="str">
        <f>sample_database!K423</f>
        <v>太山箐，海拔2199。N23°22.3745 E103°22.8162</v>
      </c>
      <c r="Y91" s="226" t="str">
        <f t="shared" si="5"/>
        <v>NA</v>
      </c>
      <c r="Z91" s="224" t="str">
        <f t="shared" si="6"/>
        <v>NA</v>
      </c>
      <c r="AA91" s="226">
        <f>103+22.8162/60</f>
        <v>103.38027</v>
      </c>
      <c r="AB91" s="226">
        <f>23+22.3745/60</f>
        <v>23.372908333333335</v>
      </c>
      <c r="AC91" s="226" t="str">
        <f>IF(ISNA(VLOOKUP(T91,Export_to_ArcGIS!$A$2:$I$111,9,FALSE)),"NA",VLOOKUP(T91,Export_to_ArcGIS!$A$2:$I$111,9,FALSE))</f>
        <v>NA</v>
      </c>
      <c r="AD91" s="226" t="str">
        <f t="shared" si="7"/>
        <v>NA</v>
      </c>
    </row>
    <row r="92" spans="20:30">
      <c r="T92" s="226">
        <v>91</v>
      </c>
      <c r="U92" s="226" t="str">
        <f>sample_database!E424</f>
        <v>张立德</v>
      </c>
      <c r="V92" s="226" t="str">
        <f>sample_database!I424</f>
        <v>NA</v>
      </c>
      <c r="W92" s="226" t="str">
        <f>sample_database!J424</f>
        <v>NA</v>
      </c>
      <c r="X92" s="226" t="str">
        <f>sample_database!K424</f>
        <v>太山箐，海拔2199。N23°22.3745 E103°22.8162</v>
      </c>
      <c r="Y92" s="226" t="str">
        <f t="shared" si="5"/>
        <v>NA</v>
      </c>
      <c r="Z92" s="224" t="str">
        <f t="shared" si="6"/>
        <v>NA</v>
      </c>
      <c r="AA92" s="226">
        <f t="shared" ref="AA92:AA95" si="10">103+22.8162/60</f>
        <v>103.38027</v>
      </c>
      <c r="AB92" s="226">
        <f t="shared" ref="AB92:AB95" si="11">23+22.3745/60</f>
        <v>23.372908333333335</v>
      </c>
      <c r="AC92" s="226" t="str">
        <f>IF(ISNA(VLOOKUP(T92,Export_to_ArcGIS!$A$2:$I$111,9,FALSE)),"NA",VLOOKUP(T92,Export_to_ArcGIS!$A$2:$I$111,9,FALSE))</f>
        <v>NA</v>
      </c>
      <c r="AD92" s="226" t="str">
        <f t="shared" si="7"/>
        <v>NA</v>
      </c>
    </row>
    <row r="93" spans="20:30">
      <c r="T93" s="226">
        <v>92</v>
      </c>
      <c r="U93" s="226" t="str">
        <f>sample_database!E425</f>
        <v>张立德</v>
      </c>
      <c r="V93" s="226" t="str">
        <f>sample_database!I425</f>
        <v>NA</v>
      </c>
      <c r="W93" s="226" t="str">
        <f>sample_database!J425</f>
        <v>NA</v>
      </c>
      <c r="X93" s="226" t="str">
        <f>sample_database!K425</f>
        <v>太山箐，海拔2199。N23°22.3745 E103°22.8162</v>
      </c>
      <c r="Y93" s="226" t="str">
        <f t="shared" si="5"/>
        <v>NA</v>
      </c>
      <c r="Z93" s="224" t="str">
        <f t="shared" si="6"/>
        <v>NA</v>
      </c>
      <c r="AA93" s="226">
        <f t="shared" si="10"/>
        <v>103.38027</v>
      </c>
      <c r="AB93" s="226">
        <f t="shared" si="11"/>
        <v>23.372908333333335</v>
      </c>
      <c r="AC93" s="226" t="str">
        <f>IF(ISNA(VLOOKUP(T93,Export_to_ArcGIS!$A$2:$I$111,9,FALSE)),"NA",VLOOKUP(T93,Export_to_ArcGIS!$A$2:$I$111,9,FALSE))</f>
        <v>NA</v>
      </c>
      <c r="AD93" s="226" t="str">
        <f t="shared" si="7"/>
        <v>NA</v>
      </c>
    </row>
    <row r="94" spans="20:30">
      <c r="T94" s="226">
        <v>93</v>
      </c>
      <c r="U94" s="226" t="str">
        <f>sample_database!E426</f>
        <v>张立德</v>
      </c>
      <c r="V94" s="226" t="str">
        <f>sample_database!I426</f>
        <v>NA</v>
      </c>
      <c r="W94" s="226" t="str">
        <f>sample_database!J426</f>
        <v>NA</v>
      </c>
      <c r="X94" s="226" t="str">
        <f>sample_database!K426</f>
        <v>太山箐，海拔2199。N23°22.3745 E103°22.8162</v>
      </c>
      <c r="Y94" s="226" t="str">
        <f t="shared" si="5"/>
        <v>NA</v>
      </c>
      <c r="Z94" s="224" t="str">
        <f t="shared" si="6"/>
        <v>NA</v>
      </c>
      <c r="AA94" s="226">
        <f t="shared" si="10"/>
        <v>103.38027</v>
      </c>
      <c r="AB94" s="226">
        <f t="shared" si="11"/>
        <v>23.372908333333335</v>
      </c>
      <c r="AC94" s="226" t="str">
        <f>IF(ISNA(VLOOKUP(T94,Export_to_ArcGIS!$A$2:$I$111,9,FALSE)),"NA",VLOOKUP(T94,Export_to_ArcGIS!$A$2:$I$111,9,FALSE))</f>
        <v>NA</v>
      </c>
      <c r="AD94" s="226" t="str">
        <f t="shared" si="7"/>
        <v>NA</v>
      </c>
    </row>
    <row r="95" spans="20:30">
      <c r="T95" s="226">
        <v>94</v>
      </c>
      <c r="U95" s="226" t="str">
        <f>sample_database!E427</f>
        <v>张立德</v>
      </c>
      <c r="V95" s="226" t="str">
        <f>sample_database!I427</f>
        <v>NA</v>
      </c>
      <c r="W95" s="226" t="str">
        <f>sample_database!J427</f>
        <v>新平县平掌乡仓房村旧岩小组</v>
      </c>
      <c r="X95" s="226" t="str">
        <f>sample_database!K427</f>
        <v>太山箐，海拔2199。N23°22.3745 E103°22.8162</v>
      </c>
      <c r="Y95" s="226" t="str">
        <f t="shared" si="5"/>
        <v>NA</v>
      </c>
      <c r="Z95" s="224" t="str">
        <f t="shared" si="6"/>
        <v>NA</v>
      </c>
      <c r="AA95" s="226">
        <f t="shared" si="10"/>
        <v>103.38027</v>
      </c>
      <c r="AB95" s="226">
        <f t="shared" si="11"/>
        <v>23.372908333333335</v>
      </c>
      <c r="AC95" s="226" t="str">
        <f>IF(ISNA(VLOOKUP(T95,Export_to_ArcGIS!$A$2:$I$111,9,FALSE)),"NA",VLOOKUP(T95,Export_to_ArcGIS!$A$2:$I$111,9,FALSE))</f>
        <v>NA</v>
      </c>
      <c r="AD95" s="226" t="str">
        <f t="shared" si="7"/>
        <v>NA</v>
      </c>
    </row>
    <row r="96" spans="20:30">
      <c r="T96" s="226">
        <v>95</v>
      </c>
      <c r="U96" s="226" t="str">
        <f>sample_database!E428</f>
        <v>李荣昌</v>
      </c>
      <c r="V96" s="226" t="str">
        <f>sample_database!I428</f>
        <v>NA</v>
      </c>
      <c r="W96" s="226" t="str">
        <f>sample_database!J428</f>
        <v>新平县戛洒镇发启盘龙</v>
      </c>
      <c r="X96" s="226" t="str">
        <f>sample_database!K428</f>
        <v>2658717.7-17755092.2</v>
      </c>
      <c r="Y96" s="226" t="str">
        <f t="shared" si="5"/>
        <v>NA</v>
      </c>
      <c r="Z96" s="224" t="str">
        <f t="shared" si="6"/>
        <v>NA</v>
      </c>
      <c r="AA96" s="226">
        <f t="shared" si="8"/>
        <v>101.50661599999999</v>
      </c>
      <c r="AB96" s="226">
        <f t="shared" si="9"/>
        <v>24.010017999999999</v>
      </c>
      <c r="AC96" s="226" t="str">
        <f>IF(ISNA(VLOOKUP(T96,Export_to_ArcGIS!$A$2:$I$111,9,FALSE)),"NA",VLOOKUP(T96,Export_to_ArcGIS!$A$2:$I$111,9,FALSE))</f>
        <v>NA</v>
      </c>
      <c r="AD96" s="226" t="str">
        <f t="shared" si="7"/>
        <v>NA</v>
      </c>
    </row>
    <row r="97" spans="20:30">
      <c r="T97" s="226">
        <v>96</v>
      </c>
      <c r="U97" s="226" t="str">
        <f>sample_database!E429</f>
        <v>李荣昌</v>
      </c>
      <c r="V97" s="226" t="str">
        <f>sample_database!I429</f>
        <v>NA</v>
      </c>
      <c r="W97" s="226" t="str">
        <f>sample_database!J429</f>
        <v>新平县戛洒镇发启盘龙</v>
      </c>
      <c r="X97" s="226" t="str">
        <f>sample_database!K429</f>
        <v>2658729.4-17755107.0</v>
      </c>
      <c r="Y97" s="226" t="str">
        <f t="shared" si="5"/>
        <v>NA</v>
      </c>
      <c r="Z97" s="224" t="str">
        <f t="shared" si="6"/>
        <v>NA</v>
      </c>
      <c r="AA97" s="226">
        <f t="shared" si="8"/>
        <v>101.506766</v>
      </c>
      <c r="AB97" s="226">
        <f t="shared" si="9"/>
        <v>24.010124000000001</v>
      </c>
      <c r="AC97" s="226" t="str">
        <f>IF(ISNA(VLOOKUP(T97,Export_to_ArcGIS!$A$2:$I$111,9,FALSE)),"NA",VLOOKUP(T97,Export_to_ArcGIS!$A$2:$I$111,9,FALSE))</f>
        <v>NA</v>
      </c>
      <c r="AD97" s="226" t="str">
        <f t="shared" si="7"/>
        <v>NA</v>
      </c>
    </row>
    <row r="98" spans="20:30">
      <c r="T98" s="226">
        <v>97</v>
      </c>
      <c r="U98" s="226" t="str">
        <f>sample_database!E430</f>
        <v>李荣昌</v>
      </c>
      <c r="V98" s="226" t="str">
        <f>sample_database!I430</f>
        <v>NA</v>
      </c>
      <c r="W98" s="226" t="str">
        <f>sample_database!J430</f>
        <v>新平县戛洒镇发启盘龙</v>
      </c>
      <c r="X98" s="226" t="str">
        <f>sample_database!K430</f>
        <v>2658746.3-17755197.7</v>
      </c>
      <c r="Y98" s="226" t="str">
        <f t="shared" si="5"/>
        <v>NA</v>
      </c>
      <c r="Z98" s="224" t="str">
        <f t="shared" si="6"/>
        <v>NA</v>
      </c>
      <c r="AA98" s="226">
        <f t="shared" si="8"/>
        <v>101.50765199999999</v>
      </c>
      <c r="AB98" s="226">
        <f t="shared" si="9"/>
        <v>24.010262999999998</v>
      </c>
      <c r="AC98" s="226" t="str">
        <f>IF(ISNA(VLOOKUP(T98,Export_to_ArcGIS!$A$2:$I$111,9,FALSE)),"NA",VLOOKUP(T98,Export_to_ArcGIS!$A$2:$I$111,9,FALSE))</f>
        <v>NA</v>
      </c>
      <c r="AD98" s="226" t="str">
        <f t="shared" si="7"/>
        <v>NA</v>
      </c>
    </row>
    <row r="99" spans="20:30">
      <c r="T99" s="226">
        <v>98</v>
      </c>
      <c r="U99" s="226" t="str">
        <f>sample_database!E431</f>
        <v>李荣昌</v>
      </c>
      <c r="V99" s="226" t="str">
        <f>sample_database!I431</f>
        <v>NA</v>
      </c>
      <c r="W99" s="226" t="str">
        <f>sample_database!J431</f>
        <v>新平县戛洒镇发启盘龙</v>
      </c>
      <c r="X99" s="226" t="str">
        <f>sample_database!K431</f>
        <v>2658706.8-17755086.9</v>
      </c>
      <c r="Y99" s="226" t="str">
        <f t="shared" si="5"/>
        <v>NA</v>
      </c>
      <c r="Z99" s="224" t="str">
        <f t="shared" si="6"/>
        <v>NA</v>
      </c>
      <c r="AA99" s="226">
        <f t="shared" si="8"/>
        <v>101.50656499999999</v>
      </c>
      <c r="AB99" s="226">
        <f t="shared" si="9"/>
        <v>24.009920000000001</v>
      </c>
      <c r="AC99" s="226" t="str">
        <f>IF(ISNA(VLOOKUP(T99,Export_to_ArcGIS!$A$2:$I$111,9,FALSE)),"NA",VLOOKUP(T99,Export_to_ArcGIS!$A$2:$I$111,9,FALSE))</f>
        <v>NA</v>
      </c>
      <c r="AD99" s="226" t="str">
        <f t="shared" si="7"/>
        <v>NA</v>
      </c>
    </row>
    <row r="100" spans="20:30">
      <c r="T100" s="226">
        <v>99</v>
      </c>
      <c r="U100" s="226" t="str">
        <f>sample_database!E432</f>
        <v>李荣昌</v>
      </c>
      <c r="V100" s="226" t="str">
        <f>sample_database!I432</f>
        <v>NA</v>
      </c>
      <c r="W100" s="226" t="str">
        <f>sample_database!J432</f>
        <v>新平县戛洒镇盘龙</v>
      </c>
      <c r="X100" s="226" t="str">
        <f>sample_database!K432</f>
        <v>2659290.6-17754694.1</v>
      </c>
      <c r="Y100" s="226" t="str">
        <f t="shared" si="5"/>
        <v>NA</v>
      </c>
      <c r="Z100" s="224" t="str">
        <f t="shared" si="6"/>
        <v>NA</v>
      </c>
      <c r="AA100" s="226">
        <f t="shared" si="8"/>
        <v>101.502808</v>
      </c>
      <c r="AB100" s="226">
        <f t="shared" si="9"/>
        <v>24.015250000000002</v>
      </c>
      <c r="AC100" s="226" t="str">
        <f>IF(ISNA(VLOOKUP(T100,Export_to_ArcGIS!$A$2:$I$111,9,FALSE)),"NA",VLOOKUP(T100,Export_to_ArcGIS!$A$2:$I$111,9,FALSE))</f>
        <v>NA</v>
      </c>
      <c r="AD100" s="226" t="str">
        <f t="shared" si="7"/>
        <v>NA</v>
      </c>
    </row>
    <row r="101" spans="20:30">
      <c r="T101" s="226">
        <v>100</v>
      </c>
      <c r="U101" s="226" t="str">
        <f>sample_database!E433</f>
        <v>张春应</v>
      </c>
      <c r="V101" s="226" t="str">
        <f>sample_database!I433</f>
        <v>NA</v>
      </c>
      <c r="W101" s="226" t="str">
        <f>sample_database!J433</f>
        <v>NA</v>
      </c>
      <c r="X101" s="226" t="str">
        <f>sample_database!K433</f>
        <v>NA</v>
      </c>
      <c r="Y101" s="226" t="str">
        <f t="shared" si="5"/>
        <v>NA</v>
      </c>
      <c r="Z101" s="224" t="str">
        <f t="shared" si="6"/>
        <v>NA</v>
      </c>
      <c r="AA101" s="226" t="str">
        <f t="shared" si="8"/>
        <v>NA</v>
      </c>
      <c r="AB101" s="226" t="str">
        <f t="shared" si="9"/>
        <v>NA</v>
      </c>
      <c r="AC101" s="226" t="str">
        <f>IF(ISNA(VLOOKUP(T101,Export_to_ArcGIS!$A$2:$I$111,9,FALSE)),"NA",VLOOKUP(T101,Export_to_ArcGIS!$A$2:$I$111,9,FALSE))</f>
        <v>NA</v>
      </c>
      <c r="AD101" s="226" t="str">
        <f t="shared" si="7"/>
        <v>NA</v>
      </c>
    </row>
    <row r="102" spans="20:30">
      <c r="T102" s="226">
        <v>101</v>
      </c>
      <c r="U102" s="226" t="str">
        <f>sample_database!E434</f>
        <v>张春应</v>
      </c>
      <c r="V102" s="226" t="str">
        <f>sample_database!I434</f>
        <v>NA</v>
      </c>
      <c r="W102" s="226" t="str">
        <f>sample_database!J434</f>
        <v>NA</v>
      </c>
      <c r="X102" s="226" t="str">
        <f>sample_database!K434</f>
        <v>NA</v>
      </c>
      <c r="Y102" s="226" t="str">
        <f t="shared" si="5"/>
        <v>NA</v>
      </c>
      <c r="Z102" s="224" t="str">
        <f t="shared" si="6"/>
        <v>NA</v>
      </c>
      <c r="AA102" s="226" t="str">
        <f t="shared" si="8"/>
        <v>NA</v>
      </c>
      <c r="AB102" s="226" t="str">
        <f t="shared" si="9"/>
        <v>NA</v>
      </c>
      <c r="AC102" s="226" t="str">
        <f>IF(ISNA(VLOOKUP(T102,Export_to_ArcGIS!$A$2:$I$111,9,FALSE)),"NA",VLOOKUP(T102,Export_to_ArcGIS!$A$2:$I$111,9,FALSE))</f>
        <v>NA</v>
      </c>
      <c r="AD102" s="226" t="str">
        <f t="shared" si="7"/>
        <v>NA</v>
      </c>
    </row>
    <row r="103" spans="20:30">
      <c r="T103" s="226">
        <v>102</v>
      </c>
      <c r="U103" s="226" t="str">
        <f>sample_database!E435</f>
        <v>张春应</v>
      </c>
      <c r="V103" s="226" t="str">
        <f>sample_database!I435</f>
        <v>NA</v>
      </c>
      <c r="W103" s="226" t="str">
        <f>sample_database!J435</f>
        <v>NA</v>
      </c>
      <c r="X103" s="226" t="str">
        <f>sample_database!K435</f>
        <v>NA</v>
      </c>
      <c r="Y103" s="226" t="str">
        <f t="shared" si="5"/>
        <v>NA</v>
      </c>
      <c r="Z103" s="224" t="str">
        <f t="shared" si="6"/>
        <v>NA</v>
      </c>
      <c r="AA103" s="226" t="str">
        <f t="shared" si="8"/>
        <v>NA</v>
      </c>
      <c r="AB103" s="226" t="str">
        <f t="shared" si="9"/>
        <v>NA</v>
      </c>
      <c r="AC103" s="226" t="str">
        <f>IF(ISNA(VLOOKUP(T103,Export_to_ArcGIS!$A$2:$I$111,9,FALSE)),"NA",VLOOKUP(T103,Export_to_ArcGIS!$A$2:$I$111,9,FALSE))</f>
        <v>NA</v>
      </c>
      <c r="AD103" s="226" t="str">
        <f t="shared" si="7"/>
        <v>NA</v>
      </c>
    </row>
    <row r="104" spans="20:30">
      <c r="T104" s="226">
        <v>103</v>
      </c>
      <c r="U104" s="226" t="str">
        <f>sample_database!E436</f>
        <v>张春应</v>
      </c>
      <c r="V104" s="226" t="str">
        <f>sample_database!I436</f>
        <v>NA</v>
      </c>
      <c r="W104" s="226" t="str">
        <f>sample_database!J436</f>
        <v>NA</v>
      </c>
      <c r="X104" s="226" t="str">
        <f>sample_database!K436</f>
        <v>NA</v>
      </c>
      <c r="Y104" s="226" t="str">
        <f t="shared" si="5"/>
        <v>NA</v>
      </c>
      <c r="Z104" s="224" t="str">
        <f t="shared" si="6"/>
        <v>NA</v>
      </c>
      <c r="AA104" s="226" t="str">
        <f t="shared" si="8"/>
        <v>NA</v>
      </c>
      <c r="AB104" s="226" t="str">
        <f t="shared" si="9"/>
        <v>NA</v>
      </c>
      <c r="AC104" s="226" t="str">
        <f>IF(ISNA(VLOOKUP(T104,Export_to_ArcGIS!$A$2:$I$111,9,FALSE)),"NA",VLOOKUP(T104,Export_to_ArcGIS!$A$2:$I$111,9,FALSE))</f>
        <v>NA</v>
      </c>
      <c r="AD104" s="226" t="str">
        <f t="shared" si="7"/>
        <v>NA</v>
      </c>
    </row>
    <row r="105" spans="20:30">
      <c r="T105" s="226">
        <v>104</v>
      </c>
      <c r="U105" s="226" t="str">
        <f>sample_database!E437</f>
        <v>张春应</v>
      </c>
      <c r="V105" s="226" t="str">
        <f>sample_database!I437</f>
        <v>NA</v>
      </c>
      <c r="W105" s="226" t="str">
        <f>sample_database!J437</f>
        <v>新平县蓡沙镇胜利村段甲组</v>
      </c>
      <c r="X105" s="226" t="str">
        <f>sample_database!K437</f>
        <v>白石岩，海拔2388。N23°48′00.92″ E101°38′03.83″</v>
      </c>
      <c r="Y105" s="226" t="str">
        <f t="shared" si="5"/>
        <v>NA</v>
      </c>
      <c r="Z105" s="224" t="str">
        <f t="shared" si="6"/>
        <v>NA</v>
      </c>
      <c r="AA105" s="226">
        <f>101+38/60+3.83/3600</f>
        <v>101.63439722222223</v>
      </c>
      <c r="AB105" s="226">
        <f>23+48/60+0.92/3600</f>
        <v>23.800255555555555</v>
      </c>
      <c r="AC105" s="226" t="str">
        <f>IF(ISNA(VLOOKUP(T105,Export_to_ArcGIS!$A$2:$I$111,9,FALSE)),"NA",VLOOKUP(T105,Export_to_ArcGIS!$A$2:$I$111,9,FALSE))</f>
        <v>NA</v>
      </c>
      <c r="AD105" s="226" t="str">
        <f t="shared" si="7"/>
        <v>NA</v>
      </c>
    </row>
    <row r="106" spans="20:30">
      <c r="T106" s="226">
        <v>105</v>
      </c>
      <c r="U106" s="226" t="str">
        <f>sample_database!E438</f>
        <v>张明忠</v>
      </c>
      <c r="V106" s="226" t="str">
        <f>sample_database!I438</f>
        <v>NA</v>
      </c>
      <c r="W106" s="226" t="str">
        <f>sample_database!J438</f>
        <v>新平县戛洒镇耀南村金山原始森林</v>
      </c>
      <c r="X106" s="226" t="str">
        <f>sample_database!K438</f>
        <v>海拔2485,2650893.7-17755086.3</v>
      </c>
      <c r="Y106" s="226" t="str">
        <f t="shared" si="5"/>
        <v>NA</v>
      </c>
      <c r="Z106" s="224" t="str">
        <f t="shared" si="6"/>
        <v>NA</v>
      </c>
      <c r="AA106" s="226">
        <f t="shared" si="8"/>
        <v>101.505191</v>
      </c>
      <c r="AB106" s="226">
        <f t="shared" si="9"/>
        <v>23.939447000000001</v>
      </c>
      <c r="AC106" s="226" t="str">
        <f>IF(ISNA(VLOOKUP(T106,Export_to_ArcGIS!$A$2:$I$111,9,FALSE)),"NA",VLOOKUP(T106,Export_to_ArcGIS!$A$2:$I$111,9,FALSE))</f>
        <v>NA</v>
      </c>
      <c r="AD106" s="226" t="str">
        <f t="shared" si="7"/>
        <v>NA</v>
      </c>
    </row>
    <row r="107" spans="20:30">
      <c r="T107" s="226">
        <v>106</v>
      </c>
      <c r="U107" s="226" t="str">
        <f>sample_database!E439</f>
        <v>张明忠</v>
      </c>
      <c r="V107" s="226" t="str">
        <f>sample_database!I439</f>
        <v>NA</v>
      </c>
      <c r="W107" s="226" t="str">
        <f>sample_database!J439</f>
        <v>新平县戛洒镇耀南村金山丫口金山原始森林</v>
      </c>
      <c r="X107" s="226" t="str">
        <f>sample_database!K439</f>
        <v>海拔2498,2650911.7-17755190.7</v>
      </c>
      <c r="Y107" s="226" t="str">
        <f t="shared" si="5"/>
        <v>NA</v>
      </c>
      <c r="Z107" s="224" t="str">
        <f t="shared" si="6"/>
        <v>NA</v>
      </c>
      <c r="AA107" s="226">
        <f t="shared" si="8"/>
        <v>101.506215</v>
      </c>
      <c r="AB107" s="226">
        <f t="shared" si="9"/>
        <v>23.939592999999999</v>
      </c>
      <c r="AC107" s="226" t="str">
        <f>IF(ISNA(VLOOKUP(T107,Export_to_ArcGIS!$A$2:$I$111,9,FALSE)),"NA",VLOOKUP(T107,Export_to_ArcGIS!$A$2:$I$111,9,FALSE))</f>
        <v>NA</v>
      </c>
      <c r="AD107" s="226" t="str">
        <f t="shared" si="7"/>
        <v>NA</v>
      </c>
    </row>
    <row r="108" spans="20:30">
      <c r="T108" s="226">
        <v>107</v>
      </c>
      <c r="U108" s="226" t="str">
        <f>sample_database!E440</f>
        <v>张明忠</v>
      </c>
      <c r="V108" s="226" t="str">
        <f>sample_database!I440</f>
        <v>NA</v>
      </c>
      <c r="W108" s="226" t="str">
        <f>sample_database!J440</f>
        <v>新平县戛洒镇耀南村花山脚金拱洞</v>
      </c>
      <c r="X108" s="226" t="str">
        <f>sample_database!K440</f>
        <v>海拔2516,2651054.1-17755397.2</v>
      </c>
      <c r="Y108" s="226" t="str">
        <f t="shared" si="5"/>
        <v>NA</v>
      </c>
      <c r="Z108" s="224" t="str">
        <f t="shared" si="6"/>
        <v>NA</v>
      </c>
      <c r="AA108" s="226">
        <f t="shared" si="8"/>
        <v>101.50827200000001</v>
      </c>
      <c r="AB108" s="226">
        <f t="shared" si="9"/>
        <v>23.940850000000001</v>
      </c>
      <c r="AC108" s="226" t="str">
        <f>IF(ISNA(VLOOKUP(T108,Export_to_ArcGIS!$A$2:$I$111,9,FALSE)),"NA",VLOOKUP(T108,Export_to_ArcGIS!$A$2:$I$111,9,FALSE))</f>
        <v>NA</v>
      </c>
      <c r="AD108" s="226" t="str">
        <f t="shared" si="7"/>
        <v>NA</v>
      </c>
    </row>
    <row r="109" spans="20:30">
      <c r="T109" s="226">
        <v>108</v>
      </c>
      <c r="U109" s="226" t="str">
        <f>sample_database!E441</f>
        <v>张明忠</v>
      </c>
      <c r="V109" s="226" t="str">
        <f>sample_database!I441</f>
        <v>NA</v>
      </c>
      <c r="W109" s="226" t="str">
        <f>sample_database!J441</f>
        <v>新平县戛洒镇耀南村花山脚金拱洞</v>
      </c>
      <c r="X109" s="226" t="str">
        <f>sample_database!K441</f>
        <v>海拔2521,2651204.1.1-17755496.1</v>
      </c>
      <c r="Y109" s="226" t="str">
        <f t="shared" si="5"/>
        <v>NA</v>
      </c>
      <c r="Z109" s="224" t="str">
        <f t="shared" si="6"/>
        <v>NA</v>
      </c>
      <c r="AA109" s="226">
        <f t="shared" si="8"/>
        <v>101.509269</v>
      </c>
      <c r="AB109" s="226">
        <f t="shared" si="9"/>
        <v>23.942187000000001</v>
      </c>
      <c r="AC109" s="226" t="str">
        <f>IF(ISNA(VLOOKUP(T109,Export_to_ArcGIS!$A$2:$I$111,9,FALSE)),"NA",VLOOKUP(T109,Export_to_ArcGIS!$A$2:$I$111,9,FALSE))</f>
        <v>NA</v>
      </c>
      <c r="AD109" s="226" t="str">
        <f t="shared" si="7"/>
        <v>NA</v>
      </c>
    </row>
    <row r="110" spans="20:30">
      <c r="T110" s="226">
        <v>109</v>
      </c>
      <c r="U110" s="226" t="str">
        <f>sample_database!E442</f>
        <v>张明忠</v>
      </c>
      <c r="V110" s="226" t="str">
        <f>sample_database!I442</f>
        <v>NA</v>
      </c>
      <c r="W110" s="226" t="str">
        <f>sample_database!J442</f>
        <v>新平县戛洒镇耀南村金山丫口</v>
      </c>
      <c r="X110" s="226" t="str">
        <f>sample_database!K442</f>
        <v>海拔2546,2650798.3-17755473.2</v>
      </c>
      <c r="Y110" s="226" t="str">
        <f t="shared" si="5"/>
        <v>NA</v>
      </c>
      <c r="Z110" s="224" t="str">
        <f t="shared" si="6"/>
        <v>NA</v>
      </c>
      <c r="AA110" s="226">
        <f t="shared" si="8"/>
        <v>101.508973</v>
      </c>
      <c r="AB110" s="226">
        <f t="shared" si="9"/>
        <v>23.938528999999999</v>
      </c>
      <c r="AC110" s="226" t="str">
        <f>IF(ISNA(VLOOKUP(T110,Export_to_ArcGIS!$A$2:$I$111,9,FALSE)),"NA",VLOOKUP(T110,Export_to_ArcGIS!$A$2:$I$111,9,FALSE))</f>
        <v>NA</v>
      </c>
      <c r="AD110" s="226" t="str">
        <f t="shared" si="7"/>
        <v>NA</v>
      </c>
    </row>
    <row r="111" spans="20:30">
      <c r="T111" s="226">
        <v>110</v>
      </c>
      <c r="U111" s="226" t="str">
        <f>sample_database!E443</f>
        <v>自正荣</v>
      </c>
      <c r="V111" s="226" t="str">
        <f>sample_database!I443</f>
        <v>NA</v>
      </c>
      <c r="W111" s="226" t="str">
        <f>sample_database!J443</f>
        <v>新平县建兴乡磨味村狗头坡组</v>
      </c>
      <c r="X111" s="226" t="str">
        <f>sample_database!K443</f>
        <v>海拔2386。N23°48′58.60″ E101°36′49.36″</v>
      </c>
      <c r="Y111" s="226" t="str">
        <f t="shared" si="5"/>
        <v>NA</v>
      </c>
      <c r="Z111" s="224" t="str">
        <f t="shared" si="6"/>
        <v>NA</v>
      </c>
      <c r="AA111" s="226">
        <f>101+36/60+49.36/3600</f>
        <v>101.6137111111111</v>
      </c>
      <c r="AB111" s="226">
        <f>23+48/60+58.6/3600</f>
        <v>23.816277777777778</v>
      </c>
      <c r="AC111" s="226" t="str">
        <f>IF(ISNA(VLOOKUP(T111,Export_to_ArcGIS!$A$2:$I$111,9,FALSE)),"NA",VLOOKUP(T111,Export_to_ArcGIS!$A$2:$I$111,9,FALSE))</f>
        <v>NA</v>
      </c>
      <c r="AD111" s="226" t="str">
        <f t="shared" si="7"/>
        <v>NA</v>
      </c>
    </row>
    <row r="112" spans="20:30">
      <c r="T112" s="226">
        <v>111</v>
      </c>
      <c r="U112" s="226" t="str">
        <f>sample_database!E444</f>
        <v>自正荣</v>
      </c>
      <c r="V112" s="226" t="str">
        <f>sample_database!I444</f>
        <v>NA</v>
      </c>
      <c r="W112" s="226" t="str">
        <f>sample_database!J444</f>
        <v>NA</v>
      </c>
      <c r="X112" s="226">
        <f>sample_database!K444</f>
        <v>0</v>
      </c>
      <c r="Y112" s="226" t="str">
        <f t="shared" si="5"/>
        <v>NA</v>
      </c>
      <c r="Z112" s="224" t="str">
        <f t="shared" si="6"/>
        <v>NA</v>
      </c>
      <c r="AA112" s="226" t="str">
        <f t="shared" si="8"/>
        <v>NA</v>
      </c>
      <c r="AB112" s="226" t="str">
        <f t="shared" si="9"/>
        <v>NA</v>
      </c>
      <c r="AC112" s="226" t="str">
        <f>IF(ISNA(VLOOKUP(T112,Export_to_ArcGIS!$A$2:$I$111,9,FALSE)),"NA",VLOOKUP(T112,Export_to_ArcGIS!$A$2:$I$111,9,FALSE))</f>
        <v>NA</v>
      </c>
      <c r="AD112" s="226" t="str">
        <f t="shared" si="7"/>
        <v>NA</v>
      </c>
    </row>
    <row r="113" spans="20:30">
      <c r="T113" s="226">
        <v>112</v>
      </c>
      <c r="U113" s="226" t="str">
        <f>sample_database!E445</f>
        <v>自正荣</v>
      </c>
      <c r="V113" s="226" t="str">
        <f>sample_database!I445</f>
        <v>NA</v>
      </c>
      <c r="W113" s="226" t="str">
        <f>sample_database!J445</f>
        <v>NA</v>
      </c>
      <c r="X113" s="226">
        <f>sample_database!K445</f>
        <v>0</v>
      </c>
      <c r="Y113" s="226" t="str">
        <f t="shared" si="5"/>
        <v>NA</v>
      </c>
      <c r="Z113" s="224" t="str">
        <f t="shared" si="6"/>
        <v>NA</v>
      </c>
      <c r="AA113" s="226" t="str">
        <f t="shared" si="8"/>
        <v>NA</v>
      </c>
      <c r="AB113" s="226" t="str">
        <f t="shared" si="9"/>
        <v>NA</v>
      </c>
      <c r="AC113" s="226" t="str">
        <f>IF(ISNA(VLOOKUP(T113,Export_to_ArcGIS!$A$2:$I$111,9,FALSE)),"NA",VLOOKUP(T113,Export_to_ArcGIS!$A$2:$I$111,9,FALSE))</f>
        <v>NA</v>
      </c>
      <c r="AD113" s="226" t="str">
        <f t="shared" si="7"/>
        <v>NA</v>
      </c>
    </row>
    <row r="114" spans="20:30">
      <c r="T114" s="226">
        <v>113</v>
      </c>
      <c r="U114" s="226" t="str">
        <f>sample_database!E446</f>
        <v>自正荣</v>
      </c>
      <c r="V114" s="226" t="str">
        <f>sample_database!I446</f>
        <v>NA</v>
      </c>
      <c r="W114" s="226" t="str">
        <f>sample_database!J446</f>
        <v>NA</v>
      </c>
      <c r="X114" s="226">
        <f>sample_database!K446</f>
        <v>0</v>
      </c>
      <c r="Y114" s="226" t="str">
        <f t="shared" si="5"/>
        <v>NA</v>
      </c>
      <c r="Z114" s="224" t="str">
        <f t="shared" si="6"/>
        <v>NA</v>
      </c>
      <c r="AA114" s="226" t="str">
        <f t="shared" si="8"/>
        <v>NA</v>
      </c>
      <c r="AB114" s="226" t="str">
        <f t="shared" si="9"/>
        <v>NA</v>
      </c>
      <c r="AC114" s="226" t="str">
        <f>IF(ISNA(VLOOKUP(T114,Export_to_ArcGIS!$A$2:$I$111,9,FALSE)),"NA",VLOOKUP(T114,Export_to_ArcGIS!$A$2:$I$111,9,FALSE))</f>
        <v>NA</v>
      </c>
      <c r="AD114" s="226" t="str">
        <f t="shared" si="7"/>
        <v>NA</v>
      </c>
    </row>
    <row r="115" spans="20:30">
      <c r="T115" s="226">
        <v>114</v>
      </c>
      <c r="U115" s="226" t="str">
        <f>sample_database!E447</f>
        <v>自正荣</v>
      </c>
      <c r="V115" s="226" t="str">
        <f>sample_database!I447</f>
        <v>NA</v>
      </c>
      <c r="W115" s="226" t="str">
        <f>sample_database!J447</f>
        <v>NA</v>
      </c>
      <c r="X115" s="226">
        <f>sample_database!K447</f>
        <v>0</v>
      </c>
      <c r="Y115" s="226" t="str">
        <f t="shared" si="5"/>
        <v>NA</v>
      </c>
      <c r="Z115" s="224" t="str">
        <f t="shared" si="6"/>
        <v>NA</v>
      </c>
      <c r="AA115" s="226" t="str">
        <f t="shared" si="8"/>
        <v>NA</v>
      </c>
      <c r="AB115" s="226" t="str">
        <f t="shared" si="9"/>
        <v>NA</v>
      </c>
      <c r="AC115" s="226" t="str">
        <f>IF(ISNA(VLOOKUP(T115,Export_to_ArcGIS!$A$2:$I$111,9,FALSE)),"NA",VLOOKUP(T115,Export_to_ArcGIS!$A$2:$I$111,9,FALSE))</f>
        <v>NA</v>
      </c>
      <c r="AD115" s="226" t="str">
        <f t="shared" si="7"/>
        <v>NA</v>
      </c>
    </row>
    <row r="116" spans="20:30">
      <c r="T116" s="226">
        <v>115</v>
      </c>
      <c r="U116" s="226" t="str">
        <f>sample_database!E448</f>
        <v>普国全</v>
      </c>
      <c r="V116" s="226" t="str">
        <f>sample_database!I448</f>
        <v>NA</v>
      </c>
      <c r="W116" s="226" t="str">
        <f>sample_database!J448</f>
        <v>新平县戛洒镇耀南村（长臂猿听点）</v>
      </c>
      <c r="X116" s="226" t="str">
        <f>sample_database!K448</f>
        <v>海拔2391，十字路口长臂猿，2651749.1-17757171.4</v>
      </c>
      <c r="Y116" s="226" t="str">
        <f t="shared" si="5"/>
        <v>NA</v>
      </c>
      <c r="Z116" s="224" t="str">
        <f t="shared" si="6"/>
        <v>NA</v>
      </c>
      <c r="AA116" s="226">
        <f t="shared" si="8"/>
        <v>101.525803</v>
      </c>
      <c r="AB116" s="226">
        <f t="shared" si="9"/>
        <v>23.946833000000002</v>
      </c>
      <c r="AC116" s="226" t="str">
        <f>IF(ISNA(VLOOKUP(T116,Export_to_ArcGIS!$A$2:$I$111,9,FALSE)),"NA",VLOOKUP(T116,Export_to_ArcGIS!$A$2:$I$111,9,FALSE))</f>
        <v>NA</v>
      </c>
      <c r="AD116" s="226" t="str">
        <f t="shared" si="7"/>
        <v>NA</v>
      </c>
    </row>
    <row r="117" spans="20:30">
      <c r="T117" s="226">
        <v>116</v>
      </c>
      <c r="U117" s="226" t="str">
        <f>sample_database!E449</f>
        <v>普国全</v>
      </c>
      <c r="V117" s="226" t="str">
        <f>sample_database!I449</f>
        <v>NA</v>
      </c>
      <c r="W117" s="226" t="str">
        <f>sample_database!J449</f>
        <v>新平县戛洒镇耀南村</v>
      </c>
      <c r="X117" s="226" t="str">
        <f>sample_database!K449</f>
        <v>海拔2546.2650708.3-17755473.2</v>
      </c>
      <c r="Y117" s="226" t="str">
        <f t="shared" si="5"/>
        <v>NA</v>
      </c>
      <c r="Z117" s="224" t="str">
        <f t="shared" si="6"/>
        <v>NA</v>
      </c>
      <c r="AA117" s="226">
        <f t="shared" si="8"/>
        <v>101.508957</v>
      </c>
      <c r="AB117" s="226">
        <f t="shared" si="9"/>
        <v>23.937716999999999</v>
      </c>
      <c r="AC117" s="226" t="str">
        <f>IF(ISNA(VLOOKUP(T117,Export_to_ArcGIS!$A$2:$I$111,9,FALSE)),"NA",VLOOKUP(T117,Export_to_ArcGIS!$A$2:$I$111,9,FALSE))</f>
        <v>NA</v>
      </c>
      <c r="AD117" s="226" t="str">
        <f t="shared" si="7"/>
        <v>NA</v>
      </c>
    </row>
    <row r="118" spans="20:30">
      <c r="T118" s="226">
        <v>117</v>
      </c>
      <c r="U118" s="226" t="str">
        <f>sample_database!E450</f>
        <v>普国全</v>
      </c>
      <c r="V118" s="226" t="str">
        <f>sample_database!I450</f>
        <v>NA</v>
      </c>
      <c r="W118" s="226" t="str">
        <f>sample_database!J450</f>
        <v>新平县戛洒镇耀南村</v>
      </c>
      <c r="X118" s="226" t="str">
        <f>sample_database!K450</f>
        <v>海拔2516.2650764.2-17755470.1</v>
      </c>
      <c r="Y118" s="226" t="str">
        <f t="shared" si="5"/>
        <v>NA</v>
      </c>
      <c r="Z118" s="224" t="str">
        <f t="shared" si="6"/>
        <v>NA</v>
      </c>
      <c r="AA118" s="226">
        <f t="shared" si="8"/>
        <v>101.508937</v>
      </c>
      <c r="AB118" s="226">
        <f t="shared" si="9"/>
        <v>23.938222</v>
      </c>
      <c r="AC118" s="226" t="str">
        <f>IF(ISNA(VLOOKUP(T118,Export_to_ArcGIS!$A$2:$I$111,9,FALSE)),"NA",VLOOKUP(T118,Export_to_ArcGIS!$A$2:$I$111,9,FALSE))</f>
        <v>NA</v>
      </c>
      <c r="AD118" s="226" t="str">
        <f t="shared" si="7"/>
        <v>NA</v>
      </c>
    </row>
    <row r="119" spans="20:30">
      <c r="T119" s="226">
        <v>118</v>
      </c>
      <c r="U119" s="226" t="str">
        <f>sample_database!E451</f>
        <v>普国全</v>
      </c>
      <c r="V119" s="226" t="str">
        <f>sample_database!I451</f>
        <v>NA</v>
      </c>
      <c r="W119" s="226" t="str">
        <f>sample_database!J451</f>
        <v>NA</v>
      </c>
      <c r="X119" s="226" t="str">
        <f>sample_database!K451</f>
        <v>海拔2174，茶马古道，2652589.4-17755865.6</v>
      </c>
      <c r="Y119" s="226" t="str">
        <f t="shared" si="5"/>
        <v>NA</v>
      </c>
      <c r="Z119" s="224" t="str">
        <f t="shared" si="6"/>
        <v>NA</v>
      </c>
      <c r="AA119" s="226">
        <f t="shared" si="8"/>
        <v>101.513133</v>
      </c>
      <c r="AB119" s="226">
        <f t="shared" si="9"/>
        <v>23.954619999999998</v>
      </c>
      <c r="AC119" s="226" t="str">
        <f>IF(ISNA(VLOOKUP(T119,Export_to_ArcGIS!$A$2:$I$111,9,FALSE)),"NA",VLOOKUP(T119,Export_to_ArcGIS!$A$2:$I$111,9,FALSE))</f>
        <v>NA</v>
      </c>
      <c r="AD119" s="226" t="str">
        <f t="shared" si="7"/>
        <v>NA</v>
      </c>
    </row>
    <row r="120" spans="20:30">
      <c r="T120" s="226">
        <v>119</v>
      </c>
      <c r="U120" s="226" t="str">
        <f>sample_database!E452</f>
        <v>普国全</v>
      </c>
      <c r="V120" s="226" t="str">
        <f>sample_database!I452</f>
        <v>NA</v>
      </c>
      <c r="W120" s="226" t="str">
        <f>sample_database!J452</f>
        <v>新平县戛洒镇耀南村</v>
      </c>
      <c r="X120" s="226" t="str">
        <f>sample_database!K452</f>
        <v>海拔2401，金山丫口，2651398.4-17754510.1</v>
      </c>
      <c r="Y120" s="226" t="str">
        <f t="shared" si="5"/>
        <v>NA</v>
      </c>
      <c r="Z120" s="224" t="str">
        <f t="shared" si="6"/>
        <v>NA</v>
      </c>
      <c r="AA120" s="226">
        <f t="shared" si="8"/>
        <v>101.499627</v>
      </c>
      <c r="AB120" s="226">
        <f t="shared" si="9"/>
        <v>23.944095000000001</v>
      </c>
      <c r="AC120" s="226" t="str">
        <f>IF(ISNA(VLOOKUP(T120,Export_to_ArcGIS!$A$2:$I$111,9,FALSE)),"NA",VLOOKUP(T120,Export_to_ArcGIS!$A$2:$I$111,9,FALSE))</f>
        <v>NA</v>
      </c>
      <c r="AD120" s="226" t="str">
        <f t="shared" si="7"/>
        <v>NA</v>
      </c>
    </row>
    <row r="121" spans="20:30">
      <c r="T121" s="226">
        <v>120</v>
      </c>
      <c r="U121" s="226" t="str">
        <f>sample_database!E453</f>
        <v>王平</v>
      </c>
      <c r="V121" s="226" t="str">
        <f>sample_database!I453</f>
        <v>NA</v>
      </c>
      <c r="W121" s="226" t="str">
        <f>sample_database!J453</f>
        <v>NA</v>
      </c>
      <c r="X121" s="226">
        <f>sample_database!K453</f>
        <v>0</v>
      </c>
      <c r="Y121" s="226" t="str">
        <f t="shared" si="5"/>
        <v>NA</v>
      </c>
      <c r="Z121" s="224" t="str">
        <f t="shared" si="6"/>
        <v>NA</v>
      </c>
      <c r="AA121" s="226" t="str">
        <f t="shared" si="8"/>
        <v>NA</v>
      </c>
      <c r="AB121" s="226" t="str">
        <f t="shared" si="9"/>
        <v>NA</v>
      </c>
      <c r="AC121" s="226" t="str">
        <f>IF(ISNA(VLOOKUP(T121,Export_to_ArcGIS!$A$2:$I$111,9,FALSE)),"NA",VLOOKUP(T121,Export_to_ArcGIS!$A$2:$I$111,9,FALSE))</f>
        <v>NA</v>
      </c>
      <c r="AD121" s="226" t="str">
        <f t="shared" si="7"/>
        <v>NA</v>
      </c>
    </row>
    <row r="122" spans="20:30">
      <c r="T122" s="226">
        <v>121</v>
      </c>
      <c r="U122" s="226" t="str">
        <f>sample_database!E454</f>
        <v>王平</v>
      </c>
      <c r="V122" s="226" t="str">
        <f>sample_database!I454</f>
        <v>NA</v>
      </c>
      <c r="W122" s="226" t="str">
        <f>sample_database!J454</f>
        <v>NA</v>
      </c>
      <c r="X122" s="226">
        <f>sample_database!K454</f>
        <v>0</v>
      </c>
      <c r="Y122" s="226" t="str">
        <f t="shared" si="5"/>
        <v>NA</v>
      </c>
      <c r="Z122" s="224" t="str">
        <f t="shared" si="6"/>
        <v>NA</v>
      </c>
      <c r="AA122" s="226" t="str">
        <f t="shared" si="8"/>
        <v>NA</v>
      </c>
      <c r="AB122" s="226" t="str">
        <f t="shared" si="9"/>
        <v>NA</v>
      </c>
      <c r="AC122" s="226" t="str">
        <f>IF(ISNA(VLOOKUP(T122,Export_to_ArcGIS!$A$2:$I$111,9,FALSE)),"NA",VLOOKUP(T122,Export_to_ArcGIS!$A$2:$I$111,9,FALSE))</f>
        <v>NA</v>
      </c>
      <c r="AD122" s="226" t="str">
        <f t="shared" si="7"/>
        <v>NA</v>
      </c>
    </row>
    <row r="123" spans="20:30">
      <c r="T123" s="226">
        <v>122</v>
      </c>
      <c r="U123" s="226" t="str">
        <f>sample_database!E455</f>
        <v>王平</v>
      </c>
      <c r="V123" s="226" t="str">
        <f>sample_database!I455</f>
        <v>NA</v>
      </c>
      <c r="W123" s="226" t="str">
        <f>sample_database!J455</f>
        <v>NA</v>
      </c>
      <c r="X123" s="226">
        <f>sample_database!K455</f>
        <v>0</v>
      </c>
      <c r="Y123" s="226" t="str">
        <f t="shared" si="5"/>
        <v>NA</v>
      </c>
      <c r="Z123" s="224" t="str">
        <f t="shared" si="6"/>
        <v>NA</v>
      </c>
      <c r="AA123" s="226" t="str">
        <f t="shared" si="8"/>
        <v>NA</v>
      </c>
      <c r="AB123" s="226" t="str">
        <f t="shared" si="9"/>
        <v>NA</v>
      </c>
      <c r="AC123" s="226" t="str">
        <f>IF(ISNA(VLOOKUP(T123,Export_to_ArcGIS!$A$2:$I$111,9,FALSE)),"NA",VLOOKUP(T123,Export_to_ArcGIS!$A$2:$I$111,9,FALSE))</f>
        <v>NA</v>
      </c>
      <c r="AD123" s="226" t="str">
        <f t="shared" si="7"/>
        <v>NA</v>
      </c>
    </row>
    <row r="124" spans="20:30">
      <c r="T124" s="226">
        <v>123</v>
      </c>
      <c r="U124" s="226" t="str">
        <f>sample_database!E456</f>
        <v>王平</v>
      </c>
      <c r="V124" s="226" t="str">
        <f>sample_database!I456</f>
        <v>NA</v>
      </c>
      <c r="W124" s="226" t="str">
        <f>sample_database!J456</f>
        <v>NA</v>
      </c>
      <c r="X124" s="226">
        <f>sample_database!K456</f>
        <v>0</v>
      </c>
      <c r="Y124" s="226" t="str">
        <f t="shared" si="5"/>
        <v>NA</v>
      </c>
      <c r="Z124" s="224" t="str">
        <f t="shared" si="6"/>
        <v>NA</v>
      </c>
      <c r="AA124" s="226" t="str">
        <f t="shared" si="8"/>
        <v>NA</v>
      </c>
      <c r="AB124" s="226" t="str">
        <f t="shared" si="9"/>
        <v>NA</v>
      </c>
      <c r="AC124" s="226" t="str">
        <f>IF(ISNA(VLOOKUP(T124,Export_to_ArcGIS!$A$2:$I$111,9,FALSE)),"NA",VLOOKUP(T124,Export_to_ArcGIS!$A$2:$I$111,9,FALSE))</f>
        <v>NA</v>
      </c>
      <c r="AD124" s="226" t="str">
        <f t="shared" si="7"/>
        <v>NA</v>
      </c>
    </row>
    <row r="125" spans="20:30">
      <c r="T125" s="226">
        <v>124</v>
      </c>
      <c r="U125" s="226" t="str">
        <f>sample_database!E457</f>
        <v>王平</v>
      </c>
      <c r="V125" s="226" t="str">
        <f>sample_database!I457</f>
        <v>NA</v>
      </c>
      <c r="W125" s="226" t="str">
        <f>sample_database!J457</f>
        <v>新平县戛沙镇仁和村坝多组</v>
      </c>
      <c r="X125" s="226" t="str">
        <f>sample_database!K457</f>
        <v>海拔1993，湾河，N23°50′31.62″ E101°57′27.32″</v>
      </c>
      <c r="Y125" s="226" t="str">
        <f t="shared" si="5"/>
        <v>NA</v>
      </c>
      <c r="Z125" s="224" t="str">
        <f t="shared" si="6"/>
        <v>NA</v>
      </c>
      <c r="AA125" s="226">
        <f>101+57/60+27.32/3600</f>
        <v>101.95758888888889</v>
      </c>
      <c r="AB125" s="226">
        <f>23+50/60+31.62/3600</f>
        <v>23.842116666666666</v>
      </c>
      <c r="AC125" s="226" t="str">
        <f>IF(ISNA(VLOOKUP(T125,Export_to_ArcGIS!$A$2:$I$111,9,FALSE)),"NA",VLOOKUP(T125,Export_to_ArcGIS!$A$2:$I$111,9,FALSE))</f>
        <v>NA</v>
      </c>
      <c r="AD125" s="226" t="str">
        <f t="shared" si="7"/>
        <v>NA</v>
      </c>
    </row>
    <row r="126" spans="20:30">
      <c r="T126" s="226">
        <v>125</v>
      </c>
      <c r="U126" s="226" t="str">
        <f>sample_database!E458</f>
        <v>李荣兵</v>
      </c>
      <c r="V126" s="226" t="str">
        <f>sample_database!I458</f>
        <v>NA</v>
      </c>
      <c r="W126" s="226" t="str">
        <f>sample_database!J458</f>
        <v>新平县戛洒镇耀南村</v>
      </c>
      <c r="X126" s="226" t="str">
        <f>sample_database!K458</f>
        <v>海拔2549,2650814.1-17755464.4</v>
      </c>
      <c r="Y126" s="226" t="str">
        <f t="shared" si="5"/>
        <v>NA</v>
      </c>
      <c r="Z126" s="224" t="str">
        <f t="shared" si="6"/>
        <v>NA</v>
      </c>
      <c r="AA126" s="226">
        <f t="shared" si="8"/>
        <v>101.508887</v>
      </c>
      <c r="AB126" s="226">
        <f t="shared" si="9"/>
        <v>23.938673999999999</v>
      </c>
      <c r="AC126" s="226" t="str">
        <f>IF(ISNA(VLOOKUP(T126,Export_to_ArcGIS!$A$2:$I$111,9,FALSE)),"NA",VLOOKUP(T126,Export_to_ArcGIS!$A$2:$I$111,9,FALSE))</f>
        <v>NA</v>
      </c>
      <c r="AD126" s="226" t="str">
        <f t="shared" si="7"/>
        <v>NA</v>
      </c>
    </row>
    <row r="127" spans="20:30">
      <c r="T127" s="226">
        <v>126</v>
      </c>
      <c r="U127" s="226" t="str">
        <f>sample_database!E459</f>
        <v>李荣兵</v>
      </c>
      <c r="V127" s="226" t="str">
        <f>sample_database!I459</f>
        <v>NA</v>
      </c>
      <c r="W127" s="226" t="str">
        <f>sample_database!J459</f>
        <v>新平县戛洒镇耀南村花山路</v>
      </c>
      <c r="X127" s="226" t="str">
        <f>sample_database!K459</f>
        <v>海拔2491,2650879.1-17755419.1</v>
      </c>
      <c r="Y127" s="226" t="str">
        <f t="shared" si="5"/>
        <v>NA</v>
      </c>
      <c r="Z127" s="224" t="str">
        <f t="shared" si="6"/>
        <v>NA</v>
      </c>
      <c r="AA127" s="226">
        <f t="shared" si="8"/>
        <v>101.50845700000001</v>
      </c>
      <c r="AB127" s="226">
        <f t="shared" si="9"/>
        <v>23.939267999999998</v>
      </c>
      <c r="AC127" s="226" t="str">
        <f>IF(ISNA(VLOOKUP(T127,Export_to_ArcGIS!$A$2:$I$111,9,FALSE)),"NA",VLOOKUP(T127,Export_to_ArcGIS!$A$2:$I$111,9,FALSE))</f>
        <v>NA</v>
      </c>
      <c r="AD127" s="226" t="str">
        <f t="shared" si="7"/>
        <v>NA</v>
      </c>
    </row>
    <row r="128" spans="20:30">
      <c r="T128" s="226">
        <v>127</v>
      </c>
      <c r="U128" s="226" t="str">
        <f>sample_database!E460</f>
        <v>李荣兵</v>
      </c>
      <c r="V128" s="226" t="str">
        <f>sample_database!I460</f>
        <v>NA</v>
      </c>
      <c r="W128" s="226" t="str">
        <f>sample_database!J460</f>
        <v>新平县戛洒镇耀南村花山</v>
      </c>
      <c r="X128" s="226" t="str">
        <f>sample_database!K460</f>
        <v>海拔2571,2650790.1-17755466.5</v>
      </c>
      <c r="Y128" s="226" t="str">
        <f t="shared" si="5"/>
        <v>NA</v>
      </c>
      <c r="Z128" s="224" t="str">
        <f t="shared" si="6"/>
        <v>NA</v>
      </c>
      <c r="AA128" s="226">
        <f t="shared" si="8"/>
        <v>101.508903</v>
      </c>
      <c r="AB128" s="226">
        <f t="shared" si="9"/>
        <v>23.938457</v>
      </c>
      <c r="AC128" s="226" t="str">
        <f>IF(ISNA(VLOOKUP(T128,Export_to_ArcGIS!$A$2:$I$111,9,FALSE)),"NA",VLOOKUP(T128,Export_to_ArcGIS!$A$2:$I$111,9,FALSE))</f>
        <v>NA</v>
      </c>
      <c r="AD128" s="226" t="str">
        <f t="shared" si="7"/>
        <v>NA</v>
      </c>
    </row>
    <row r="129" spans="20:30">
      <c r="T129" s="226">
        <v>128</v>
      </c>
      <c r="U129" s="226" t="str">
        <f>sample_database!E461</f>
        <v>李荣兵</v>
      </c>
      <c r="V129" s="226" t="str">
        <f>sample_database!I461</f>
        <v>NA</v>
      </c>
      <c r="W129" s="226" t="str">
        <f>sample_database!J461</f>
        <v>新平县戛洒镇耀南村金拱洞上边</v>
      </c>
      <c r="X129" s="226" t="str">
        <f>sample_database!K461</f>
        <v>海拔2508,265099.1-17755420.3</v>
      </c>
      <c r="Y129" s="226" t="str">
        <f t="shared" si="5"/>
        <v>NA</v>
      </c>
      <c r="Z129" s="224" t="str">
        <f t="shared" si="6"/>
        <v>NA</v>
      </c>
      <c r="AA129" s="226">
        <f t="shared" si="8"/>
        <v>101.508486</v>
      </c>
      <c r="AB129" s="226">
        <f t="shared" si="9"/>
        <v>23.940269000000001</v>
      </c>
      <c r="AC129" s="226" t="str">
        <f>IF(ISNA(VLOOKUP(T129,Export_to_ArcGIS!$A$2:$I$111,9,FALSE)),"NA",VLOOKUP(T129,Export_to_ArcGIS!$A$2:$I$111,9,FALSE))</f>
        <v>NA</v>
      </c>
      <c r="AD129" s="226" t="str">
        <f t="shared" si="7"/>
        <v>NA</v>
      </c>
    </row>
    <row r="130" spans="20:30">
      <c r="T130" s="226">
        <v>129</v>
      </c>
      <c r="U130" s="226" t="str">
        <f>sample_database!E462</f>
        <v>李荣兵</v>
      </c>
      <c r="V130" s="226" t="str">
        <f>sample_database!I462</f>
        <v>NA</v>
      </c>
      <c r="W130" s="226" t="str">
        <f>sample_database!J462</f>
        <v>新平县戛洒镇耀南村</v>
      </c>
      <c r="X130" s="226" t="str">
        <f>sample_database!K462</f>
        <v>海拔2571,2650790.1-17755466.5</v>
      </c>
      <c r="Y130" s="226" t="str">
        <f t="shared" si="5"/>
        <v>NA</v>
      </c>
      <c r="Z130" s="224" t="str">
        <f t="shared" si="6"/>
        <v>NA</v>
      </c>
      <c r="AA130" s="226">
        <f t="shared" si="8"/>
        <v>101.508903</v>
      </c>
      <c r="AB130" s="226">
        <f t="shared" si="9"/>
        <v>23.938457</v>
      </c>
      <c r="AC130" s="226" t="str">
        <f>IF(ISNA(VLOOKUP(T130,Export_to_ArcGIS!$A$2:$I$111,9,FALSE)),"NA",VLOOKUP(T130,Export_to_ArcGIS!$A$2:$I$111,9,FALSE))</f>
        <v>NA</v>
      </c>
      <c r="AD130" s="226" t="str">
        <f t="shared" si="7"/>
        <v>NA</v>
      </c>
    </row>
    <row r="131" spans="20:30">
      <c r="T131" s="226">
        <v>130</v>
      </c>
      <c r="U131" s="226" t="str">
        <f>sample_database!E463</f>
        <v>四-李世冲</v>
      </c>
      <c r="V131" s="226" t="str">
        <f>sample_database!I463</f>
        <v>NA</v>
      </c>
      <c r="W131" s="226" t="str">
        <f>sample_database!J463</f>
        <v>新平县戛洒发启火山</v>
      </c>
      <c r="X131" s="226" t="str">
        <f>sample_database!K463</f>
        <v>海拔2111.3，2658807.7-17755085.0</v>
      </c>
      <c r="Y131" s="226" t="str">
        <f t="shared" ref="Y131:Y174" si="12">IF(ISNA(VLOOKUP(U131,$P$2:$R$67,3,FALSE)),"NA",VLOOKUP(U131,$P$2:$R$67,3,FALSE))</f>
        <v>NA</v>
      </c>
      <c r="Z131" s="224" t="str">
        <f t="shared" ref="Z131:AB174" si="13">IF(ISNA(VLOOKUP(V131,$P$2:$R$67,3,FALSE)),"NA",VLOOKUP(V131,$P$2:$R$67,3,FALSE))</f>
        <v>NA</v>
      </c>
      <c r="AA131" s="226">
        <f t="shared" si="8"/>
        <v>101.506563</v>
      </c>
      <c r="AB131" s="226">
        <f t="shared" si="9"/>
        <v>24.010831</v>
      </c>
      <c r="AC131" s="226" t="str">
        <f>IF(ISNA(VLOOKUP(T131,Export_to_ArcGIS!$A$2:$I$111,9,FALSE)),"NA",VLOOKUP(T131,Export_to_ArcGIS!$A$2:$I$111,9,FALSE))</f>
        <v>NA</v>
      </c>
      <c r="AD131" s="226" t="str">
        <f t="shared" ref="AD131:AD174" si="14">IF(Y131&lt;&gt;"NA",Y131,AC131)</f>
        <v>NA</v>
      </c>
    </row>
    <row r="132" spans="20:30">
      <c r="T132" s="226">
        <v>131</v>
      </c>
      <c r="U132" s="226" t="str">
        <f>sample_database!E464</f>
        <v>四-李世冲</v>
      </c>
      <c r="V132" s="226" t="str">
        <f>sample_database!I464</f>
        <v>NA</v>
      </c>
      <c r="W132" s="226" t="str">
        <f>sample_database!J464</f>
        <v>新平县戛洒发启火山</v>
      </c>
      <c r="X132" s="226" t="str">
        <f>sample_database!K464</f>
        <v>海拔2225.9，2658710.3-17755048.6</v>
      </c>
      <c r="Y132" s="226" t="str">
        <f t="shared" si="12"/>
        <v>NA</v>
      </c>
      <c r="Z132" s="224" t="str">
        <f t="shared" si="13"/>
        <v>NA</v>
      </c>
      <c r="AA132" s="226">
        <f t="shared" si="8"/>
        <v>101.50618299999999</v>
      </c>
      <c r="AB132" s="226">
        <f t="shared" si="9"/>
        <v>24.009962000000002</v>
      </c>
      <c r="AC132" s="226" t="str">
        <f>IF(ISNA(VLOOKUP(T132,Export_to_ArcGIS!$A$2:$I$111,9,FALSE)),"NA",VLOOKUP(T132,Export_to_ArcGIS!$A$2:$I$111,9,FALSE))</f>
        <v>NA</v>
      </c>
      <c r="AD132" s="226" t="str">
        <f t="shared" si="14"/>
        <v>NA</v>
      </c>
    </row>
    <row r="133" spans="20:30">
      <c r="T133" s="226">
        <v>132</v>
      </c>
      <c r="U133" s="226" t="str">
        <f>sample_database!E465</f>
        <v>四-李宗平</v>
      </c>
      <c r="V133" s="226" t="str">
        <f>sample_database!I465</f>
        <v>NA</v>
      </c>
      <c r="W133" s="226" t="str">
        <f>sample_database!J465</f>
        <v>新平县戛洒镇耀南村云盘</v>
      </c>
      <c r="X133" s="226" t="str">
        <f>sample_database!K465</f>
        <v>海拔2203，2658725.4-17755056.2</v>
      </c>
      <c r="Y133" s="226" t="str">
        <f t="shared" si="12"/>
        <v>NA</v>
      </c>
      <c r="Z133" s="224" t="str">
        <f t="shared" si="13"/>
        <v>NA</v>
      </c>
      <c r="AA133" s="226">
        <f t="shared" si="8"/>
        <v>101.506264</v>
      </c>
      <c r="AB133" s="226">
        <f t="shared" si="9"/>
        <v>24.010096000000001</v>
      </c>
      <c r="AC133" s="226" t="str">
        <f>IF(ISNA(VLOOKUP(T133,Export_to_ArcGIS!$A$2:$I$111,9,FALSE)),"NA",VLOOKUP(T133,Export_to_ArcGIS!$A$2:$I$111,9,FALSE))</f>
        <v>NA</v>
      </c>
      <c r="AD133" s="226" t="str">
        <f t="shared" si="14"/>
        <v>NA</v>
      </c>
    </row>
    <row r="134" spans="20:30">
      <c r="T134" s="226">
        <v>133</v>
      </c>
      <c r="U134" s="226" t="str">
        <f>sample_database!E466</f>
        <v>四-李荣昌</v>
      </c>
      <c r="V134" s="226" t="str">
        <f>sample_database!I466</f>
        <v>NA</v>
      </c>
      <c r="W134" s="226" t="str">
        <f>sample_database!J466</f>
        <v>新平县戛洒发启盘龙</v>
      </c>
      <c r="X134" s="226" t="str">
        <f>sample_database!K466</f>
        <v>海拔2124，2658804.7-17755022.0</v>
      </c>
      <c r="Y134" s="226" t="str">
        <f t="shared" si="12"/>
        <v>NA</v>
      </c>
      <c r="Z134" s="224" t="str">
        <f t="shared" si="13"/>
        <v>NA</v>
      </c>
      <c r="AA134" s="226">
        <f t="shared" si="8"/>
        <v>101.505944</v>
      </c>
      <c r="AB134" s="226">
        <f t="shared" si="9"/>
        <v>24.010814</v>
      </c>
      <c r="AC134" s="226" t="str">
        <f>IF(ISNA(VLOOKUP(T134,Export_to_ArcGIS!$A$2:$I$111,9,FALSE)),"NA",VLOOKUP(T134,Export_to_ArcGIS!$A$2:$I$111,9,FALSE))</f>
        <v>NA</v>
      </c>
      <c r="AD134" s="226" t="str">
        <f t="shared" si="14"/>
        <v>NA</v>
      </c>
    </row>
    <row r="135" spans="20:30">
      <c r="T135" s="226">
        <v>134</v>
      </c>
      <c r="U135" s="226" t="str">
        <f>sample_database!E467</f>
        <v>四-余朝明</v>
      </c>
      <c r="V135" s="226" t="str">
        <f>sample_database!I467</f>
        <v>NA</v>
      </c>
      <c r="W135" s="226" t="str">
        <f>sample_database!J467</f>
        <v>新平县戛洒镇耀南村徐？草塘22号</v>
      </c>
      <c r="X135" s="226" t="str">
        <f>sample_database!K467</f>
        <v>海拔2197.4，2658735.2-17755045.4</v>
      </c>
      <c r="Y135" s="226" t="str">
        <f t="shared" si="12"/>
        <v>NA</v>
      </c>
      <c r="Z135" s="224" t="str">
        <f t="shared" si="13"/>
        <v>NA</v>
      </c>
      <c r="AA135" s="226">
        <f t="shared" si="8"/>
        <v>101.506158</v>
      </c>
      <c r="AB135" s="226">
        <f t="shared" si="9"/>
        <v>24.010187999999999</v>
      </c>
      <c r="AC135" s="226" t="str">
        <f>IF(ISNA(VLOOKUP(T135,Export_to_ArcGIS!$A$2:$I$111,9,FALSE)),"NA",VLOOKUP(T135,Export_to_ArcGIS!$A$2:$I$111,9,FALSE))</f>
        <v>NA</v>
      </c>
      <c r="AD135" s="226" t="str">
        <f t="shared" si="14"/>
        <v>NA</v>
      </c>
    </row>
    <row r="136" spans="20:30">
      <c r="T136" s="226">
        <v>135</v>
      </c>
      <c r="U136" s="226" t="str">
        <f>sample_database!E468</f>
        <v>吴丙华</v>
      </c>
      <c r="V136" s="226" t="str">
        <f>sample_database!I468</f>
        <v>NA</v>
      </c>
      <c r="W136" s="226" t="str">
        <f>sample_database!J468</f>
        <v>景东花山秀龙大山组苦桥地洞</v>
      </c>
      <c r="X136" s="226">
        <f>sample_database!K468</f>
        <v>0</v>
      </c>
      <c r="Y136" s="226">
        <f t="shared" si="12"/>
        <v>120</v>
      </c>
      <c r="Z136" s="224" t="str">
        <f t="shared" si="13"/>
        <v>NA</v>
      </c>
      <c r="AA136" s="226" t="str">
        <f t="shared" si="8"/>
        <v>NA</v>
      </c>
      <c r="AB136" s="226" t="str">
        <f t="shared" si="9"/>
        <v>NA</v>
      </c>
      <c r="AC136" s="226" t="str">
        <f>IF(ISNA(VLOOKUP(T136,Export_to_ArcGIS!$A$2:$I$111,9,FALSE)),"NA",VLOOKUP(T136,Export_to_ArcGIS!$A$2:$I$111,9,FALSE))</f>
        <v>NA</v>
      </c>
      <c r="AD136" s="226">
        <f t="shared" si="14"/>
        <v>120</v>
      </c>
    </row>
    <row r="137" spans="20:30">
      <c r="T137" s="226">
        <v>136</v>
      </c>
      <c r="U137" s="226" t="str">
        <f>sample_database!E469</f>
        <v>吴丙华</v>
      </c>
      <c r="V137" s="226" t="str">
        <f>sample_database!I469</f>
        <v>NA</v>
      </c>
      <c r="W137" s="226" t="str">
        <f>sample_database!J469</f>
        <v>景东花山秀龙大山组猴子蜗尿箐</v>
      </c>
      <c r="X137" s="226">
        <f>sample_database!K469</f>
        <v>0</v>
      </c>
      <c r="Y137" s="226">
        <f t="shared" si="12"/>
        <v>120</v>
      </c>
      <c r="Z137" s="224" t="str">
        <f t="shared" si="13"/>
        <v>NA</v>
      </c>
      <c r="AA137" s="226" t="str">
        <f t="shared" si="8"/>
        <v>NA</v>
      </c>
      <c r="AB137" s="226" t="str">
        <f t="shared" si="9"/>
        <v>NA</v>
      </c>
      <c r="AC137" s="226" t="str">
        <f>IF(ISNA(VLOOKUP(T137,Export_to_ArcGIS!$A$2:$I$111,9,FALSE)),"NA",VLOOKUP(T137,Export_to_ArcGIS!$A$2:$I$111,9,FALSE))</f>
        <v>NA</v>
      </c>
      <c r="AD137" s="226">
        <f t="shared" si="14"/>
        <v>120</v>
      </c>
    </row>
    <row r="138" spans="20:30">
      <c r="T138" s="226">
        <v>137</v>
      </c>
      <c r="U138" s="226" t="str">
        <f>sample_database!E470</f>
        <v>吴丙华</v>
      </c>
      <c r="V138" s="226" t="str">
        <f>sample_database!I470</f>
        <v>NA</v>
      </c>
      <c r="W138" s="226" t="str">
        <f>sample_database!J470</f>
        <v>景东花山秀龙大山组新草子打洞处</v>
      </c>
      <c r="X138" s="226">
        <f>sample_database!K470</f>
        <v>0</v>
      </c>
      <c r="Y138" s="226">
        <f t="shared" si="12"/>
        <v>120</v>
      </c>
      <c r="Z138" s="224" t="str">
        <f t="shared" si="13"/>
        <v>NA</v>
      </c>
      <c r="AA138" s="226" t="str">
        <f t="shared" si="8"/>
        <v>NA</v>
      </c>
      <c r="AB138" s="226" t="str">
        <f t="shared" si="9"/>
        <v>NA</v>
      </c>
      <c r="AC138" s="226" t="str">
        <f>IF(ISNA(VLOOKUP(T138,Export_to_ArcGIS!$A$2:$I$111,9,FALSE)),"NA",VLOOKUP(T138,Export_to_ArcGIS!$A$2:$I$111,9,FALSE))</f>
        <v>NA</v>
      </c>
      <c r="AD138" s="226">
        <f t="shared" si="14"/>
        <v>120</v>
      </c>
    </row>
    <row r="139" spans="20:30">
      <c r="T139" s="226">
        <v>138</v>
      </c>
      <c r="U139" s="226" t="str">
        <f>sample_database!E471</f>
        <v>杨华安</v>
      </c>
      <c r="V139" s="226" t="str">
        <f>sample_database!I471</f>
        <v>NA</v>
      </c>
      <c r="W139" s="226" t="str">
        <f>sample_database!J471</f>
        <v>龙街乡垭口村小看马组</v>
      </c>
      <c r="X139" s="226">
        <f>sample_database!K471</f>
        <v>0</v>
      </c>
      <c r="Y139" s="226" t="str">
        <f t="shared" si="12"/>
        <v>NA</v>
      </c>
      <c r="Z139" s="224" t="str">
        <f t="shared" si="13"/>
        <v>NA</v>
      </c>
      <c r="AA139" s="226" t="str">
        <f t="shared" si="8"/>
        <v>NA</v>
      </c>
      <c r="AB139" s="226" t="str">
        <f t="shared" si="9"/>
        <v>NA</v>
      </c>
      <c r="AC139" s="226" t="str">
        <f>IF(ISNA(VLOOKUP(T139,Export_to_ArcGIS!$A$2:$I$111,9,FALSE)),"NA",VLOOKUP(T139,Export_to_ArcGIS!$A$2:$I$111,9,FALSE))</f>
        <v>NA</v>
      </c>
      <c r="AD139" s="226" t="str">
        <f t="shared" si="14"/>
        <v>NA</v>
      </c>
    </row>
    <row r="140" spans="20:30">
      <c r="T140" s="226">
        <v>139</v>
      </c>
      <c r="U140" s="226" t="str">
        <f>sample_database!E472</f>
        <v>杨华安</v>
      </c>
      <c r="V140" s="226" t="str">
        <f>sample_database!I472</f>
        <v>NA</v>
      </c>
      <c r="W140" s="226" t="str">
        <f>sample_database!J472</f>
        <v>龙街乡垭口村小看马组</v>
      </c>
      <c r="X140" s="226">
        <f>sample_database!K472</f>
        <v>0</v>
      </c>
      <c r="Y140" s="226" t="str">
        <f t="shared" si="12"/>
        <v>NA</v>
      </c>
      <c r="Z140" s="224" t="str">
        <f t="shared" si="13"/>
        <v>NA</v>
      </c>
      <c r="AA140" s="226" t="str">
        <f t="shared" si="8"/>
        <v>NA</v>
      </c>
      <c r="AB140" s="226" t="str">
        <f t="shared" si="9"/>
        <v>NA</v>
      </c>
      <c r="AC140" s="226" t="str">
        <f>IF(ISNA(VLOOKUP(T140,Export_to_ArcGIS!$A$2:$I$111,9,FALSE)),"NA",VLOOKUP(T140,Export_to_ArcGIS!$A$2:$I$111,9,FALSE))</f>
        <v>NA</v>
      </c>
      <c r="AD140" s="226" t="str">
        <f t="shared" si="14"/>
        <v>NA</v>
      </c>
    </row>
    <row r="141" spans="20:30">
      <c r="T141" s="226">
        <v>140</v>
      </c>
      <c r="U141" s="226" t="str">
        <f>sample_database!E473</f>
        <v>杨朝华</v>
      </c>
      <c r="V141" s="226" t="str">
        <f>sample_database!I473</f>
        <v>NA</v>
      </c>
      <c r="W141" s="226" t="str">
        <f>sample_database!J473</f>
        <v>景东县太忠镇方家箐村上村组</v>
      </c>
      <c r="X141" s="226" t="str">
        <f>sample_database!K473</f>
        <v>海拔2450，N24°31′56.74″ E101°0′26.5″</v>
      </c>
      <c r="Y141" s="226">
        <f t="shared" si="12"/>
        <v>107</v>
      </c>
      <c r="Z141" s="224" t="str">
        <f t="shared" si="13"/>
        <v>NA</v>
      </c>
      <c r="AA141" s="226">
        <f>101+0/60+26.5/3600</f>
        <v>101.00736111111111</v>
      </c>
      <c r="AB141" s="226">
        <f>24+31/60+56.74/3600</f>
        <v>24.532427777777777</v>
      </c>
      <c r="AC141" s="226">
        <f>IF(ISNA(VLOOKUP(T141,Export_to_ArcGIS!$A$2:$I$111,9,FALSE)),"NA",VLOOKUP(T141,Export_to_ArcGIS!$A$2:$I$111,9,FALSE))</f>
        <v>107</v>
      </c>
      <c r="AD141" s="226">
        <f t="shared" si="14"/>
        <v>107</v>
      </c>
    </row>
    <row r="142" spans="20:30">
      <c r="T142" s="226">
        <v>141</v>
      </c>
      <c r="U142" s="226" t="str">
        <f>sample_database!E474</f>
        <v>杨朝华</v>
      </c>
      <c r="V142" s="226" t="str">
        <f>sample_database!I474</f>
        <v>NA</v>
      </c>
      <c r="W142" s="226" t="str">
        <f>sample_database!J474</f>
        <v>景东县太忠镇方家箐村上村组</v>
      </c>
      <c r="X142" s="226" t="str">
        <f>sample_database!K474</f>
        <v>海拔2483，N24°33′45.65″ E101°0′54.4″</v>
      </c>
      <c r="Y142" s="226">
        <f t="shared" si="12"/>
        <v>107</v>
      </c>
      <c r="Z142" s="224" t="str">
        <f t="shared" si="13"/>
        <v>NA</v>
      </c>
      <c r="AA142" s="226">
        <f>101+0/60+54.4/3600</f>
        <v>101.01511111111111</v>
      </c>
      <c r="AB142" s="226">
        <f>24+33/60+45.65/3600</f>
        <v>24.562680555555556</v>
      </c>
      <c r="AC142" s="226">
        <f>IF(ISNA(VLOOKUP(T142,Export_to_ArcGIS!$A$2:$I$111,9,FALSE)),"NA",VLOOKUP(T142,Export_to_ArcGIS!$A$2:$I$111,9,FALSE))</f>
        <v>105</v>
      </c>
      <c r="AD142" s="226">
        <f t="shared" si="14"/>
        <v>107</v>
      </c>
    </row>
    <row r="143" spans="20:30">
      <c r="T143" s="226">
        <v>142</v>
      </c>
      <c r="U143" s="226" t="str">
        <f>sample_database!E475</f>
        <v>杨朝华</v>
      </c>
      <c r="V143" s="226" t="str">
        <f>sample_database!I475</f>
        <v>NA</v>
      </c>
      <c r="W143" s="226" t="str">
        <f>sample_database!J475</f>
        <v>景东县太忠镇方家箐村上村组</v>
      </c>
      <c r="X143" s="226" t="str">
        <f>sample_database!K475</f>
        <v>海拔2456，N24°32′22.6″ E101°0′25.23″</v>
      </c>
      <c r="Y143" s="226">
        <f t="shared" si="12"/>
        <v>107</v>
      </c>
      <c r="Z143" s="224" t="str">
        <f t="shared" si="13"/>
        <v>NA</v>
      </c>
      <c r="AA143" s="226">
        <f>101+0/60+25.23/3600</f>
        <v>101.00700833333333</v>
      </c>
      <c r="AB143" s="226">
        <f>24+32/60+22.6/3600</f>
        <v>24.539611111111114</v>
      </c>
      <c r="AC143" s="226">
        <f>IF(ISNA(VLOOKUP(T143,Export_to_ArcGIS!$A$2:$I$111,9,FALSE)),"NA",VLOOKUP(T143,Export_to_ArcGIS!$A$2:$I$111,9,FALSE))</f>
        <v>107</v>
      </c>
      <c r="AD143" s="226">
        <f t="shared" si="14"/>
        <v>107</v>
      </c>
    </row>
    <row r="144" spans="20:30">
      <c r="T144" s="226">
        <v>143</v>
      </c>
      <c r="U144" s="226" t="str">
        <f>sample_database!E476</f>
        <v>杨朝华</v>
      </c>
      <c r="V144" s="226" t="str">
        <f>sample_database!I476</f>
        <v>NA</v>
      </c>
      <c r="W144" s="226" t="str">
        <f>sample_database!J476</f>
        <v>景东县太忠镇方家箐村上村组</v>
      </c>
      <c r="X144" s="226" t="str">
        <f>sample_database!K476</f>
        <v>海拔2456，N24°32′11.15″ E101°0′26.86″</v>
      </c>
      <c r="Y144" s="226">
        <f t="shared" si="12"/>
        <v>107</v>
      </c>
      <c r="Z144" s="224" t="str">
        <f t="shared" si="13"/>
        <v>NA</v>
      </c>
      <c r="AA144" s="226">
        <f>101+0/60+26.86/3600</f>
        <v>101.00746111111111</v>
      </c>
      <c r="AB144" s="226">
        <f>24+32/60+11.15/3600</f>
        <v>24.536430555555558</v>
      </c>
      <c r="AC144" s="226">
        <f>IF(ISNA(VLOOKUP(T144,Export_to_ArcGIS!$A$2:$I$111,9,FALSE)),"NA",VLOOKUP(T144,Export_to_ArcGIS!$A$2:$I$111,9,FALSE))</f>
        <v>107</v>
      </c>
      <c r="AD144" s="226">
        <f t="shared" si="14"/>
        <v>107</v>
      </c>
    </row>
    <row r="145" spans="20:30">
      <c r="T145" s="226">
        <v>144</v>
      </c>
      <c r="U145" s="226" t="str">
        <f>sample_database!E477</f>
        <v>王太如</v>
      </c>
      <c r="V145" s="226" t="str">
        <f>sample_database!I477</f>
        <v>NA</v>
      </c>
      <c r="W145" s="226" t="str">
        <f>sample_database!J477</f>
        <v>楚雄西舍路闸上村委会苍铺塘村</v>
      </c>
      <c r="X145" s="226" t="str">
        <f>sample_database!K477</f>
        <v>海拔2319，N24°38.5358 E101°00.5966</v>
      </c>
      <c r="Y145" s="226" t="str">
        <f t="shared" si="12"/>
        <v>NA</v>
      </c>
      <c r="Z145" s="224" t="str">
        <f t="shared" si="13"/>
        <v>NA</v>
      </c>
      <c r="AA145" s="226">
        <f>101+0.5966/60</f>
        <v>101.00994333333334</v>
      </c>
      <c r="AB145" s="226">
        <f>24+38.5358/60</f>
        <v>24.642263333333332</v>
      </c>
      <c r="AC145" s="226" t="str">
        <f>IF(ISNA(VLOOKUP(T145,Export_to_ArcGIS!$A$2:$I$111,9,FALSE)),"NA",VLOOKUP(T145,Export_to_ArcGIS!$A$2:$I$111,9,FALSE))</f>
        <v>NA</v>
      </c>
      <c r="AD145" s="226" t="str">
        <f t="shared" si="14"/>
        <v>NA</v>
      </c>
    </row>
    <row r="146" spans="20:30">
      <c r="T146" s="226">
        <v>145</v>
      </c>
      <c r="U146" s="226" t="str">
        <f>sample_database!E478</f>
        <v>王太如</v>
      </c>
      <c r="V146" s="226" t="str">
        <f>sample_database!I478</f>
        <v>NA</v>
      </c>
      <c r="W146" s="226" t="str">
        <f>sample_database!J478</f>
        <v>楚雄西舍路闸上村委会苍铺塘村</v>
      </c>
      <c r="X146" s="226" t="str">
        <f>sample_database!K478</f>
        <v>海拔2610，N24°38.2431 E100°59.9596</v>
      </c>
      <c r="Y146" s="226" t="str">
        <f t="shared" si="12"/>
        <v>NA</v>
      </c>
      <c r="Z146" s="224" t="str">
        <f t="shared" si="13"/>
        <v>NA</v>
      </c>
      <c r="AA146" s="226">
        <f>100+59.9596/60</f>
        <v>100.99932666666666</v>
      </c>
      <c r="AB146" s="226">
        <f>24+38.2431/60</f>
        <v>24.637384999999998</v>
      </c>
      <c r="AC146" s="226">
        <f>IF(ISNA(VLOOKUP(T146,Export_to_ArcGIS!$A$2:$I$111,9,FALSE)),"NA",VLOOKUP(T146,Export_to_ArcGIS!$A$2:$I$111,9,FALSE))</f>
        <v>77</v>
      </c>
      <c r="AD146" s="226">
        <f t="shared" si="14"/>
        <v>77</v>
      </c>
    </row>
    <row r="147" spans="20:30">
      <c r="T147" s="226">
        <v>146</v>
      </c>
      <c r="U147" s="226" t="str">
        <f>sample_database!E479</f>
        <v>王太如</v>
      </c>
      <c r="V147" s="226" t="str">
        <f>sample_database!I479</f>
        <v>NA</v>
      </c>
      <c r="W147" s="226" t="str">
        <f>sample_database!J479</f>
        <v>楚雄西舍路闸上村委会苍铺塘村</v>
      </c>
      <c r="X147" s="226" t="str">
        <f>sample_database!K479</f>
        <v>海拔2612，N24°38.2866 E100°59.9517</v>
      </c>
      <c r="Y147" s="226" t="str">
        <f t="shared" si="12"/>
        <v>NA</v>
      </c>
      <c r="Z147" s="224" t="str">
        <f t="shared" si="13"/>
        <v>NA</v>
      </c>
      <c r="AA147" s="226">
        <f>100+59.9517/60</f>
        <v>100.999195</v>
      </c>
      <c r="AB147" s="226">
        <f>24+38.2866/60</f>
        <v>24.638110000000001</v>
      </c>
      <c r="AC147" s="226">
        <f>IF(ISNA(VLOOKUP(T147,Export_to_ArcGIS!$A$2:$I$111,9,FALSE)),"NA",VLOOKUP(T147,Export_to_ArcGIS!$A$2:$I$111,9,FALSE))</f>
        <v>77</v>
      </c>
      <c r="AD147" s="226">
        <f t="shared" si="14"/>
        <v>77</v>
      </c>
    </row>
    <row r="148" spans="20:30">
      <c r="T148" s="226">
        <v>147</v>
      </c>
      <c r="U148" s="226" t="str">
        <f>sample_database!E480</f>
        <v>王太如</v>
      </c>
      <c r="V148" s="226" t="str">
        <f>sample_database!I480</f>
        <v>NA</v>
      </c>
      <c r="W148" s="226" t="str">
        <f>sample_database!J480</f>
        <v>楚雄西舍路闸上村委会苍铺塘村</v>
      </c>
      <c r="X148" s="226" t="str">
        <f>sample_database!K480</f>
        <v>海拔2617，N24°38.1868 E100°59.9710</v>
      </c>
      <c r="Y148" s="226" t="str">
        <f t="shared" si="12"/>
        <v>NA</v>
      </c>
      <c r="Z148" s="224" t="str">
        <f t="shared" si="13"/>
        <v>NA</v>
      </c>
      <c r="AA148" s="226">
        <f>100+59.971/60</f>
        <v>100.99951666666666</v>
      </c>
      <c r="AB148" s="226">
        <f>24+38.1868/60</f>
        <v>24.636446666666668</v>
      </c>
      <c r="AC148" s="226">
        <f>IF(ISNA(VLOOKUP(T148,Export_to_ArcGIS!$A$2:$I$111,9,FALSE)),"NA",VLOOKUP(T148,Export_to_ArcGIS!$A$2:$I$111,9,FALSE))</f>
        <v>77</v>
      </c>
      <c r="AD148" s="226">
        <f t="shared" si="14"/>
        <v>77</v>
      </c>
    </row>
    <row r="149" spans="20:30">
      <c r="T149" s="226">
        <v>148</v>
      </c>
      <c r="U149" s="226" t="str">
        <f>sample_database!E481</f>
        <v>王太如</v>
      </c>
      <c r="V149" s="226" t="str">
        <f>sample_database!I481</f>
        <v>NA</v>
      </c>
      <c r="W149" s="226" t="str">
        <f>sample_database!J481</f>
        <v>楚雄西舍路闸上村委会苍铺塘村</v>
      </c>
      <c r="X149" s="226" t="str">
        <f>sample_database!K481</f>
        <v>海拔2621，N24°38.1674 E101°00.0453</v>
      </c>
      <c r="Y149" s="226" t="str">
        <f t="shared" si="12"/>
        <v>NA</v>
      </c>
      <c r="Z149" s="224" t="str">
        <f t="shared" si="13"/>
        <v>NA</v>
      </c>
      <c r="AA149" s="226">
        <f>101+0.0453/60</f>
        <v>101.000755</v>
      </c>
      <c r="AB149" s="226">
        <f>24+38.1674/60</f>
        <v>24.636123333333334</v>
      </c>
      <c r="AC149" s="226">
        <f>IF(ISNA(VLOOKUP(T149,Export_to_ArcGIS!$A$2:$I$111,9,FALSE)),"NA",VLOOKUP(T149,Export_to_ArcGIS!$A$2:$I$111,9,FALSE))</f>
        <v>37</v>
      </c>
      <c r="AD149" s="226">
        <f t="shared" si="14"/>
        <v>37</v>
      </c>
    </row>
    <row r="150" spans="20:30">
      <c r="T150" s="226">
        <v>149</v>
      </c>
      <c r="U150" s="226" t="str">
        <f>sample_database!E482</f>
        <v>李坤</v>
      </c>
      <c r="V150" s="226" t="str">
        <f>sample_database!I482</f>
        <v>NA</v>
      </c>
      <c r="W150" s="226" t="str">
        <f>sample_database!J482</f>
        <v>镇沅县者东镇麦地村</v>
      </c>
      <c r="X150" s="226">
        <f>sample_database!K482</f>
        <v>0</v>
      </c>
      <c r="Y150" s="226">
        <f t="shared" si="12"/>
        <v>72</v>
      </c>
      <c r="Z150" s="224" t="str">
        <f t="shared" si="13"/>
        <v>NA</v>
      </c>
      <c r="AA150" s="224" t="str">
        <f t="shared" si="13"/>
        <v>NA</v>
      </c>
      <c r="AB150" s="224" t="str">
        <f t="shared" si="13"/>
        <v>NA</v>
      </c>
      <c r="AC150" s="226" t="str">
        <f>IF(ISNA(VLOOKUP(T150,Export_to_ArcGIS!$A$2:$I$111,9,FALSE)),"NA",VLOOKUP(T150,Export_to_ArcGIS!$A$2:$I$111,9,FALSE))</f>
        <v>NA</v>
      </c>
      <c r="AD150" s="226">
        <f t="shared" si="14"/>
        <v>72</v>
      </c>
    </row>
    <row r="151" spans="20:30">
      <c r="T151" s="226">
        <v>150</v>
      </c>
      <c r="U151" s="226" t="str">
        <f>sample_database!E483</f>
        <v>范学恩</v>
      </c>
      <c r="V151" s="226" t="str">
        <f>sample_database!I483</f>
        <v>NA</v>
      </c>
      <c r="W151" s="226" t="str">
        <f>sample_database!J483</f>
        <v>镇沅东洒村</v>
      </c>
      <c r="X151" s="226">
        <f>sample_database!K483</f>
        <v>0</v>
      </c>
      <c r="Y151" s="226">
        <f t="shared" si="12"/>
        <v>163</v>
      </c>
      <c r="Z151" s="224" t="str">
        <f t="shared" si="13"/>
        <v>NA</v>
      </c>
      <c r="AA151" s="224" t="str">
        <f t="shared" ref="AA151:AA174" si="15">IF(ISNA(VLOOKUP(W151,$P$2:$R$67,3,FALSE)),"NA",VLOOKUP(W151,$P$2:$R$67,3,FALSE))</f>
        <v>NA</v>
      </c>
      <c r="AB151" s="224" t="str">
        <f t="shared" ref="AB151:AB174" si="16">IF(ISNA(VLOOKUP(X151,$P$2:$R$67,3,FALSE)),"NA",VLOOKUP(X151,$P$2:$R$67,3,FALSE))</f>
        <v>NA</v>
      </c>
      <c r="AC151" s="226" t="str">
        <f>IF(ISNA(VLOOKUP(T151,Export_to_ArcGIS!$A$2:$I$111,9,FALSE)),"NA",VLOOKUP(T151,Export_to_ArcGIS!$A$2:$I$111,9,FALSE))</f>
        <v>NA</v>
      </c>
      <c r="AD151" s="226">
        <f t="shared" si="14"/>
        <v>163</v>
      </c>
    </row>
    <row r="152" spans="20:30">
      <c r="T152" s="226">
        <v>151</v>
      </c>
      <c r="U152" s="226" t="str">
        <f>sample_database!E484</f>
        <v>周国宇</v>
      </c>
      <c r="V152" s="226" t="str">
        <f>sample_database!I484</f>
        <v>NA</v>
      </c>
      <c r="W152" s="226" t="str">
        <f>sample_database!J484</f>
        <v>镇沅县者东镇木丁村大山小组</v>
      </c>
      <c r="X152" s="226">
        <f>sample_database!K484</f>
        <v>0</v>
      </c>
      <c r="Y152" s="226">
        <f t="shared" si="12"/>
        <v>78</v>
      </c>
      <c r="Z152" s="224" t="str">
        <f t="shared" si="13"/>
        <v>NA</v>
      </c>
      <c r="AA152" s="224" t="str">
        <f t="shared" si="15"/>
        <v>NA</v>
      </c>
      <c r="AB152" s="224" t="str">
        <f t="shared" si="16"/>
        <v>NA</v>
      </c>
      <c r="AC152" s="226" t="str">
        <f>IF(ISNA(VLOOKUP(T152,Export_to_ArcGIS!$A$2:$I$111,9,FALSE)),"NA",VLOOKUP(T152,Export_to_ArcGIS!$A$2:$I$111,9,FALSE))</f>
        <v>NA</v>
      </c>
      <c r="AD152" s="226">
        <f t="shared" si="14"/>
        <v>78</v>
      </c>
    </row>
    <row r="153" spans="20:30">
      <c r="T153" s="226">
        <v>152</v>
      </c>
      <c r="U153" s="226" t="str">
        <f>sample_database!E485</f>
        <v>周国宇</v>
      </c>
      <c r="V153" s="226" t="str">
        <f>sample_database!I485</f>
        <v>NA</v>
      </c>
      <c r="W153" s="226" t="str">
        <f>sample_database!J485</f>
        <v>镇沅县者东镇木丁村大山小组</v>
      </c>
      <c r="X153" s="226">
        <f>sample_database!K485</f>
        <v>0</v>
      </c>
      <c r="Y153" s="226">
        <f t="shared" si="12"/>
        <v>78</v>
      </c>
      <c r="Z153" s="224" t="str">
        <f t="shared" si="13"/>
        <v>NA</v>
      </c>
      <c r="AA153" s="224" t="str">
        <f t="shared" si="15"/>
        <v>NA</v>
      </c>
      <c r="AB153" s="224" t="str">
        <f t="shared" si="16"/>
        <v>NA</v>
      </c>
      <c r="AC153" s="226" t="str">
        <f>IF(ISNA(VLOOKUP(T153,Export_to_ArcGIS!$A$2:$I$111,9,FALSE)),"NA",VLOOKUP(T153,Export_to_ArcGIS!$A$2:$I$111,9,FALSE))</f>
        <v>NA</v>
      </c>
      <c r="AD153" s="226">
        <f t="shared" si="14"/>
        <v>78</v>
      </c>
    </row>
    <row r="154" spans="20:30">
      <c r="T154" s="226">
        <v>153</v>
      </c>
      <c r="U154" s="226" t="str">
        <f>sample_database!E486</f>
        <v>周国宇</v>
      </c>
      <c r="V154" s="226" t="str">
        <f>sample_database!I486</f>
        <v>NA</v>
      </c>
      <c r="W154" s="226" t="str">
        <f>sample_database!J486</f>
        <v>镇沅县者东镇木丁村大山小组</v>
      </c>
      <c r="X154" s="226">
        <f>sample_database!K486</f>
        <v>0</v>
      </c>
      <c r="Y154" s="226">
        <f t="shared" si="12"/>
        <v>78</v>
      </c>
      <c r="Z154" s="224" t="str">
        <f t="shared" si="13"/>
        <v>NA</v>
      </c>
      <c r="AA154" s="224" t="str">
        <f t="shared" si="15"/>
        <v>NA</v>
      </c>
      <c r="AB154" s="224" t="str">
        <f t="shared" si="16"/>
        <v>NA</v>
      </c>
      <c r="AC154" s="226" t="str">
        <f>IF(ISNA(VLOOKUP(T154,Export_to_ArcGIS!$A$2:$I$111,9,FALSE)),"NA",VLOOKUP(T154,Export_to_ArcGIS!$A$2:$I$111,9,FALSE))</f>
        <v>NA</v>
      </c>
      <c r="AD154" s="226">
        <f t="shared" si="14"/>
        <v>78</v>
      </c>
    </row>
    <row r="155" spans="20:30">
      <c r="T155" s="226">
        <v>154</v>
      </c>
      <c r="U155" s="226" t="str">
        <f>sample_database!E487</f>
        <v>周国宇</v>
      </c>
      <c r="V155" s="226" t="str">
        <f>sample_database!I487</f>
        <v>NA</v>
      </c>
      <c r="W155" s="226" t="str">
        <f>sample_database!J487</f>
        <v>镇沅县者东镇木丁村大山小组</v>
      </c>
      <c r="X155" s="226">
        <f>sample_database!K487</f>
        <v>0</v>
      </c>
      <c r="Y155" s="226">
        <f t="shared" si="12"/>
        <v>78</v>
      </c>
      <c r="Z155" s="224" t="str">
        <f t="shared" si="13"/>
        <v>NA</v>
      </c>
      <c r="AA155" s="224" t="str">
        <f t="shared" si="15"/>
        <v>NA</v>
      </c>
      <c r="AB155" s="224" t="str">
        <f t="shared" si="16"/>
        <v>NA</v>
      </c>
      <c r="AC155" s="226" t="str">
        <f>IF(ISNA(VLOOKUP(T155,Export_to_ArcGIS!$A$2:$I$111,9,FALSE)),"NA",VLOOKUP(T155,Export_to_ArcGIS!$A$2:$I$111,9,FALSE))</f>
        <v>NA</v>
      </c>
      <c r="AD155" s="226">
        <f t="shared" si="14"/>
        <v>78</v>
      </c>
    </row>
    <row r="156" spans="20:30">
      <c r="T156" s="226">
        <v>155</v>
      </c>
      <c r="U156" s="226" t="str">
        <f>sample_database!E488</f>
        <v>李加坤</v>
      </c>
      <c r="V156" s="226" t="str">
        <f>sample_database!I488</f>
        <v>NA</v>
      </c>
      <c r="W156" s="226" t="str">
        <f>sample_database!J488</f>
        <v>镇沅县者东镇樟盆村延樟盆组</v>
      </c>
      <c r="X156" s="226">
        <f>sample_database!K488</f>
        <v>0</v>
      </c>
      <c r="Y156" s="226">
        <f t="shared" si="12"/>
        <v>165</v>
      </c>
      <c r="Z156" s="224" t="str">
        <f t="shared" si="13"/>
        <v>NA</v>
      </c>
      <c r="AA156" s="224" t="str">
        <f t="shared" si="15"/>
        <v>NA</v>
      </c>
      <c r="AB156" s="224" t="str">
        <f t="shared" si="16"/>
        <v>NA</v>
      </c>
      <c r="AC156" s="226" t="str">
        <f>IF(ISNA(VLOOKUP(T156,Export_to_ArcGIS!$A$2:$I$111,9,FALSE)),"NA",VLOOKUP(T156,Export_to_ArcGIS!$A$2:$I$111,9,FALSE))</f>
        <v>NA</v>
      </c>
      <c r="AD156" s="226">
        <f t="shared" si="14"/>
        <v>165</v>
      </c>
    </row>
    <row r="157" spans="20:30">
      <c r="T157" s="226">
        <v>156</v>
      </c>
      <c r="U157" s="226" t="str">
        <f>sample_database!E489</f>
        <v>李加坤</v>
      </c>
      <c r="V157" s="226" t="str">
        <f>sample_database!I489</f>
        <v>NA</v>
      </c>
      <c r="W157" s="226" t="str">
        <f>sample_database!J489</f>
        <v>镇沅县者东镇樟盆村延樟盆组</v>
      </c>
      <c r="X157" s="226">
        <f>sample_database!K489</f>
        <v>0</v>
      </c>
      <c r="Y157" s="226">
        <f t="shared" si="12"/>
        <v>165</v>
      </c>
      <c r="Z157" s="224" t="str">
        <f t="shared" si="13"/>
        <v>NA</v>
      </c>
      <c r="AA157" s="224" t="str">
        <f t="shared" si="15"/>
        <v>NA</v>
      </c>
      <c r="AB157" s="224" t="str">
        <f t="shared" si="16"/>
        <v>NA</v>
      </c>
      <c r="AC157" s="226" t="str">
        <f>IF(ISNA(VLOOKUP(T157,Export_to_ArcGIS!$A$2:$I$111,9,FALSE)),"NA",VLOOKUP(T157,Export_to_ArcGIS!$A$2:$I$111,9,FALSE))</f>
        <v>NA</v>
      </c>
      <c r="AD157" s="226">
        <f t="shared" si="14"/>
        <v>165</v>
      </c>
    </row>
    <row r="158" spans="20:30">
      <c r="T158" s="226">
        <v>157</v>
      </c>
      <c r="U158" s="226" t="str">
        <f>sample_database!E490</f>
        <v>李加坤</v>
      </c>
      <c r="V158" s="226" t="str">
        <f>sample_database!I490</f>
        <v>NA</v>
      </c>
      <c r="W158" s="226" t="str">
        <f>sample_database!J490</f>
        <v>镇沅县者东镇樟盆村延樟盆组</v>
      </c>
      <c r="X158" s="226">
        <f>sample_database!K490</f>
        <v>0</v>
      </c>
      <c r="Y158" s="226">
        <f t="shared" si="12"/>
        <v>165</v>
      </c>
      <c r="Z158" s="224" t="str">
        <f t="shared" si="13"/>
        <v>NA</v>
      </c>
      <c r="AA158" s="224" t="str">
        <f t="shared" si="15"/>
        <v>NA</v>
      </c>
      <c r="AB158" s="224" t="str">
        <f t="shared" si="16"/>
        <v>NA</v>
      </c>
      <c r="AC158" s="226" t="str">
        <f>IF(ISNA(VLOOKUP(T158,Export_to_ArcGIS!$A$2:$I$111,9,FALSE)),"NA",VLOOKUP(T158,Export_to_ArcGIS!$A$2:$I$111,9,FALSE))</f>
        <v>NA</v>
      </c>
      <c r="AD158" s="226">
        <f t="shared" si="14"/>
        <v>165</v>
      </c>
    </row>
    <row r="159" spans="20:30">
      <c r="T159" s="226">
        <v>158</v>
      </c>
      <c r="U159" s="226" t="str">
        <f>sample_database!E491</f>
        <v>李加坤</v>
      </c>
      <c r="V159" s="226" t="str">
        <f>sample_database!I491</f>
        <v>NA</v>
      </c>
      <c r="W159" s="226" t="str">
        <f>sample_database!J491</f>
        <v>镇沅县者东镇樟盆村延樟盆组</v>
      </c>
      <c r="X159" s="226">
        <f>sample_database!K491</f>
        <v>0</v>
      </c>
      <c r="Y159" s="226">
        <f t="shared" si="12"/>
        <v>165</v>
      </c>
      <c r="Z159" s="224" t="str">
        <f t="shared" si="13"/>
        <v>NA</v>
      </c>
      <c r="AA159" s="224" t="str">
        <f t="shared" si="15"/>
        <v>NA</v>
      </c>
      <c r="AB159" s="224" t="str">
        <f t="shared" si="16"/>
        <v>NA</v>
      </c>
      <c r="AC159" s="226" t="str">
        <f>IF(ISNA(VLOOKUP(T159,Export_to_ArcGIS!$A$2:$I$111,9,FALSE)),"NA",VLOOKUP(T159,Export_to_ArcGIS!$A$2:$I$111,9,FALSE))</f>
        <v>NA</v>
      </c>
      <c r="AD159" s="226">
        <f t="shared" si="14"/>
        <v>165</v>
      </c>
    </row>
    <row r="160" spans="20:30">
      <c r="T160" s="226">
        <v>159</v>
      </c>
      <c r="U160" s="226" t="str">
        <f>sample_database!E492</f>
        <v>普宁</v>
      </c>
      <c r="V160" s="226" t="str">
        <f>sample_database!I492</f>
        <v>NA</v>
      </c>
      <c r="W160" s="226" t="str">
        <f>sample_database!J492</f>
        <v>镇沅县九甲镇文岗村争山组</v>
      </c>
      <c r="X160" s="226" t="str">
        <f>sample_database!K492</f>
        <v>大茶房</v>
      </c>
      <c r="Y160" s="226" t="str">
        <f t="shared" si="12"/>
        <v>89 or 90</v>
      </c>
      <c r="Z160" s="224" t="str">
        <f t="shared" si="13"/>
        <v>NA</v>
      </c>
      <c r="AA160" s="224" t="str">
        <f t="shared" si="15"/>
        <v>NA</v>
      </c>
      <c r="AB160" s="224" t="str">
        <f t="shared" si="16"/>
        <v>NA</v>
      </c>
      <c r="AC160" s="226" t="str">
        <f>IF(ISNA(VLOOKUP(T160,Export_to_ArcGIS!$A$2:$I$111,9,FALSE)),"NA",VLOOKUP(T160,Export_to_ArcGIS!$A$2:$I$111,9,FALSE))</f>
        <v>NA</v>
      </c>
      <c r="AD160" s="226" t="str">
        <f t="shared" si="14"/>
        <v>89 or 90</v>
      </c>
    </row>
    <row r="161" spans="20:30">
      <c r="T161" s="226">
        <v>160</v>
      </c>
      <c r="U161" s="226" t="str">
        <f>sample_database!E493</f>
        <v>普宁</v>
      </c>
      <c r="V161" s="226" t="str">
        <f>sample_database!I493</f>
        <v>NA</v>
      </c>
      <c r="W161" s="226" t="str">
        <f>sample_database!J493</f>
        <v>镇沅县九甲镇文岗村争山组</v>
      </c>
      <c r="X161" s="226" t="str">
        <f>sample_database!K493</f>
        <v>羊蹄子山</v>
      </c>
      <c r="Y161" s="226" t="str">
        <f t="shared" si="12"/>
        <v>89 or 90</v>
      </c>
      <c r="Z161" s="224" t="str">
        <f t="shared" si="13"/>
        <v>NA</v>
      </c>
      <c r="AA161" s="224" t="str">
        <f t="shared" si="15"/>
        <v>NA</v>
      </c>
      <c r="AB161" s="224" t="str">
        <f t="shared" si="16"/>
        <v>NA</v>
      </c>
      <c r="AC161" s="226" t="str">
        <f>IF(ISNA(VLOOKUP(T161,Export_to_ArcGIS!$A$2:$I$111,9,FALSE)),"NA",VLOOKUP(T161,Export_to_ArcGIS!$A$2:$I$111,9,FALSE))</f>
        <v>NA</v>
      </c>
      <c r="AD161" s="226" t="str">
        <f t="shared" si="14"/>
        <v>89 or 90</v>
      </c>
    </row>
    <row r="162" spans="20:30">
      <c r="T162" s="226">
        <v>161</v>
      </c>
      <c r="U162" s="226" t="str">
        <f>sample_database!E494</f>
        <v>NA</v>
      </c>
      <c r="V162" s="226" t="str">
        <f>sample_database!I494</f>
        <v>NA</v>
      </c>
      <c r="W162" s="226" t="str">
        <f>sample_database!J494</f>
        <v>镇沅县九甲镇文岗村争山组</v>
      </c>
      <c r="X162" s="226" t="str">
        <f>sample_database!K494</f>
        <v>大尖峰</v>
      </c>
      <c r="Y162" s="226" t="str">
        <f t="shared" si="12"/>
        <v>NA</v>
      </c>
      <c r="Z162" s="224" t="str">
        <f t="shared" si="13"/>
        <v>NA</v>
      </c>
      <c r="AA162" s="224" t="str">
        <f t="shared" si="15"/>
        <v>NA</v>
      </c>
      <c r="AB162" s="224" t="str">
        <f t="shared" si="16"/>
        <v>NA</v>
      </c>
      <c r="AC162" s="226" t="str">
        <f>IF(ISNA(VLOOKUP(T162,Export_to_ArcGIS!$A$2:$I$111,9,FALSE)),"NA",VLOOKUP(T162,Export_to_ArcGIS!$A$2:$I$111,9,FALSE))</f>
        <v>NA</v>
      </c>
      <c r="AD162" s="226" t="str">
        <f t="shared" si="14"/>
        <v>NA</v>
      </c>
    </row>
    <row r="163" spans="20:30">
      <c r="T163" s="226">
        <v>162</v>
      </c>
      <c r="U163" s="226" t="str">
        <f>sample_database!E495</f>
        <v>李昌恩</v>
      </c>
      <c r="V163" s="226" t="str">
        <f>sample_database!I495</f>
        <v>NA</v>
      </c>
      <c r="W163" s="226" t="str">
        <f>sample_database!J495</f>
        <v>镇沅县九甲镇果吉村</v>
      </c>
      <c r="X163" s="226">
        <f>sample_database!K495</f>
        <v>0</v>
      </c>
      <c r="Y163" s="226">
        <f t="shared" si="12"/>
        <v>93</v>
      </c>
      <c r="Z163" s="224" t="str">
        <f t="shared" si="13"/>
        <v>NA</v>
      </c>
      <c r="AA163" s="224" t="str">
        <f t="shared" si="15"/>
        <v>NA</v>
      </c>
      <c r="AB163" s="224" t="str">
        <f t="shared" si="16"/>
        <v>NA</v>
      </c>
      <c r="AC163" s="226" t="str">
        <f>IF(ISNA(VLOOKUP(T163,Export_to_ArcGIS!$A$2:$I$111,9,FALSE)),"NA",VLOOKUP(T163,Export_to_ArcGIS!$A$2:$I$111,9,FALSE))</f>
        <v>NA</v>
      </c>
      <c r="AD163" s="226">
        <f t="shared" si="14"/>
        <v>93</v>
      </c>
    </row>
    <row r="164" spans="20:30">
      <c r="T164" s="226">
        <v>163</v>
      </c>
      <c r="U164" s="226" t="str">
        <f>sample_database!E496</f>
        <v>李昌恩</v>
      </c>
      <c r="V164" s="226" t="str">
        <f>sample_database!I496</f>
        <v>NA</v>
      </c>
      <c r="W164" s="226" t="str">
        <f>sample_database!J496</f>
        <v>镇沅县九甲镇果吉村</v>
      </c>
      <c r="X164" s="226">
        <f>sample_database!K496</f>
        <v>0</v>
      </c>
      <c r="Y164" s="226">
        <f t="shared" si="12"/>
        <v>93</v>
      </c>
      <c r="Z164" s="224" t="str">
        <f t="shared" si="13"/>
        <v>NA</v>
      </c>
      <c r="AA164" s="224" t="str">
        <f t="shared" si="15"/>
        <v>NA</v>
      </c>
      <c r="AB164" s="224" t="str">
        <f t="shared" si="16"/>
        <v>NA</v>
      </c>
      <c r="AC164" s="226" t="str">
        <f>IF(ISNA(VLOOKUP(T164,Export_to_ArcGIS!$A$2:$I$111,9,FALSE)),"NA",VLOOKUP(T164,Export_to_ArcGIS!$A$2:$I$111,9,FALSE))</f>
        <v>NA</v>
      </c>
      <c r="AD164" s="226">
        <f t="shared" si="14"/>
        <v>93</v>
      </c>
    </row>
    <row r="165" spans="20:30">
      <c r="T165" s="226">
        <v>164</v>
      </c>
      <c r="U165" s="226" t="str">
        <f>sample_database!E497</f>
        <v>施国强</v>
      </c>
      <c r="V165" s="226" t="str">
        <f>sample_database!I497</f>
        <v>NA</v>
      </c>
      <c r="W165" s="226" t="str">
        <f>sample_database!J497</f>
        <v>大中山</v>
      </c>
      <c r="X165" s="226">
        <f>sample_database!K497</f>
        <v>0</v>
      </c>
      <c r="Y165" s="226">
        <f t="shared" si="12"/>
        <v>69</v>
      </c>
      <c r="Z165" s="224" t="str">
        <f t="shared" si="13"/>
        <v>NA</v>
      </c>
      <c r="AA165" s="224" t="str">
        <f t="shared" si="15"/>
        <v>NA</v>
      </c>
      <c r="AB165" s="224" t="str">
        <f t="shared" si="16"/>
        <v>NA</v>
      </c>
      <c r="AC165" s="226" t="str">
        <f>IF(ISNA(VLOOKUP(T165,Export_to_ArcGIS!$A$2:$I$111,9,FALSE)),"NA",VLOOKUP(T165,Export_to_ArcGIS!$A$2:$I$111,9,FALSE))</f>
        <v>NA</v>
      </c>
      <c r="AD165" s="226">
        <f t="shared" si="14"/>
        <v>69</v>
      </c>
    </row>
    <row r="166" spans="20:30">
      <c r="T166" s="226">
        <v>165</v>
      </c>
      <c r="U166" s="226" t="str">
        <f>sample_database!E498</f>
        <v>罗文洪</v>
      </c>
      <c r="V166" s="226" t="str">
        <f>sample_database!I498</f>
        <v>NA</v>
      </c>
      <c r="W166" s="226" t="str">
        <f>sample_database!J498</f>
        <v>大中山</v>
      </c>
      <c r="X166" s="226">
        <f>sample_database!K498</f>
        <v>0</v>
      </c>
      <c r="Y166" s="226">
        <f t="shared" si="12"/>
        <v>43</v>
      </c>
      <c r="Z166" s="224" t="str">
        <f t="shared" si="13"/>
        <v>NA</v>
      </c>
      <c r="AA166" s="224" t="str">
        <f t="shared" si="15"/>
        <v>NA</v>
      </c>
      <c r="AB166" s="224" t="str">
        <f t="shared" si="16"/>
        <v>NA</v>
      </c>
      <c r="AC166" s="226" t="str">
        <f>IF(ISNA(VLOOKUP(T166,Export_to_ArcGIS!$A$2:$I$111,9,FALSE)),"NA",VLOOKUP(T166,Export_to_ArcGIS!$A$2:$I$111,9,FALSE))</f>
        <v>NA</v>
      </c>
      <c r="AD166" s="226">
        <f t="shared" si="14"/>
        <v>43</v>
      </c>
    </row>
    <row r="167" spans="20:30">
      <c r="T167" s="226">
        <v>166</v>
      </c>
      <c r="U167" s="226" t="str">
        <f>sample_database!E499</f>
        <v>李茂天</v>
      </c>
      <c r="V167" s="226" t="str">
        <f>sample_database!I499</f>
        <v>NA</v>
      </c>
      <c r="W167" s="226" t="str">
        <f>sample_database!J499</f>
        <v>南华县五顶山乡王家村委会山花地小组</v>
      </c>
      <c r="X167" s="226">
        <f>sample_database!K499</f>
        <v>0</v>
      </c>
      <c r="Y167" s="226">
        <f t="shared" si="12"/>
        <v>44</v>
      </c>
      <c r="Z167" s="224" t="str">
        <f t="shared" si="13"/>
        <v>NA</v>
      </c>
      <c r="AA167" s="224" t="str">
        <f t="shared" si="15"/>
        <v>NA</v>
      </c>
      <c r="AB167" s="224" t="str">
        <f t="shared" si="16"/>
        <v>NA</v>
      </c>
      <c r="AC167" s="226" t="str">
        <f>IF(ISNA(VLOOKUP(T167,Export_to_ArcGIS!$A$2:$I$111,9,FALSE)),"NA",VLOOKUP(T167,Export_to_ArcGIS!$A$2:$I$111,9,FALSE))</f>
        <v>NA</v>
      </c>
      <c r="AD167" s="226">
        <f t="shared" si="14"/>
        <v>44</v>
      </c>
    </row>
    <row r="168" spans="20:30">
      <c r="T168" s="226">
        <v>167</v>
      </c>
      <c r="U168" s="226" t="str">
        <f>sample_database!E500</f>
        <v>李桂芳</v>
      </c>
      <c r="V168" s="226" t="str">
        <f>sample_database!I500</f>
        <v>NA</v>
      </c>
      <c r="W168" s="226" t="str">
        <f>sample_database!J500</f>
        <v>南华县兔街镇半坡村委会大荒田村</v>
      </c>
      <c r="X168" s="226">
        <f>sample_database!K500</f>
        <v>0</v>
      </c>
      <c r="Y168" s="226">
        <f t="shared" si="12"/>
        <v>58</v>
      </c>
      <c r="Z168" s="224" t="str">
        <f t="shared" si="13"/>
        <v>NA</v>
      </c>
      <c r="AA168" s="224" t="str">
        <f t="shared" si="15"/>
        <v>NA</v>
      </c>
      <c r="AB168" s="224" t="str">
        <f t="shared" si="16"/>
        <v>NA</v>
      </c>
      <c r="AC168" s="226" t="str">
        <f>IF(ISNA(VLOOKUP(T168,Export_to_ArcGIS!$A$2:$I$111,9,FALSE)),"NA",VLOOKUP(T168,Export_to_ArcGIS!$A$2:$I$111,9,FALSE))</f>
        <v>NA</v>
      </c>
      <c r="AD168" s="226">
        <f t="shared" si="14"/>
        <v>58</v>
      </c>
    </row>
    <row r="169" spans="20:30">
      <c r="T169" s="226">
        <v>168</v>
      </c>
      <c r="U169" s="226" t="str">
        <f>sample_database!E501</f>
        <v>何成富</v>
      </c>
      <c r="V169" s="226" t="str">
        <f>sample_database!I501</f>
        <v>NA</v>
      </c>
      <c r="W169" s="226" t="str">
        <f>sample_database!J501</f>
        <v>南华县大中山保护区管理局</v>
      </c>
      <c r="X169" s="226">
        <f>sample_database!K501</f>
        <v>0</v>
      </c>
      <c r="Y169" s="226">
        <f t="shared" si="12"/>
        <v>56</v>
      </c>
      <c r="Z169" s="224" t="str">
        <f t="shared" si="13"/>
        <v>NA</v>
      </c>
      <c r="AA169" s="224" t="str">
        <f t="shared" si="15"/>
        <v>NA</v>
      </c>
      <c r="AB169" s="224" t="str">
        <f t="shared" si="16"/>
        <v>NA</v>
      </c>
      <c r="AC169" s="226" t="str">
        <f>IF(ISNA(VLOOKUP(T169,Export_to_ArcGIS!$A$2:$I$111,9,FALSE)),"NA",VLOOKUP(T169,Export_to_ArcGIS!$A$2:$I$111,9,FALSE))</f>
        <v>NA</v>
      </c>
      <c r="AD169" s="226">
        <f t="shared" si="14"/>
        <v>56</v>
      </c>
    </row>
    <row r="170" spans="20:30">
      <c r="T170" s="226">
        <v>169</v>
      </c>
      <c r="U170" s="226" t="str">
        <f>sample_database!E502</f>
        <v>自国先</v>
      </c>
      <c r="V170" s="226" t="str">
        <f>sample_database!I502</f>
        <v>NA</v>
      </c>
      <c r="W170" s="226" t="str">
        <f>sample_database!J502</f>
        <v>南华县兔街镇长梁孜中山村</v>
      </c>
      <c r="X170" s="226">
        <f>sample_database!K502</f>
        <v>0</v>
      </c>
      <c r="Y170" s="226" t="str">
        <f t="shared" si="12"/>
        <v>NA</v>
      </c>
      <c r="Z170" s="224" t="str">
        <f t="shared" si="13"/>
        <v>NA</v>
      </c>
      <c r="AA170" s="224" t="str">
        <f t="shared" si="15"/>
        <v>NA</v>
      </c>
      <c r="AB170" s="224" t="str">
        <f t="shared" si="16"/>
        <v>NA</v>
      </c>
      <c r="AC170" s="226" t="str">
        <f>IF(ISNA(VLOOKUP(T170,Export_to_ArcGIS!$A$2:$I$111,9,FALSE)),"NA",VLOOKUP(T170,Export_to_ArcGIS!$A$2:$I$111,9,FALSE))</f>
        <v>NA</v>
      </c>
      <c r="AD170" s="226" t="str">
        <f t="shared" si="14"/>
        <v>NA</v>
      </c>
    </row>
    <row r="171" spans="20:30">
      <c r="T171" s="226">
        <v>170</v>
      </c>
      <c r="U171" s="226" t="str">
        <f>sample_database!E503</f>
        <v>自国先</v>
      </c>
      <c r="V171" s="226" t="str">
        <f>sample_database!I503</f>
        <v>NA</v>
      </c>
      <c r="W171" s="226" t="str">
        <f>sample_database!J503</f>
        <v>南华县兔街镇长梁孜中山村</v>
      </c>
      <c r="X171" s="226">
        <f>sample_database!K503</f>
        <v>0</v>
      </c>
      <c r="Y171" s="226" t="str">
        <f t="shared" si="12"/>
        <v>NA</v>
      </c>
      <c r="Z171" s="224" t="str">
        <f t="shared" si="13"/>
        <v>NA</v>
      </c>
      <c r="AA171" s="224" t="str">
        <f t="shared" si="15"/>
        <v>NA</v>
      </c>
      <c r="AB171" s="224" t="str">
        <f t="shared" si="16"/>
        <v>NA</v>
      </c>
      <c r="AC171" s="226" t="str">
        <f>IF(ISNA(VLOOKUP(T171,Export_to_ArcGIS!$A$2:$I$111,9,FALSE)),"NA",VLOOKUP(T171,Export_to_ArcGIS!$A$2:$I$111,9,FALSE))</f>
        <v>NA</v>
      </c>
      <c r="AD171" s="226" t="str">
        <f t="shared" si="14"/>
        <v>NA</v>
      </c>
    </row>
    <row r="172" spans="20:30">
      <c r="T172" s="226">
        <v>171</v>
      </c>
      <c r="U172" s="226" t="str">
        <f>sample_database!E504</f>
        <v>鲁新正</v>
      </c>
      <c r="V172" s="226" t="str">
        <f>sample_database!I504</f>
        <v>NA</v>
      </c>
      <c r="W172" s="226" t="str">
        <f>sample_database!J504</f>
        <v>南华县兔街镇干龙潭村委会上村</v>
      </c>
      <c r="X172" s="226">
        <f>sample_database!K504</f>
        <v>0</v>
      </c>
      <c r="Y172" s="226">
        <f t="shared" si="12"/>
        <v>65</v>
      </c>
      <c r="Z172" s="224" t="str">
        <f t="shared" si="13"/>
        <v>NA</v>
      </c>
      <c r="AA172" s="224" t="str">
        <f t="shared" si="15"/>
        <v>NA</v>
      </c>
      <c r="AB172" s="224" t="str">
        <f t="shared" si="16"/>
        <v>NA</v>
      </c>
      <c r="AC172" s="226" t="str">
        <f>IF(ISNA(VLOOKUP(T172,Export_to_ArcGIS!$A$2:$I$111,9,FALSE)),"NA",VLOOKUP(T172,Export_to_ArcGIS!$A$2:$I$111,9,FALSE))</f>
        <v>NA</v>
      </c>
      <c r="AD172" s="226">
        <f t="shared" si="14"/>
        <v>65</v>
      </c>
    </row>
    <row r="173" spans="20:30">
      <c r="T173" s="226">
        <v>172</v>
      </c>
      <c r="U173" s="226" t="str">
        <f>sample_database!E505</f>
        <v>鲁新正</v>
      </c>
      <c r="V173" s="226" t="str">
        <f>sample_database!I505</f>
        <v>NA</v>
      </c>
      <c r="W173" s="226" t="str">
        <f>sample_database!J505</f>
        <v>南华县兔街镇干龙潭村委会上村</v>
      </c>
      <c r="X173" s="226">
        <f>sample_database!K505</f>
        <v>0</v>
      </c>
      <c r="Y173" s="226">
        <f t="shared" si="12"/>
        <v>65</v>
      </c>
      <c r="Z173" s="224" t="str">
        <f t="shared" si="13"/>
        <v>NA</v>
      </c>
      <c r="AA173" s="224" t="str">
        <f t="shared" si="15"/>
        <v>NA</v>
      </c>
      <c r="AB173" s="224" t="str">
        <f t="shared" si="16"/>
        <v>NA</v>
      </c>
      <c r="AC173" s="226" t="str">
        <f>IF(ISNA(VLOOKUP(T173,Export_to_ArcGIS!$A$2:$I$111,9,FALSE)),"NA",VLOOKUP(T173,Export_to_ArcGIS!$A$2:$I$111,9,FALSE))</f>
        <v>NA</v>
      </c>
      <c r="AD173" s="226">
        <f t="shared" si="14"/>
        <v>65</v>
      </c>
    </row>
    <row r="174" spans="20:30">
      <c r="T174" s="226">
        <v>173</v>
      </c>
      <c r="U174" s="226" t="str">
        <f>sample_database!E506</f>
        <v>张应有</v>
      </c>
      <c r="V174" s="226" t="str">
        <f>sample_database!I506</f>
        <v>NA</v>
      </c>
      <c r="W174" s="226" t="str">
        <f>sample_database!J506</f>
        <v>南华县兔街镇嘴孜村兔街站</v>
      </c>
      <c r="X174" s="226">
        <f>sample_database!K506</f>
        <v>0</v>
      </c>
      <c r="Y174" s="226">
        <f t="shared" si="12"/>
        <v>67</v>
      </c>
      <c r="Z174" s="224" t="str">
        <f t="shared" si="13"/>
        <v>NA</v>
      </c>
      <c r="AA174" s="224" t="str">
        <f t="shared" si="15"/>
        <v>NA</v>
      </c>
      <c r="AB174" s="224" t="str">
        <f t="shared" si="16"/>
        <v>NA</v>
      </c>
      <c r="AC174" s="226" t="str">
        <f>IF(ISNA(VLOOKUP(T174,Export_to_ArcGIS!$A$2:$I$111,9,FALSE)),"NA",VLOOKUP(T174,Export_to_ArcGIS!$A$2:$I$111,9,FALSE))</f>
        <v>NA</v>
      </c>
      <c r="AD174" s="226">
        <f t="shared" si="14"/>
        <v>67</v>
      </c>
    </row>
  </sheetData>
  <autoFilter ref="A1:AD1" xr:uid="{00000000-0009-0000-0000-00000C000000}"/>
  <phoneticPr fontId="2" type="noConversion"/>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11"/>
  <sheetViews>
    <sheetView topLeftCell="C1" zoomScale="115" workbookViewId="0">
      <pane ySplit="1" topLeftCell="A2" activePane="bottomLeft" state="frozen"/>
      <selection pane="bottomLeft" activeCell="J111" sqref="J111"/>
    </sheetView>
  </sheetViews>
  <sheetFormatPr baseColWidth="10" defaultColWidth="8.83203125" defaultRowHeight="15"/>
  <cols>
    <col min="1" max="1" width="11.1640625" style="202" customWidth="1"/>
    <col min="2" max="2" width="13.83203125" style="202" customWidth="1"/>
    <col min="3" max="3" width="13.5" style="202" customWidth="1"/>
    <col min="4" max="4" width="20.5" style="202" customWidth="1"/>
    <col min="5" max="5" width="62.1640625" style="202" customWidth="1"/>
    <col min="6" max="6" width="18.33203125" style="202" customWidth="1"/>
    <col min="7" max="7" width="17.1640625" style="202" customWidth="1"/>
    <col min="8" max="8" width="13.83203125" style="202" customWidth="1"/>
    <col min="9" max="9" width="16" customWidth="1"/>
  </cols>
  <sheetData>
    <row r="1" spans="1:9">
      <c r="A1" s="202" t="s">
        <v>3349</v>
      </c>
      <c r="B1" s="202" t="s">
        <v>3368</v>
      </c>
      <c r="C1" s="202" t="s">
        <v>3369</v>
      </c>
      <c r="D1" s="202" t="s">
        <v>2175</v>
      </c>
      <c r="E1" s="202" t="s">
        <v>3356</v>
      </c>
      <c r="F1" s="202" t="s">
        <v>3357</v>
      </c>
      <c r="G1" s="202" t="s">
        <v>3358</v>
      </c>
      <c r="H1" s="202" t="s">
        <v>3359</v>
      </c>
      <c r="I1" s="202" t="s">
        <v>3370</v>
      </c>
    </row>
    <row r="2" spans="1:9">
      <c r="A2" s="202">
        <v>1</v>
      </c>
      <c r="B2" s="202" t="s">
        <v>3154</v>
      </c>
      <c r="C2" s="202" t="s">
        <v>3155</v>
      </c>
      <c r="D2" s="202" t="s">
        <v>2223</v>
      </c>
      <c r="E2" s="202" t="s">
        <v>3360</v>
      </c>
      <c r="F2" s="202">
        <v>101.12883600000001</v>
      </c>
      <c r="G2" s="202">
        <v>24.442169</v>
      </c>
      <c r="H2" s="202">
        <v>0</v>
      </c>
      <c r="I2" s="202" t="str">
        <f>IF(H2=0,"NA",H2)</f>
        <v>NA</v>
      </c>
    </row>
    <row r="3" spans="1:9">
      <c r="A3" s="202">
        <v>2</v>
      </c>
      <c r="B3" s="202" t="s">
        <v>3154</v>
      </c>
      <c r="C3" s="202" t="s">
        <v>3155</v>
      </c>
      <c r="D3" s="202" t="s">
        <v>2226</v>
      </c>
      <c r="E3" s="202" t="s">
        <v>2227</v>
      </c>
      <c r="F3" s="202">
        <v>101.129392</v>
      </c>
      <c r="G3" s="202">
        <v>24.442169</v>
      </c>
      <c r="H3" s="202">
        <v>0</v>
      </c>
      <c r="I3" s="202" t="str">
        <f t="shared" ref="I3:I66" si="0">IF(H3=0,"NA",H3)</f>
        <v>NA</v>
      </c>
    </row>
    <row r="4" spans="1:9">
      <c r="A4" s="202">
        <v>5</v>
      </c>
      <c r="B4" s="202" t="s">
        <v>3156</v>
      </c>
      <c r="C4" s="202" t="s">
        <v>3157</v>
      </c>
      <c r="D4" s="202" t="s">
        <v>7</v>
      </c>
      <c r="E4" s="202" t="s">
        <v>2230</v>
      </c>
      <c r="F4" s="202">
        <v>101.28617800000001</v>
      </c>
      <c r="G4" s="202">
        <v>24.289453000000002</v>
      </c>
      <c r="H4" s="202">
        <v>141</v>
      </c>
      <c r="I4" s="202">
        <f t="shared" si="0"/>
        <v>141</v>
      </c>
    </row>
    <row r="5" spans="1:9">
      <c r="A5" s="202">
        <v>6</v>
      </c>
      <c r="B5" s="202" t="s">
        <v>3156</v>
      </c>
      <c r="C5" s="202" t="s">
        <v>3157</v>
      </c>
      <c r="D5" s="202" t="s">
        <v>7</v>
      </c>
      <c r="E5" s="202" t="s">
        <v>2230</v>
      </c>
      <c r="F5" s="202">
        <v>101.28617800000001</v>
      </c>
      <c r="G5" s="202">
        <v>24.289453000000002</v>
      </c>
      <c r="H5" s="202">
        <v>141</v>
      </c>
      <c r="I5" s="202">
        <f t="shared" si="0"/>
        <v>141</v>
      </c>
    </row>
    <row r="6" spans="1:9">
      <c r="A6" s="202">
        <v>7</v>
      </c>
      <c r="B6" s="202" t="s">
        <v>3156</v>
      </c>
      <c r="C6" s="202" t="s">
        <v>3157</v>
      </c>
      <c r="D6" s="202" t="s">
        <v>7</v>
      </c>
      <c r="E6" s="202" t="s">
        <v>2230</v>
      </c>
      <c r="F6" s="202">
        <v>101.28617800000001</v>
      </c>
      <c r="G6" s="202">
        <v>24.289453000000002</v>
      </c>
      <c r="H6" s="202">
        <v>141</v>
      </c>
      <c r="I6" s="202">
        <f t="shared" si="0"/>
        <v>141</v>
      </c>
    </row>
    <row r="7" spans="1:9">
      <c r="A7" s="202">
        <v>8</v>
      </c>
      <c r="B7" s="202" t="s">
        <v>3156</v>
      </c>
      <c r="C7" s="202" t="s">
        <v>3157</v>
      </c>
      <c r="D7" s="202" t="s">
        <v>7</v>
      </c>
      <c r="E7" s="202" t="s">
        <v>2230</v>
      </c>
      <c r="F7" s="202">
        <v>101.28617800000001</v>
      </c>
      <c r="G7" s="202">
        <v>24.289453000000002</v>
      </c>
      <c r="H7" s="202">
        <v>141</v>
      </c>
      <c r="I7" s="202">
        <f t="shared" si="0"/>
        <v>141</v>
      </c>
    </row>
    <row r="8" spans="1:9">
      <c r="A8" s="202">
        <v>9</v>
      </c>
      <c r="B8" s="202" t="s">
        <v>3158</v>
      </c>
      <c r="C8" s="202" t="s">
        <v>3159</v>
      </c>
      <c r="D8" s="202" t="s">
        <v>2233</v>
      </c>
      <c r="E8" s="202" t="s">
        <v>2234</v>
      </c>
      <c r="F8" s="202">
        <v>101.250511</v>
      </c>
      <c r="G8" s="202">
        <v>24.398986000000001</v>
      </c>
      <c r="H8" s="202">
        <v>0</v>
      </c>
      <c r="I8" s="202" t="str">
        <f t="shared" si="0"/>
        <v>NA</v>
      </c>
    </row>
    <row r="9" spans="1:9">
      <c r="A9" s="202">
        <v>10</v>
      </c>
      <c r="B9" s="202" t="s">
        <v>3158</v>
      </c>
      <c r="C9" s="202" t="s">
        <v>3159</v>
      </c>
      <c r="D9" s="202" t="s">
        <v>2233</v>
      </c>
      <c r="E9" s="202" t="s">
        <v>2237</v>
      </c>
      <c r="F9" s="202">
        <v>101.257172</v>
      </c>
      <c r="G9" s="202">
        <v>24.368617</v>
      </c>
      <c r="H9" s="202">
        <v>0</v>
      </c>
      <c r="I9" s="202" t="str">
        <f t="shared" si="0"/>
        <v>NA</v>
      </c>
    </row>
    <row r="10" spans="1:9">
      <c r="A10" s="202">
        <v>11</v>
      </c>
      <c r="B10" s="202" t="s">
        <v>3158</v>
      </c>
      <c r="C10" s="202" t="s">
        <v>3159</v>
      </c>
      <c r="D10" s="202" t="s">
        <v>2233</v>
      </c>
      <c r="E10" s="202" t="s">
        <v>2237</v>
      </c>
      <c r="F10" s="202">
        <v>101.257172</v>
      </c>
      <c r="G10" s="202">
        <v>24.368617</v>
      </c>
      <c r="H10" s="202">
        <v>0</v>
      </c>
      <c r="I10" s="202" t="str">
        <f t="shared" si="0"/>
        <v>NA</v>
      </c>
    </row>
    <row r="11" spans="1:9">
      <c r="A11" s="202">
        <v>12</v>
      </c>
      <c r="B11" s="202" t="s">
        <v>3158</v>
      </c>
      <c r="C11" s="202" t="s">
        <v>3159</v>
      </c>
      <c r="D11" s="202" t="s">
        <v>2233</v>
      </c>
      <c r="E11" s="202" t="s">
        <v>2238</v>
      </c>
      <c r="F11" s="202">
        <v>101.363753</v>
      </c>
      <c r="G11" s="202">
        <v>24.363752999999999</v>
      </c>
      <c r="H11" s="202">
        <v>0</v>
      </c>
      <c r="I11" s="202" t="str">
        <f t="shared" si="0"/>
        <v>NA</v>
      </c>
    </row>
    <row r="12" spans="1:9">
      <c r="A12" s="202">
        <v>13</v>
      </c>
      <c r="B12" s="202" t="s">
        <v>3158</v>
      </c>
      <c r="C12" s="202" t="s">
        <v>3159</v>
      </c>
      <c r="D12" s="202" t="s">
        <v>2233</v>
      </c>
      <c r="E12" s="202" t="s">
        <v>2239</v>
      </c>
      <c r="F12" s="202">
        <v>101.262528</v>
      </c>
      <c r="G12" s="202">
        <v>24.3797</v>
      </c>
      <c r="H12" s="202">
        <v>0</v>
      </c>
      <c r="I12" s="202" t="str">
        <f t="shared" si="0"/>
        <v>NA</v>
      </c>
    </row>
    <row r="13" spans="1:9">
      <c r="A13" s="202">
        <v>16</v>
      </c>
      <c r="B13" s="202" t="s">
        <v>2249</v>
      </c>
      <c r="C13" s="202" t="s">
        <v>1929</v>
      </c>
      <c r="D13" s="202" t="s">
        <v>2250</v>
      </c>
      <c r="E13" s="202" t="s">
        <v>2251</v>
      </c>
      <c r="F13" s="202">
        <v>101.129233</v>
      </c>
      <c r="G13" s="202">
        <v>24.361239000000001</v>
      </c>
      <c r="H13" s="202">
        <v>0</v>
      </c>
      <c r="I13" s="202" t="str">
        <f t="shared" si="0"/>
        <v>NA</v>
      </c>
    </row>
    <row r="14" spans="1:9">
      <c r="A14" s="202">
        <v>17</v>
      </c>
      <c r="B14" s="202" t="s">
        <v>2249</v>
      </c>
      <c r="C14" s="202" t="s">
        <v>1929</v>
      </c>
      <c r="D14" s="202" t="s">
        <v>2250</v>
      </c>
      <c r="E14" s="202" t="s">
        <v>2254</v>
      </c>
      <c r="F14" s="202">
        <v>101.11256400000001</v>
      </c>
      <c r="G14" s="202">
        <v>24.397686</v>
      </c>
      <c r="H14" s="202">
        <v>0</v>
      </c>
      <c r="I14" s="202" t="str">
        <f t="shared" si="0"/>
        <v>NA</v>
      </c>
    </row>
    <row r="15" spans="1:9">
      <c r="A15" s="202">
        <v>18</v>
      </c>
      <c r="B15" s="202" t="s">
        <v>2249</v>
      </c>
      <c r="C15" s="202" t="s">
        <v>1929</v>
      </c>
      <c r="D15" s="202" t="s">
        <v>2250</v>
      </c>
      <c r="E15" s="202" t="s">
        <v>2255</v>
      </c>
      <c r="F15" s="202">
        <v>101.145872</v>
      </c>
      <c r="G15" s="202">
        <v>24.394818999999998</v>
      </c>
      <c r="H15" s="202">
        <v>17</v>
      </c>
      <c r="I15" s="202">
        <f t="shared" si="0"/>
        <v>17</v>
      </c>
    </row>
    <row r="16" spans="1:9">
      <c r="A16" s="202">
        <v>19</v>
      </c>
      <c r="B16" s="202" t="s">
        <v>2249</v>
      </c>
      <c r="C16" s="202" t="s">
        <v>1929</v>
      </c>
      <c r="D16" s="202" t="s">
        <v>2250</v>
      </c>
      <c r="E16" s="202" t="s">
        <v>2256</v>
      </c>
      <c r="F16" s="202">
        <v>101.1459</v>
      </c>
      <c r="G16" s="202">
        <v>24.394013999999999</v>
      </c>
      <c r="H16" s="202">
        <v>17</v>
      </c>
      <c r="I16" s="202">
        <f t="shared" si="0"/>
        <v>17</v>
      </c>
    </row>
    <row r="17" spans="1:9">
      <c r="A17" s="202">
        <v>21</v>
      </c>
      <c r="B17" s="202" t="s">
        <v>3160</v>
      </c>
      <c r="C17" s="202" t="s">
        <v>3161</v>
      </c>
      <c r="D17" s="202" t="s">
        <v>2257</v>
      </c>
      <c r="E17" s="202" t="s">
        <v>2258</v>
      </c>
      <c r="F17" s="202">
        <v>101.26303900000001</v>
      </c>
      <c r="G17" s="202">
        <v>24.365119</v>
      </c>
      <c r="H17" s="202">
        <v>30</v>
      </c>
      <c r="I17" s="202">
        <f t="shared" si="0"/>
        <v>30</v>
      </c>
    </row>
    <row r="18" spans="1:9">
      <c r="A18" s="202">
        <v>22</v>
      </c>
      <c r="B18" s="202" t="s">
        <v>3160</v>
      </c>
      <c r="C18" s="202" t="s">
        <v>3161</v>
      </c>
      <c r="D18" s="202" t="s">
        <v>2257</v>
      </c>
      <c r="E18" s="202" t="s">
        <v>2261</v>
      </c>
      <c r="F18" s="202">
        <v>101.250725</v>
      </c>
      <c r="G18" s="202">
        <v>24.381582999999999</v>
      </c>
      <c r="H18" s="202">
        <v>0</v>
      </c>
      <c r="I18" s="202" t="str">
        <f t="shared" si="0"/>
        <v>NA</v>
      </c>
    </row>
    <row r="19" spans="1:9">
      <c r="A19" s="202">
        <v>23</v>
      </c>
      <c r="B19" s="202" t="s">
        <v>3160</v>
      </c>
      <c r="C19" s="202" t="s">
        <v>3161</v>
      </c>
      <c r="D19" s="202" t="s">
        <v>2257</v>
      </c>
      <c r="E19" s="202" t="s">
        <v>2262</v>
      </c>
      <c r="F19" s="202">
        <v>101.25084699999999</v>
      </c>
      <c r="G19" s="202">
        <v>24.380718999999999</v>
      </c>
      <c r="H19" s="202">
        <v>0</v>
      </c>
      <c r="I19" s="202" t="str">
        <f t="shared" si="0"/>
        <v>NA</v>
      </c>
    </row>
    <row r="20" spans="1:9">
      <c r="A20" s="202">
        <v>24</v>
      </c>
      <c r="B20" s="202" t="s">
        <v>3160</v>
      </c>
      <c r="C20" s="202" t="s">
        <v>3161</v>
      </c>
      <c r="D20" s="202" t="s">
        <v>2257</v>
      </c>
      <c r="E20" s="202" t="s">
        <v>2263</v>
      </c>
      <c r="F20" s="202">
        <v>101.255669</v>
      </c>
      <c r="G20" s="202">
        <v>24.373964000000001</v>
      </c>
      <c r="H20" s="202">
        <v>0</v>
      </c>
      <c r="I20" s="202" t="str">
        <f t="shared" si="0"/>
        <v>NA</v>
      </c>
    </row>
    <row r="21" spans="1:9">
      <c r="A21" s="202">
        <v>25</v>
      </c>
      <c r="B21" s="202" t="s">
        <v>3160</v>
      </c>
      <c r="C21" s="202" t="s">
        <v>3161</v>
      </c>
      <c r="D21" s="202" t="s">
        <v>2257</v>
      </c>
      <c r="E21" s="202" t="s">
        <v>2264</v>
      </c>
      <c r="F21" s="202">
        <v>101.272842</v>
      </c>
      <c r="G21" s="202">
        <v>24.3797</v>
      </c>
      <c r="H21" s="202">
        <v>0</v>
      </c>
      <c r="I21" s="202" t="str">
        <f t="shared" si="0"/>
        <v>NA</v>
      </c>
    </row>
    <row r="22" spans="1:9">
      <c r="A22" s="202">
        <v>26</v>
      </c>
      <c r="B22" s="202" t="s">
        <v>2282</v>
      </c>
      <c r="C22" s="202" t="s">
        <v>1929</v>
      </c>
      <c r="D22" s="202" t="s">
        <v>2233</v>
      </c>
      <c r="E22" s="202" t="s">
        <v>2355</v>
      </c>
      <c r="F22" s="202">
        <v>101.261167</v>
      </c>
      <c r="G22" s="202">
        <v>24.381250000000001</v>
      </c>
      <c r="H22" s="202">
        <v>0</v>
      </c>
      <c r="I22" s="202" t="str">
        <f t="shared" si="0"/>
        <v>NA</v>
      </c>
    </row>
    <row r="23" spans="1:9">
      <c r="A23" s="202">
        <v>27</v>
      </c>
      <c r="B23" s="202" t="s">
        <v>2282</v>
      </c>
      <c r="C23" s="202" t="s">
        <v>1929</v>
      </c>
      <c r="D23" s="202" t="s">
        <v>2233</v>
      </c>
      <c r="E23" s="202" t="s">
        <v>2285</v>
      </c>
      <c r="F23" s="202">
        <v>101.265669</v>
      </c>
      <c r="G23" s="202">
        <v>24.362333</v>
      </c>
      <c r="H23" s="202">
        <v>30</v>
      </c>
      <c r="I23" s="202">
        <f t="shared" si="0"/>
        <v>30</v>
      </c>
    </row>
    <row r="24" spans="1:9">
      <c r="A24" s="202">
        <v>28</v>
      </c>
      <c r="B24" s="202" t="s">
        <v>2282</v>
      </c>
      <c r="C24" s="202" t="s">
        <v>1929</v>
      </c>
      <c r="D24" s="202" t="s">
        <v>2233</v>
      </c>
      <c r="E24" s="202" t="s">
        <v>2286</v>
      </c>
      <c r="F24" s="202">
        <v>101.257639</v>
      </c>
      <c r="G24" s="202">
        <v>24.381667</v>
      </c>
      <c r="H24" s="202">
        <v>0</v>
      </c>
      <c r="I24" s="202" t="str">
        <f t="shared" si="0"/>
        <v>NA</v>
      </c>
    </row>
    <row r="25" spans="1:9">
      <c r="A25" s="202">
        <v>29</v>
      </c>
      <c r="B25" s="202" t="s">
        <v>2282</v>
      </c>
      <c r="C25" s="202" t="s">
        <v>1929</v>
      </c>
      <c r="D25" s="202" t="s">
        <v>2233</v>
      </c>
      <c r="E25" s="202" t="s">
        <v>2287</v>
      </c>
      <c r="F25" s="202">
        <v>101.2555</v>
      </c>
      <c r="G25" s="202">
        <v>24.379694000000001</v>
      </c>
      <c r="H25" s="202">
        <v>0</v>
      </c>
      <c r="I25" s="202" t="str">
        <f t="shared" si="0"/>
        <v>NA</v>
      </c>
    </row>
    <row r="26" spans="1:9">
      <c r="A26" s="202">
        <v>30</v>
      </c>
      <c r="B26" s="202" t="s">
        <v>2282</v>
      </c>
      <c r="C26" s="202" t="s">
        <v>1929</v>
      </c>
      <c r="D26" s="202" t="s">
        <v>2233</v>
      </c>
      <c r="E26" s="202" t="s">
        <v>2288</v>
      </c>
      <c r="F26" s="202">
        <v>101.169139</v>
      </c>
      <c r="G26" s="202">
        <v>24.380306000000001</v>
      </c>
      <c r="H26" s="202">
        <v>19</v>
      </c>
      <c r="I26" s="202">
        <f t="shared" si="0"/>
        <v>19</v>
      </c>
    </row>
    <row r="27" spans="1:9">
      <c r="A27" s="202">
        <v>35</v>
      </c>
      <c r="B27" s="202" t="s">
        <v>3163</v>
      </c>
      <c r="C27" s="202" t="s">
        <v>3164</v>
      </c>
      <c r="D27" s="202" t="s">
        <v>2210</v>
      </c>
      <c r="E27" s="202" t="s">
        <v>2297</v>
      </c>
      <c r="F27" s="202">
        <v>101.080339</v>
      </c>
      <c r="G27" s="202">
        <v>24.491164000000001</v>
      </c>
      <c r="H27" s="202">
        <v>6</v>
      </c>
      <c r="I27" s="202">
        <f t="shared" si="0"/>
        <v>6</v>
      </c>
    </row>
    <row r="28" spans="1:9">
      <c r="A28" s="202">
        <v>36</v>
      </c>
      <c r="B28" s="202" t="s">
        <v>3163</v>
      </c>
      <c r="C28" s="202" t="s">
        <v>3164</v>
      </c>
      <c r="D28" s="202" t="s">
        <v>2210</v>
      </c>
      <c r="E28" s="202" t="s">
        <v>2301</v>
      </c>
      <c r="F28" s="202">
        <v>101.09551399999999</v>
      </c>
      <c r="G28" s="202">
        <v>24.458658</v>
      </c>
      <c r="H28" s="202">
        <v>9</v>
      </c>
      <c r="I28" s="202">
        <f t="shared" si="0"/>
        <v>9</v>
      </c>
    </row>
    <row r="29" spans="1:9">
      <c r="A29" s="202">
        <v>37</v>
      </c>
      <c r="B29" s="202" t="s">
        <v>3163</v>
      </c>
      <c r="C29" s="202" t="s">
        <v>3164</v>
      </c>
      <c r="D29" s="202" t="s">
        <v>2210</v>
      </c>
      <c r="E29" s="202" t="s">
        <v>2303</v>
      </c>
      <c r="F29" s="202">
        <v>101.087425</v>
      </c>
      <c r="G29" s="202">
        <v>24.392544000000001</v>
      </c>
      <c r="H29" s="202">
        <v>0</v>
      </c>
      <c r="I29" s="202" t="str">
        <f t="shared" si="0"/>
        <v>NA</v>
      </c>
    </row>
    <row r="30" spans="1:9">
      <c r="A30" s="202">
        <v>38</v>
      </c>
      <c r="B30" s="202" t="s">
        <v>3163</v>
      </c>
      <c r="C30" s="202" t="s">
        <v>3164</v>
      </c>
      <c r="D30" s="202" t="s">
        <v>2210</v>
      </c>
      <c r="E30" s="202" t="s">
        <v>2305</v>
      </c>
      <c r="F30" s="202">
        <v>101.090294</v>
      </c>
      <c r="G30" s="202">
        <v>24.454782999999999</v>
      </c>
      <c r="H30" s="202">
        <v>9</v>
      </c>
      <c r="I30" s="202">
        <f t="shared" si="0"/>
        <v>9</v>
      </c>
    </row>
    <row r="31" spans="1:9">
      <c r="A31" s="202">
        <v>39</v>
      </c>
      <c r="B31" s="202" t="s">
        <v>3166</v>
      </c>
      <c r="C31" s="202" t="s">
        <v>3167</v>
      </c>
      <c r="D31" s="202" t="s">
        <v>2326</v>
      </c>
      <c r="E31" s="202" t="s">
        <v>2327</v>
      </c>
      <c r="F31" s="202">
        <v>101.16284400000001</v>
      </c>
      <c r="G31" s="202">
        <v>24.394572</v>
      </c>
      <c r="H31" s="202">
        <v>17</v>
      </c>
      <c r="I31" s="202">
        <f t="shared" si="0"/>
        <v>17</v>
      </c>
    </row>
    <row r="32" spans="1:9">
      <c r="A32" s="202">
        <v>40</v>
      </c>
      <c r="B32" s="202" t="s">
        <v>3166</v>
      </c>
      <c r="C32" s="202" t="s">
        <v>3167</v>
      </c>
      <c r="D32" s="202" t="s">
        <v>2326</v>
      </c>
      <c r="E32" s="202" t="s">
        <v>3361</v>
      </c>
      <c r="F32" s="202">
        <v>101.16186399999999</v>
      </c>
      <c r="G32" s="202">
        <v>24.394831</v>
      </c>
      <c r="H32" s="202">
        <v>17</v>
      </c>
      <c r="I32" s="202">
        <f t="shared" si="0"/>
        <v>17</v>
      </c>
    </row>
    <row r="33" spans="1:9">
      <c r="A33" s="202">
        <v>41</v>
      </c>
      <c r="B33" s="202" t="s">
        <v>3166</v>
      </c>
      <c r="C33" s="202" t="s">
        <v>3167</v>
      </c>
      <c r="D33" s="202" t="s">
        <v>2330</v>
      </c>
      <c r="E33" s="202" t="s">
        <v>2331</v>
      </c>
      <c r="F33" s="202">
        <v>101.162825</v>
      </c>
      <c r="G33" s="202">
        <v>24.394542000000001</v>
      </c>
      <c r="H33" s="202">
        <v>17</v>
      </c>
      <c r="I33" s="202">
        <f t="shared" si="0"/>
        <v>17</v>
      </c>
    </row>
    <row r="34" spans="1:9">
      <c r="A34" s="202">
        <v>42</v>
      </c>
      <c r="B34" s="202" t="s">
        <v>3166</v>
      </c>
      <c r="C34" s="202" t="s">
        <v>3167</v>
      </c>
      <c r="D34" s="202" t="s">
        <v>2326</v>
      </c>
      <c r="E34" s="202" t="s">
        <v>2332</v>
      </c>
      <c r="F34" s="202">
        <v>101.11256400000001</v>
      </c>
      <c r="G34" s="202">
        <v>24.414325000000002</v>
      </c>
      <c r="H34" s="202">
        <v>115</v>
      </c>
      <c r="I34" s="202">
        <f t="shared" si="0"/>
        <v>115</v>
      </c>
    </row>
    <row r="35" spans="1:9">
      <c r="A35" s="202">
        <v>43</v>
      </c>
      <c r="B35" s="202" t="s">
        <v>3166</v>
      </c>
      <c r="C35" s="202" t="s">
        <v>3167</v>
      </c>
      <c r="D35" s="202" t="s">
        <v>2326</v>
      </c>
      <c r="E35" s="202" t="s">
        <v>2333</v>
      </c>
      <c r="F35" s="202">
        <v>101.16186399999999</v>
      </c>
      <c r="G35" s="202">
        <v>24.394828</v>
      </c>
      <c r="H35" s="202">
        <v>17</v>
      </c>
      <c r="I35" s="202">
        <f t="shared" si="0"/>
        <v>17</v>
      </c>
    </row>
    <row r="36" spans="1:9">
      <c r="A36" s="202">
        <v>48</v>
      </c>
      <c r="B36" s="202" t="s">
        <v>3293</v>
      </c>
      <c r="C36" s="202" t="s">
        <v>3169</v>
      </c>
      <c r="D36" s="202" t="s">
        <v>2351</v>
      </c>
      <c r="E36" s="202" t="s">
        <v>2352</v>
      </c>
      <c r="F36" s="202">
        <v>101.257333</v>
      </c>
      <c r="G36" s="202">
        <v>24.372333000000001</v>
      </c>
      <c r="H36" s="202">
        <v>0</v>
      </c>
      <c r="I36" s="202" t="str">
        <f t="shared" si="0"/>
        <v>NA</v>
      </c>
    </row>
    <row r="37" spans="1:9">
      <c r="A37" s="202">
        <v>49</v>
      </c>
      <c r="B37" s="202" t="s">
        <v>3293</v>
      </c>
      <c r="C37" s="202" t="s">
        <v>3169</v>
      </c>
      <c r="D37" s="202" t="s">
        <v>2351</v>
      </c>
      <c r="E37" s="202" t="s">
        <v>2355</v>
      </c>
      <c r="F37" s="202">
        <v>101.261167</v>
      </c>
      <c r="G37" s="202">
        <v>24.381250000000001</v>
      </c>
      <c r="H37" s="202">
        <v>0</v>
      </c>
      <c r="I37" s="202" t="str">
        <f t="shared" si="0"/>
        <v>NA</v>
      </c>
    </row>
    <row r="38" spans="1:9">
      <c r="A38" s="202">
        <v>50</v>
      </c>
      <c r="B38" s="202" t="s">
        <v>3293</v>
      </c>
      <c r="C38" s="202" t="s">
        <v>3169</v>
      </c>
      <c r="D38" s="202" t="s">
        <v>2351</v>
      </c>
      <c r="E38" s="202" t="s">
        <v>2356</v>
      </c>
      <c r="F38" s="202">
        <v>101.27038899999999</v>
      </c>
      <c r="G38" s="202">
        <v>24.357278000000001</v>
      </c>
      <c r="H38" s="202">
        <v>4</v>
      </c>
      <c r="I38" s="202">
        <f t="shared" si="0"/>
        <v>4</v>
      </c>
    </row>
    <row r="39" spans="1:9">
      <c r="A39" s="202">
        <v>51</v>
      </c>
      <c r="B39" s="202" t="s">
        <v>3293</v>
      </c>
      <c r="C39" s="202" t="s">
        <v>3169</v>
      </c>
      <c r="D39" s="202" t="s">
        <v>2351</v>
      </c>
      <c r="E39" s="202" t="s">
        <v>2357</v>
      </c>
      <c r="F39" s="202">
        <v>101.255639</v>
      </c>
      <c r="G39" s="202">
        <v>24.379694000000001</v>
      </c>
      <c r="H39" s="202">
        <v>0</v>
      </c>
      <c r="I39" s="202" t="str">
        <f t="shared" si="0"/>
        <v>NA</v>
      </c>
    </row>
    <row r="40" spans="1:9">
      <c r="A40" s="202">
        <v>52</v>
      </c>
      <c r="B40" s="202" t="s">
        <v>3293</v>
      </c>
      <c r="C40" s="202" t="s">
        <v>3169</v>
      </c>
      <c r="D40" s="202" t="s">
        <v>2351</v>
      </c>
      <c r="E40" s="202" t="s">
        <v>2358</v>
      </c>
      <c r="F40" s="202">
        <v>101.267444</v>
      </c>
      <c r="G40" s="202">
        <v>24.38025</v>
      </c>
      <c r="H40" s="202">
        <v>0</v>
      </c>
      <c r="I40" s="202" t="str">
        <f t="shared" si="0"/>
        <v>NA</v>
      </c>
    </row>
    <row r="41" spans="1:9">
      <c r="A41" s="202">
        <v>53</v>
      </c>
      <c r="B41" s="202" t="s">
        <v>2359</v>
      </c>
      <c r="C41" s="202" t="s">
        <v>1929</v>
      </c>
      <c r="D41" s="202" t="s">
        <v>2360</v>
      </c>
      <c r="E41" s="202" t="s">
        <v>2361</v>
      </c>
      <c r="F41" s="202">
        <v>101.128236</v>
      </c>
      <c r="G41" s="202">
        <v>24.446914</v>
      </c>
      <c r="H41" s="202">
        <v>0</v>
      </c>
      <c r="I41" s="202" t="str">
        <f t="shared" si="0"/>
        <v>NA</v>
      </c>
    </row>
    <row r="42" spans="1:9">
      <c r="A42" s="202">
        <v>54</v>
      </c>
      <c r="B42" s="202" t="s">
        <v>2359</v>
      </c>
      <c r="C42" s="202" t="s">
        <v>1929</v>
      </c>
      <c r="D42" s="202" t="s">
        <v>2360</v>
      </c>
      <c r="E42" s="202" t="s">
        <v>2364</v>
      </c>
      <c r="F42" s="202">
        <v>101.126631</v>
      </c>
      <c r="G42" s="202">
        <v>24.442397</v>
      </c>
      <c r="H42" s="202">
        <v>0</v>
      </c>
      <c r="I42" s="202" t="str">
        <f t="shared" si="0"/>
        <v>NA</v>
      </c>
    </row>
    <row r="43" spans="1:9">
      <c r="A43" s="202">
        <v>57</v>
      </c>
      <c r="B43" s="202" t="s">
        <v>3170</v>
      </c>
      <c r="C43" s="202" t="s">
        <v>3171</v>
      </c>
      <c r="D43" s="202" t="s">
        <v>2368</v>
      </c>
      <c r="E43" s="202" t="s">
        <v>2369</v>
      </c>
      <c r="F43" s="202">
        <v>101.16284400000001</v>
      </c>
      <c r="G43" s="202">
        <v>24.394572</v>
      </c>
      <c r="H43" s="202">
        <v>17</v>
      </c>
      <c r="I43" s="202">
        <f t="shared" si="0"/>
        <v>17</v>
      </c>
    </row>
    <row r="44" spans="1:9">
      <c r="A44" s="202">
        <v>58</v>
      </c>
      <c r="B44" s="202" t="s">
        <v>3170</v>
      </c>
      <c r="C44" s="202" t="s">
        <v>3171</v>
      </c>
      <c r="D44" s="202" t="s">
        <v>2372</v>
      </c>
      <c r="E44" s="202" t="s">
        <v>2373</v>
      </c>
      <c r="F44" s="202">
        <v>101.172639</v>
      </c>
      <c r="G44" s="202">
        <v>24.395222</v>
      </c>
      <c r="H44" s="202">
        <v>0</v>
      </c>
      <c r="I44" s="202" t="str">
        <f t="shared" si="0"/>
        <v>NA</v>
      </c>
    </row>
    <row r="45" spans="1:9">
      <c r="A45" s="202">
        <v>59</v>
      </c>
      <c r="B45" s="202" t="s">
        <v>3170</v>
      </c>
      <c r="C45" s="202" t="s">
        <v>3171</v>
      </c>
      <c r="D45" s="202" t="s">
        <v>2372</v>
      </c>
      <c r="E45" s="202" t="s">
        <v>2374</v>
      </c>
      <c r="F45" s="202">
        <v>101.129233</v>
      </c>
      <c r="G45" s="202">
        <v>24.394603</v>
      </c>
      <c r="H45" s="202">
        <v>0</v>
      </c>
      <c r="I45" s="202" t="str">
        <f t="shared" si="0"/>
        <v>NA</v>
      </c>
    </row>
    <row r="46" spans="1:9">
      <c r="A46" s="202">
        <v>60</v>
      </c>
      <c r="B46" s="202" t="s">
        <v>3170</v>
      </c>
      <c r="C46" s="202" t="s">
        <v>3171</v>
      </c>
      <c r="D46" s="202" t="s">
        <v>2372</v>
      </c>
      <c r="E46" s="202" t="s">
        <v>2375</v>
      </c>
      <c r="F46" s="202">
        <v>101.16186399999999</v>
      </c>
      <c r="G46" s="202">
        <v>24.394828</v>
      </c>
      <c r="H46" s="202">
        <v>17</v>
      </c>
      <c r="I46" s="202">
        <f t="shared" si="0"/>
        <v>17</v>
      </c>
    </row>
    <row r="47" spans="1:9">
      <c r="A47" s="202">
        <v>61</v>
      </c>
      <c r="B47" s="202" t="s">
        <v>3170</v>
      </c>
      <c r="C47" s="202" t="s">
        <v>3171</v>
      </c>
      <c r="D47" s="202" t="s">
        <v>2372</v>
      </c>
      <c r="E47" s="202" t="s">
        <v>2376</v>
      </c>
      <c r="F47" s="202">
        <v>101.128539</v>
      </c>
      <c r="G47" s="202">
        <v>24.364297000000001</v>
      </c>
      <c r="H47" s="202">
        <v>0</v>
      </c>
      <c r="I47" s="202" t="str">
        <f t="shared" si="0"/>
        <v>NA</v>
      </c>
    </row>
    <row r="48" spans="1:9">
      <c r="A48" s="202">
        <v>62</v>
      </c>
      <c r="B48" s="202" t="s">
        <v>3172</v>
      </c>
      <c r="C48" s="202" t="s">
        <v>3173</v>
      </c>
      <c r="D48" s="202" t="s">
        <v>2210</v>
      </c>
      <c r="E48" s="202" t="s">
        <v>2401</v>
      </c>
      <c r="F48" s="202">
        <v>101.08951399999999</v>
      </c>
      <c r="G48" s="202">
        <v>24.473800000000001</v>
      </c>
      <c r="H48" s="202">
        <v>8</v>
      </c>
      <c r="I48" s="202">
        <f t="shared" si="0"/>
        <v>8</v>
      </c>
    </row>
    <row r="49" spans="1:9">
      <c r="A49" s="202">
        <v>63</v>
      </c>
      <c r="B49" s="202" t="s">
        <v>3172</v>
      </c>
      <c r="C49" s="202" t="s">
        <v>3173</v>
      </c>
      <c r="D49" s="202" t="s">
        <v>2210</v>
      </c>
      <c r="E49" s="202" t="s">
        <v>2405</v>
      </c>
      <c r="F49" s="202">
        <v>101.08819699999999</v>
      </c>
      <c r="G49" s="202">
        <v>24.456582999999998</v>
      </c>
      <c r="H49" s="202">
        <v>9</v>
      </c>
      <c r="I49" s="202">
        <f t="shared" si="0"/>
        <v>9</v>
      </c>
    </row>
    <row r="50" spans="1:9">
      <c r="A50" s="202">
        <v>64</v>
      </c>
      <c r="B50" s="202" t="s">
        <v>3172</v>
      </c>
      <c r="C50" s="202" t="s">
        <v>3173</v>
      </c>
      <c r="D50" s="202" t="s">
        <v>2210</v>
      </c>
      <c r="E50" s="202" t="s">
        <v>2407</v>
      </c>
      <c r="F50" s="202">
        <v>101.088069</v>
      </c>
      <c r="G50" s="202">
        <v>24.475474999999999</v>
      </c>
      <c r="H50" s="202">
        <v>7</v>
      </c>
      <c r="I50" s="202">
        <f t="shared" si="0"/>
        <v>7</v>
      </c>
    </row>
    <row r="51" spans="1:9">
      <c r="A51" s="202">
        <v>65</v>
      </c>
      <c r="B51" s="202" t="s">
        <v>3172</v>
      </c>
      <c r="C51" s="202" t="s">
        <v>3173</v>
      </c>
      <c r="D51" s="202" t="s">
        <v>2210</v>
      </c>
      <c r="E51" s="202" t="s">
        <v>2409</v>
      </c>
      <c r="F51" s="202">
        <v>101.092117</v>
      </c>
      <c r="G51" s="202">
        <v>24.459886000000001</v>
      </c>
      <c r="H51" s="202">
        <v>9</v>
      </c>
      <c r="I51" s="202">
        <f t="shared" si="0"/>
        <v>9</v>
      </c>
    </row>
    <row r="52" spans="1:9">
      <c r="A52" s="202">
        <v>67</v>
      </c>
      <c r="B52" s="202" t="s">
        <v>2410</v>
      </c>
      <c r="C52" s="202" t="s">
        <v>1929</v>
      </c>
      <c r="D52" s="202" t="s">
        <v>2411</v>
      </c>
      <c r="E52" s="202" t="s">
        <v>2415</v>
      </c>
      <c r="F52" s="202">
        <v>101.113269</v>
      </c>
      <c r="G52" s="202">
        <v>24.448508</v>
      </c>
      <c r="H52" s="202">
        <v>11</v>
      </c>
      <c r="I52" s="202">
        <f t="shared" si="0"/>
        <v>11</v>
      </c>
    </row>
    <row r="53" spans="1:9">
      <c r="A53" s="202">
        <v>68</v>
      </c>
      <c r="B53" s="202" t="s">
        <v>2410</v>
      </c>
      <c r="C53" s="202" t="s">
        <v>1929</v>
      </c>
      <c r="D53" s="202" t="s">
        <v>2416</v>
      </c>
      <c r="E53" s="202" t="s">
        <v>2417</v>
      </c>
      <c r="F53" s="202">
        <v>101.114194</v>
      </c>
      <c r="G53" s="202">
        <v>24.301110999999999</v>
      </c>
      <c r="H53" s="202">
        <v>0</v>
      </c>
      <c r="I53" s="202" t="str">
        <f t="shared" si="0"/>
        <v>NA</v>
      </c>
    </row>
    <row r="54" spans="1:9">
      <c r="A54" s="202">
        <v>69</v>
      </c>
      <c r="B54" s="202" t="s">
        <v>2410</v>
      </c>
      <c r="C54" s="202" t="s">
        <v>1929</v>
      </c>
      <c r="D54" s="202" t="s">
        <v>2411</v>
      </c>
      <c r="E54" s="202" t="s">
        <v>2418</v>
      </c>
      <c r="F54" s="202">
        <v>101.112619</v>
      </c>
      <c r="G54" s="202">
        <v>24.451564000000001</v>
      </c>
      <c r="H54" s="202">
        <v>11</v>
      </c>
      <c r="I54" s="202">
        <f t="shared" si="0"/>
        <v>11</v>
      </c>
    </row>
    <row r="55" spans="1:9">
      <c r="A55" s="202">
        <v>70</v>
      </c>
      <c r="B55" s="202" t="s">
        <v>3176</v>
      </c>
      <c r="C55" s="202" t="s">
        <v>3177</v>
      </c>
      <c r="D55" s="202" t="s">
        <v>2210</v>
      </c>
      <c r="E55" s="202" t="s">
        <v>2432</v>
      </c>
      <c r="F55" s="202">
        <v>101.096428</v>
      </c>
      <c r="G55" s="202">
        <v>24.469611</v>
      </c>
      <c r="H55" s="202">
        <v>8</v>
      </c>
      <c r="I55" s="202">
        <f t="shared" si="0"/>
        <v>8</v>
      </c>
    </row>
    <row r="56" spans="1:9">
      <c r="A56" s="202">
        <v>71</v>
      </c>
      <c r="B56" s="202" t="s">
        <v>3176</v>
      </c>
      <c r="C56" s="202" t="s">
        <v>3177</v>
      </c>
      <c r="D56" s="202" t="s">
        <v>2210</v>
      </c>
      <c r="E56" s="202" t="s">
        <v>2436</v>
      </c>
      <c r="F56" s="202">
        <v>101.094094</v>
      </c>
      <c r="G56" s="202">
        <v>24.477910999999999</v>
      </c>
      <c r="H56" s="202">
        <v>8</v>
      </c>
      <c r="I56" s="202">
        <f t="shared" si="0"/>
        <v>8</v>
      </c>
    </row>
    <row r="57" spans="1:9">
      <c r="A57" s="202">
        <v>72</v>
      </c>
      <c r="B57" s="202" t="s">
        <v>3176</v>
      </c>
      <c r="C57" s="202" t="s">
        <v>3177</v>
      </c>
      <c r="D57" s="202" t="s">
        <v>2210</v>
      </c>
      <c r="E57" s="202" t="s">
        <v>2438</v>
      </c>
      <c r="F57" s="202">
        <v>101.096206</v>
      </c>
      <c r="G57" s="202">
        <v>24.469908</v>
      </c>
      <c r="H57" s="202">
        <v>8</v>
      </c>
      <c r="I57" s="202">
        <f t="shared" si="0"/>
        <v>8</v>
      </c>
    </row>
    <row r="58" spans="1:9">
      <c r="A58" s="202">
        <v>73</v>
      </c>
      <c r="B58" s="202" t="s">
        <v>3176</v>
      </c>
      <c r="C58" s="202" t="s">
        <v>3177</v>
      </c>
      <c r="D58" s="202" t="s">
        <v>2210</v>
      </c>
      <c r="E58" s="202" t="s">
        <v>2440</v>
      </c>
      <c r="F58" s="202">
        <v>101.094122</v>
      </c>
      <c r="G58" s="202">
        <v>24.460152999999998</v>
      </c>
      <c r="H58" s="202">
        <v>9</v>
      </c>
      <c r="I58" s="202">
        <f t="shared" si="0"/>
        <v>9</v>
      </c>
    </row>
    <row r="59" spans="1:9">
      <c r="A59" s="202">
        <v>74</v>
      </c>
      <c r="B59" s="202" t="s">
        <v>3176</v>
      </c>
      <c r="C59" s="202" t="s">
        <v>3177</v>
      </c>
      <c r="D59" s="202" t="s">
        <v>2442</v>
      </c>
      <c r="E59" s="202" t="s">
        <v>2443</v>
      </c>
      <c r="F59" s="202">
        <v>101.21467800000001</v>
      </c>
      <c r="G59" s="202">
        <v>24.796581</v>
      </c>
      <c r="H59" s="202">
        <v>0</v>
      </c>
      <c r="I59" s="202" t="str">
        <f t="shared" si="0"/>
        <v>NA</v>
      </c>
    </row>
    <row r="60" spans="1:9">
      <c r="A60" s="202">
        <v>75</v>
      </c>
      <c r="B60" s="202" t="s">
        <v>2445</v>
      </c>
      <c r="C60" s="202" t="s">
        <v>1929</v>
      </c>
      <c r="D60" s="202" t="s">
        <v>427</v>
      </c>
      <c r="E60" s="202" t="s">
        <v>2447</v>
      </c>
      <c r="F60" s="202">
        <v>101.32548</v>
      </c>
      <c r="G60" s="202">
        <v>24.301134999999999</v>
      </c>
      <c r="H60" s="202">
        <v>0</v>
      </c>
      <c r="I60" s="202" t="str">
        <f t="shared" si="0"/>
        <v>NA</v>
      </c>
    </row>
    <row r="61" spans="1:9">
      <c r="A61" s="202">
        <v>76</v>
      </c>
      <c r="B61" s="202" t="s">
        <v>2445</v>
      </c>
      <c r="C61" s="202" t="s">
        <v>1929</v>
      </c>
      <c r="D61" s="202" t="s">
        <v>427</v>
      </c>
      <c r="E61" s="202" t="s">
        <v>2450</v>
      </c>
      <c r="F61" s="202">
        <v>101.32086700000001</v>
      </c>
      <c r="G61" s="202">
        <v>24.292164</v>
      </c>
      <c r="H61" s="202">
        <v>0</v>
      </c>
      <c r="I61" s="202" t="str">
        <f t="shared" si="0"/>
        <v>NA</v>
      </c>
    </row>
    <row r="62" spans="1:9">
      <c r="A62" s="202">
        <v>77</v>
      </c>
      <c r="B62" s="202" t="s">
        <v>2445</v>
      </c>
      <c r="C62" s="202" t="s">
        <v>1929</v>
      </c>
      <c r="D62" s="202" t="s">
        <v>427</v>
      </c>
      <c r="E62" s="202" t="s">
        <v>2452</v>
      </c>
      <c r="F62" s="202">
        <v>101.31784</v>
      </c>
      <c r="G62" s="202">
        <v>24.288150000000002</v>
      </c>
      <c r="H62" s="202">
        <v>0</v>
      </c>
      <c r="I62" s="202" t="str">
        <f t="shared" si="0"/>
        <v>NA</v>
      </c>
    </row>
    <row r="63" spans="1:9">
      <c r="A63" s="202">
        <v>78</v>
      </c>
      <c r="B63" s="202" t="s">
        <v>2445</v>
      </c>
      <c r="C63" s="202" t="s">
        <v>1929</v>
      </c>
      <c r="D63" s="202" t="s">
        <v>427</v>
      </c>
      <c r="E63" s="202" t="s">
        <v>2453</v>
      </c>
      <c r="F63" s="202">
        <v>101.313417</v>
      </c>
      <c r="G63" s="202">
        <v>24.280358</v>
      </c>
      <c r="H63" s="202">
        <v>157</v>
      </c>
      <c r="I63" s="202">
        <f t="shared" si="0"/>
        <v>157</v>
      </c>
    </row>
    <row r="64" spans="1:9">
      <c r="A64" s="202">
        <v>79</v>
      </c>
      <c r="B64" s="202" t="s">
        <v>2445</v>
      </c>
      <c r="C64" s="202" t="s">
        <v>1929</v>
      </c>
      <c r="D64" s="202" t="s">
        <v>427</v>
      </c>
      <c r="E64" s="202" t="s">
        <v>2455</v>
      </c>
      <c r="F64" s="202">
        <v>101.308189</v>
      </c>
      <c r="G64" s="202">
        <v>24.30536</v>
      </c>
      <c r="H64" s="202">
        <v>0</v>
      </c>
      <c r="I64" s="202" t="str">
        <f t="shared" si="0"/>
        <v>NA</v>
      </c>
    </row>
    <row r="65" spans="1:9">
      <c r="A65" s="202">
        <v>80</v>
      </c>
      <c r="B65" s="202" t="s">
        <v>2445</v>
      </c>
      <c r="C65" s="202" t="s">
        <v>1929</v>
      </c>
      <c r="D65" s="202" t="s">
        <v>427</v>
      </c>
      <c r="E65" s="202" t="s">
        <v>2457</v>
      </c>
      <c r="F65" s="202">
        <v>101.30462799999999</v>
      </c>
      <c r="G65" s="202">
        <v>24.299503999999999</v>
      </c>
      <c r="H65" s="202">
        <v>144</v>
      </c>
      <c r="I65" s="202">
        <f t="shared" si="0"/>
        <v>144</v>
      </c>
    </row>
    <row r="66" spans="1:9">
      <c r="A66" s="202">
        <v>81</v>
      </c>
      <c r="B66" s="202" t="s">
        <v>2445</v>
      </c>
      <c r="C66" s="202" t="s">
        <v>1929</v>
      </c>
      <c r="D66" s="202" t="s">
        <v>427</v>
      </c>
      <c r="E66" s="202" t="s">
        <v>2458</v>
      </c>
      <c r="F66" s="202">
        <v>101.300738</v>
      </c>
      <c r="G66" s="202">
        <v>24.30763</v>
      </c>
      <c r="H66" s="202">
        <v>143</v>
      </c>
      <c r="I66" s="202">
        <f t="shared" si="0"/>
        <v>143</v>
      </c>
    </row>
    <row r="67" spans="1:9">
      <c r="A67" s="202">
        <v>82</v>
      </c>
      <c r="B67" s="202" t="s">
        <v>2445</v>
      </c>
      <c r="C67" s="202" t="s">
        <v>1929</v>
      </c>
      <c r="D67" s="202" t="s">
        <v>427</v>
      </c>
      <c r="E67" s="202" t="s">
        <v>2459</v>
      </c>
      <c r="F67" s="202">
        <v>101.300645</v>
      </c>
      <c r="G67" s="202">
        <v>24.302515</v>
      </c>
      <c r="H67" s="202">
        <v>142</v>
      </c>
      <c r="I67" s="202">
        <f t="shared" ref="I67:I111" si="1">IF(H67=0,"NA",H67)</f>
        <v>142</v>
      </c>
    </row>
    <row r="68" spans="1:9">
      <c r="A68" s="202">
        <v>83</v>
      </c>
      <c r="B68" s="202" t="s">
        <v>2579</v>
      </c>
      <c r="C68" s="202" t="s">
        <v>1929</v>
      </c>
      <c r="D68" s="202" t="s">
        <v>2580</v>
      </c>
      <c r="E68" s="202" t="s">
        <v>2582</v>
      </c>
      <c r="F68" s="202">
        <v>101.608419</v>
      </c>
      <c r="G68" s="202">
        <v>23.833068999999998</v>
      </c>
      <c r="H68" s="202">
        <v>0</v>
      </c>
      <c r="I68" s="202" t="str">
        <f t="shared" si="1"/>
        <v>NA</v>
      </c>
    </row>
    <row r="69" spans="1:9">
      <c r="A69" s="202">
        <v>89</v>
      </c>
      <c r="B69" s="202" t="s">
        <v>2669</v>
      </c>
      <c r="C69" s="202" t="s">
        <v>1929</v>
      </c>
      <c r="D69" s="202" t="s">
        <v>2589</v>
      </c>
      <c r="E69" s="202" t="s">
        <v>2591</v>
      </c>
      <c r="F69" s="202">
        <v>101.39754499999999</v>
      </c>
      <c r="G69" s="202">
        <v>24.180857</v>
      </c>
      <c r="H69" s="202">
        <v>0</v>
      </c>
      <c r="I69" s="202" t="str">
        <f t="shared" si="1"/>
        <v>NA</v>
      </c>
    </row>
    <row r="70" spans="1:9">
      <c r="A70" s="202">
        <v>90</v>
      </c>
      <c r="B70" s="202" t="s">
        <v>2592</v>
      </c>
      <c r="C70" s="202" t="s">
        <v>1929</v>
      </c>
      <c r="D70" s="202" t="s">
        <v>1929</v>
      </c>
      <c r="E70" s="202" t="s">
        <v>3362</v>
      </c>
      <c r="F70" s="202">
        <v>103.38027</v>
      </c>
      <c r="G70" s="202">
        <v>23.372907999999999</v>
      </c>
      <c r="H70" s="202">
        <v>0</v>
      </c>
      <c r="I70" s="202" t="str">
        <f t="shared" si="1"/>
        <v>NA</v>
      </c>
    </row>
    <row r="71" spans="1:9">
      <c r="A71" s="202">
        <v>91</v>
      </c>
      <c r="B71" s="202" t="s">
        <v>2592</v>
      </c>
      <c r="C71" s="202" t="s">
        <v>1929</v>
      </c>
      <c r="D71" s="202" t="s">
        <v>1929</v>
      </c>
      <c r="E71" s="202" t="s">
        <v>3362</v>
      </c>
      <c r="F71" s="202">
        <v>103.38027</v>
      </c>
      <c r="G71" s="202">
        <v>23.372907999999999</v>
      </c>
      <c r="H71" s="202">
        <v>0</v>
      </c>
      <c r="I71" s="202" t="str">
        <f t="shared" si="1"/>
        <v>NA</v>
      </c>
    </row>
    <row r="72" spans="1:9">
      <c r="A72" s="202">
        <v>92</v>
      </c>
      <c r="B72" s="202" t="s">
        <v>2592</v>
      </c>
      <c r="C72" s="202" t="s">
        <v>1929</v>
      </c>
      <c r="D72" s="202" t="s">
        <v>1929</v>
      </c>
      <c r="E72" s="202" t="s">
        <v>3362</v>
      </c>
      <c r="F72" s="202">
        <v>103.38027</v>
      </c>
      <c r="G72" s="202">
        <v>23.372907999999999</v>
      </c>
      <c r="H72" s="202">
        <v>0</v>
      </c>
      <c r="I72" s="202" t="str">
        <f t="shared" si="1"/>
        <v>NA</v>
      </c>
    </row>
    <row r="73" spans="1:9">
      <c r="A73" s="202">
        <v>93</v>
      </c>
      <c r="B73" s="202" t="s">
        <v>2592</v>
      </c>
      <c r="C73" s="202" t="s">
        <v>1929</v>
      </c>
      <c r="D73" s="202" t="s">
        <v>1929</v>
      </c>
      <c r="E73" s="202" t="s">
        <v>3362</v>
      </c>
      <c r="F73" s="202">
        <v>103.38027</v>
      </c>
      <c r="G73" s="202">
        <v>23.372907999999999</v>
      </c>
      <c r="H73" s="202">
        <v>0</v>
      </c>
      <c r="I73" s="202" t="str">
        <f t="shared" si="1"/>
        <v>NA</v>
      </c>
    </row>
    <row r="74" spans="1:9">
      <c r="A74" s="202">
        <v>94</v>
      </c>
      <c r="B74" s="202" t="s">
        <v>2592</v>
      </c>
      <c r="C74" s="202" t="s">
        <v>1929</v>
      </c>
      <c r="D74" s="202" t="s">
        <v>2599</v>
      </c>
      <c r="E74" s="202" t="s">
        <v>3362</v>
      </c>
      <c r="F74" s="202">
        <v>103.38027</v>
      </c>
      <c r="G74" s="202">
        <v>23.372907999999999</v>
      </c>
      <c r="H74" s="202">
        <v>0</v>
      </c>
      <c r="I74" s="202" t="str">
        <f t="shared" si="1"/>
        <v>NA</v>
      </c>
    </row>
    <row r="75" spans="1:9">
      <c r="A75" s="202">
        <v>95</v>
      </c>
      <c r="B75" s="202" t="s">
        <v>2600</v>
      </c>
      <c r="C75" s="202" t="s">
        <v>1929</v>
      </c>
      <c r="D75" s="202" t="s">
        <v>2601</v>
      </c>
      <c r="E75" s="202" t="s">
        <v>2603</v>
      </c>
      <c r="F75" s="202">
        <v>101.50661599999999</v>
      </c>
      <c r="G75" s="202">
        <v>24.010017999999999</v>
      </c>
      <c r="H75" s="202">
        <v>0</v>
      </c>
      <c r="I75" s="202" t="str">
        <f t="shared" si="1"/>
        <v>NA</v>
      </c>
    </row>
    <row r="76" spans="1:9">
      <c r="A76" s="202">
        <v>96</v>
      </c>
      <c r="B76" s="202" t="s">
        <v>2600</v>
      </c>
      <c r="C76" s="202" t="s">
        <v>1929</v>
      </c>
      <c r="D76" s="202" t="s">
        <v>2601</v>
      </c>
      <c r="E76" s="202" t="s">
        <v>2607</v>
      </c>
      <c r="F76" s="202">
        <v>101.506766</v>
      </c>
      <c r="G76" s="202">
        <v>24.010124000000001</v>
      </c>
      <c r="H76" s="202">
        <v>0</v>
      </c>
      <c r="I76" s="202" t="str">
        <f t="shared" si="1"/>
        <v>NA</v>
      </c>
    </row>
    <row r="77" spans="1:9">
      <c r="A77" s="202">
        <v>97</v>
      </c>
      <c r="B77" s="202" t="s">
        <v>2600</v>
      </c>
      <c r="C77" s="202" t="s">
        <v>1929</v>
      </c>
      <c r="D77" s="202" t="s">
        <v>2601</v>
      </c>
      <c r="E77" s="202" t="s">
        <v>2609</v>
      </c>
      <c r="F77" s="202">
        <v>101.50765199999999</v>
      </c>
      <c r="G77" s="202">
        <v>24.010262999999998</v>
      </c>
      <c r="H77" s="202">
        <v>0</v>
      </c>
      <c r="I77" s="202" t="str">
        <f t="shared" si="1"/>
        <v>NA</v>
      </c>
    </row>
    <row r="78" spans="1:9">
      <c r="A78" s="202">
        <v>98</v>
      </c>
      <c r="B78" s="202" t="s">
        <v>2600</v>
      </c>
      <c r="C78" s="202" t="s">
        <v>1929</v>
      </c>
      <c r="D78" s="202" t="s">
        <v>2601</v>
      </c>
      <c r="E78" s="202" t="s">
        <v>2611</v>
      </c>
      <c r="F78" s="202">
        <v>101.50656499999999</v>
      </c>
      <c r="G78" s="202">
        <v>24.009920000000001</v>
      </c>
      <c r="H78" s="202">
        <v>0</v>
      </c>
      <c r="I78" s="202" t="str">
        <f t="shared" si="1"/>
        <v>NA</v>
      </c>
    </row>
    <row r="79" spans="1:9">
      <c r="A79" s="202">
        <v>99</v>
      </c>
      <c r="B79" s="202" t="s">
        <v>2600</v>
      </c>
      <c r="C79" s="202" t="s">
        <v>1929</v>
      </c>
      <c r="D79" s="202" t="s">
        <v>2613</v>
      </c>
      <c r="E79" s="202" t="s">
        <v>2614</v>
      </c>
      <c r="F79" s="202">
        <v>101.502808</v>
      </c>
      <c r="G79" s="202">
        <v>24.015250000000002</v>
      </c>
      <c r="H79" s="202">
        <v>0</v>
      </c>
      <c r="I79" s="202" t="str">
        <f t="shared" si="1"/>
        <v>NA</v>
      </c>
    </row>
    <row r="80" spans="1:9">
      <c r="A80" s="202">
        <v>104</v>
      </c>
      <c r="B80" s="202" t="s">
        <v>2616</v>
      </c>
      <c r="C80" s="202" t="s">
        <v>1929</v>
      </c>
      <c r="D80" s="202" t="s">
        <v>2624</v>
      </c>
      <c r="E80" s="202" t="s">
        <v>2626</v>
      </c>
      <c r="F80" s="202">
        <v>101.63439700000001</v>
      </c>
      <c r="G80" s="202">
        <v>23.800256000000001</v>
      </c>
      <c r="H80" s="202">
        <v>0</v>
      </c>
      <c r="I80" s="202" t="str">
        <f t="shared" si="1"/>
        <v>NA</v>
      </c>
    </row>
    <row r="81" spans="1:9">
      <c r="A81" s="202">
        <v>105</v>
      </c>
      <c r="B81" s="202" t="s">
        <v>2628</v>
      </c>
      <c r="C81" s="202" t="s">
        <v>1929</v>
      </c>
      <c r="D81" s="202" t="s">
        <v>2629</v>
      </c>
      <c r="E81" s="202" t="s">
        <v>2631</v>
      </c>
      <c r="F81" s="202">
        <v>101.505191</v>
      </c>
      <c r="G81" s="202">
        <v>23.939447000000001</v>
      </c>
      <c r="H81" s="202">
        <v>0</v>
      </c>
      <c r="I81" s="202" t="str">
        <f t="shared" si="1"/>
        <v>NA</v>
      </c>
    </row>
    <row r="82" spans="1:9">
      <c r="A82" s="202">
        <v>106</v>
      </c>
      <c r="B82" s="202" t="s">
        <v>2628</v>
      </c>
      <c r="C82" s="202" t="s">
        <v>1929</v>
      </c>
      <c r="D82" s="202" t="s">
        <v>2634</v>
      </c>
      <c r="E82" s="202" t="s">
        <v>2635</v>
      </c>
      <c r="F82" s="202">
        <v>101.506215</v>
      </c>
      <c r="G82" s="202">
        <v>23.939592999999999</v>
      </c>
      <c r="H82" s="202">
        <v>0</v>
      </c>
      <c r="I82" s="202" t="str">
        <f t="shared" si="1"/>
        <v>NA</v>
      </c>
    </row>
    <row r="83" spans="1:9">
      <c r="A83" s="202">
        <v>107</v>
      </c>
      <c r="B83" s="202" t="s">
        <v>2628</v>
      </c>
      <c r="C83" s="202" t="s">
        <v>1929</v>
      </c>
      <c r="D83" s="202" t="s">
        <v>2637</v>
      </c>
      <c r="E83" s="202" t="s">
        <v>2638</v>
      </c>
      <c r="F83" s="202">
        <v>101.50827200000001</v>
      </c>
      <c r="G83" s="202">
        <v>23.940850000000001</v>
      </c>
      <c r="H83" s="202">
        <v>0</v>
      </c>
      <c r="I83" s="202" t="str">
        <f t="shared" si="1"/>
        <v>NA</v>
      </c>
    </row>
    <row r="84" spans="1:9">
      <c r="A84" s="202">
        <v>108</v>
      </c>
      <c r="B84" s="202" t="s">
        <v>2628</v>
      </c>
      <c r="C84" s="202" t="s">
        <v>1929</v>
      </c>
      <c r="D84" s="202" t="s">
        <v>2637</v>
      </c>
      <c r="E84" s="202" t="s">
        <v>2640</v>
      </c>
      <c r="F84" s="202">
        <v>101.509269</v>
      </c>
      <c r="G84" s="202">
        <v>23.942187000000001</v>
      </c>
      <c r="H84" s="202">
        <v>0</v>
      </c>
      <c r="I84" s="202" t="str">
        <f t="shared" si="1"/>
        <v>NA</v>
      </c>
    </row>
    <row r="85" spans="1:9">
      <c r="A85" s="202">
        <v>109</v>
      </c>
      <c r="B85" s="202" t="s">
        <v>2628</v>
      </c>
      <c r="C85" s="202" t="s">
        <v>1929</v>
      </c>
      <c r="D85" s="202" t="s">
        <v>2642</v>
      </c>
      <c r="E85" s="202" t="s">
        <v>2643</v>
      </c>
      <c r="F85" s="202">
        <v>101.508973</v>
      </c>
      <c r="G85" s="202">
        <v>23.938528999999999</v>
      </c>
      <c r="H85" s="202">
        <v>0</v>
      </c>
      <c r="I85" s="202" t="str">
        <f t="shared" si="1"/>
        <v>NA</v>
      </c>
    </row>
    <row r="86" spans="1:9">
      <c r="A86" s="202">
        <v>110</v>
      </c>
      <c r="B86" s="202" t="s">
        <v>3291</v>
      </c>
      <c r="C86" s="202" t="s">
        <v>1929</v>
      </c>
      <c r="D86" s="202" t="s">
        <v>2644</v>
      </c>
      <c r="E86" s="202" t="s">
        <v>2645</v>
      </c>
      <c r="F86" s="202">
        <v>101.613711</v>
      </c>
      <c r="G86" s="202">
        <v>23.816278000000001</v>
      </c>
      <c r="H86" s="202">
        <v>0</v>
      </c>
      <c r="I86" s="202" t="str">
        <f t="shared" si="1"/>
        <v>NA</v>
      </c>
    </row>
    <row r="87" spans="1:9">
      <c r="A87" s="202">
        <v>115</v>
      </c>
      <c r="B87" s="202" t="s">
        <v>2648</v>
      </c>
      <c r="C87" s="202" t="s">
        <v>1929</v>
      </c>
      <c r="D87" s="202" t="s">
        <v>2649</v>
      </c>
      <c r="E87" s="202" t="s">
        <v>2651</v>
      </c>
      <c r="F87" s="202">
        <v>101.525803</v>
      </c>
      <c r="G87" s="202">
        <v>23.946833000000002</v>
      </c>
      <c r="H87" s="202">
        <v>0</v>
      </c>
      <c r="I87" s="202" t="str">
        <f t="shared" si="1"/>
        <v>NA</v>
      </c>
    </row>
    <row r="88" spans="1:9">
      <c r="A88" s="202">
        <v>116</v>
      </c>
      <c r="B88" s="202" t="s">
        <v>2648</v>
      </c>
      <c r="C88" s="202" t="s">
        <v>1929</v>
      </c>
      <c r="D88" s="202" t="s">
        <v>463</v>
      </c>
      <c r="E88" s="202" t="s">
        <v>2654</v>
      </c>
      <c r="F88" s="202">
        <v>101.508957</v>
      </c>
      <c r="G88" s="202">
        <v>23.937716999999999</v>
      </c>
      <c r="H88" s="202">
        <v>0</v>
      </c>
      <c r="I88" s="202" t="str">
        <f t="shared" si="1"/>
        <v>NA</v>
      </c>
    </row>
    <row r="89" spans="1:9">
      <c r="A89" s="202">
        <v>117</v>
      </c>
      <c r="B89" s="202" t="s">
        <v>2648</v>
      </c>
      <c r="C89" s="202" t="s">
        <v>1929</v>
      </c>
      <c r="D89" s="202" t="s">
        <v>463</v>
      </c>
      <c r="E89" s="202" t="s">
        <v>2655</v>
      </c>
      <c r="F89" s="202">
        <v>101.508937</v>
      </c>
      <c r="G89" s="202">
        <v>23.938222</v>
      </c>
      <c r="H89" s="202">
        <v>0</v>
      </c>
      <c r="I89" s="202" t="str">
        <f t="shared" si="1"/>
        <v>NA</v>
      </c>
    </row>
    <row r="90" spans="1:9">
      <c r="A90" s="202">
        <v>118</v>
      </c>
      <c r="B90" s="202" t="s">
        <v>2648</v>
      </c>
      <c r="C90" s="202" t="s">
        <v>1929</v>
      </c>
      <c r="D90" s="202" t="s">
        <v>1929</v>
      </c>
      <c r="E90" s="202" t="s">
        <v>2656</v>
      </c>
      <c r="F90" s="202">
        <v>101.513133</v>
      </c>
      <c r="G90" s="202">
        <v>23.954619999999998</v>
      </c>
      <c r="H90" s="202">
        <v>0</v>
      </c>
      <c r="I90" s="202" t="str">
        <f t="shared" si="1"/>
        <v>NA</v>
      </c>
    </row>
    <row r="91" spans="1:9">
      <c r="A91" s="202">
        <v>119</v>
      </c>
      <c r="B91" s="202" t="s">
        <v>2648</v>
      </c>
      <c r="C91" s="202" t="s">
        <v>1929</v>
      </c>
      <c r="D91" s="202" t="s">
        <v>463</v>
      </c>
      <c r="E91" s="202" t="s">
        <v>2657</v>
      </c>
      <c r="F91" s="202">
        <v>101.499627</v>
      </c>
      <c r="G91" s="202">
        <v>23.944095000000001</v>
      </c>
      <c r="H91" s="202">
        <v>0</v>
      </c>
      <c r="I91" s="202" t="str">
        <f t="shared" si="1"/>
        <v>NA</v>
      </c>
    </row>
    <row r="92" spans="1:9">
      <c r="A92" s="202">
        <v>124</v>
      </c>
      <c r="B92" s="202" t="s">
        <v>2658</v>
      </c>
      <c r="C92" s="202" t="s">
        <v>1929</v>
      </c>
      <c r="D92" s="202" t="s">
        <v>2667</v>
      </c>
      <c r="E92" s="202" t="s">
        <v>2668</v>
      </c>
      <c r="F92" s="202">
        <v>101.957589</v>
      </c>
      <c r="G92" s="202">
        <v>23.842116999999998</v>
      </c>
      <c r="H92" s="202">
        <v>0</v>
      </c>
      <c r="I92" s="202" t="str">
        <f t="shared" si="1"/>
        <v>NA</v>
      </c>
    </row>
    <row r="93" spans="1:9">
      <c r="A93" s="202">
        <v>125</v>
      </c>
      <c r="B93" s="202" t="s">
        <v>2669</v>
      </c>
      <c r="C93" s="202" t="s">
        <v>1929</v>
      </c>
      <c r="D93" s="202" t="s">
        <v>463</v>
      </c>
      <c r="E93" s="202" t="s">
        <v>2670</v>
      </c>
      <c r="F93" s="202">
        <v>101.508887</v>
      </c>
      <c r="G93" s="202">
        <v>23.938673999999999</v>
      </c>
      <c r="H93" s="202">
        <v>0</v>
      </c>
      <c r="I93" s="202" t="str">
        <f t="shared" si="1"/>
        <v>NA</v>
      </c>
    </row>
    <row r="94" spans="1:9">
      <c r="A94" s="202">
        <v>126</v>
      </c>
      <c r="B94" s="202" t="s">
        <v>2669</v>
      </c>
      <c r="C94" s="202" t="s">
        <v>1929</v>
      </c>
      <c r="D94" s="202" t="s">
        <v>2673</v>
      </c>
      <c r="E94" s="202" t="s">
        <v>2674</v>
      </c>
      <c r="F94" s="202">
        <v>101.50845700000001</v>
      </c>
      <c r="G94" s="202">
        <v>23.939267999999998</v>
      </c>
      <c r="H94" s="202">
        <v>0</v>
      </c>
      <c r="I94" s="202" t="str">
        <f t="shared" si="1"/>
        <v>NA</v>
      </c>
    </row>
    <row r="95" spans="1:9">
      <c r="A95" s="202">
        <v>127</v>
      </c>
      <c r="B95" s="202" t="s">
        <v>2669</v>
      </c>
      <c r="C95" s="202" t="s">
        <v>1929</v>
      </c>
      <c r="D95" s="202" t="s">
        <v>2675</v>
      </c>
      <c r="E95" s="202" t="s">
        <v>2676</v>
      </c>
      <c r="F95" s="202">
        <v>101.508903</v>
      </c>
      <c r="G95" s="202">
        <v>23.938457</v>
      </c>
      <c r="H95" s="202">
        <v>0</v>
      </c>
      <c r="I95" s="202" t="str">
        <f t="shared" si="1"/>
        <v>NA</v>
      </c>
    </row>
    <row r="96" spans="1:9">
      <c r="A96" s="202">
        <v>128</v>
      </c>
      <c r="B96" s="202" t="s">
        <v>2669</v>
      </c>
      <c r="C96" s="202" t="s">
        <v>1929</v>
      </c>
      <c r="D96" s="202" t="s">
        <v>2677</v>
      </c>
      <c r="E96" s="202" t="s">
        <v>2678</v>
      </c>
      <c r="F96" s="202">
        <v>101.508486</v>
      </c>
      <c r="G96" s="202">
        <v>23.940269000000001</v>
      </c>
      <c r="H96" s="202">
        <v>0</v>
      </c>
      <c r="I96" s="202" t="str">
        <f t="shared" si="1"/>
        <v>NA</v>
      </c>
    </row>
    <row r="97" spans="1:9">
      <c r="A97" s="202">
        <v>129</v>
      </c>
      <c r="B97" s="202" t="s">
        <v>2669</v>
      </c>
      <c r="C97" s="202" t="s">
        <v>1929</v>
      </c>
      <c r="D97" s="202" t="s">
        <v>463</v>
      </c>
      <c r="E97" s="202" t="s">
        <v>2676</v>
      </c>
      <c r="F97" s="202">
        <v>101.508903</v>
      </c>
      <c r="G97" s="202">
        <v>23.938457</v>
      </c>
      <c r="H97" s="202">
        <v>0</v>
      </c>
      <c r="I97" s="202" t="str">
        <f t="shared" si="1"/>
        <v>NA</v>
      </c>
    </row>
    <row r="98" spans="1:9">
      <c r="A98" s="202">
        <v>130</v>
      </c>
      <c r="B98" s="202" t="s">
        <v>3182</v>
      </c>
      <c r="C98" s="202" t="s">
        <v>1929</v>
      </c>
      <c r="D98" s="202" t="s">
        <v>2679</v>
      </c>
      <c r="E98" s="202" t="s">
        <v>2680</v>
      </c>
      <c r="F98" s="202">
        <v>101.506563</v>
      </c>
      <c r="G98" s="202">
        <v>24.010831</v>
      </c>
      <c r="H98" s="202">
        <v>0</v>
      </c>
      <c r="I98" s="202" t="str">
        <f t="shared" si="1"/>
        <v>NA</v>
      </c>
    </row>
    <row r="99" spans="1:9">
      <c r="A99" s="202">
        <v>131</v>
      </c>
      <c r="B99" s="202" t="s">
        <v>3182</v>
      </c>
      <c r="C99" s="202" t="s">
        <v>1929</v>
      </c>
      <c r="D99" s="202" t="s">
        <v>2679</v>
      </c>
      <c r="E99" s="202" t="s">
        <v>2683</v>
      </c>
      <c r="F99" s="202">
        <v>101.50618299999999</v>
      </c>
      <c r="G99" s="202">
        <v>24.009962000000002</v>
      </c>
      <c r="H99" s="202">
        <v>0</v>
      </c>
      <c r="I99" s="202" t="str">
        <f t="shared" si="1"/>
        <v>NA</v>
      </c>
    </row>
    <row r="100" spans="1:9">
      <c r="A100" s="202">
        <v>132</v>
      </c>
      <c r="B100" s="202" t="s">
        <v>3183</v>
      </c>
      <c r="C100" s="202" t="s">
        <v>1929</v>
      </c>
      <c r="D100" s="202" t="s">
        <v>2685</v>
      </c>
      <c r="E100" s="202" t="s">
        <v>2686</v>
      </c>
      <c r="F100" s="202">
        <v>101.506264</v>
      </c>
      <c r="G100" s="202">
        <v>24.010096000000001</v>
      </c>
      <c r="H100" s="202">
        <v>0</v>
      </c>
      <c r="I100" s="202" t="str">
        <f t="shared" si="1"/>
        <v>NA</v>
      </c>
    </row>
    <row r="101" spans="1:9">
      <c r="A101" s="202">
        <v>133</v>
      </c>
      <c r="B101" s="202" t="s">
        <v>2600</v>
      </c>
      <c r="C101" s="202" t="s">
        <v>1929</v>
      </c>
      <c r="D101" s="202" t="s">
        <v>2689</v>
      </c>
      <c r="E101" s="202" t="s">
        <v>2690</v>
      </c>
      <c r="F101" s="202">
        <v>101.505944</v>
      </c>
      <c r="G101" s="202">
        <v>24.010814</v>
      </c>
      <c r="H101" s="202">
        <v>0</v>
      </c>
      <c r="I101" s="202" t="str">
        <f t="shared" si="1"/>
        <v>NA</v>
      </c>
    </row>
    <row r="102" spans="1:9">
      <c r="A102" s="202">
        <v>134</v>
      </c>
      <c r="B102" s="202" t="s">
        <v>3184</v>
      </c>
      <c r="C102" s="202" t="s">
        <v>1929</v>
      </c>
      <c r="D102" s="202" t="s">
        <v>2692</v>
      </c>
      <c r="E102" s="202" t="s">
        <v>2693</v>
      </c>
      <c r="F102" s="202">
        <v>101.506158</v>
      </c>
      <c r="G102" s="202">
        <v>24.010187999999999</v>
      </c>
      <c r="H102" s="202">
        <v>0</v>
      </c>
      <c r="I102" s="202" t="str">
        <f t="shared" si="1"/>
        <v>NA</v>
      </c>
    </row>
    <row r="103" spans="1:9">
      <c r="A103" s="202">
        <v>140</v>
      </c>
      <c r="B103" s="202" t="s">
        <v>2845</v>
      </c>
      <c r="C103" s="202" t="s">
        <v>1929</v>
      </c>
      <c r="D103" s="202" t="s">
        <v>2846</v>
      </c>
      <c r="E103" s="202" t="s">
        <v>2848</v>
      </c>
      <c r="F103" s="202">
        <v>101.007361</v>
      </c>
      <c r="G103" s="202">
        <v>24.532427999999999</v>
      </c>
      <c r="H103" s="202">
        <v>107</v>
      </c>
      <c r="I103" s="202">
        <f t="shared" si="1"/>
        <v>107</v>
      </c>
    </row>
    <row r="104" spans="1:9">
      <c r="A104" s="202">
        <v>141</v>
      </c>
      <c r="B104" s="202" t="s">
        <v>2845</v>
      </c>
      <c r="C104" s="202" t="s">
        <v>1929</v>
      </c>
      <c r="D104" s="202" t="s">
        <v>2846</v>
      </c>
      <c r="E104" s="202" t="s">
        <v>2851</v>
      </c>
      <c r="F104" s="202">
        <v>101.015111</v>
      </c>
      <c r="G104" s="202">
        <v>24.562681000000001</v>
      </c>
      <c r="H104" s="202">
        <v>105</v>
      </c>
      <c r="I104" s="202">
        <f t="shared" si="1"/>
        <v>105</v>
      </c>
    </row>
    <row r="105" spans="1:9">
      <c r="A105" s="202">
        <v>142</v>
      </c>
      <c r="B105" s="202" t="s">
        <v>2845</v>
      </c>
      <c r="C105" s="202" t="s">
        <v>1929</v>
      </c>
      <c r="D105" s="202" t="s">
        <v>2846</v>
      </c>
      <c r="E105" s="202" t="s">
        <v>2852</v>
      </c>
      <c r="F105" s="202">
        <v>101.007008</v>
      </c>
      <c r="G105" s="202">
        <v>24.539611000000001</v>
      </c>
      <c r="H105" s="202">
        <v>107</v>
      </c>
      <c r="I105" s="202">
        <f t="shared" si="1"/>
        <v>107</v>
      </c>
    </row>
    <row r="106" spans="1:9">
      <c r="A106" s="202">
        <v>143</v>
      </c>
      <c r="B106" s="202" t="s">
        <v>2845</v>
      </c>
      <c r="C106" s="202" t="s">
        <v>1929</v>
      </c>
      <c r="D106" s="202" t="s">
        <v>2846</v>
      </c>
      <c r="E106" s="202" t="s">
        <v>2854</v>
      </c>
      <c r="F106" s="202">
        <v>101.00746100000001</v>
      </c>
      <c r="G106" s="202">
        <v>24.536431</v>
      </c>
      <c r="H106" s="202">
        <v>107</v>
      </c>
      <c r="I106" s="202">
        <f t="shared" si="1"/>
        <v>107</v>
      </c>
    </row>
    <row r="107" spans="1:9">
      <c r="A107" s="202">
        <v>144</v>
      </c>
      <c r="B107" s="202" t="s">
        <v>2986</v>
      </c>
      <c r="C107" s="202" t="s">
        <v>1929</v>
      </c>
      <c r="D107" s="202" t="s">
        <v>2987</v>
      </c>
      <c r="E107" s="202" t="s">
        <v>3363</v>
      </c>
      <c r="F107" s="202">
        <v>101.00994300000001</v>
      </c>
      <c r="G107" s="202">
        <v>24.642263</v>
      </c>
      <c r="H107" s="202">
        <v>0</v>
      </c>
      <c r="I107" s="202" t="str">
        <f t="shared" si="1"/>
        <v>NA</v>
      </c>
    </row>
    <row r="108" spans="1:9">
      <c r="A108" s="202">
        <v>145</v>
      </c>
      <c r="B108" s="202" t="s">
        <v>2986</v>
      </c>
      <c r="C108" s="202" t="s">
        <v>1929</v>
      </c>
      <c r="D108" s="202" t="s">
        <v>2987</v>
      </c>
      <c r="E108" s="202" t="s">
        <v>3364</v>
      </c>
      <c r="F108" s="202">
        <v>100.99932699999999</v>
      </c>
      <c r="G108" s="202">
        <v>24.637384999999998</v>
      </c>
      <c r="H108" s="202">
        <v>77</v>
      </c>
      <c r="I108" s="202">
        <f t="shared" si="1"/>
        <v>77</v>
      </c>
    </row>
    <row r="109" spans="1:9">
      <c r="A109" s="202">
        <v>146</v>
      </c>
      <c r="B109" s="202" t="s">
        <v>2986</v>
      </c>
      <c r="C109" s="202" t="s">
        <v>1929</v>
      </c>
      <c r="D109" s="202" t="s">
        <v>2987</v>
      </c>
      <c r="E109" s="202" t="s">
        <v>3365</v>
      </c>
      <c r="F109" s="202">
        <v>100.999195</v>
      </c>
      <c r="G109" s="202">
        <v>24.638110000000001</v>
      </c>
      <c r="H109" s="202">
        <v>77</v>
      </c>
      <c r="I109" s="202">
        <f t="shared" si="1"/>
        <v>77</v>
      </c>
    </row>
    <row r="110" spans="1:9">
      <c r="A110" s="202">
        <v>147</v>
      </c>
      <c r="B110" s="202" t="s">
        <v>2986</v>
      </c>
      <c r="C110" s="202" t="s">
        <v>1929</v>
      </c>
      <c r="D110" s="202" t="s">
        <v>2987</v>
      </c>
      <c r="E110" s="202" t="s">
        <v>3366</v>
      </c>
      <c r="F110" s="202">
        <v>100.999517</v>
      </c>
      <c r="G110" s="202">
        <v>24.636447</v>
      </c>
      <c r="H110" s="202">
        <v>77</v>
      </c>
      <c r="I110" s="202">
        <f t="shared" si="1"/>
        <v>77</v>
      </c>
    </row>
    <row r="111" spans="1:9">
      <c r="A111" s="202">
        <v>148</v>
      </c>
      <c r="B111" s="202" t="s">
        <v>2986</v>
      </c>
      <c r="C111" s="202" t="s">
        <v>1929</v>
      </c>
      <c r="D111" s="202" t="s">
        <v>2987</v>
      </c>
      <c r="E111" s="202" t="s">
        <v>3367</v>
      </c>
      <c r="F111" s="202">
        <v>101.000755</v>
      </c>
      <c r="G111" s="202">
        <v>24.636123000000001</v>
      </c>
      <c r="H111" s="202">
        <v>37</v>
      </c>
      <c r="I111" s="202">
        <f t="shared" si="1"/>
        <v>37</v>
      </c>
    </row>
  </sheetData>
  <autoFilter ref="A1:H1" xr:uid="{00000000-0009-0000-0000-00000D000000}"/>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7"/>
  <sheetViews>
    <sheetView workbookViewId="0">
      <pane ySplit="1" topLeftCell="A2" activePane="bottomLeft" state="frozen"/>
      <selection pane="bottomLeft" activeCell="A11" sqref="A11:XFD12"/>
    </sheetView>
  </sheetViews>
  <sheetFormatPr baseColWidth="10" defaultColWidth="8.83203125" defaultRowHeight="15"/>
  <cols>
    <col min="1" max="1" width="28.6640625" customWidth="1"/>
    <col min="2" max="2" width="14.5" customWidth="1"/>
    <col min="3" max="3" width="17.5" customWidth="1"/>
    <col min="4" max="4" width="135.6640625" customWidth="1"/>
  </cols>
  <sheetData>
    <row r="1" spans="1:4">
      <c r="A1" t="s">
        <v>3282</v>
      </c>
      <c r="B1" t="s">
        <v>3283</v>
      </c>
      <c r="C1" t="s">
        <v>3284</v>
      </c>
      <c r="D1" t="s">
        <v>3285</v>
      </c>
    </row>
    <row r="2" spans="1:4">
      <c r="A2" t="s">
        <v>3287</v>
      </c>
      <c r="B2" t="s">
        <v>3288</v>
      </c>
      <c r="C2" s="165" t="s">
        <v>3290</v>
      </c>
      <c r="D2" t="s">
        <v>3303</v>
      </c>
    </row>
    <row r="3" spans="1:4">
      <c r="A3" t="s">
        <v>3304</v>
      </c>
      <c r="B3" t="s">
        <v>3288</v>
      </c>
      <c r="C3" s="165" t="s">
        <v>3290</v>
      </c>
      <c r="D3" t="s">
        <v>3305</v>
      </c>
    </row>
    <row r="4" spans="1:4">
      <c r="A4" t="s">
        <v>3306</v>
      </c>
      <c r="B4" t="s">
        <v>3288</v>
      </c>
      <c r="C4" s="165" t="s">
        <v>3290</v>
      </c>
      <c r="D4" t="s">
        <v>3307</v>
      </c>
    </row>
    <row r="5" spans="1:4">
      <c r="A5" t="s">
        <v>3308</v>
      </c>
      <c r="B5" t="s">
        <v>3288</v>
      </c>
      <c r="C5" s="165" t="s">
        <v>3290</v>
      </c>
      <c r="D5" t="s">
        <v>3309</v>
      </c>
    </row>
    <row r="6" spans="1:4">
      <c r="A6" t="s">
        <v>3310</v>
      </c>
      <c r="B6" t="s">
        <v>3288</v>
      </c>
      <c r="C6" s="165" t="s">
        <v>3290</v>
      </c>
      <c r="D6" t="s">
        <v>3312</v>
      </c>
    </row>
    <row r="7" spans="1:4">
      <c r="A7" t="s">
        <v>3311</v>
      </c>
      <c r="B7" t="s">
        <v>3288</v>
      </c>
      <c r="C7" s="165" t="s">
        <v>3290</v>
      </c>
      <c r="D7" t="s">
        <v>3313</v>
      </c>
    </row>
    <row r="8" spans="1:4">
      <c r="A8" t="s">
        <v>3314</v>
      </c>
      <c r="B8" t="s">
        <v>3288</v>
      </c>
      <c r="C8" s="165" t="s">
        <v>3290</v>
      </c>
      <c r="D8" t="s">
        <v>3315</v>
      </c>
    </row>
    <row r="9" spans="1:4">
      <c r="A9" t="s">
        <v>3316</v>
      </c>
      <c r="B9" t="s">
        <v>3288</v>
      </c>
      <c r="C9" s="165" t="s">
        <v>3318</v>
      </c>
      <c r="D9" t="s">
        <v>3319</v>
      </c>
    </row>
    <row r="10" spans="1:4">
      <c r="A10" t="s">
        <v>3317</v>
      </c>
      <c r="B10" t="s">
        <v>3288</v>
      </c>
      <c r="C10" s="165" t="s">
        <v>3318</v>
      </c>
      <c r="D10" t="s">
        <v>3319</v>
      </c>
    </row>
    <row r="11" spans="1:4">
      <c r="A11" t="s">
        <v>3327</v>
      </c>
      <c r="B11" t="s">
        <v>3286</v>
      </c>
      <c r="C11" s="165" t="s">
        <v>3289</v>
      </c>
      <c r="D11" t="s">
        <v>3320</v>
      </c>
    </row>
    <row r="12" spans="1:4">
      <c r="A12" t="s">
        <v>3325</v>
      </c>
      <c r="B12" t="s">
        <v>3286</v>
      </c>
      <c r="C12" s="165" t="s">
        <v>3289</v>
      </c>
      <c r="D12" t="s">
        <v>3321</v>
      </c>
    </row>
    <row r="13" spans="1:4">
      <c r="A13" t="s">
        <v>3322</v>
      </c>
      <c r="B13" t="s">
        <v>3323</v>
      </c>
      <c r="C13" s="165" t="s">
        <v>3324</v>
      </c>
      <c r="D13" t="s">
        <v>3326</v>
      </c>
    </row>
    <row r="14" spans="1:4">
      <c r="A14" t="s">
        <v>3353</v>
      </c>
      <c r="B14" t="s">
        <v>3323</v>
      </c>
      <c r="C14" s="165" t="s">
        <v>3374</v>
      </c>
      <c r="D14" t="s">
        <v>3373</v>
      </c>
    </row>
    <row r="15" spans="1:4">
      <c r="A15" t="s">
        <v>3375</v>
      </c>
      <c r="B15" t="s">
        <v>3323</v>
      </c>
      <c r="C15" s="165" t="s">
        <v>3374</v>
      </c>
      <c r="D15" t="s">
        <v>3376</v>
      </c>
    </row>
    <row r="16" spans="1:4">
      <c r="A16" t="s">
        <v>3328</v>
      </c>
      <c r="B16" t="s">
        <v>3323</v>
      </c>
      <c r="C16" s="165" t="s">
        <v>3324</v>
      </c>
      <c r="D16" t="s">
        <v>3329</v>
      </c>
    </row>
    <row r="17" spans="3:3">
      <c r="C17" s="165"/>
    </row>
    <row r="18" spans="3:3">
      <c r="C18" s="165"/>
    </row>
    <row r="19" spans="3:3">
      <c r="C19" s="165"/>
    </row>
    <row r="20" spans="3:3">
      <c r="C20" s="165"/>
    </row>
    <row r="21" spans="3:3">
      <c r="C21" s="165"/>
    </row>
    <row r="22" spans="3:3">
      <c r="C22" s="165"/>
    </row>
    <row r="23" spans="3:3">
      <c r="C23" s="165"/>
    </row>
    <row r="24" spans="3:3">
      <c r="C24" s="165"/>
    </row>
    <row r="25" spans="3:3">
      <c r="C25" s="165"/>
    </row>
    <row r="26" spans="3:3">
      <c r="C26" s="165"/>
    </row>
    <row r="27" spans="3:3">
      <c r="C27" s="165"/>
    </row>
    <row r="28" spans="3:3">
      <c r="C28" s="165"/>
    </row>
    <row r="29" spans="3:3">
      <c r="C29" s="165"/>
    </row>
    <row r="30" spans="3:3">
      <c r="C30" s="165"/>
    </row>
    <row r="31" spans="3:3">
      <c r="C31" s="165"/>
    </row>
    <row r="32" spans="3:3">
      <c r="C32" s="165"/>
    </row>
    <row r="33" spans="3:3">
      <c r="C33" s="165"/>
    </row>
    <row r="34" spans="3:3">
      <c r="C34" s="165"/>
    </row>
    <row r="35" spans="3:3">
      <c r="C35" s="165"/>
    </row>
    <row r="36" spans="3:3">
      <c r="C36" s="165"/>
    </row>
    <row r="37" spans="3:3">
      <c r="C37" s="165"/>
    </row>
  </sheetData>
  <autoFilter ref="A1:D1" xr:uid="{00000000-0009-0000-0000-00000E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12</vt:i4>
      </vt:variant>
    </vt:vector>
  </HeadingPairs>
  <TitlesOfParts>
    <vt:vector size="29" baseType="lpstr">
      <vt:lpstr>All</vt:lpstr>
      <vt:lpstr>pivot</vt:lpstr>
      <vt:lpstr>databases</vt:lpstr>
      <vt:lpstr>双柏</vt:lpstr>
      <vt:lpstr>新平</vt:lpstr>
      <vt:lpstr>景东</vt:lpstr>
      <vt:lpstr>楚雄</vt:lpstr>
      <vt:lpstr>镇沅</vt:lpstr>
      <vt:lpstr>南华</vt:lpstr>
      <vt:lpstr>Sheet1</vt:lpstr>
      <vt:lpstr>Sheet2</vt:lpstr>
      <vt:lpstr>sample_database</vt:lpstr>
      <vt:lpstr>护林员数据库_ranger_database</vt:lpstr>
      <vt:lpstr>ranger_database_2016</vt:lpstr>
      <vt:lpstr>Update_from_YIFIP</vt:lpstr>
      <vt:lpstr>Export_to_ArcGIS</vt:lpstr>
      <vt:lpstr>Metadata</vt:lpstr>
      <vt:lpstr>南华!Print_Area</vt:lpstr>
      <vt:lpstr>双柏!Print_Area</vt:lpstr>
      <vt:lpstr>新平!Print_Area</vt:lpstr>
      <vt:lpstr>景东!Print_Area</vt:lpstr>
      <vt:lpstr>楚雄!Print_Area</vt:lpstr>
      <vt:lpstr>镇沅!Print_Area</vt:lpstr>
      <vt:lpstr>南华!Print_Titles</vt:lpstr>
      <vt:lpstr>双柏!Print_Titles</vt:lpstr>
      <vt:lpstr>新平!Print_Titles</vt:lpstr>
      <vt:lpstr>景东!Print_Titles</vt:lpstr>
      <vt:lpstr>楚雄!Print_Titles</vt:lpstr>
      <vt:lpstr>镇沅!Print_Titles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2017-01-13T04:43:14Z</cp:lastPrinted>
  <dcterms:created xsi:type="dcterms:W3CDTF">2006-09-13T11:21:51Z</dcterms:created>
  <dcterms:modified xsi:type="dcterms:W3CDTF">2019-09-23T15:36:10Z</dcterms:modified>
</cp:coreProperties>
</file>