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kra\Desktop\"/>
    </mc:Choice>
  </mc:AlternateContent>
  <xr:revisionPtr revIDLastSave="0" documentId="13_ncr:1_{037E3363-2CB4-4DA5-8D55-0C683A7AEFC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escription du produit" sheetId="7" r:id="rId1"/>
    <sheet name="Formules" sheetId="6" r:id="rId2"/>
    <sheet name="SRD &amp; PM" sheetId="1" r:id="rId3"/>
    <sheet name="Embedded Value" sheetId="8" r:id="rId4"/>
    <sheet name="TD 88-90" sheetId="2" r:id="rId5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D28" i="8" l="1"/>
  <c r="E28" i="8" s="1"/>
  <c r="H3" i="8" l="1"/>
  <c r="F3" i="8" l="1"/>
  <c r="M3" i="8"/>
  <c r="L3" i="8"/>
  <c r="D5" i="8"/>
  <c r="E5" i="8" s="1"/>
  <c r="D6" i="8"/>
  <c r="E6" i="8" s="1"/>
  <c r="D7" i="8"/>
  <c r="E7" i="8" s="1"/>
  <c r="D8" i="8"/>
  <c r="E8" i="8" s="1"/>
  <c r="D9" i="8"/>
  <c r="E9" i="8" s="1"/>
  <c r="D10" i="8"/>
  <c r="E10" i="8" s="1"/>
  <c r="D11" i="8"/>
  <c r="E11" i="8" s="1"/>
  <c r="D12" i="8"/>
  <c r="E12" i="8" s="1"/>
  <c r="D13" i="8"/>
  <c r="E13" i="8" s="1"/>
  <c r="D14" i="8"/>
  <c r="E14" i="8" s="1"/>
  <c r="D15" i="8"/>
  <c r="E15" i="8" s="1"/>
  <c r="D16" i="8"/>
  <c r="E16" i="8" s="1"/>
  <c r="D17" i="8"/>
  <c r="E17" i="8" s="1"/>
  <c r="D18" i="8"/>
  <c r="E18" i="8" s="1"/>
  <c r="D19" i="8"/>
  <c r="E19" i="8" s="1"/>
  <c r="D20" i="8"/>
  <c r="E20" i="8" s="1"/>
  <c r="D21" i="8"/>
  <c r="E21" i="8" s="1"/>
  <c r="D22" i="8"/>
  <c r="E22" i="8" s="1"/>
  <c r="D23" i="8"/>
  <c r="E23" i="8" s="1"/>
  <c r="D24" i="8"/>
  <c r="E24" i="8" s="1"/>
  <c r="D25" i="8"/>
  <c r="E25" i="8" s="1"/>
  <c r="D26" i="8"/>
  <c r="E26" i="8" s="1"/>
  <c r="D27" i="8"/>
  <c r="E27" i="8" s="1"/>
  <c r="D4" i="8"/>
  <c r="E4" i="8" s="1"/>
  <c r="D3" i="8"/>
  <c r="E3" i="8" s="1"/>
  <c r="F33" i="1"/>
  <c r="C33" i="1"/>
  <c r="D33" i="1"/>
  <c r="E33" i="1" l="1"/>
  <c r="G4" i="8"/>
  <c r="G33" i="1"/>
  <c r="F4" i="1"/>
  <c r="H4" i="8" l="1"/>
  <c r="O4" i="8" s="1"/>
  <c r="F4" i="8"/>
  <c r="G5" i="8" s="1"/>
  <c r="H5" i="8" s="1"/>
  <c r="O5" i="8" s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8" i="1"/>
  <c r="B8" i="1"/>
  <c r="O3" i="8" s="1"/>
  <c r="M4" i="8" l="1"/>
  <c r="L4" i="8"/>
  <c r="F5" i="8"/>
  <c r="G6" i="8" s="1"/>
  <c r="H6" i="8" s="1"/>
  <c r="O6" i="8" s="1"/>
  <c r="E25" i="1"/>
  <c r="E13" i="1"/>
  <c r="G32" i="1"/>
  <c r="G20" i="1"/>
  <c r="E28" i="1"/>
  <c r="E20" i="1"/>
  <c r="E16" i="1"/>
  <c r="E12" i="1"/>
  <c r="G31" i="1"/>
  <c r="G27" i="1"/>
  <c r="G23" i="1"/>
  <c r="G19" i="1"/>
  <c r="G15" i="1"/>
  <c r="G11" i="1"/>
  <c r="E29" i="1"/>
  <c r="E17" i="1"/>
  <c r="G28" i="1"/>
  <c r="G16" i="1"/>
  <c r="E32" i="1"/>
  <c r="E31" i="1"/>
  <c r="E27" i="1"/>
  <c r="E23" i="1"/>
  <c r="E19" i="1"/>
  <c r="E15" i="1"/>
  <c r="E11" i="1"/>
  <c r="G30" i="1"/>
  <c r="G26" i="1"/>
  <c r="G22" i="1"/>
  <c r="G18" i="1"/>
  <c r="G14" i="1"/>
  <c r="G10" i="1"/>
  <c r="E8" i="1"/>
  <c r="E21" i="1"/>
  <c r="E9" i="1"/>
  <c r="G24" i="1"/>
  <c r="G12" i="1"/>
  <c r="E24" i="1"/>
  <c r="E30" i="1"/>
  <c r="E26" i="1"/>
  <c r="E22" i="1"/>
  <c r="E18" i="1"/>
  <c r="E14" i="1"/>
  <c r="E10" i="1"/>
  <c r="G8" i="1"/>
  <c r="G29" i="1"/>
  <c r="G25" i="1"/>
  <c r="G21" i="1"/>
  <c r="G17" i="1"/>
  <c r="G13" i="1"/>
  <c r="G9" i="1"/>
  <c r="I19" i="1" l="1"/>
  <c r="J19" i="1" s="1"/>
  <c r="I18" i="1"/>
  <c r="J18" i="1" s="1"/>
  <c r="I21" i="1"/>
  <c r="J21" i="1" s="1"/>
  <c r="I11" i="1"/>
  <c r="J11" i="1" s="1"/>
  <c r="I27" i="1"/>
  <c r="J27" i="1" s="1"/>
  <c r="I28" i="1"/>
  <c r="J28" i="1" s="1"/>
  <c r="I25" i="1"/>
  <c r="J25" i="1" s="1"/>
  <c r="I22" i="1"/>
  <c r="J22" i="1" s="1"/>
  <c r="I32" i="1"/>
  <c r="J32" i="1" s="1"/>
  <c r="I15" i="1"/>
  <c r="J15" i="1" s="1"/>
  <c r="I31" i="1"/>
  <c r="J31" i="1" s="1"/>
  <c r="I16" i="1"/>
  <c r="J16" i="1" s="1"/>
  <c r="I12" i="1"/>
  <c r="J12" i="1" s="1"/>
  <c r="I10" i="1"/>
  <c r="J10" i="1" s="1"/>
  <c r="T5" i="8" s="1"/>
  <c r="I26" i="1"/>
  <c r="J26" i="1" s="1"/>
  <c r="I14" i="1"/>
  <c r="J14" i="1" s="1"/>
  <c r="I29" i="1"/>
  <c r="J29" i="1" s="1"/>
  <c r="I9" i="1"/>
  <c r="J9" i="1" s="1"/>
  <c r="I23" i="1"/>
  <c r="J23" i="1" s="1"/>
  <c r="I20" i="1"/>
  <c r="J20" i="1" s="1"/>
  <c r="I13" i="1"/>
  <c r="J13" i="1" s="1"/>
  <c r="I17" i="1"/>
  <c r="J17" i="1" s="1"/>
  <c r="H24" i="1"/>
  <c r="H12" i="1"/>
  <c r="H31" i="1"/>
  <c r="H26" i="1"/>
  <c r="H10" i="1"/>
  <c r="H19" i="1"/>
  <c r="H21" i="1"/>
  <c r="H23" i="1"/>
  <c r="H22" i="1"/>
  <c r="H28" i="1"/>
  <c r="H33" i="1"/>
  <c r="H17" i="1"/>
  <c r="H32" i="1"/>
  <c r="H11" i="1"/>
  <c r="I6" i="8" s="1"/>
  <c r="H15" i="1"/>
  <c r="H18" i="1"/>
  <c r="H16" i="1"/>
  <c r="H29" i="1"/>
  <c r="H13" i="1"/>
  <c r="H20" i="1"/>
  <c r="H30" i="1"/>
  <c r="H14" i="1"/>
  <c r="H27" i="1"/>
  <c r="H25" i="1"/>
  <c r="H9" i="1"/>
  <c r="I33" i="1"/>
  <c r="J33" i="1" s="1"/>
  <c r="I30" i="1"/>
  <c r="J30" i="1" s="1"/>
  <c r="I24" i="1"/>
  <c r="J24" i="1" s="1"/>
  <c r="M5" i="8"/>
  <c r="L5" i="8"/>
  <c r="I8" i="1"/>
  <c r="I5" i="8"/>
  <c r="H8" i="1"/>
  <c r="I3" i="8" s="1"/>
  <c r="N3" i="8" s="1"/>
  <c r="I4" i="8" l="1"/>
  <c r="N4" i="8" s="1"/>
  <c r="T6" i="8"/>
  <c r="J8" i="1"/>
  <c r="T3" i="8" s="1"/>
  <c r="U3" i="8" s="1"/>
  <c r="J3" i="8"/>
  <c r="P3" i="8"/>
  <c r="J5" i="8"/>
  <c r="K5" i="8" s="1"/>
  <c r="T4" i="8"/>
  <c r="U5" i="8" s="1"/>
  <c r="P4" i="8"/>
  <c r="J4" i="8"/>
  <c r="P5" i="8"/>
  <c r="J6" i="8"/>
  <c r="K6" i="8" s="1"/>
  <c r="V5" i="8"/>
  <c r="M6" i="8"/>
  <c r="L6" i="8"/>
  <c r="N5" i="8"/>
  <c r="F6" i="8"/>
  <c r="G7" i="8" l="1"/>
  <c r="H7" i="8" s="1"/>
  <c r="Q6" i="8"/>
  <c r="K4" i="8"/>
  <c r="Q4" i="8"/>
  <c r="V3" i="8"/>
  <c r="W5" i="8"/>
  <c r="X5" i="8" s="1"/>
  <c r="U4" i="8"/>
  <c r="V4" i="8"/>
  <c r="Q5" i="8"/>
  <c r="Q3" i="8"/>
  <c r="K3" i="8"/>
  <c r="P6" i="8"/>
  <c r="R5" i="8"/>
  <c r="S5" i="8" s="1"/>
  <c r="U6" i="8"/>
  <c r="V6" i="8"/>
  <c r="N6" i="8"/>
  <c r="T7" i="8"/>
  <c r="O7" i="8" l="1"/>
  <c r="I7" i="8"/>
  <c r="F7" i="8"/>
  <c r="P7" i="8" s="1"/>
  <c r="R4" i="8"/>
  <c r="S4" i="8" s="1"/>
  <c r="R3" i="8"/>
  <c r="S3" i="8" s="1"/>
  <c r="W4" i="8"/>
  <c r="X4" i="8" s="1"/>
  <c r="W6" i="8"/>
  <c r="X6" i="8" s="1"/>
  <c r="W3" i="8"/>
  <c r="X3" i="8" s="1"/>
  <c r="J7" i="8"/>
  <c r="Q7" i="8" s="1"/>
  <c r="R6" i="8"/>
  <c r="S6" i="8" s="1"/>
  <c r="L7" i="8"/>
  <c r="M7" i="8"/>
  <c r="G8" i="8" l="1"/>
  <c r="H8" i="8" s="1"/>
  <c r="K7" i="8"/>
  <c r="U7" i="8"/>
  <c r="V7" i="8"/>
  <c r="N7" i="8"/>
  <c r="O8" i="8" l="1"/>
  <c r="I8" i="8"/>
  <c r="R7" i="8"/>
  <c r="S7" i="8" s="1"/>
  <c r="F8" i="8"/>
  <c r="W7" i="8"/>
  <c r="X7" i="8" s="1"/>
  <c r="T8" i="8" l="1"/>
  <c r="J8" i="8"/>
  <c r="L8" i="8"/>
  <c r="N8" i="8"/>
  <c r="M8" i="8"/>
  <c r="P8" i="8"/>
  <c r="G9" i="8"/>
  <c r="H9" i="8" s="1"/>
  <c r="O9" i="8" l="1"/>
  <c r="I9" i="8"/>
  <c r="K8" i="8"/>
  <c r="Q8" i="8"/>
  <c r="V8" i="8"/>
  <c r="W8" i="8" s="1"/>
  <c r="U8" i="8"/>
  <c r="F9" i="8"/>
  <c r="X8" i="8" l="1"/>
  <c r="G10" i="8"/>
  <c r="H10" i="8" s="1"/>
  <c r="T9" i="8"/>
  <c r="P9" i="8"/>
  <c r="N9" i="8"/>
  <c r="M9" i="8"/>
  <c r="L9" i="8"/>
  <c r="J9" i="8"/>
  <c r="R8" i="8"/>
  <c r="S8" i="8" s="1"/>
  <c r="O10" i="8" l="1"/>
  <c r="I10" i="8"/>
  <c r="U9" i="8"/>
  <c r="V9" i="8"/>
  <c r="W9" i="8" s="1"/>
  <c r="K9" i="8"/>
  <c r="Q9" i="8"/>
  <c r="F10" i="8"/>
  <c r="X9" i="8" l="1"/>
  <c r="R9" i="8"/>
  <c r="S9" i="8" s="1"/>
  <c r="T10" i="8"/>
  <c r="P10" i="8"/>
  <c r="L10" i="8"/>
  <c r="J10" i="8"/>
  <c r="M10" i="8"/>
  <c r="G11" i="8"/>
  <c r="H11" i="8" s="1"/>
  <c r="O11" i="8" l="1"/>
  <c r="I11" i="8"/>
  <c r="T11" i="8"/>
  <c r="L11" i="8"/>
  <c r="J11" i="8"/>
  <c r="N11" i="8"/>
  <c r="M11" i="8"/>
  <c r="N10" i="8"/>
  <c r="K10" i="8"/>
  <c r="Q10" i="8"/>
  <c r="V10" i="8"/>
  <c r="W10" i="8" s="1"/>
  <c r="U10" i="8"/>
  <c r="F11" i="8"/>
  <c r="P11" i="8" s="1"/>
  <c r="R10" i="8" l="1"/>
  <c r="S10" i="8" s="1"/>
  <c r="X10" i="8"/>
  <c r="K11" i="8"/>
  <c r="Q11" i="8"/>
  <c r="G12" i="8"/>
  <c r="H12" i="8" s="1"/>
  <c r="U11" i="8"/>
  <c r="V11" i="8"/>
  <c r="W11" i="8" s="1"/>
  <c r="O12" i="8" l="1"/>
  <c r="I12" i="8"/>
  <c r="X11" i="8"/>
  <c r="R11" i="8"/>
  <c r="S11" i="8" s="1"/>
  <c r="F12" i="8"/>
  <c r="G13" i="8" s="1"/>
  <c r="H13" i="8" s="1"/>
  <c r="O13" i="8" l="1"/>
  <c r="I13" i="8"/>
  <c r="P12" i="8"/>
  <c r="F13" i="8"/>
  <c r="T12" i="8"/>
  <c r="N12" i="8"/>
  <c r="J12" i="8"/>
  <c r="M12" i="8"/>
  <c r="L12" i="8"/>
  <c r="V12" i="8" l="1"/>
  <c r="W12" i="8" s="1"/>
  <c r="U12" i="8"/>
  <c r="Q12" i="8"/>
  <c r="K12" i="8"/>
  <c r="R12" i="8" s="1"/>
  <c r="S12" i="8" s="1"/>
  <c r="L13" i="8"/>
  <c r="J13" i="8"/>
  <c r="M13" i="8"/>
  <c r="T13" i="8"/>
  <c r="P13" i="8"/>
  <c r="G14" i="8"/>
  <c r="H14" i="8" s="1"/>
  <c r="O14" i="8" l="1"/>
  <c r="I14" i="8"/>
  <c r="V13" i="8"/>
  <c r="W13" i="8" s="1"/>
  <c r="U13" i="8"/>
  <c r="N13" i="8"/>
  <c r="F14" i="8"/>
  <c r="G15" i="8" s="1"/>
  <c r="H15" i="8" s="1"/>
  <c r="K13" i="8"/>
  <c r="Q13" i="8"/>
  <c r="X12" i="8"/>
  <c r="O15" i="8" l="1"/>
  <c r="I15" i="8"/>
  <c r="R13" i="8"/>
  <c r="S13" i="8" s="1"/>
  <c r="P14" i="8"/>
  <c r="F15" i="8"/>
  <c r="T14" i="8"/>
  <c r="M14" i="8"/>
  <c r="L14" i="8"/>
  <c r="J14" i="8"/>
  <c r="N14" i="8"/>
  <c r="X13" i="8"/>
  <c r="U14" i="8" l="1"/>
  <c r="V14" i="8"/>
  <c r="W14" i="8" s="1"/>
  <c r="Q14" i="8"/>
  <c r="K14" i="8"/>
  <c r="P15" i="8"/>
  <c r="J15" i="8"/>
  <c r="L15" i="8"/>
  <c r="N15" i="8"/>
  <c r="T15" i="8"/>
  <c r="M15" i="8"/>
  <c r="G16" i="8"/>
  <c r="H16" i="8" s="1"/>
  <c r="F16" i="8" l="1"/>
  <c r="O16" i="8"/>
  <c r="I16" i="8"/>
  <c r="X14" i="8"/>
  <c r="R14" i="8"/>
  <c r="S14" i="8" s="1"/>
  <c r="K15" i="8"/>
  <c r="Q15" i="8"/>
  <c r="G17" i="8"/>
  <c r="H17" i="8" s="1"/>
  <c r="P16" i="8"/>
  <c r="V15" i="8"/>
  <c r="W15" i="8" s="1"/>
  <c r="U15" i="8"/>
  <c r="M16" i="8"/>
  <c r="J16" i="8"/>
  <c r="L16" i="8"/>
  <c r="T16" i="8"/>
  <c r="F17" i="8" l="1"/>
  <c r="O17" i="8"/>
  <c r="I17" i="8"/>
  <c r="R15" i="8"/>
  <c r="S15" i="8" s="1"/>
  <c r="T17" i="8"/>
  <c r="M17" i="8"/>
  <c r="J17" i="8"/>
  <c r="L17" i="8"/>
  <c r="P17" i="8"/>
  <c r="X15" i="8"/>
  <c r="G18" i="8"/>
  <c r="H18" i="8" s="1"/>
  <c r="Q16" i="8"/>
  <c r="K16" i="8"/>
  <c r="V16" i="8"/>
  <c r="W16" i="8" s="1"/>
  <c r="U16" i="8"/>
  <c r="N16" i="8"/>
  <c r="F18" i="8" l="1"/>
  <c r="O18" i="8"/>
  <c r="I18" i="8"/>
  <c r="R16" i="8"/>
  <c r="S16" i="8" s="1"/>
  <c r="X16" i="8"/>
  <c r="N17" i="8"/>
  <c r="T18" i="8"/>
  <c r="L18" i="8"/>
  <c r="M18" i="8"/>
  <c r="J18" i="8"/>
  <c r="P18" i="8"/>
  <c r="G19" i="8"/>
  <c r="K17" i="8"/>
  <c r="Q17" i="8"/>
  <c r="V17" i="8"/>
  <c r="W17" i="8" s="1"/>
  <c r="U17" i="8"/>
  <c r="F19" i="8" l="1"/>
  <c r="H19" i="8"/>
  <c r="R17" i="8"/>
  <c r="S17" i="8" s="1"/>
  <c r="K18" i="8"/>
  <c r="Q18" i="8"/>
  <c r="X17" i="8"/>
  <c r="U18" i="8"/>
  <c r="V18" i="8"/>
  <c r="W18" i="8" s="1"/>
  <c r="G20" i="8"/>
  <c r="H20" i="8" s="1"/>
  <c r="N18" i="8"/>
  <c r="O19" i="8" l="1"/>
  <c r="I19" i="8"/>
  <c r="O20" i="8"/>
  <c r="I20" i="8"/>
  <c r="R18" i="8"/>
  <c r="S18" i="8" s="1"/>
  <c r="X18" i="8"/>
  <c r="F20" i="8"/>
  <c r="G21" i="8" s="1"/>
  <c r="H21" i="8" s="1"/>
  <c r="T19" i="8"/>
  <c r="L19" i="8"/>
  <c r="M19" i="8"/>
  <c r="N19" i="8"/>
  <c r="J19" i="8"/>
  <c r="P19" i="8"/>
  <c r="O21" i="8" l="1"/>
  <c r="I21" i="8"/>
  <c r="V19" i="8"/>
  <c r="W19" i="8" s="1"/>
  <c r="U19" i="8"/>
  <c r="F21" i="8"/>
  <c r="T20" i="8"/>
  <c r="N20" i="8"/>
  <c r="L20" i="8"/>
  <c r="J20" i="8"/>
  <c r="M20" i="8"/>
  <c r="P20" i="8"/>
  <c r="K19" i="8"/>
  <c r="Q19" i="8"/>
  <c r="G22" i="8"/>
  <c r="H22" i="8" s="1"/>
  <c r="O22" i="8" l="1"/>
  <c r="I22" i="8"/>
  <c r="R19" i="8"/>
  <c r="S19" i="8" s="1"/>
  <c r="X19" i="8"/>
  <c r="T21" i="8"/>
  <c r="N21" i="8"/>
  <c r="M21" i="8"/>
  <c r="J21" i="8"/>
  <c r="L21" i="8"/>
  <c r="Q20" i="8"/>
  <c r="K20" i="8"/>
  <c r="U20" i="8"/>
  <c r="V20" i="8"/>
  <c r="W20" i="8" s="1"/>
  <c r="F22" i="8"/>
  <c r="G23" i="8" s="1"/>
  <c r="H23" i="8" s="1"/>
  <c r="P21" i="8"/>
  <c r="O23" i="8" l="1"/>
  <c r="I23" i="8"/>
  <c r="R20" i="8"/>
  <c r="S20" i="8" s="1"/>
  <c r="P22" i="8"/>
  <c r="N22" i="8"/>
  <c r="L22" i="8"/>
  <c r="J22" i="8"/>
  <c r="M22" i="8"/>
  <c r="T22" i="8"/>
  <c r="L23" i="8"/>
  <c r="X20" i="8"/>
  <c r="K21" i="8"/>
  <c r="Q21" i="8"/>
  <c r="V21" i="8"/>
  <c r="W21" i="8" s="1"/>
  <c r="U21" i="8"/>
  <c r="F23" i="8"/>
  <c r="R21" i="8" l="1"/>
  <c r="S21" i="8" s="1"/>
  <c r="P23" i="8"/>
  <c r="M23" i="8"/>
  <c r="J23" i="8"/>
  <c r="K23" i="8" s="1"/>
  <c r="T23" i="8"/>
  <c r="V23" i="8" s="1"/>
  <c r="U22" i="8"/>
  <c r="V22" i="8"/>
  <c r="W22" i="8" s="1"/>
  <c r="X21" i="8"/>
  <c r="Q22" i="8"/>
  <c r="K22" i="8"/>
  <c r="G24" i="8"/>
  <c r="H24" i="8" s="1"/>
  <c r="Q23" i="8"/>
  <c r="N23" i="8"/>
  <c r="U23" i="8" l="1"/>
  <c r="O24" i="8"/>
  <c r="I24" i="8"/>
  <c r="R22" i="8"/>
  <c r="S22" i="8" s="1"/>
  <c r="X22" i="8"/>
  <c r="R23" i="8"/>
  <c r="S23" i="8" s="1"/>
  <c r="T24" i="8"/>
  <c r="W23" i="8"/>
  <c r="X23" i="8" s="1"/>
  <c r="J24" i="8"/>
  <c r="Q24" i="8" s="1"/>
  <c r="M24" i="8"/>
  <c r="L24" i="8"/>
  <c r="F24" i="8"/>
  <c r="G25" i="8" l="1"/>
  <c r="H25" i="8" s="1"/>
  <c r="P24" i="8"/>
  <c r="K24" i="8"/>
  <c r="U24" i="8"/>
  <c r="V24" i="8"/>
  <c r="N24" i="8"/>
  <c r="O25" i="8" l="1"/>
  <c r="I25" i="8"/>
  <c r="F25" i="8"/>
  <c r="G26" i="8" s="1"/>
  <c r="H26" i="8" s="1"/>
  <c r="W24" i="8"/>
  <c r="X24" i="8" s="1"/>
  <c r="R24" i="8"/>
  <c r="O26" i="8" l="1"/>
  <c r="I26" i="8"/>
  <c r="N25" i="8"/>
  <c r="M25" i="8"/>
  <c r="L25" i="8"/>
  <c r="J25" i="8"/>
  <c r="T25" i="8"/>
  <c r="J26" i="8"/>
  <c r="K26" i="8" s="1"/>
  <c r="P25" i="8"/>
  <c r="S24" i="8"/>
  <c r="F26" i="8"/>
  <c r="P26" i="8" l="1"/>
  <c r="M26" i="8"/>
  <c r="T26" i="8"/>
  <c r="U26" i="8" s="1"/>
  <c r="L26" i="8"/>
  <c r="N26" i="8"/>
  <c r="K25" i="8"/>
  <c r="Q25" i="8"/>
  <c r="U25" i="8"/>
  <c r="V25" i="8"/>
  <c r="W25" i="8" s="1"/>
  <c r="G27" i="8"/>
  <c r="R25" i="8"/>
  <c r="S25" i="8" s="1"/>
  <c r="Q26" i="8"/>
  <c r="H27" i="8" l="1"/>
  <c r="J27" i="8" s="1"/>
  <c r="V26" i="8"/>
  <c r="W26" i="8" s="1"/>
  <c r="X26" i="8" s="1"/>
  <c r="R26" i="8"/>
  <c r="S26" i="8" s="1"/>
  <c r="X25" i="8"/>
  <c r="T27" i="8"/>
  <c r="L27" i="8"/>
  <c r="M27" i="8"/>
  <c r="F27" i="8"/>
  <c r="G28" i="8" s="1"/>
  <c r="H28" i="8" s="1"/>
  <c r="O28" i="8" l="1"/>
  <c r="M28" i="8"/>
  <c r="L28" i="8"/>
  <c r="I28" i="8"/>
  <c r="N28" i="8" s="1"/>
  <c r="T28" i="8"/>
  <c r="V28" i="8" s="1"/>
  <c r="W28" i="8" s="1"/>
  <c r="J28" i="8"/>
  <c r="K28" i="8" s="1"/>
  <c r="P27" i="8"/>
  <c r="F28" i="8"/>
  <c r="P28" i="8" s="1"/>
  <c r="O27" i="8"/>
  <c r="I27" i="8"/>
  <c r="N27" i="8" s="1"/>
  <c r="K27" i="8"/>
  <c r="U27" i="8"/>
  <c r="V27" i="8"/>
  <c r="Q27" i="8"/>
  <c r="Q28" i="8" l="1"/>
  <c r="R28" i="8" s="1"/>
  <c r="S28" i="8" s="1"/>
  <c r="U28" i="8"/>
  <c r="X28" i="8" s="1"/>
  <c r="W27" i="8"/>
  <c r="X27" i="8" s="1"/>
  <c r="B15" i="8" s="1"/>
  <c r="R27" i="8"/>
  <c r="S27" i="8" s="1"/>
  <c r="B14" i="8" l="1"/>
  <c r="B16" i="8" s="1"/>
</calcChain>
</file>

<file path=xl/sharedStrings.xml><?xml version="1.0" encoding="utf-8"?>
<sst xmlns="http://schemas.openxmlformats.org/spreadsheetml/2006/main" count="57" uniqueCount="56">
  <si>
    <t>durée n</t>
  </si>
  <si>
    <t>age</t>
  </si>
  <si>
    <t>Lx-TD 88-90</t>
  </si>
  <si>
    <t>produit</t>
  </si>
  <si>
    <t>MSR</t>
  </si>
  <si>
    <t>Capital assuré C</t>
  </si>
  <si>
    <t>âge x</t>
  </si>
  <si>
    <t>Taux technique i</t>
  </si>
  <si>
    <t>Taux d'intérêt r</t>
  </si>
  <si>
    <t xml:space="preserve">Elle permet de prémunir l’organisme prêteur contre le risque pour l’emprunteur de ne plus pouvoir rembourser les échéances du prêt, </t>
  </si>
  <si>
    <t xml:space="preserve">                       L’assurance solde restant dû est une forme d’assurance-décès temporaire, qui est contractée dans le cadre d’un emprunt. </t>
  </si>
  <si>
    <t xml:space="preserve">en cas de décès, d’invalidité ou d’incapacité de travail. C’est une sécurité pour l’emprunteur, mais également pour le prêteur. En cas de </t>
  </si>
  <si>
    <t>décès ou d’entrée en invalidité, l’assureur s’engage à verser le capital restant dû du prêt.</t>
  </si>
  <si>
    <t>Description du produit SRD :</t>
  </si>
  <si>
    <t>Année de projection</t>
  </si>
  <si>
    <t>proba de rachat</t>
  </si>
  <si>
    <t>proba de validité</t>
  </si>
  <si>
    <t>Nombre contrats en vigueur</t>
  </si>
  <si>
    <t>Primes</t>
  </si>
  <si>
    <t>Rachat</t>
  </si>
  <si>
    <t>Taxe</t>
  </si>
  <si>
    <t>Frais aquisition</t>
  </si>
  <si>
    <t>Frais généraux</t>
  </si>
  <si>
    <t>Frais d'aqu</t>
  </si>
  <si>
    <t>Commissions</t>
  </si>
  <si>
    <t>Prestations décès</t>
  </si>
  <si>
    <t>Prestation rachat</t>
  </si>
  <si>
    <t xml:space="preserve">Pénalité de rachat </t>
  </si>
  <si>
    <t>MS probabilisé</t>
  </si>
  <si>
    <t>PM probabilisé</t>
  </si>
  <si>
    <t>Var PM probabilisé</t>
  </si>
  <si>
    <t>Produit Fin/PM</t>
  </si>
  <si>
    <t>Taxe/MS</t>
  </si>
  <si>
    <t>Mortalité d'expérience</t>
  </si>
  <si>
    <t>Frais généraux/police</t>
  </si>
  <si>
    <t>Commissions/prime</t>
  </si>
  <si>
    <t>Taux rendement 1 année</t>
  </si>
  <si>
    <t>Taux rendement 2 année</t>
  </si>
  <si>
    <t>Taux rendement &gt;=3 année</t>
  </si>
  <si>
    <t>Produit fin/MS actualisé</t>
  </si>
  <si>
    <t>VAR MS act</t>
  </si>
  <si>
    <t>COC</t>
  </si>
  <si>
    <t>Valeur de profit</t>
  </si>
  <si>
    <t>Embedded value</t>
  </si>
  <si>
    <t>ATProfit</t>
  </si>
  <si>
    <t>ATProfit actualisé</t>
  </si>
  <si>
    <t>Année k</t>
  </si>
  <si>
    <r>
      <t>SRD</t>
    </r>
    <r>
      <rPr>
        <b/>
        <vertAlign val="subscript"/>
        <sz val="12"/>
        <color theme="1"/>
        <rFont val="Calibri"/>
        <family val="2"/>
        <scheme val="minor"/>
      </rPr>
      <t>k</t>
    </r>
  </si>
  <si>
    <r>
      <t xml:space="preserve">v </t>
    </r>
    <r>
      <rPr>
        <b/>
        <vertAlign val="superscript"/>
        <sz val="12"/>
        <color theme="1"/>
        <rFont val="Calibri"/>
        <family val="2"/>
        <scheme val="minor"/>
      </rPr>
      <t>k+0,5</t>
    </r>
  </si>
  <si>
    <r>
      <t xml:space="preserve">v </t>
    </r>
    <r>
      <rPr>
        <b/>
        <vertAlign val="superscript"/>
        <sz val="12"/>
        <color theme="1"/>
        <rFont val="Calibri"/>
        <family val="2"/>
        <scheme val="minor"/>
      </rPr>
      <t xml:space="preserve">k  </t>
    </r>
    <r>
      <rPr>
        <b/>
        <vertAlign val="subscript"/>
        <sz val="12"/>
        <color theme="1"/>
        <rFont val="Calibri"/>
        <family val="2"/>
        <scheme val="minor"/>
      </rPr>
      <t>k</t>
    </r>
    <r>
      <rPr>
        <b/>
        <sz val="11"/>
        <color theme="1"/>
        <rFont val="Calibri"/>
        <family val="2"/>
        <scheme val="minor"/>
      </rPr>
      <t>p</t>
    </r>
    <r>
      <rPr>
        <b/>
        <vertAlign val="subscript"/>
        <sz val="12"/>
        <color theme="1"/>
        <rFont val="Calibri"/>
        <family val="2"/>
        <scheme val="minor"/>
      </rPr>
      <t>x</t>
    </r>
  </si>
  <si>
    <r>
      <t>v</t>
    </r>
    <r>
      <rPr>
        <b/>
        <vertAlign val="superscript"/>
        <sz val="12"/>
        <color theme="1"/>
        <rFont val="Calibri"/>
        <family val="2"/>
        <scheme val="minor"/>
      </rPr>
      <t xml:space="preserve">k  </t>
    </r>
    <r>
      <rPr>
        <b/>
        <vertAlign val="subscript"/>
        <sz val="12"/>
        <color theme="1"/>
        <rFont val="Calibri"/>
        <family val="2"/>
        <scheme val="minor"/>
      </rPr>
      <t>k</t>
    </r>
    <r>
      <rPr>
        <b/>
        <sz val="11"/>
        <color theme="1"/>
        <rFont val="Calibri"/>
        <family val="2"/>
        <scheme val="minor"/>
      </rPr>
      <t>p</t>
    </r>
    <r>
      <rPr>
        <b/>
        <vertAlign val="subscript"/>
        <sz val="12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 SRD</t>
    </r>
    <r>
      <rPr>
        <b/>
        <vertAlign val="subscript"/>
        <sz val="12"/>
        <color theme="1"/>
        <rFont val="Calibri"/>
        <family val="2"/>
        <scheme val="minor"/>
      </rPr>
      <t>k</t>
    </r>
  </si>
  <si>
    <r>
      <t>Prime fonction SRD</t>
    </r>
    <r>
      <rPr>
        <b/>
        <vertAlign val="subscript"/>
        <sz val="12"/>
        <color theme="1"/>
        <rFont val="Calibri"/>
        <family val="2"/>
        <scheme val="minor"/>
      </rPr>
      <t>k</t>
    </r>
  </si>
  <si>
    <r>
      <rPr>
        <b/>
        <vertAlign val="subscript"/>
        <sz val="12"/>
        <color theme="1"/>
        <rFont val="Calibri"/>
        <family val="2"/>
        <scheme val="minor"/>
      </rPr>
      <t>k</t>
    </r>
    <r>
      <rPr>
        <b/>
        <sz val="11"/>
        <color theme="1"/>
        <rFont val="Calibri"/>
        <family val="2"/>
        <scheme val="minor"/>
      </rPr>
      <t>p</t>
    </r>
    <r>
      <rPr>
        <b/>
        <vertAlign val="subscript"/>
        <sz val="12"/>
        <color theme="1"/>
        <rFont val="Calibri"/>
        <family val="2"/>
        <scheme val="minor"/>
      </rPr>
      <t>x</t>
    </r>
    <r>
      <rPr>
        <b/>
        <vertAlign val="subscript"/>
        <sz val="11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>q</t>
    </r>
    <r>
      <rPr>
        <b/>
        <vertAlign val="subscript"/>
        <sz val="12"/>
        <color theme="1"/>
        <rFont val="Calibri"/>
        <family val="2"/>
        <scheme val="minor"/>
      </rPr>
      <t>x+k</t>
    </r>
  </si>
  <si>
    <r>
      <t>PM</t>
    </r>
    <r>
      <rPr>
        <b/>
        <vertAlign val="subscript"/>
        <sz val="12"/>
        <color theme="1"/>
        <rFont val="Calibri"/>
        <family val="2"/>
        <scheme val="minor"/>
      </rPr>
      <t>k</t>
    </r>
  </si>
  <si>
    <r>
      <t>q</t>
    </r>
    <r>
      <rPr>
        <b/>
        <vertAlign val="subscript"/>
        <sz val="12"/>
        <color theme="1"/>
        <rFont val="Calibri"/>
        <family val="2"/>
        <scheme val="minor"/>
      </rPr>
      <t>x</t>
    </r>
  </si>
  <si>
    <r>
      <t>q</t>
    </r>
    <r>
      <rPr>
        <b/>
        <vertAlign val="subscript"/>
        <sz val="12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d'expérience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</si>
</sst>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0\ _€_-;\-* #,##0.00\ _€_-;_-* &quot;-&quot;??\ _€_-;_-@_-"/>
    <numFmt numFmtId="165" formatCode="0.000000000"/>
    <numFmt numFmtId="166" formatCode="0.0%"/>
    <numFmt numFmtId="167" formatCode="0.0000"/>
    <numFmt numFmtId="168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2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7">
    <xf numFmtId="0" fontId="0" fillId="0" borderId="0" xfId="0"/>
    <xf numFmtId="0" fontId="0" fillId="2" borderId="1" xfId="0" applyFill="1" applyBorder="1"/>
    <xf numFmtId="0" fontId="0" fillId="4" borderId="1" xfId="0" applyFill="1" applyBorder="1"/>
    <xf numFmtId="0" fontId="0" fillId="6" borderId="0" xfId="0" applyFill="1"/>
    <xf numFmtId="0" fontId="0" fillId="5" borderId="0" xfId="0" applyFill="1"/>
    <xf numFmtId="0" fontId="0" fillId="4" borderId="1" xfId="0" quotePrefix="1" applyFill="1" applyBorder="1"/>
    <xf numFmtId="0" fontId="1" fillId="6" borderId="0" xfId="0" applyFont="1" applyFill="1"/>
    <xf numFmtId="0" fontId="2" fillId="6" borderId="0" xfId="0" applyFont="1" applyFill="1"/>
    <xf numFmtId="0" fontId="2" fillId="0" borderId="0" xfId="0" applyFont="1"/>
    <xf numFmtId="0" fontId="3" fillId="6" borderId="0" xfId="0" applyFont="1" applyFill="1"/>
    <xf numFmtId="0" fontId="0" fillId="7" borderId="1" xfId="0" applyFill="1" applyBorder="1"/>
    <xf numFmtId="9" fontId="0" fillId="7" borderId="1" xfId="1" applyFont="1" applyFill="1" applyBorder="1"/>
    <xf numFmtId="0" fontId="0" fillId="7" borderId="2" xfId="0" applyFill="1" applyBorder="1"/>
    <xf numFmtId="166" fontId="0" fillId="7" borderId="1" xfId="1" applyNumberFormat="1" applyFont="1" applyFill="1" applyBorder="1"/>
    <xf numFmtId="0" fontId="0" fillId="7" borderId="0" xfId="0" applyFill="1"/>
    <xf numFmtId="164" fontId="0" fillId="0" borderId="0" xfId="0" applyNumberFormat="1"/>
    <xf numFmtId="164" fontId="0" fillId="7" borderId="0" xfId="0" applyNumberFormat="1" applyFill="1"/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4" fillId="6" borderId="0" xfId="0" applyFont="1" applyFill="1"/>
    <xf numFmtId="0" fontId="6" fillId="6" borderId="0" xfId="0" applyFont="1" applyFill="1"/>
    <xf numFmtId="167" fontId="0" fillId="0" borderId="0" xfId="0" applyNumberFormat="1" applyAlignment="1">
      <alignment horizontal="center" vertical="center"/>
    </xf>
    <xf numFmtId="168" fontId="0" fillId="0" borderId="0" xfId="2" applyNumberFormat="1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164" fontId="7" fillId="3" borderId="0" xfId="0" applyNumberFormat="1" applyFont="1" applyFill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545353</xdr:colOff>
      <xdr:row>2</xdr:row>
      <xdr:rowOff>101599</xdr:rowOff>
    </xdr:from>
    <xdr:ext cx="11264634" cy="74436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69A69997-765D-4F9C-8DF8-AA53E549968D}"/>
                </a:ext>
              </a:extLst>
            </xdr:cNvPr>
            <xdr:cNvSpPr txBox="1"/>
          </xdr:nvSpPr>
          <xdr:spPr>
            <a:xfrm>
              <a:off x="545353" y="475128"/>
              <a:ext cx="11264634" cy="74436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fr-FR" sz="1500" b="0"/>
                <a:t>                    </a:t>
              </a:r>
              <a:r>
                <a:rPr lang="fr-FR" sz="1500" b="0">
                  <a:solidFill>
                    <a:schemeClr val="accent1">
                      <a:lumMod val="50000"/>
                    </a:schemeClr>
                  </a:solidFill>
                </a:rPr>
                <a:t>Solde</a:t>
              </a:r>
              <a:r>
                <a:rPr lang="fr-FR" sz="1500" b="0" baseline="0">
                  <a:solidFill>
                    <a:schemeClr val="accent1">
                      <a:lumMod val="50000"/>
                    </a:schemeClr>
                  </a:solidFill>
                </a:rPr>
                <a:t> restant dû:</a:t>
              </a:r>
              <a:r>
                <a:rPr lang="fr-FR" sz="1500" b="0">
                  <a:solidFill>
                    <a:schemeClr val="accent1">
                      <a:lumMod val="50000"/>
                    </a:schemeClr>
                  </a:solidFill>
                </a:rPr>
                <a:t>                          </a:t>
              </a:r>
              <a14:m>
                <m:oMath xmlns:m="http://schemas.openxmlformats.org/officeDocument/2006/math">
                  <m:r>
                    <a:rPr lang="fr-FR" sz="1400" b="0" i="0">
                      <a:solidFill>
                        <a:schemeClr val="accent1">
                          <a:lumMod val="50000"/>
                        </a:schemeClr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             </m:t>
                  </m:r>
                  <m:sSub>
                    <m:sSubPr>
                      <m:ctrlPr>
                        <a:rPr lang="fr-FR" sz="14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400" b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𝑆𝑅𝐷</m:t>
                      </m:r>
                    </m:e>
                    <m:sub>
                      <m:r>
                        <a:rPr lang="fr-FR" sz="1400" b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</m:t>
                      </m:r>
                    </m:sub>
                  </m:sSub>
                  <m:r>
                    <a:rPr lang="fr-FR" sz="1400" b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fr-FR" sz="14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fr-FR" sz="14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fr-FR" sz="1400" b="0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(1+</m:t>
                          </m:r>
                          <m:r>
                            <a:rPr lang="fr-FR" sz="1400" b="0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  <m:r>
                            <a:rPr lang="fr-FR" sz="1400" b="0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fr-FR" sz="1400" b="0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</m:sup>
                      </m:sSup>
                      <m:r>
                        <a:rPr lang="fr-FR" sz="1400" b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sSup>
                        <m:sSupPr>
                          <m:ctrlPr>
                            <a:rPr lang="fr-FR" sz="14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fr-FR" sz="1400" b="0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(1+</m:t>
                          </m:r>
                          <m:r>
                            <a:rPr lang="fr-FR" sz="1400" b="0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  <m:r>
                            <a:rPr lang="fr-FR" sz="1400" b="0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fr-FR" sz="1400" b="0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𝑘</m:t>
                          </m:r>
                        </m:sup>
                      </m:sSup>
                    </m:num>
                    <m:den>
                      <m:sSup>
                        <m:sSupPr>
                          <m:ctrlPr>
                            <a:rPr lang="fr-FR" sz="1400" b="0" i="1" noProof="0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fr-FR" sz="1400" b="0" noProof="0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(1+</m:t>
                          </m:r>
                          <m:r>
                            <a:rPr lang="fr-FR" sz="1400" b="0" noProof="0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  <m:r>
                            <a:rPr lang="fr-FR" sz="1400" b="0" noProof="0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fr-FR" sz="1400" b="0" noProof="0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</m:sup>
                      </m:sSup>
                      <m:r>
                        <a:rPr lang="fr-FR" sz="1400" b="0" noProof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</m:t>
                      </m:r>
                    </m:den>
                  </m:f>
                </m:oMath>
              </a14:m>
              <a:endParaRPr lang="fr-FR" sz="1500" b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fr-FR" sz="1400" b="0"/>
            </a:p>
            <a:p>
              <a:r>
                <a:rPr lang="fr-FR" sz="1400" b="0"/>
                <a:t>                     </a:t>
              </a:r>
              <a:r>
                <a:rPr lang="fr-FR" sz="1500" b="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rPr>
                <a:t>Prime annuelle fonction SRD :              </a:t>
              </a:r>
              <a14:m>
                <m:oMath xmlns:m="http://schemas.openxmlformats.org/officeDocument/2006/math">
                  <m:r>
                    <a:rPr lang="fr-FR" sz="1400" b="0" i="0"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fr-FR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kumimoji="0" lang="fr-FR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𝑃𝑟𝑖𝑚𝑒</m:t>
                      </m:r>
                      <m:r>
                        <a:rPr kumimoji="0" lang="fr-FR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kumimoji="0" lang="fr-FR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𝑓𝑐𝑡</m:t>
                      </m:r>
                      <m:r>
                        <a:rPr kumimoji="0" lang="fr-FR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kumimoji="0" lang="fr-FR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𝑆𝑅𝐷</m:t>
                      </m:r>
                      <m:r>
                        <a:rPr kumimoji="0" lang="fr-FR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 </m:t>
                      </m:r>
                    </m:e>
                    <m:sub>
                      <m:r>
                        <a:rPr lang="fr-FR" sz="1400" b="0" i="1">
                          <a:latin typeface="Cambria Math" panose="02040503050406030204" pitchFamily="18" charset="0"/>
                        </a:rPr>
                        <m:t>𝑘</m:t>
                      </m:r>
                    </m:sub>
                  </m:sSub>
                  <m:r>
                    <a:rPr lang="fr-FR" sz="14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kumimoji="0" lang="fr-FR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nary>
                        <m:naryPr>
                          <m:chr m:val="∑"/>
                          <m:ctrlPr>
                            <a:rPr kumimoji="0" lang="fr-FR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naryPr>
                        <m:sub>
                          <m:r>
                            <m:rPr>
                              <m:brk m:alnAt="23"/>
                            </m:rPr>
                            <a:rPr kumimoji="0" lang="fr-FR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𝑗</m:t>
                          </m:r>
                          <m:r>
                            <a:rPr kumimoji="0" lang="fr-FR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=0</m:t>
                          </m:r>
                        </m:sub>
                        <m:sup>
                          <m:r>
                            <a:rPr kumimoji="0" lang="fr-FR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  <m:r>
                            <a:rPr kumimoji="0" lang="fr-FR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−1</m:t>
                          </m:r>
                        </m:sup>
                        <m:e>
                          <m:sSup>
                            <m:sSupPr>
                              <m:ctrlPr>
                                <a:rPr kumimoji="0" lang="fr-FR" sz="1400" b="0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kumimoji="0" lang="fr-FR" sz="1400" b="0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𝑣</m:t>
                              </m:r>
                            </m:e>
                            <m:sup>
                              <m:r>
                                <a:rPr kumimoji="0" lang="fr-FR" sz="1400" b="0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𝑗</m:t>
                              </m:r>
                              <m:r>
                                <a:rPr kumimoji="0" lang="fr-FR" sz="1400" b="0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+0.5</m:t>
                              </m:r>
                            </m:sup>
                          </m:sSup>
                        </m:e>
                      </m:nary>
                      <m:r>
                        <a:rPr kumimoji="0" lang="fr-FR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sSub>
                        <m:sSubPr>
                          <m:ctrlPr>
                            <a:rPr kumimoji="0" lang="fr-FR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sPre>
                            <m:sPrePr>
                              <m:ctrlPr>
                                <a:rPr kumimoji="0" lang="fr-FR" sz="1400" b="0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PrePr>
                            <m:sub>
                              <m:r>
                                <a:rPr kumimoji="0" lang="fr-FR" sz="1400" b="0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𝑗</m:t>
                              </m:r>
                            </m:sub>
                            <m:sup>
                              <m:r>
                                <a:rPr kumimoji="0" lang="fr-FR" sz="1400" b="0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white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0</m:t>
                              </m:r>
                            </m:sup>
                            <m:e>
                              <m:r>
                                <a:rPr kumimoji="0" lang="fr-FR" sz="1400" b="0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e>
                          </m:sPre>
                        </m:e>
                        <m:sub>
                          <m:r>
                            <a:rPr kumimoji="0" lang="fr-FR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sub>
                      </m:sSub>
                      <m:r>
                        <a:rPr kumimoji="0" lang="fr-FR" sz="1400" b="0" i="0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sSub>
                        <m:sSubPr>
                          <m:ctrlPr>
                            <a:rPr kumimoji="0" lang="fr-FR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kumimoji="0" lang="fr-FR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𝑞</m:t>
                          </m:r>
                        </m:e>
                        <m:sub>
                          <m:r>
                            <a:rPr kumimoji="0" lang="fr-FR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kumimoji="0" lang="fr-FR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</m:t>
                          </m:r>
                          <m:r>
                            <a:rPr kumimoji="0" lang="fr-FR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𝑗</m:t>
                          </m:r>
                        </m:sub>
                      </m:sSub>
                      <m:sSub>
                        <m:sSubPr>
                          <m:ctrlPr>
                            <a:rPr kumimoji="0" lang="fr-FR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kumimoji="0" lang="fr-FR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𝑆𝑅𝐷</m:t>
                          </m:r>
                        </m:e>
                        <m:sub>
                          <m:r>
                            <a:rPr kumimoji="0" lang="fr-FR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𝑗</m:t>
                          </m:r>
                          <m:r>
                            <a:rPr kumimoji="0" lang="fr-FR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</m:t>
                          </m:r>
                          <m:r>
                            <a:rPr kumimoji="0" lang="fr-FR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𝑘</m:t>
                          </m:r>
                        </m:sub>
                      </m:sSub>
                    </m:num>
                    <m:den>
                      <m:nary>
                        <m:naryPr>
                          <m:chr m:val="∑"/>
                          <m:ctrlPr>
                            <a:rPr kumimoji="0" lang="fr-FR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naryPr>
                        <m:sub>
                          <m:r>
                            <m:rPr>
                              <m:brk m:alnAt="23"/>
                            </m:rPr>
                            <a:rPr kumimoji="0" lang="fr-FR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𝑗</m:t>
                          </m:r>
                          <m:r>
                            <a:rPr kumimoji="0" lang="fr-FR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=0</m:t>
                          </m:r>
                        </m:sub>
                        <m:sup>
                          <m:r>
                            <a:rPr kumimoji="0" lang="fr-FR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  <m:r>
                            <a:rPr kumimoji="0" lang="fr-FR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−1</m:t>
                          </m:r>
                        </m:sup>
                        <m:e>
                          <m:sSup>
                            <m:sSupPr>
                              <m:ctrlPr>
                                <a:rPr kumimoji="0" lang="fr-FR" sz="1400" b="0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kumimoji="0" lang="fr-FR" sz="1400" b="0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𝑣</m:t>
                              </m:r>
                            </m:e>
                            <m:sup>
                              <m:r>
                                <a:rPr kumimoji="0" lang="fr-FR" sz="1400" b="0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𝑗</m:t>
                              </m:r>
                            </m:sup>
                          </m:sSup>
                        </m:e>
                      </m:nary>
                      <m:r>
                        <a:rPr kumimoji="0" lang="fr-FR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sSub>
                        <m:sSubPr>
                          <m:ctrlPr>
                            <a:rPr kumimoji="0" lang="fr-FR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sPre>
                            <m:sPrePr>
                              <m:ctrlPr>
                                <a:rPr kumimoji="0" lang="fr-FR" sz="1400" b="0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PrePr>
                            <m:sub>
                              <m:r>
                                <a:rPr kumimoji="0" lang="fr-FR" sz="1400" b="0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𝑗</m:t>
                              </m:r>
                            </m:sub>
                            <m:sup>
                              <m:r>
                                <a:rPr kumimoji="0" lang="fr-FR" sz="1400" b="0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white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0</m:t>
                              </m:r>
                            </m:sup>
                            <m:e>
                              <m:r>
                                <a:rPr kumimoji="0" lang="fr-FR" sz="1400" b="0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e>
                          </m:sPre>
                        </m:e>
                        <m:sub>
                          <m:r>
                            <a:rPr kumimoji="0" lang="fr-FR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sub>
                      </m:sSub>
                      <m:r>
                        <a:rPr kumimoji="0" lang="fr-FR" sz="1400" b="0" i="0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sSub>
                        <m:sSubPr>
                          <m:ctrlPr>
                            <a:rPr kumimoji="0" lang="fr-FR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kumimoji="0" lang="fr-FR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𝑆𝑅𝐷</m:t>
                          </m:r>
                        </m:e>
                        <m:sub>
                          <m:r>
                            <a:rPr kumimoji="0" lang="fr-FR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𝑗</m:t>
                          </m:r>
                        </m:sub>
                      </m:sSub>
                    </m:den>
                  </m:f>
                </m:oMath>
              </a14:m>
              <a:r>
                <a:rPr lang="fr-FR" sz="1400" b="0" i="1">
                  <a:latin typeface="Cambria Math" panose="02040503050406030204" pitchFamily="18" charset="0"/>
                </a:rPr>
                <a:t> *</a:t>
              </a:r>
              <a14:m>
                <m:oMath xmlns:m="http://schemas.openxmlformats.org/officeDocument/2006/math">
                  <m:r>
                    <a:rPr lang="fr-FR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sSub>
                    <m:sSubPr>
                      <m:ctrlPr>
                        <a:rPr lang="fr-F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fr-F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𝑆𝑅𝐷</m:t>
                      </m:r>
                    </m:e>
                    <m:sub>
                      <m:r>
                        <a:rPr lang="fr-F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</m:t>
                      </m:r>
                    </m:sub>
                  </m:sSub>
                </m:oMath>
              </a14:m>
              <a:endParaRPr lang="fr-FR" sz="14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1400" b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              </a:t>
              </a:r>
            </a:p>
            <a:p>
              <a:r>
                <a:rPr lang="fr-FR" sz="1400" b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                     </a:t>
              </a:r>
              <a:r>
                <a:rPr lang="fr-FR" sz="1500" b="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rPr>
                <a:t>Engagements futurs de l'assuré actualisés à l'intant k 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3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300" b="0" i="1">
                            <a:latin typeface="Cambria Math" panose="02040503050406030204" pitchFamily="18" charset="0"/>
                          </a:rPr>
                          <m:t>𝑉𝐴𝑃</m:t>
                        </m:r>
                      </m:e>
                      <m:sub>
                        <m:r>
                          <a:rPr lang="fr-FR" sz="13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d>
                      <m:dPr>
                        <m:ctrlPr>
                          <a:rPr lang="fr-FR" sz="13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fr-FR" sz="1300" b="0" i="1">
                            <a:latin typeface="Cambria Math" panose="02040503050406030204" pitchFamily="18" charset="0"/>
                          </a:rPr>
                          <m:t>𝑎𝑠𝑠𝑢𝑟</m:t>
                        </m:r>
                        <m:r>
                          <a:rPr lang="fr-FR" sz="1300" b="0" i="1">
                            <a:latin typeface="Cambria Math" panose="02040503050406030204" pitchFamily="18" charset="0"/>
                          </a:rPr>
                          <m:t>é</m:t>
                        </m:r>
                      </m:e>
                    </m:d>
                    <m:r>
                      <a:rPr lang="fr-FR" sz="13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fr-FR" sz="13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fr-FR" sz="13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nary>
                      <m:naryPr>
                        <m:chr m:val="∑"/>
                        <m:ctrlPr>
                          <a:rPr lang="fr-FR" sz="13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fr-FR" sz="13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fr-FR" sz="1300" b="0" i="1">
                            <a:latin typeface="Cambria Math" panose="02040503050406030204" pitchFamily="18" charset="0"/>
                          </a:rPr>
                          <m:t>=0</m:t>
                        </m:r>
                      </m:sub>
                      <m:sup>
                        <m:r>
                          <a:rPr lang="fr-FR" sz="13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fr-FR" sz="13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fr-FR" sz="13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fr-FR" sz="13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  <m:e>
                        <m:sSup>
                          <m:sSupPr>
                            <m:ctrlPr>
                              <a:rPr lang="fr-FR" sz="13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fr-FR" sz="13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</m:e>
                          <m:sup>
                            <m:r>
                              <a:rPr lang="fr-FR" sz="13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p>
                        </m:sSup>
                      </m:e>
                    </m:nary>
                    <m:r>
                      <a:rPr lang="fr-FR" sz="13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fr-FR" sz="13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Pre>
                          <m:sPrePr>
                            <m:ctrlPr>
                              <a:rPr lang="fr-FR" sz="13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PrePr>
                          <m:sub>
                            <m:r>
                              <a:rPr lang="fr-FR" sz="13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  <m:sup>
                            <m:r>
                              <a:rPr lang="fr-FR" sz="1300" b="0" i="1">
                                <a:solidFill>
                                  <a:schemeClr val="bg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p>
                          <m:e>
                            <m:r>
                              <a:rPr lang="fr-FR" sz="13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</m:sPre>
                      </m:e>
                      <m:sub>
                        <m:r>
                          <a:rPr lang="fr-FR" sz="13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fr-FR" sz="13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fr-FR" sz="13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fr-FR" sz="1300" b="0" i="0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fr-FR" sz="13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300" b="0" i="1">
                            <a:latin typeface="Cambria Math" panose="02040503050406030204" pitchFamily="18" charset="0"/>
                          </a:rPr>
                          <m:t>𝑆𝑅𝐷</m:t>
                        </m:r>
                      </m:e>
                      <m:sub>
                        <m:r>
                          <a:rPr lang="fr-FR" sz="13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fr-FR" sz="13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fr-FR" sz="13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</m:oMath>
                </m:oMathPara>
              </a14:m>
              <a:endParaRPr lang="fr-FR" sz="1300" b="0" i="1">
                <a:latin typeface="Cambria Math" panose="02040503050406030204" pitchFamily="18" charset="0"/>
              </a:endParaRPr>
            </a:p>
            <a:p>
              <a:r>
                <a:rPr lang="fr-FR" sz="1300" b="0"/>
                <a:t>                                                                                                               </a:t>
              </a:r>
              <a14:m>
                <m:oMath xmlns:m="http://schemas.openxmlformats.org/officeDocument/2006/math">
                  <m:r>
                    <a:rPr lang="fr-FR" sz="1300" b="0" i="1">
                      <a:latin typeface="Cambria Math" panose="02040503050406030204" pitchFamily="18" charset="0"/>
                    </a:rPr>
                    <m:t>=</m:t>
                  </m:r>
                  <m:r>
                    <a:rPr lang="fr-FR" sz="13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𝛼</m:t>
                  </m:r>
                  <m:r>
                    <a:rPr lang="fr-FR" sz="13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nary>
                    <m:naryPr>
                      <m:chr m:val="∑"/>
                      <m:ctrlPr>
                        <a:rPr lang="fr-FR" sz="13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fr-FR" sz="13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  <m:r>
                        <a:rPr lang="fr-FR" sz="13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</m:t>
                      </m:r>
                      <m:r>
                        <a:rPr lang="fr-FR" sz="13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</m:t>
                      </m:r>
                    </m:sub>
                    <m:sup>
                      <m:r>
                        <a:rPr lang="fr-FR" sz="13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  <m:r>
                        <a:rPr lang="fr-FR" sz="13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</m:t>
                      </m:r>
                    </m:sup>
                    <m:e>
                      <m:sSup>
                        <m:sSupPr>
                          <m:ctrlPr>
                            <a:rPr lang="fr-FR" sz="13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fr-FR" sz="13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𝑣</m:t>
                          </m:r>
                        </m:e>
                        <m:sup>
                          <m:r>
                            <a:rPr lang="fr-FR" sz="13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𝑗</m:t>
                          </m:r>
                          <m:r>
                            <a:rPr lang="fr-FR" sz="13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fr-FR" sz="13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𝑘</m:t>
                          </m:r>
                        </m:sup>
                      </m:sSup>
                    </m:e>
                  </m:nary>
                  <m:r>
                    <a:rPr lang="fr-FR" sz="13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sSub>
                    <m:sSubPr>
                      <m:ctrlPr>
                        <a:rPr lang="fr-FR" sz="13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sPre>
                        <m:sPrePr>
                          <m:ctrlPr>
                            <a:rPr lang="fr-FR" sz="13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PrePr>
                        <m:sub>
                          <m:r>
                            <a:rPr lang="fr-FR" sz="13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𝑗</m:t>
                          </m:r>
                          <m:r>
                            <a:rPr lang="fr-FR" sz="13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fr-FR" sz="13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𝑘</m:t>
                          </m:r>
                        </m:sub>
                        <m:sup>
                          <m:r>
                            <a:rPr lang="fr-FR" sz="1300" b="0" i="1">
                              <a:solidFill>
                                <a:schemeClr val="bg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sup>
                        <m:e>
                          <m:r>
                            <a:rPr lang="fr-FR" sz="13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</m:t>
                          </m:r>
                        </m:e>
                      </m:sPre>
                    </m:e>
                    <m:sub>
                      <m:r>
                        <a:rPr lang="fr-FR" sz="13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  <m:r>
                        <a:rPr lang="fr-FR" sz="13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a:rPr lang="fr-FR" sz="13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</m:t>
                      </m:r>
                    </m:sub>
                  </m:sSub>
                  <m:r>
                    <a:rPr lang="fr-FR" sz="13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sSub>
                    <m:sSubPr>
                      <m:ctrlPr>
                        <a:rPr lang="fr-FR" sz="13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3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𝑆𝑅𝐷</m:t>
                      </m:r>
                    </m:e>
                    <m:sub>
                      <m:r>
                        <a:rPr lang="fr-FR" sz="13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</m:sub>
                  </m:sSub>
                  <m:r>
                    <a:rPr lang="fr-FR" sz="1300" b="0" i="0">
                      <a:latin typeface="Cambria Math" panose="02040503050406030204" pitchFamily="18" charset="0"/>
                    </a:rPr>
                    <m:t> </m:t>
                  </m:r>
                </m:oMath>
              </a14:m>
              <a:endParaRPr lang="fr-FR" sz="1300" b="0"/>
            </a:p>
            <a:p>
              <a:endParaRPr lang="fr-FR" sz="1300" b="0"/>
            </a:p>
            <a:p>
              <a:r>
                <a:rPr lang="fr-FR" sz="1300"/>
                <a:t>                                                                                                               </a:t>
              </a:r>
              <a:r>
                <a:rPr lang="fr-FR" sz="1300" b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fr-FR" sz="13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fr-FR" sz="1300" b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𝛼</m:t>
                      </m:r>
                    </m:num>
                    <m:den>
                      <m:sSup>
                        <m:sSupPr>
                          <m:ctrlPr>
                            <a:rPr lang="fr-FR" sz="13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fr-FR" sz="1300" b="0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𝑣</m:t>
                          </m:r>
                        </m:e>
                        <m:sup>
                          <m:r>
                            <a:rPr lang="fr-FR" sz="1300" b="0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𝑘</m:t>
                          </m:r>
                        </m:sup>
                      </m:sSup>
                      <m:r>
                        <a:rPr lang="fr-FR" sz="1300" b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 </m:t>
                      </m:r>
                      <m:sSub>
                        <m:sSubPr>
                          <m:ctrlPr>
                            <a:rPr lang="fr-FR" sz="13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sPre>
                            <m:sPrePr>
                              <m:ctrlPr>
                                <a:rPr lang="fr-FR" sz="13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PrePr>
                            <m:sub>
                              <m:r>
                                <a:rPr lang="fr-FR" sz="1300" b="0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𝑘</m:t>
                              </m:r>
                            </m:sub>
                            <m:sup>
                              <m:r>
                                <a:rPr lang="fr-FR" sz="1300" b="0">
                                  <a:solidFill>
                                    <a:schemeClr val="bg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0</m:t>
                              </m:r>
                            </m:sup>
                            <m:e>
                              <m:r>
                                <a:rPr lang="fr-FR" sz="1300" b="0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e>
                          </m:sPre>
                        </m:e>
                        <m:sub>
                          <m:r>
                            <a:rPr lang="fr-FR" sz="1300" b="0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sub>
                      </m:sSub>
                    </m:den>
                  </m:f>
                  <m:r>
                    <a:rPr lang="fr-FR" sz="1300" b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nary>
                    <m:naryPr>
                      <m:chr m:val="∑"/>
                      <m:ctrlPr>
                        <a:rPr lang="fr-FR" sz="13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fr-FR" sz="1300" b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  <m:r>
                        <a:rPr lang="fr-FR" sz="1300" b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</m:t>
                      </m:r>
                      <m:r>
                        <a:rPr lang="fr-FR" sz="1300" b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</m:t>
                      </m:r>
                    </m:sub>
                    <m:sup>
                      <m:r>
                        <a:rPr lang="fr-FR" sz="1300" b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  <m:r>
                        <a:rPr lang="fr-FR" sz="1300" b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</m:t>
                      </m:r>
                    </m:sup>
                    <m:e>
                      <m:sSup>
                        <m:sSupPr>
                          <m:ctrlPr>
                            <a:rPr lang="fr-FR" sz="13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fr-FR" sz="1300" b="0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𝑣</m:t>
                          </m:r>
                        </m:e>
                        <m:sup>
                          <m:r>
                            <a:rPr lang="fr-FR" sz="1300" b="0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𝑗</m:t>
                          </m:r>
                        </m:sup>
                      </m:sSup>
                    </m:e>
                  </m:nary>
                  <m:r>
                    <a:rPr lang="fr-FR" sz="1300" b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sSub>
                    <m:sSubPr>
                      <m:ctrlPr>
                        <a:rPr lang="fr-FR" sz="13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sPre>
                        <m:sPrePr>
                          <m:ctrlPr>
                            <a:rPr lang="fr-FR" sz="13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PrePr>
                        <m:sub>
                          <m:r>
                            <a:rPr lang="fr-FR" sz="1300" b="0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𝑗</m:t>
                          </m:r>
                        </m:sub>
                        <m:sup>
                          <m:r>
                            <a:rPr lang="fr-FR" sz="1300" b="0">
                              <a:solidFill>
                                <a:schemeClr val="bg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sup>
                        <m:e>
                          <m:r>
                            <a:rPr lang="fr-FR" sz="1300" b="0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</m:t>
                          </m:r>
                        </m:e>
                      </m:sPre>
                    </m:e>
                    <m:sub>
                      <m:r>
                        <a:rPr lang="fr-FR" sz="1300" b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sub>
                  </m:sSub>
                  <m:r>
                    <a:rPr lang="fr-FR" sz="1300" b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sSub>
                    <m:sSubPr>
                      <m:ctrlPr>
                        <a:rPr lang="fr-FR" sz="13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300" b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𝑆𝑅𝐷</m:t>
                      </m:r>
                    </m:e>
                    <m:sub>
                      <m:r>
                        <a:rPr lang="fr-FR" sz="1300" b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</m:sub>
                  </m:sSub>
                  <m:r>
                    <a:rPr lang="fr-FR" sz="1300" b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endParaRPr lang="fr-FR" sz="1300" b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fr-FR" sz="1300" b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fr-FR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                     </a:t>
              </a:r>
              <a:r>
                <a:rPr lang="fr-FR" sz="1500" b="0" baseline="0" noProof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rPr>
                <a:t>Engagements futurs de l'assureur actualisés à l'intant k :</a:t>
              </a:r>
            </a:p>
            <a:p>
              <a:endParaRPr lang="fr-FR" sz="1300" b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fr-FR" sz="1300" b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r>
                <a:rPr kumimoji="0" lang="fr-FR" sz="1300" b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ea typeface="+mn-ea"/>
                  <a:cs typeface="+mn-cs"/>
                </a:rPr>
                <a:t> </a:t>
              </a:r>
              <a:r>
                <a:rPr lang="fr-FR" sz="13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                          </a:t>
              </a:r>
              <a:r>
                <a:rPr lang="fr-FR" sz="13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r>
                <a:rPr lang="fr-FR" sz="13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kumimoji="0" lang="fr-FR" sz="13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0" lang="fr-FR" sz="13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𝑉𝐴𝑃</m:t>
                      </m:r>
                    </m:e>
                    <m:sub>
                      <m:r>
                        <a:rPr kumimoji="0" lang="fr-FR" sz="13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</m:t>
                      </m:r>
                    </m:sub>
                  </m:sSub>
                  <m:d>
                    <m:dPr>
                      <m:ctrlPr>
                        <a:rPr kumimoji="0" lang="fr-FR" sz="13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kumimoji="0" lang="fr-FR" sz="13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𝑎𝑠𝑠𝑢𝑟𝑒𝑢𝑟</m:t>
                      </m:r>
                    </m:e>
                  </m:d>
                  <m:r>
                    <a:rPr kumimoji="0" lang="fr-FR" sz="1300" b="0" i="1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nary>
                    <m:naryPr>
                      <m:chr m:val="∑"/>
                      <m:ctrlPr>
                        <a:rPr kumimoji="0" lang="fr-FR" sz="13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kumimoji="0" lang="fr-FR" sz="13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  <m:r>
                        <a:rPr kumimoji="0" lang="fr-FR" sz="13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=0</m:t>
                      </m:r>
                    </m:sub>
                    <m:sup>
                      <m:r>
                        <a:rPr kumimoji="0" lang="fr-FR" sz="13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  <m:r>
                        <a:rPr kumimoji="0" lang="fr-FR" sz="13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kumimoji="0" lang="fr-FR" sz="13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</m:t>
                      </m:r>
                      <m:r>
                        <a:rPr kumimoji="0" lang="fr-FR" sz="13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</m:t>
                      </m:r>
                    </m:sup>
                    <m:e>
                      <m:sSup>
                        <m:sSupPr>
                          <m:ctrlPr>
                            <a:rPr kumimoji="0" lang="fr-FR" sz="13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kumimoji="0" lang="fr-FR" sz="13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𝑣</m:t>
                          </m:r>
                        </m:e>
                        <m:sup>
                          <m:r>
                            <a:rPr kumimoji="0" lang="fr-FR" sz="13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𝑗</m:t>
                          </m:r>
                          <m:r>
                            <a:rPr kumimoji="0" lang="fr-FR" sz="13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+0.5</m:t>
                          </m:r>
                        </m:sup>
                      </m:sSup>
                    </m:e>
                  </m:nary>
                  <m:r>
                    <a:rPr kumimoji="0" lang="fr-FR" sz="1300" b="0" i="1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sSub>
                    <m:sSubPr>
                      <m:ctrlPr>
                        <a:rPr kumimoji="0" lang="fr-FR" sz="13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sPre>
                        <m:sPrePr>
                          <m:ctrlPr>
                            <a:rPr kumimoji="0" lang="fr-FR" sz="13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PrePr>
                        <m:sub>
                          <m:r>
                            <a:rPr kumimoji="0" lang="fr-FR" sz="13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𝑗</m:t>
                          </m:r>
                        </m:sub>
                        <m:sup>
                          <m:r>
                            <a:rPr kumimoji="0" lang="fr-FR" sz="13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white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sup>
                        <m:e>
                          <m:r>
                            <a:rPr kumimoji="0" lang="fr-FR" sz="13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</m:t>
                          </m:r>
                        </m:e>
                      </m:sPre>
                    </m:e>
                    <m:sub>
                      <m:r>
                        <a:rPr kumimoji="0" lang="fr-FR" sz="13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  <m:r>
                        <a:rPr kumimoji="0" lang="fr-FR" sz="13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a:rPr kumimoji="0" lang="fr-FR" sz="13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</m:t>
                      </m:r>
                    </m:sub>
                  </m:sSub>
                  <m:r>
                    <a:rPr kumimoji="0" lang="fr-FR" sz="1300" b="0" i="0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sSub>
                    <m:sSubPr>
                      <m:ctrlPr>
                        <a:rPr kumimoji="0" lang="fr-FR" sz="13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0" lang="fr-FR" sz="13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𝑞</m:t>
                      </m:r>
                    </m:e>
                    <m:sub>
                      <m:r>
                        <a:rPr kumimoji="0" lang="fr-FR" sz="13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  <m:r>
                        <a:rPr kumimoji="0" lang="fr-FR" sz="13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a:rPr kumimoji="0" lang="fr-FR" sz="13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  <m:r>
                        <a:rPr kumimoji="0" lang="fr-FR" sz="13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a:rPr kumimoji="0" lang="fr-FR" sz="13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</m:t>
                      </m:r>
                    </m:sub>
                  </m:sSub>
                  <m:r>
                    <a:rPr kumimoji="0" lang="fr-FR" sz="1300" b="0" i="0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sSub>
                    <m:sSubPr>
                      <m:ctrlPr>
                        <a:rPr kumimoji="0" lang="fr-FR" sz="13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0" lang="fr-FR" sz="13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𝑆𝑅𝐷</m:t>
                      </m:r>
                    </m:e>
                    <m:sub>
                      <m:r>
                        <a:rPr kumimoji="0" lang="fr-FR" sz="13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  <m:r>
                        <a:rPr kumimoji="0" lang="fr-FR" sz="13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a:rPr kumimoji="0" lang="fr-FR" sz="13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</m:t>
                      </m:r>
                    </m:sub>
                  </m:sSub>
                </m:oMath>
              </a14:m>
              <a:endParaRPr kumimoji="0" lang="fr-FR" sz="1300" b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ea typeface="+mn-ea"/>
                <a:cs typeface="+mn-cs"/>
              </a:endParaRPr>
            </a:p>
            <a:p>
              <a:endParaRPr kumimoji="0" lang="fr-FR" sz="1300" b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ea typeface="+mn-ea"/>
                <a:cs typeface="+mn-cs"/>
              </a:endParaRPr>
            </a:p>
            <a:p>
              <a:r>
                <a:rPr lang="fr-FR" sz="13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                                                                </a:t>
              </a:r>
              <a:r>
                <a:rPr lang="fr-FR" sz="13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kumimoji="0" lang="fr-FR" sz="13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kumimoji="0" lang="fr-FR" sz="13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sSup>
                        <m:sSupPr>
                          <m:ctrlPr>
                            <a:rPr kumimoji="0" lang="fr-FR" sz="13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kumimoji="0" lang="fr-FR" sz="13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𝑣</m:t>
                          </m:r>
                        </m:e>
                        <m:sup>
                          <m:r>
                            <a:rPr kumimoji="0" lang="fr-FR" sz="13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𝑘</m:t>
                          </m:r>
                        </m:sup>
                      </m:sSup>
                      <m:r>
                        <a:rPr kumimoji="0" lang="fr-FR" sz="13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 </m:t>
                      </m:r>
                      <m:sSub>
                        <m:sSubPr>
                          <m:ctrlPr>
                            <a:rPr kumimoji="0" lang="fr-FR" sz="13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sPre>
                            <m:sPrePr>
                              <m:ctrlPr>
                                <a:rPr kumimoji="0" lang="fr-FR" sz="1300" b="0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PrePr>
                            <m:sub>
                              <m:r>
                                <a:rPr kumimoji="0" lang="fr-FR" sz="1300" b="0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𝑘</m:t>
                              </m:r>
                            </m:sub>
                            <m:sup>
                              <m:r>
                                <a:rPr kumimoji="0" lang="fr-FR" sz="1300" b="0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white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0</m:t>
                              </m:r>
                            </m:sup>
                            <m:e>
                              <m:r>
                                <a:rPr kumimoji="0" lang="fr-FR" sz="1300" b="0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e>
                          </m:sPre>
                        </m:e>
                        <m:sub>
                          <m:r>
                            <a:rPr kumimoji="0" lang="fr-FR" sz="13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sub>
                      </m:sSub>
                    </m:den>
                  </m:f>
                  <m:r>
                    <a:rPr kumimoji="0" lang="fr-FR" sz="1300" b="0" i="1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nary>
                    <m:naryPr>
                      <m:chr m:val="∑"/>
                      <m:ctrlPr>
                        <a:rPr kumimoji="0" lang="fr-FR" sz="13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kumimoji="0" lang="fr-FR" sz="13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  <m:r>
                        <a:rPr kumimoji="0" lang="fr-FR" sz="13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</m:t>
                      </m:r>
                      <m:r>
                        <a:rPr kumimoji="0" lang="fr-FR" sz="13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</m:t>
                      </m:r>
                    </m:sub>
                    <m:sup>
                      <m:r>
                        <a:rPr kumimoji="0" lang="fr-FR" sz="13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  <m:r>
                        <a:rPr kumimoji="0" lang="fr-FR" sz="13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</m:t>
                      </m:r>
                    </m:sup>
                    <m:e>
                      <m:sSup>
                        <m:sSupPr>
                          <m:ctrlPr>
                            <a:rPr kumimoji="0" lang="fr-FR" sz="13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kumimoji="0" lang="fr-FR" sz="13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𝑣</m:t>
                          </m:r>
                        </m:e>
                        <m:sup>
                          <m:r>
                            <a:rPr kumimoji="0" lang="fr-FR" sz="13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𝑗</m:t>
                          </m:r>
                          <m:r>
                            <a:rPr kumimoji="0" lang="fr-FR" sz="13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+0.5</m:t>
                          </m:r>
                        </m:sup>
                      </m:sSup>
                    </m:e>
                  </m:nary>
                  <m:r>
                    <a:rPr kumimoji="0" lang="fr-FR" sz="1300" b="0" i="1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sSub>
                    <m:sSubPr>
                      <m:ctrlPr>
                        <a:rPr kumimoji="0" lang="fr-FR" sz="13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sPre>
                        <m:sPrePr>
                          <m:ctrlPr>
                            <a:rPr kumimoji="0" lang="fr-FR" sz="13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PrePr>
                        <m:sub>
                          <m:r>
                            <a:rPr kumimoji="0" lang="fr-FR" sz="13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𝑗</m:t>
                          </m:r>
                        </m:sub>
                        <m:sup>
                          <m:r>
                            <a:rPr kumimoji="0" lang="fr-FR" sz="13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white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sup>
                        <m:e>
                          <m:r>
                            <a:rPr kumimoji="0" lang="fr-FR" sz="13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</m:t>
                          </m:r>
                        </m:e>
                      </m:sPre>
                    </m:e>
                    <m:sub>
                      <m:r>
                        <a:rPr kumimoji="0" lang="fr-FR" sz="13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sub>
                  </m:sSub>
                  <m:r>
                    <a:rPr kumimoji="0" lang="fr-FR" sz="1300" b="0" i="0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sSub>
                    <m:sSubPr>
                      <m:ctrlPr>
                        <a:rPr kumimoji="0" lang="fr-FR" sz="13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0" lang="fr-FR" sz="13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𝑞</m:t>
                      </m:r>
                    </m:e>
                    <m:sub>
                      <m:r>
                        <a:rPr kumimoji="0" lang="fr-FR" sz="13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  <m:r>
                        <a:rPr kumimoji="0" lang="fr-FR" sz="13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a:rPr kumimoji="0" lang="fr-FR" sz="13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</m:sub>
                  </m:sSub>
                  <m:r>
                    <a:rPr kumimoji="0" lang="fr-FR" sz="1300" b="0" i="0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sSub>
                    <m:sSubPr>
                      <m:ctrlPr>
                        <a:rPr kumimoji="0" lang="fr-FR" sz="13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0" lang="fr-FR" sz="13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𝑆𝑅𝐷</m:t>
                      </m:r>
                    </m:e>
                    <m:sub>
                      <m:r>
                        <a:rPr kumimoji="0" lang="fr-FR" sz="13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</m:sub>
                  </m:sSub>
                </m:oMath>
              </a14:m>
              <a:endParaRPr lang="fr-FR" sz="1300"/>
            </a:p>
            <a:p>
              <a:endParaRPr lang="fr-FR" sz="13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fr-FR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                     </a:t>
              </a:r>
              <a:r>
                <a:rPr lang="fr-FR" sz="1500" b="0" baseline="0" noProof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rPr>
                <a:t>Provisions mathématiques à l'intant k :</a:t>
              </a:r>
            </a:p>
            <a:p>
              <a:endParaRPr lang="fr-FR" sz="1300"/>
            </a:p>
            <a:p>
              <a:endParaRPr lang="fr-FR" sz="1300"/>
            </a:p>
            <a:p>
              <a:r>
                <a:rPr kumimoji="0" lang="fr-FR" sz="1300" b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ea typeface="+mn-ea"/>
                  <a:cs typeface="+mn-cs"/>
                </a:rPr>
                <a:t>                                                                                  </a:t>
              </a:r>
              <a14:m>
                <m:oMath xmlns:m="http://schemas.openxmlformats.org/officeDocument/2006/math">
                  <m:sSub>
                    <m:sSubPr>
                      <m:ctrlPr>
                        <a:rPr kumimoji="0" lang="fr-FR" sz="13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0" lang="fr-FR" sz="13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𝑃𝑀</m:t>
                      </m:r>
                    </m:e>
                    <m:sub>
                      <m:r>
                        <a:rPr kumimoji="0" lang="fr-FR" sz="13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</m:t>
                      </m:r>
                    </m:sub>
                  </m:sSub>
                  <m:r>
                    <a:rPr kumimoji="0" lang="fr-FR" sz="1300" b="0" i="1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kumimoji="0" lang="fr-FR" sz="1300" b="0" i="1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sSub>
                    <m:sSubPr>
                      <m:ctrlPr>
                        <a:rPr kumimoji="0" lang="fr-FR" sz="13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0" lang="fr-FR" sz="13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𝑉𝐴𝑃</m:t>
                      </m:r>
                    </m:e>
                    <m:sub>
                      <m:r>
                        <a:rPr kumimoji="0" lang="fr-FR" sz="13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</m:t>
                      </m:r>
                    </m:sub>
                  </m:sSub>
                  <m:d>
                    <m:dPr>
                      <m:ctrlPr>
                        <a:rPr kumimoji="0" lang="fr-FR" sz="13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kumimoji="0" lang="fr-FR" sz="13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𝑎𝑠𝑠𝑢𝑟𝑒𝑢𝑟</m:t>
                      </m:r>
                    </m:e>
                  </m:d>
                  <m:r>
                    <a:rPr kumimoji="0" lang="fr-FR" sz="1300" b="0" i="1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sSub>
                    <m:sSubPr>
                      <m:ctrlPr>
                        <a:rPr kumimoji="0" lang="fr-FR" sz="13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0" lang="fr-FR" sz="13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𝑉𝐴𝑃</m:t>
                      </m:r>
                    </m:e>
                    <m:sub>
                      <m:r>
                        <a:rPr kumimoji="0" lang="fr-FR" sz="13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</m:t>
                      </m:r>
                    </m:sub>
                  </m:sSub>
                  <m:d>
                    <m:dPr>
                      <m:ctrlPr>
                        <a:rPr kumimoji="0" lang="fr-FR" sz="13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kumimoji="0" lang="fr-FR" sz="13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𝑎𝑠𝑠𝑢𝑟</m:t>
                      </m:r>
                      <m:r>
                        <a:rPr kumimoji="0" lang="fr-FR" sz="13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é</m:t>
                      </m:r>
                    </m:e>
                  </m:d>
                </m:oMath>
              </a14:m>
              <a:endParaRPr lang="fr-FR" sz="1300"/>
            </a:p>
            <a:p>
              <a:endParaRPr lang="fr-FR" sz="13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fr-FR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                     </a:t>
              </a:r>
              <a:r>
                <a:rPr lang="fr-FR" sz="1500" b="0" baseline="0" noProof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rPr>
                <a:t>Marge de solvabilité à l'intant k :</a:t>
              </a:r>
            </a:p>
            <a:p>
              <a:endParaRPr lang="fr-FR" sz="1300"/>
            </a:p>
            <a:p>
              <a:endParaRPr lang="fr-FR" sz="1300"/>
            </a:p>
            <a:p>
              <a:r>
                <a:rPr lang="fr-FR" sz="1100" b="0" baseline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    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fr-FR" sz="13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rPr>
                    <m:t>                                                                          </m:t>
                  </m:r>
                  <m:r>
                    <a:rPr lang="fr-FR" sz="1300" b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  </m:t>
                  </m:r>
                  <m:sSub>
                    <m:sSubPr>
                      <m:ctrlPr>
                        <a:rPr lang="fr-FR" sz="13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30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fr-FR" sz="1300" b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𝑀𝑆𝑅</m:t>
                      </m:r>
                    </m:e>
                    <m:sub>
                      <m:r>
                        <a:rPr lang="fr-FR" sz="1300" b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</m:t>
                      </m:r>
                    </m:sub>
                  </m:sSub>
                </m:oMath>
              </a14:m>
              <a:r>
                <a:rPr lang="fr-FR" sz="1300" b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= 5%*</a:t>
              </a:r>
              <a14:m>
                <m:oMath xmlns:m="http://schemas.openxmlformats.org/officeDocument/2006/math">
                  <m:sSub>
                    <m:sSubPr>
                      <m:ctrlPr>
                        <a:rPr lang="fr-FR" sz="1300" b="0" i="1" noProof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300" b="0" noProof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𝑃𝑀</m:t>
                      </m:r>
                    </m:e>
                    <m:sub>
                      <m:r>
                        <a:rPr lang="fr-FR" sz="1300" b="0" noProof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</m:t>
                      </m:r>
                    </m:sub>
                  </m:sSub>
                  <m:r>
                    <a:rPr lang="fr-FR" sz="1300" b="0" noProof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+0.3%∗(</m:t>
                  </m:r>
                  <m:r>
                    <m:rPr>
                      <m:sty m:val="p"/>
                    </m:rPr>
                    <a:rPr lang="fr-FR" sz="1300" b="0" noProof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C</m:t>
                  </m:r>
                  <m:r>
                    <a:rPr lang="fr-FR" sz="1300" b="0" noProof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sSub>
                    <m:sSubPr>
                      <m:ctrlPr>
                        <a:rPr lang="fr-FR" sz="1300" b="0" i="1" noProof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300" b="0" noProof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𝑃𝑀</m:t>
                      </m:r>
                    </m:e>
                    <m:sub>
                      <m:r>
                        <a:rPr lang="fr-FR" sz="1300" b="0" noProof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</m:t>
                      </m:r>
                    </m:sub>
                  </m:sSub>
                </m:oMath>
              </a14:m>
              <a:r>
                <a:rPr lang="fr-FR" sz="1300" b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)          //</a:t>
              </a:r>
              <a:r>
                <a:rPr lang="fr-FR" sz="1300" b="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 En effet, il s'agit d'un produit assurance temporaire décès dont la durée du </a:t>
              </a:r>
              <a:endParaRPr lang="fr-FR" sz="1300" b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fr-FR" sz="100" b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fr-FR" sz="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 </a:t>
              </a:r>
              <a:r>
                <a:rPr kumimoji="0" lang="fr-FR" sz="13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                                                                                                                                                                     prêt dépasse 5 ans, d'où l'utilisation de 0.3%</a:t>
              </a:r>
            </a:p>
            <a:p>
              <a:endParaRPr lang="fr-FR" sz="1300" b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fr-FR" sz="1300" b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r>
                <a:rPr lang="fr-FR" sz="1300"/>
                <a:t>   </a:t>
              </a:r>
            </a:p>
            <a:p>
              <a:r>
                <a:rPr lang="fr-FR" sz="13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                              </a:t>
              </a:r>
              <a:endParaRPr kumimoji="0" lang="fr-FR" sz="1300" b="0" i="1" u="none" strike="noStrike" kern="0" cap="none" spc="0" normalizeH="0" baseline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69A69997-765D-4F9C-8DF8-AA53E549968D}"/>
                </a:ext>
              </a:extLst>
            </xdr:cNvPr>
            <xdr:cNvSpPr txBox="1"/>
          </xdr:nvSpPr>
          <xdr:spPr>
            <a:xfrm>
              <a:off x="545353" y="475128"/>
              <a:ext cx="11264634" cy="74436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fr-FR" sz="1500" b="0"/>
                <a:t>                    </a:t>
              </a:r>
              <a:r>
                <a:rPr lang="fr-FR" sz="1500" b="0">
                  <a:solidFill>
                    <a:schemeClr val="accent1">
                      <a:lumMod val="50000"/>
                    </a:schemeClr>
                  </a:solidFill>
                </a:rPr>
                <a:t>Solde</a:t>
              </a:r>
              <a:r>
                <a:rPr lang="fr-FR" sz="1500" b="0" baseline="0">
                  <a:solidFill>
                    <a:schemeClr val="accent1">
                      <a:lumMod val="50000"/>
                    </a:schemeClr>
                  </a:solidFill>
                </a:rPr>
                <a:t> restant dû:</a:t>
              </a:r>
              <a:r>
                <a:rPr lang="fr-FR" sz="1500" b="0">
                  <a:solidFill>
                    <a:schemeClr val="accent1">
                      <a:lumMod val="50000"/>
                    </a:schemeClr>
                  </a:solidFill>
                </a:rPr>
                <a:t>                          </a:t>
              </a:r>
              <a:r>
                <a:rPr lang="fr-FR" sz="1400" b="0" i="0">
                  <a:solidFill>
                    <a:schemeClr val="accent1">
                      <a:lumMod val="50000"/>
                    </a:schemeClr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            </a:t>
              </a:r>
              <a:r>
                <a:rPr lang="fr-FR" sz="14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〖𝑆𝑅𝐷〗_𝑘=(〖(1+𝑟)〗^𝑛−〖(1+𝑟)〗^𝑘)/(</a:t>
              </a:r>
              <a:r>
                <a:rPr lang="fr-FR" sz="1400" b="0" i="0" noProof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〖(1+𝑟)〗^𝑛−1)</a:t>
              </a:r>
              <a:endParaRPr lang="fr-FR" sz="1500" b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fr-FR" sz="1400" b="0"/>
            </a:p>
            <a:p>
              <a:r>
                <a:rPr lang="fr-FR" sz="1400" b="0"/>
                <a:t>                     </a:t>
              </a:r>
              <a:r>
                <a:rPr lang="fr-FR" sz="1500" b="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rPr>
                <a:t>Prime annuelle fonction SRD :              </a:t>
              </a:r>
              <a:r>
                <a:rPr lang="fr-FR" sz="1400" b="0" i="0">
                  <a:latin typeface="Cambria Math" panose="02040503050406030204" pitchFamily="18" charset="0"/>
                </a:rPr>
                <a:t>(〖</a:t>
              </a:r>
              <a:r>
                <a:rPr kumimoji="0" lang="fr-FR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𝑃𝑟𝑖𝑚𝑒 𝑓𝑐𝑡 𝑆𝑅𝐷) 〗_</a:t>
              </a:r>
              <a:r>
                <a:rPr lang="fr-FR" sz="1400" b="0" i="0">
                  <a:latin typeface="Cambria Math" panose="02040503050406030204" pitchFamily="18" charset="0"/>
                </a:rPr>
                <a:t>𝑘=</a:t>
              </a:r>
              <a:r>
                <a:rPr kumimoji="0" lang="fr-FR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(∑_(𝑗=0)^(𝑛−1)▒𝑣^(𝑗+0.5) ∗〖(_𝑗</a:t>
              </a:r>
              <a:r>
                <a:rPr kumimoji="0" lang="fr-FR" sz="1400" b="0" i="0" u="none" strike="noStrike" kern="0" cap="none" spc="0" normalizeH="0" baseline="0" noProof="0">
                  <a:ln>
                    <a:noFill/>
                  </a:ln>
                  <a:solidFill>
                    <a:prstClr val="white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^0</a:t>
              </a:r>
              <a:r>
                <a:rPr kumimoji="0" lang="fr-FR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)𝑝〗_𝑥∗𝑞_(𝑥+𝑗) 〖𝑆𝑅𝐷〗_(𝑗+𝑘))/(∑_(𝑗=0)^(𝑛−1)▒𝑣^𝑗 ∗〖(_𝑗</a:t>
              </a:r>
              <a:r>
                <a:rPr kumimoji="0" lang="fr-FR" sz="1400" b="0" i="0" u="none" strike="noStrike" kern="0" cap="none" spc="0" normalizeH="0" baseline="0" noProof="0">
                  <a:ln>
                    <a:noFill/>
                  </a:ln>
                  <a:solidFill>
                    <a:prstClr val="white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^0</a:t>
              </a:r>
              <a:r>
                <a:rPr kumimoji="0" lang="fr-FR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)𝑝〗_𝑥∗〖𝑆𝑅𝐷〗_𝑗 )</a:t>
              </a:r>
              <a:r>
                <a:rPr lang="fr-FR" sz="1400" b="0" i="1">
                  <a:latin typeface="Cambria Math" panose="02040503050406030204" pitchFamily="18" charset="0"/>
                </a:rPr>
                <a:t> *</a:t>
              </a:r>
              <a:r>
                <a:rPr lang="fr-F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 𝑆𝑅𝐷〗_𝑘</a:t>
              </a:r>
              <a:endParaRPr lang="fr-FR" sz="14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1400" b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              </a:t>
              </a:r>
            </a:p>
            <a:p>
              <a:r>
                <a:rPr lang="fr-FR" sz="1400" b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                     </a:t>
              </a:r>
              <a:r>
                <a:rPr lang="fr-FR" sz="1500" b="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rPr>
                <a:t>Engagements futurs de l'assuré actualisés à l'intant k :</a:t>
              </a:r>
            </a:p>
            <a:p>
              <a:pPr/>
              <a:r>
                <a:rPr lang="fr-FR" sz="1300" b="0" i="0">
                  <a:latin typeface="Cambria Math" panose="02040503050406030204" pitchFamily="18" charset="0"/>
                </a:rPr>
                <a:t>〖𝑉𝐴𝑃〗_𝑘 (𝑎𝑠𝑠𝑢𝑟é)=</a:t>
              </a:r>
              <a:r>
                <a:rPr lang="fr-FR" sz="13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𝛼∗</a:t>
              </a:r>
              <a:r>
                <a:rPr lang="fr-FR" sz="1300" b="0" i="0">
                  <a:latin typeface="Cambria Math" panose="02040503050406030204" pitchFamily="18" charset="0"/>
                </a:rPr>
                <a:t>∑_(𝑗=0)^(𝑛−𝑘−1)▒𝑣^𝑗 ∗〖</a:t>
              </a:r>
              <a:r>
                <a:rPr lang="fr-FR" sz="13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(_𝑗</a:t>
              </a:r>
              <a:r>
                <a:rPr lang="fr-FR" sz="1300" b="0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^0</a:t>
              </a:r>
              <a:r>
                <a:rPr lang="fr-FR" sz="13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)𝑝〗_(</a:t>
              </a:r>
              <a:r>
                <a:rPr lang="fr-FR" sz="1300" b="0" i="0">
                  <a:latin typeface="Cambria Math" panose="02040503050406030204" pitchFamily="18" charset="0"/>
                </a:rPr>
                <a:t>𝑥+𝑘)∗〖𝑆𝑅𝐷〗_(𝑗+𝑘)</a:t>
              </a:r>
              <a:endParaRPr lang="fr-FR" sz="1300" b="0" i="1">
                <a:latin typeface="Cambria Math" panose="02040503050406030204" pitchFamily="18" charset="0"/>
              </a:endParaRPr>
            </a:p>
            <a:p>
              <a:r>
                <a:rPr lang="fr-FR" sz="1300" b="0"/>
                <a:t>                                                                                                               </a:t>
              </a:r>
              <a:r>
                <a:rPr lang="fr-FR" sz="1300" b="0" i="0">
                  <a:latin typeface="Cambria Math" panose="02040503050406030204" pitchFamily="18" charset="0"/>
                </a:rPr>
                <a:t>=</a:t>
              </a:r>
              <a:r>
                <a:rPr lang="fr-FR" sz="13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𝛼∗∑_(𝑗=𝑘)^(𝑛−1)▒𝑣^(𝑗−𝑘) ∗〖(_𝑗−𝑘</a:t>
              </a:r>
              <a:r>
                <a:rPr lang="fr-FR" sz="1300" b="0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^0</a:t>
              </a:r>
              <a:r>
                <a:rPr lang="fr-FR" sz="13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)𝑝〗_(𝑥+𝑘)∗〖𝑆𝑅𝐷〗_𝑗 </a:t>
              </a:r>
              <a:r>
                <a:rPr lang="fr-FR" sz="1300" b="0" i="0">
                  <a:latin typeface="Cambria Math" panose="02040503050406030204" pitchFamily="18" charset="0"/>
                </a:rPr>
                <a:t> </a:t>
              </a:r>
              <a:endParaRPr lang="fr-FR" sz="1300" b="0"/>
            </a:p>
            <a:p>
              <a:endParaRPr lang="fr-FR" sz="1300" b="0"/>
            </a:p>
            <a:p>
              <a:r>
                <a:rPr lang="fr-FR" sz="1300"/>
                <a:t>                                                                                                               </a:t>
              </a:r>
              <a:r>
                <a:rPr lang="fr-FR" sz="1300" b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= </a:t>
              </a:r>
              <a:r>
                <a:rPr lang="fr-FR" sz="13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𝛼/(𝑣^𝑘∗ 〖(_𝑘</a:t>
              </a:r>
              <a:r>
                <a:rPr lang="fr-FR" sz="1300" b="0" i="0">
                  <a:solidFill>
                    <a:schemeClr val="bg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^0</a:t>
              </a:r>
              <a:r>
                <a:rPr lang="fr-FR" sz="13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)𝑝〗_𝑥 )∗∑_(𝑗=𝑘)^(𝑛−1)▒𝑣^𝑗 ∗〖(_𝑗</a:t>
              </a:r>
              <a:r>
                <a:rPr lang="fr-FR" sz="1300" b="0" i="0">
                  <a:solidFill>
                    <a:schemeClr val="bg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^0</a:t>
              </a:r>
              <a:r>
                <a:rPr lang="fr-FR" sz="13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)𝑝〗_𝑥∗〖𝑆𝑅𝐷〗_𝑗  </a:t>
              </a:r>
              <a:endParaRPr lang="fr-FR" sz="1300" b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fr-FR" sz="1300" b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fr-FR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                     </a:t>
              </a:r>
              <a:r>
                <a:rPr lang="fr-FR" sz="1500" b="0" baseline="0" noProof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rPr>
                <a:t>Engagements futurs de l'assureur actualisés à l'intant k :</a:t>
              </a:r>
            </a:p>
            <a:p>
              <a:endParaRPr lang="fr-FR" sz="1300" b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fr-FR" sz="1300" b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r>
                <a:rPr kumimoji="0" lang="fr-FR" sz="1300" b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ea typeface="+mn-ea"/>
                  <a:cs typeface="+mn-cs"/>
                </a:rPr>
                <a:t> </a:t>
              </a:r>
              <a:r>
                <a:rPr lang="fr-FR" sz="13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                          </a:t>
              </a:r>
              <a:r>
                <a:rPr lang="fr-FR" sz="13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r>
                <a:rPr lang="fr-FR" sz="13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kumimoji="0" lang="fr-FR" sz="13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〖𝑉𝐴𝑃〗_𝑘 (𝑎𝑠𝑠𝑢𝑟𝑒𝑢𝑟)=∑_(𝑗=0)^(𝑛−𝑘−1)▒𝑣^(𝑗+0.5) ∗〖(_𝑗</a:t>
              </a:r>
              <a:r>
                <a:rPr kumimoji="0" lang="fr-FR" sz="1300" b="0" i="0" u="none" strike="noStrike" kern="0" cap="none" spc="0" normalizeH="0" baseline="0" noProof="0">
                  <a:ln>
                    <a:noFill/>
                  </a:ln>
                  <a:solidFill>
                    <a:prstClr val="white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^0</a:t>
              </a:r>
              <a:r>
                <a:rPr kumimoji="0" lang="fr-FR" sz="13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)𝑝〗_(𝑥+𝑘)∗𝑞_(𝑥+𝑗+𝑘)∗〖𝑆𝑅𝐷〗_(𝑗+𝑘)</a:t>
              </a:r>
              <a:endParaRPr kumimoji="0" lang="fr-FR" sz="1300" b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ea typeface="+mn-ea"/>
                <a:cs typeface="+mn-cs"/>
              </a:endParaRPr>
            </a:p>
            <a:p>
              <a:endParaRPr kumimoji="0" lang="fr-FR" sz="1300" b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ea typeface="+mn-ea"/>
                <a:cs typeface="+mn-cs"/>
              </a:endParaRPr>
            </a:p>
            <a:p>
              <a:r>
                <a:rPr lang="fr-FR" sz="13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                                                                </a:t>
              </a:r>
              <a:r>
                <a:rPr lang="fr-FR" sz="1300"/>
                <a:t>= </a:t>
              </a:r>
              <a:r>
                <a:rPr kumimoji="0" lang="fr-FR" sz="13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1/(𝑣^𝑘∗ 〖(_𝑘</a:t>
              </a:r>
              <a:r>
                <a:rPr kumimoji="0" lang="fr-FR" sz="1300" b="0" i="0" u="none" strike="noStrike" kern="0" cap="none" spc="0" normalizeH="0" baseline="0" noProof="0">
                  <a:ln>
                    <a:noFill/>
                  </a:ln>
                  <a:solidFill>
                    <a:prstClr val="white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^0</a:t>
              </a:r>
              <a:r>
                <a:rPr kumimoji="0" lang="fr-FR" sz="13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)𝑝〗_𝑥 )∗∑_(𝑗=𝑘)^(𝑛−1)▒𝑣^(𝑗+0.5) ∗〖(_𝑗</a:t>
              </a:r>
              <a:r>
                <a:rPr kumimoji="0" lang="fr-FR" sz="1300" b="0" i="0" u="none" strike="noStrike" kern="0" cap="none" spc="0" normalizeH="0" baseline="0" noProof="0">
                  <a:ln>
                    <a:noFill/>
                  </a:ln>
                  <a:solidFill>
                    <a:prstClr val="white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^0</a:t>
              </a:r>
              <a:r>
                <a:rPr kumimoji="0" lang="fr-FR" sz="13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)𝑝〗_𝑥∗𝑞_(𝑥+𝑗)∗〖𝑆𝑅𝐷〗_𝑗</a:t>
              </a:r>
              <a:endParaRPr lang="fr-FR" sz="1300"/>
            </a:p>
            <a:p>
              <a:endParaRPr lang="fr-FR" sz="13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fr-FR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                     </a:t>
              </a:r>
              <a:r>
                <a:rPr lang="fr-FR" sz="1500" b="0" baseline="0" noProof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rPr>
                <a:t>Provisions mathématiques à l'intant k :</a:t>
              </a:r>
            </a:p>
            <a:p>
              <a:endParaRPr lang="fr-FR" sz="1300"/>
            </a:p>
            <a:p>
              <a:endParaRPr lang="fr-FR" sz="1300"/>
            </a:p>
            <a:p>
              <a:r>
                <a:rPr kumimoji="0" lang="fr-FR" sz="1300" b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ea typeface="+mn-ea"/>
                  <a:cs typeface="+mn-cs"/>
                </a:rPr>
                <a:t>                                                                                  </a:t>
              </a:r>
              <a:r>
                <a:rPr kumimoji="0" lang="fr-FR" sz="13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〖𝑃𝑀〗_𝑘  </a:t>
              </a:r>
              <a:r>
                <a:rPr kumimoji="0" lang="fr-FR" sz="1300" b="0" i="1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kumimoji="0" lang="fr-FR" sz="13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〖𝑉𝐴𝑃〗_𝑘 (𝑎𝑠𝑠𝑢𝑟𝑒𝑢𝑟)−〖𝑉𝐴𝑃〗_𝑘 (𝑎𝑠𝑠𝑢𝑟é)</a:t>
              </a:r>
              <a:endParaRPr lang="fr-FR" sz="1300"/>
            </a:p>
            <a:p>
              <a:endParaRPr lang="fr-FR" sz="13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fr-FR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                     </a:t>
              </a:r>
              <a:r>
                <a:rPr lang="fr-FR" sz="1500" b="0" baseline="0" noProof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rPr>
                <a:t>Marge de solvabilité à l'intant k :</a:t>
              </a:r>
            </a:p>
            <a:p>
              <a:endParaRPr lang="fr-FR" sz="1300"/>
            </a:p>
            <a:p>
              <a:endParaRPr lang="fr-FR" sz="1300"/>
            </a:p>
            <a:p>
              <a:r>
                <a:rPr lang="fr-FR" sz="1100" b="0" baseline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     </a:t>
              </a:r>
              <a:r>
                <a:rPr lang="fr-FR" sz="13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"                                                                          "  〖 𝑀𝑆𝑅〗_𝑘</a:t>
              </a:r>
              <a:r>
                <a:rPr lang="fr-FR" sz="1300" b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= 5%*</a:t>
              </a:r>
              <a:r>
                <a:rPr lang="fr-FR" sz="1300" b="0" i="0" noProof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〖𝑃𝑀〗_𝑘+0.3%∗(C−〖𝑃𝑀〗_𝑘</a:t>
              </a:r>
              <a:r>
                <a:rPr lang="fr-FR" sz="1300" b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)          //</a:t>
              </a:r>
              <a:r>
                <a:rPr lang="fr-FR" sz="1300" b="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 En effet, il s'agit d'un produit assurance temporaire décès dont la durée du </a:t>
              </a:r>
              <a:endParaRPr lang="fr-FR" sz="1300" b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fr-FR" sz="100" b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fr-FR" sz="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 </a:t>
              </a:r>
              <a:r>
                <a:rPr kumimoji="0" lang="fr-FR" sz="13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                                                                                                                                                                     prêt dépasse 5 ans, d'où l'utilisation de 0.3%</a:t>
              </a:r>
            </a:p>
            <a:p>
              <a:endParaRPr lang="fr-FR" sz="1300" b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fr-FR" sz="1300" b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r>
                <a:rPr lang="fr-FR" sz="1300"/>
                <a:t>   </a:t>
              </a:r>
            </a:p>
            <a:p>
              <a:r>
                <a:rPr lang="fr-FR" sz="13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                              </a:t>
              </a:r>
              <a:endParaRPr kumimoji="0" lang="fr-FR" sz="1300" b="0" i="1" u="none" strike="noStrike" kern="0" cap="none" spc="0" normalizeH="0" baseline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85725</xdr:colOff>
      <xdr:row>3</xdr:row>
      <xdr:rowOff>6350</xdr:rowOff>
    </xdr:from>
    <xdr:ext cx="591893" cy="3746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C822A8AC-B491-4BD9-A685-4ADE970F4A02}"/>
                </a:ext>
              </a:extLst>
            </xdr:cNvPr>
            <xdr:cNvSpPr txBox="1"/>
          </xdr:nvSpPr>
          <xdr:spPr>
            <a:xfrm>
              <a:off x="5057775" y="374650"/>
              <a:ext cx="591893" cy="374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0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fr-FR" sz="1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fr-FR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0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fr-FR" sz="1000" b="0" i="1">
                            <a:latin typeface="Cambria Math" panose="02040503050406030204" pitchFamily="18" charset="0"/>
                          </a:rPr>
                          <m:t>1+</m:t>
                        </m:r>
                        <m:r>
                          <a:rPr lang="fr-FR" sz="1000" b="0" i="1">
                            <a:latin typeface="Cambria Math" panose="02040503050406030204" pitchFamily="18" charset="0"/>
                          </a:rPr>
                          <m:t>𝑖</m:t>
                        </m:r>
                      </m:den>
                    </m:f>
                  </m:oMath>
                </m:oMathPara>
              </a14:m>
              <a:endParaRPr lang="fr-FR" sz="1000"/>
            </a:p>
          </xdr:txBody>
        </xdr:sp>
      </mc:Choice>
      <mc:Fallback xmlns=""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C822A8AC-B491-4BD9-A685-4ADE970F4A02}"/>
                </a:ext>
              </a:extLst>
            </xdr:cNvPr>
            <xdr:cNvSpPr txBox="1"/>
          </xdr:nvSpPr>
          <xdr:spPr>
            <a:xfrm>
              <a:off x="5057775" y="374650"/>
              <a:ext cx="591893" cy="374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fr-FR" sz="1000" b="0" i="0">
                  <a:latin typeface="Cambria Math" panose="02040503050406030204" pitchFamily="18" charset="0"/>
                </a:rPr>
                <a:t>𝑣=1/(1+𝑖)</a:t>
              </a:r>
              <a:endParaRPr lang="fr-FR" sz="10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L17"/>
  <sheetViews>
    <sheetView tabSelected="1" topLeftCell="A2" workbookViewId="0">
      <selection activeCell="B19" sqref="B19"/>
    </sheetView>
  </sheetViews>
  <sheetFormatPr defaultColWidth="10.85546875" defaultRowHeight="15" x14ac:dyDescent="0.25"/>
  <cols>
    <col min="1" max="1" width="10.85546875" style="3"/>
    <col min="2" max="2" width="12" style="3" customWidth="1"/>
    <col min="3" max="4" width="10.85546875" style="3"/>
    <col min="5" max="5" width="12.5703125" style="3" customWidth="1"/>
    <col min="6" max="6" width="10.85546875" style="3"/>
    <col min="7" max="7" width="30.85546875" style="3" customWidth="1"/>
    <col min="8" max="12" width="10.85546875" style="3"/>
    <col min="13" max="13" width="10" style="3" customWidth="1"/>
    <col min="14" max="16384" width="10.85546875" style="3"/>
  </cols>
  <sheetData>
    <row r="5" spans="2:12" ht="33.75" x14ac:dyDescent="0.5">
      <c r="G5" s="21"/>
    </row>
    <row r="7" spans="2:12" ht="18.75" x14ac:dyDescent="0.3">
      <c r="G7" s="9"/>
      <c r="H7" s="6"/>
      <c r="I7" s="6"/>
      <c r="J7" s="6"/>
      <c r="K7" s="6"/>
    </row>
    <row r="8" spans="2:12" ht="6.95" customHeight="1" x14ac:dyDescent="0.25"/>
    <row r="9" spans="2:12" ht="18.75" x14ac:dyDescent="0.3">
      <c r="G9" s="9"/>
    </row>
    <row r="12" spans="2:12" ht="18.75" x14ac:dyDescent="0.3">
      <c r="B12" s="22" t="s">
        <v>13</v>
      </c>
      <c r="C12" s="9"/>
      <c r="D12" s="9"/>
    </row>
    <row r="14" spans="2:12" ht="17.25" x14ac:dyDescent="0.3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2:12" ht="17.25" x14ac:dyDescent="0.3">
      <c r="B15" s="8" t="s">
        <v>9</v>
      </c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2:12" ht="17.25" x14ac:dyDescent="0.3">
      <c r="B16" s="7" t="s">
        <v>11</v>
      </c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2:9" ht="17.25" x14ac:dyDescent="0.3">
      <c r="B17" s="7" t="s">
        <v>12</v>
      </c>
      <c r="C17" s="7"/>
      <c r="D17" s="7"/>
      <c r="E17" s="7"/>
      <c r="F17" s="7"/>
      <c r="G17" s="7"/>
      <c r="H17" s="7"/>
      <c r="I17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8:A40"/>
  <sheetViews>
    <sheetView zoomScale="85" zoomScaleNormal="85" workbookViewId="0">
      <selection activeCell="S10" sqref="S10"/>
    </sheetView>
  </sheetViews>
  <sheetFormatPr defaultColWidth="10.85546875" defaultRowHeight="15" x14ac:dyDescent="0.25"/>
  <cols>
    <col min="1" max="16384" width="10.85546875" style="3"/>
  </cols>
  <sheetData>
    <row r="38" ht="19.5" customHeight="1" x14ac:dyDescent="0.25"/>
    <row r="39" ht="21" customHeight="1" x14ac:dyDescent="0.25"/>
    <row r="40" ht="12.9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33"/>
  <sheetViews>
    <sheetView zoomScale="80" zoomScaleNormal="80" workbookViewId="0">
      <pane xSplit="2" topLeftCell="C1" activePane="topRight" state="frozen"/>
      <selection pane="topRight" activeCell="M3" sqref="M3"/>
    </sheetView>
  </sheetViews>
  <sheetFormatPr defaultColWidth="11.42578125" defaultRowHeight="15" x14ac:dyDescent="0.25"/>
  <cols>
    <col min="1" max="1" width="17.42578125" bestFit="1" customWidth="1"/>
    <col min="2" max="2" width="16.140625" bestFit="1" customWidth="1"/>
    <col min="3" max="3" width="17.42578125" bestFit="1" customWidth="1"/>
    <col min="4" max="4" width="13.140625" customWidth="1"/>
    <col min="6" max="6" width="14.140625" customWidth="1"/>
    <col min="7" max="7" width="21.7109375" customWidth="1"/>
    <col min="8" max="8" width="19.42578125" customWidth="1"/>
    <col min="9" max="9" width="18.42578125" customWidth="1"/>
    <col min="10" max="10" width="12.7109375" customWidth="1"/>
  </cols>
  <sheetData>
    <row r="2" spans="1:10" x14ac:dyDescent="0.25">
      <c r="A2" s="1" t="s">
        <v>5</v>
      </c>
      <c r="B2" s="1">
        <v>2800000</v>
      </c>
      <c r="E2" s="2" t="s">
        <v>6</v>
      </c>
      <c r="F2" s="2">
        <v>37</v>
      </c>
    </row>
    <row r="3" spans="1:10" x14ac:dyDescent="0.25">
      <c r="A3" s="1" t="s">
        <v>7</v>
      </c>
      <c r="B3" s="1">
        <v>3.2500000000000001E-2</v>
      </c>
    </row>
    <row r="4" spans="1:10" ht="24" customHeight="1" x14ac:dyDescent="0.25">
      <c r="A4" s="1" t="s">
        <v>8</v>
      </c>
      <c r="B4" s="1">
        <v>0.09</v>
      </c>
      <c r="E4" s="2"/>
      <c r="F4" s="5">
        <f>1/(1+B3)</f>
        <v>0.96852300242130751</v>
      </c>
    </row>
    <row r="5" spans="1:10" x14ac:dyDescent="0.25">
      <c r="A5" s="1" t="s">
        <v>0</v>
      </c>
      <c r="B5" s="1">
        <v>25</v>
      </c>
    </row>
    <row r="7" spans="1:10" ht="18.75" x14ac:dyDescent="0.25">
      <c r="A7" s="25" t="s">
        <v>46</v>
      </c>
      <c r="B7" s="25" t="s">
        <v>47</v>
      </c>
      <c r="C7" s="25" t="s">
        <v>52</v>
      </c>
      <c r="D7" s="25" t="s">
        <v>48</v>
      </c>
      <c r="E7" s="25" t="s">
        <v>3</v>
      </c>
      <c r="F7" s="25" t="s">
        <v>49</v>
      </c>
      <c r="G7" s="25" t="s">
        <v>50</v>
      </c>
      <c r="H7" s="25" t="s">
        <v>51</v>
      </c>
      <c r="I7" s="25" t="s">
        <v>53</v>
      </c>
      <c r="J7" s="25" t="s">
        <v>4</v>
      </c>
    </row>
    <row r="8" spans="1:10" ht="13.5" customHeight="1" x14ac:dyDescent="0.25">
      <c r="A8" s="18">
        <v>0</v>
      </c>
      <c r="B8" s="19">
        <f>((1+$B$4)^$B$5-(1+$B$4)^A8)/((1+$B$4)^$B$5-1)*$B$2</f>
        <v>2800000</v>
      </c>
      <c r="C8" s="20">
        <f>(VLOOKUP($F$2+A8,'TD 88-90'!A1:B109,2,FALSE)/VLOOKUP($F$2,'TD 88-90'!A1:B109,2,FALSE))*(1-VLOOKUP($F$2+A8+1,'TD 88-90'!A1:B109,2,FALSE)/VLOOKUP($F$2+A8,'TD 88-90'!A1:B109,2,FALSE))</f>
        <v>2.3674093627897852E-3</v>
      </c>
      <c r="D8" s="18">
        <f>(1/(1+$B$3))^(A8+0.5)</f>
        <v>0.98413566261024576</v>
      </c>
      <c r="E8" s="18">
        <f>C8*D8*B8</f>
        <v>6523.5855493727095</v>
      </c>
      <c r="F8" s="18">
        <f>((1/(1+$B$3))^A8)*(VLOOKUP($F$2+A8,'TD 88-90'!A1:B109,2,FALSE)/VLOOKUP($F$2,'TD 88-90'!A1:B109,2,FALSE))</f>
        <v>1</v>
      </c>
      <c r="G8" s="18">
        <f t="shared" ref="G8:G33" si="0">F8*B8</f>
        <v>2800000</v>
      </c>
      <c r="H8" s="19">
        <f t="shared" ref="H8:H33" si="1">B8*(SUM($E$8:$E$32)/SUM($G$8:$G$32))</f>
        <v>13795.423683431432</v>
      </c>
      <c r="I8" s="19">
        <f>(1/F8)*(SUM(E8:$E$32)-(SUM($E$8:$E$32)/SUM($G$8:$G$32))*SUM(G8:$G$32))</f>
        <v>0</v>
      </c>
      <c r="J8" s="19">
        <f>0.05*I8+0.003*(B8-I8)</f>
        <v>8400</v>
      </c>
    </row>
    <row r="9" spans="1:10" x14ac:dyDescent="0.25">
      <c r="A9" s="18">
        <v>1</v>
      </c>
      <c r="B9" s="19">
        <f t="shared" ref="B9:B33" si="2">((1+$B$4)^$B$5-(1+$B$4)^A9)/((1+$B$4)^$B$5-1)*$B$2</f>
        <v>2766942.4985479992</v>
      </c>
      <c r="C9" s="20">
        <f>(VLOOKUP($F$2+A9,'TD 88-90'!A2:B110,2,FALSE)/VLOOKUP($F$2,'TD 88-90'!A2:B110,2,FALSE))*(1-VLOOKUP($F$2+A9+1,'TD 88-90'!A2:B110,2,FALSE)/VLOOKUP($F$2+A9,'TD 88-90'!A2:B110,2,FALSE))</f>
        <v>2.5140630401307793E-3</v>
      </c>
      <c r="D9" s="18">
        <f t="shared" ref="D9:D33" si="3">(1/(1+$B$3))^(A9+0.5)</f>
        <v>0.95315802674115813</v>
      </c>
      <c r="E9" s="18">
        <f>C9*D9*B9</f>
        <v>6630.4225562296879</v>
      </c>
      <c r="F9" s="18">
        <f>((1/(1+$B$3))^A9)*(VLOOKUP($F$2+A9,'TD 88-90'!A2:B110,2,FALSE)/VLOOKUP($F$2,'TD 88-90'!A2:B110,2,FALSE))</f>
        <v>0.96623011199729802</v>
      </c>
      <c r="G9" s="18">
        <f t="shared" si="0"/>
        <v>2673503.1602621167</v>
      </c>
      <c r="H9" s="19">
        <f t="shared" si="1"/>
        <v>13632.551455415003</v>
      </c>
      <c r="I9" s="19">
        <f>(1/F9)*(SUM(E9:$E$33)-(SUM($E$8:$E$33)/SUM($G$8:$G$33))*SUM(G9:$G$33))</f>
        <v>7525.9899725408568</v>
      </c>
      <c r="J9" s="19">
        <f t="shared" ref="J9:J33" si="4">0.05*I9+0.003*(B9-I9)</f>
        <v>8654.5490243534186</v>
      </c>
    </row>
    <row r="10" spans="1:10" x14ac:dyDescent="0.25">
      <c r="A10" s="18">
        <v>2</v>
      </c>
      <c r="B10" s="19">
        <f t="shared" si="2"/>
        <v>2730909.8219653177</v>
      </c>
      <c r="C10" s="20">
        <f>(VLOOKUP($F$2+A10,'TD 88-90'!A3:B111,2,FALSE)/VLOOKUP($F$2,'TD 88-90'!A3:B111,2,FALSE))*(1-VLOOKUP($F$2+A10+1,'TD 88-90'!A3:B111,2,FALSE)/VLOOKUP($F$2+A10,'TD 88-90'!A3:B111,2,FALSE))</f>
        <v>2.6292909294700142E-3</v>
      </c>
      <c r="D10" s="18">
        <f t="shared" si="3"/>
        <v>0.92315547384131535</v>
      </c>
      <c r="E10" s="18">
        <f t="shared" ref="E10:E33" si="5">C10*D10*B10</f>
        <v>6628.5853370340119</v>
      </c>
      <c r="F10" s="18">
        <f>((1/(1+$B$3))^A10)*(VLOOKUP($F$2+A10,'TD 88-90'!A3:B111,2,FALSE)/VLOOKUP($F$2,'TD 88-90'!A3:B111,2,FALSE))</f>
        <v>0.93345780543670143</v>
      </c>
      <c r="G10" s="18">
        <f t="shared" si="0"/>
        <v>2549189.0892572785</v>
      </c>
      <c r="H10" s="19">
        <f t="shared" si="1"/>
        <v>13455.020726877094</v>
      </c>
      <c r="I10" s="19">
        <f>(1/F10)*(SUM(E10:$E$33)-(SUM($E$8:$E$33)/SUM($G$8:$G$33))*SUM(G10:$G$33))</f>
        <v>14798.309272202307</v>
      </c>
      <c r="J10" s="19">
        <f t="shared" si="4"/>
        <v>8888.2500016894628</v>
      </c>
    </row>
    <row r="11" spans="1:10" x14ac:dyDescent="0.25">
      <c r="A11" s="18">
        <v>3</v>
      </c>
      <c r="B11" s="19">
        <f t="shared" si="2"/>
        <v>2691634.204490195</v>
      </c>
      <c r="C11" s="20">
        <f>(VLOOKUP($F$2+A11,'TD 88-90'!A4:B112,2,FALSE)/VLOOKUP($F$2,'TD 88-90'!A4:B112,2,FALSE))*(1-VLOOKUP($F$2+A11+1,'TD 88-90'!A4:B112,2,FALSE)/VLOOKUP($F$2+A11,'TD 88-90'!A4:B112,2,FALSE))</f>
        <v>2.828320920147107E-3</v>
      </c>
      <c r="D11" s="18">
        <f t="shared" si="3"/>
        <v>0.89409731122645564</v>
      </c>
      <c r="E11" s="18">
        <f t="shared" si="5"/>
        <v>6806.5887763925875</v>
      </c>
      <c r="F11" s="18">
        <f>((1/(1+$B$3))^A11)*(VLOOKUP($F$2+A11,'TD 88-90'!A4:B112,2,FALSE)/VLOOKUP($F$2,'TD 88-90'!A4:B112,2,FALSE))</f>
        <v>0.90168661866401967</v>
      </c>
      <c r="G11" s="18">
        <f t="shared" si="0"/>
        <v>2427010.5445271824</v>
      </c>
      <c r="H11" s="19">
        <f t="shared" si="1"/>
        <v>13261.512232770772</v>
      </c>
      <c r="I11" s="19">
        <f>(1/F11)*(SUM(E11:$E$33)-(SUM($E$8:$E$33)/SUM($G$8:$G$33))*SUM(G11:$G$33))</f>
        <v>21897.525893686059</v>
      </c>
      <c r="J11" s="19">
        <f t="shared" si="4"/>
        <v>9104.0863304738305</v>
      </c>
    </row>
    <row r="12" spans="1:10" x14ac:dyDescent="0.25">
      <c r="A12" s="18">
        <v>4</v>
      </c>
      <c r="B12" s="19">
        <f t="shared" si="2"/>
        <v>2648823.7814423116</v>
      </c>
      <c r="C12" s="20">
        <f>(VLOOKUP($F$2+A12,'TD 88-90'!A5:B113,2,FALSE)/VLOOKUP($F$2,'TD 88-90'!A5:B113,2,FALSE))*(1-VLOOKUP($F$2+A12+1,'TD 88-90'!A5:B113,2,FALSE)/VLOOKUP($F$2+A12,'TD 88-90'!A5:B113,2,FALSE))</f>
        <v>3.0797272241601631E-3</v>
      </c>
      <c r="D12" s="18">
        <f t="shared" si="3"/>
        <v>0.86595381232586499</v>
      </c>
      <c r="E12" s="18">
        <f t="shared" si="5"/>
        <v>7064.1521972439841</v>
      </c>
      <c r="F12" s="18">
        <f>((1/(1+$B$3))^A12)*(VLOOKUP($F$2+A12,'TD 88-90'!A5:B113,2,FALSE)/VLOOKUP($F$2,'TD 88-90'!A5:B113,2,FALSE))</f>
        <v>0.87081555466487126</v>
      </c>
      <c r="G12" s="18">
        <f t="shared" si="0"/>
        <v>2306636.9504461884</v>
      </c>
      <c r="H12" s="19">
        <f t="shared" si="1"/>
        <v>13050.587974194883</v>
      </c>
      <c r="I12" s="19">
        <f>(1/F12)*(SUM(E12:$E$33)-(SUM($E$8:$E$33)/SUM($G$8:$G$33))*SUM(G12:$G$33))</f>
        <v>28589.114300918303</v>
      </c>
      <c r="J12" s="19">
        <f t="shared" si="4"/>
        <v>9290.1597164700961</v>
      </c>
    </row>
    <row r="13" spans="1:10" x14ac:dyDescent="0.25">
      <c r="A13" s="18">
        <v>5</v>
      </c>
      <c r="B13" s="19">
        <f t="shared" si="2"/>
        <v>2602160.4203201188</v>
      </c>
      <c r="C13" s="20">
        <f>(VLOOKUP($F$2+A13,'TD 88-90'!A6:B114,2,FALSE)/VLOOKUP($F$2,'TD 88-90'!A6:B114,2,FALSE))*(1-VLOOKUP($F$2+A13+1,'TD 88-90'!A6:B114,2,FALSE)/VLOOKUP($F$2+A13,'TD 88-90'!A6:B114,2,FALSE))</f>
        <v>3.2892324775043555E-3</v>
      </c>
      <c r="D13" s="18">
        <f t="shared" si="3"/>
        <v>0.83869618627202425</v>
      </c>
      <c r="E13" s="18">
        <f t="shared" si="5"/>
        <v>7178.4933897469236</v>
      </c>
      <c r="F13" s="18">
        <f>((1/(1+$B$3))^A13)*(VLOOKUP($F$2+A13,'TD 88-90'!A6:B114,2,FALSE)/VLOOKUP($F$2,'TD 88-90'!A6:B114,2,FALSE))</f>
        <v>0.84078030265418024</v>
      </c>
      <c r="G13" s="18">
        <f t="shared" si="0"/>
        <v>2187845.2257514782</v>
      </c>
      <c r="H13" s="19">
        <f t="shared" si="1"/>
        <v>12820.680532347164</v>
      </c>
      <c r="I13" s="19">
        <f>(1/F13)*(SUM(E13:$E$33)-(SUM($E$8:$E$33)/SUM($G$8:$G$33))*SUM(G13:$G$33))</f>
        <v>34725.299990225278</v>
      </c>
      <c r="J13" s="19">
        <f t="shared" si="4"/>
        <v>9438.5703605009458</v>
      </c>
    </row>
    <row r="14" spans="1:10" x14ac:dyDescent="0.25">
      <c r="A14" s="18">
        <v>6</v>
      </c>
      <c r="B14" s="19">
        <f t="shared" si="2"/>
        <v>2551297.3566969279</v>
      </c>
      <c r="C14" s="20">
        <f>(VLOOKUP($F$2+A14,'TD 88-90'!A7:B115,2,FALSE)/VLOOKUP($F$2,'TD 88-90'!A7:B115,2,FALSE))*(1-VLOOKUP($F$2+A14+1,'TD 88-90'!A7:B115,2,FALSE)/VLOOKUP($F$2+A14,'TD 88-90'!A7:B115,2,FALSE))</f>
        <v>3.6977677215255995E-3</v>
      </c>
      <c r="D14" s="18">
        <f t="shared" si="3"/>
        <v>0.81229654844748111</v>
      </c>
      <c r="E14" s="18">
        <f t="shared" si="5"/>
        <v>7663.2909402444357</v>
      </c>
      <c r="F14" s="18">
        <f>((1/(1+$B$3))^A14)*(VLOOKUP($F$2+A14,'TD 88-90'!A7:B115,2,FALSE)/VLOOKUP($F$2,'TD 88-90'!A7:B115,2,FALSE))</f>
        <v>0.81160016078850161</v>
      </c>
      <c r="G14" s="18">
        <f t="shared" si="0"/>
        <v>2070633.344914506</v>
      </c>
      <c r="H14" s="19">
        <f t="shared" si="1"/>
        <v>12570.081420733146</v>
      </c>
      <c r="I14" s="19">
        <f>(1/F14)*(SUM(E14:$E$33)-(SUM($E$8:$E$33)/SUM($G$8:$G$33))*SUM(G14:$G$33))</f>
        <v>40410.576646692003</v>
      </c>
      <c r="J14" s="19">
        <f t="shared" si="4"/>
        <v>9553.1891724853085</v>
      </c>
    </row>
    <row r="15" spans="1:10" x14ac:dyDescent="0.25">
      <c r="A15" s="18">
        <v>7</v>
      </c>
      <c r="B15" s="19">
        <f t="shared" si="2"/>
        <v>2495856.6173476507</v>
      </c>
      <c r="C15" s="20">
        <f>(VLOOKUP($F$2+A15,'TD 88-90'!A8:B116,2,FALSE)/VLOOKUP($F$2,'TD 88-90'!A8:B116,2,FALSE))*(1-VLOOKUP($F$2+A15+1,'TD 88-90'!A8:B116,2,FALSE)/VLOOKUP($F$2+A15,'TD 88-90'!A8:B116,2,FALSE))</f>
        <v>4.0015503388747551E-3</v>
      </c>
      <c r="D15" s="18">
        <f t="shared" si="3"/>
        <v>0.78672789195881943</v>
      </c>
      <c r="E15" s="18">
        <f t="shared" si="5"/>
        <v>7857.2842442140236</v>
      </c>
      <c r="F15" s="18">
        <f>((1/(1+$B$3))^A15)*(VLOOKUP($F$2+A15,'TD 88-90'!A8:B116,2,FALSE)/VLOOKUP($F$2,'TD 88-90'!A8:B116,2,FALSE))</f>
        <v>0.78309739199104822</v>
      </c>
      <c r="G15" s="18">
        <f t="shared" si="0"/>
        <v>1954498.8078285449</v>
      </c>
      <c r="H15" s="19">
        <f t="shared" si="1"/>
        <v>12296.928389073873</v>
      </c>
      <c r="I15" s="19">
        <f>(1/F15)*(SUM(E15:$E$33)-(SUM($E$8:$E$33)/SUM($G$8:$G$33))*SUM(G15:$G$33))</f>
        <v>45123.148189928273</v>
      </c>
      <c r="J15" s="19">
        <f t="shared" si="4"/>
        <v>9608.3578169695811</v>
      </c>
    </row>
    <row r="16" spans="1:10" x14ac:dyDescent="0.25">
      <c r="A16" s="18">
        <v>8</v>
      </c>
      <c r="B16" s="19">
        <f t="shared" si="2"/>
        <v>2435426.2114569377</v>
      </c>
      <c r="C16" s="20">
        <f>(VLOOKUP($F$2+A16,'TD 88-90'!A9:B117,2,FALSE)/VLOOKUP($F$2,'TD 88-90'!A9:B117,2,FALSE))*(1-VLOOKUP($F$2+A16+1,'TD 88-90'!A9:B117,2,FALSE)/VLOOKUP($F$2+A16,'TD 88-90'!A9:B117,2,FALSE))</f>
        <v>4.2529566428877877E-3</v>
      </c>
      <c r="D16" s="18">
        <f t="shared" si="3"/>
        <v>0.76196406000854189</v>
      </c>
      <c r="E16" s="18">
        <f t="shared" si="5"/>
        <v>7892.2424503396278</v>
      </c>
      <c r="F16" s="18">
        <f>((1/(1+$B$3))^A16)*(VLOOKUP($F$2+A16,'TD 88-90'!A9:B117,2,FALSE)/VLOOKUP($F$2,'TD 88-90'!A9:B117,2,FALSE))</f>
        <v>0.75534964903329382</v>
      </c>
      <c r="G16" s="18">
        <f t="shared" si="0"/>
        <v>1839598.3340704823</v>
      </c>
      <c r="H16" s="19">
        <f t="shared" si="1"/>
        <v>11999.19158456526</v>
      </c>
      <c r="I16" s="19">
        <f>(1/F16)*(SUM(E16:$E$33)-(SUM($E$8:$E$33)/SUM($G$8:$G$33))*SUM(G16:$G$33))</f>
        <v>49127.219454222839</v>
      </c>
      <c r="J16" s="19">
        <f t="shared" si="4"/>
        <v>9615.257948719287</v>
      </c>
    </row>
    <row r="17" spans="1:10" x14ac:dyDescent="0.25">
      <c r="A17" s="18">
        <v>9</v>
      </c>
      <c r="B17" s="19">
        <f t="shared" si="2"/>
        <v>2369557.0690360609</v>
      </c>
      <c r="C17" s="20">
        <f>(VLOOKUP($F$2+A17,'TD 88-90'!A10:B118,2,FALSE)/VLOOKUP($F$2,'TD 88-90'!A10:B118,2,FALSE))*(1-VLOOKUP($F$2+A17+1,'TD 88-90'!A10:B118,2,FALSE)/VLOOKUP($F$2+A17,'TD 88-90'!A10:B118,2,FALSE))</f>
        <v>4.5253134722353181E-3</v>
      </c>
      <c r="D17" s="18">
        <f t="shared" si="3"/>
        <v>0.73797971913660232</v>
      </c>
      <c r="E17" s="18">
        <f t="shared" si="5"/>
        <v>7913.3480620060727</v>
      </c>
      <c r="F17" s="18">
        <f>((1/(1+$B$3))^A17)*(VLOOKUP($F$2+A17,'TD 88-90'!A10:B118,2,FALSE)/VLOOKUP($F$2,'TD 88-90'!A10:B118,2,FALSE))</f>
        <v>0.72838431982245233</v>
      </c>
      <c r="G17" s="18">
        <f t="shared" si="0"/>
        <v>1725948.214010315</v>
      </c>
      <c r="H17" s="19">
        <f t="shared" si="1"/>
        <v>11674.658467650874</v>
      </c>
      <c r="I17" s="19">
        <f>(1/F17)*(SUM(E17:$E$33)-(SUM($E$8:$E$33)/SUM($G$8:$G$33))*SUM(G17:$G$33))</f>
        <v>52554.083926195264</v>
      </c>
      <c r="J17" s="19">
        <f t="shared" si="4"/>
        <v>9578.7131516393601</v>
      </c>
    </row>
    <row r="18" spans="1:10" x14ac:dyDescent="0.25">
      <c r="A18" s="18">
        <v>10</v>
      </c>
      <c r="B18" s="19">
        <f t="shared" si="2"/>
        <v>2297759.7037973055</v>
      </c>
      <c r="C18" s="20">
        <f>(VLOOKUP($F$2+A18,'TD 88-90'!A11:B119,2,FALSE)/VLOOKUP($F$2,'TD 88-90'!A11:B119,2,FALSE))*(1-VLOOKUP($F$2+A18+1,'TD 88-90'!A11:B119,2,FALSE)/VLOOKUP($F$2+A18,'TD 88-90'!A11:B119,2,FALSE))</f>
        <v>4.8395713522516289E-3</v>
      </c>
      <c r="D18" s="18">
        <f t="shared" si="3"/>
        <v>0.71475033330421534</v>
      </c>
      <c r="E18" s="18">
        <f t="shared" si="5"/>
        <v>7948.1466697427759</v>
      </c>
      <c r="F18" s="18">
        <f>((1/(1+$B$3))^A18)*(VLOOKUP($F$2+A18,'TD 88-90'!A11:B119,2,FALSE)/VLOOKUP($F$2,'TD 88-90'!A11:B119,2,FALSE))</f>
        <v>0.70217035916140436</v>
      </c>
      <c r="G18" s="18">
        <f t="shared" si="0"/>
        <v>1613418.756481956</v>
      </c>
      <c r="H18" s="19">
        <f t="shared" si="1"/>
        <v>11320.917370214194</v>
      </c>
      <c r="I18" s="19">
        <f>(1/F18)*(SUM(E18:$E$33)-(SUM($E$8:$E$33)/SUM($G$8:$G$33))*SUM(G18:$G$33))</f>
        <v>55356.738250827046</v>
      </c>
      <c r="J18" s="19">
        <f t="shared" si="4"/>
        <v>9495.0458091807886</v>
      </c>
    </row>
    <row r="19" spans="1:10" x14ac:dyDescent="0.25">
      <c r="A19" s="18">
        <v>11</v>
      </c>
      <c r="B19" s="19">
        <f t="shared" si="2"/>
        <v>2219500.5756870615</v>
      </c>
      <c r="C19" s="20">
        <f>(VLOOKUP($F$2+A19,'TD 88-90'!A12:B120,2,FALSE)/VLOOKUP($F$2,'TD 88-90'!A12:B120,2,FALSE))*(1-VLOOKUP($F$2+A19+1,'TD 88-90'!A12:B120,2,FALSE)/VLOOKUP($F$2+A19,'TD 88-90'!A12:B120,2,FALSE))</f>
        <v>5.248106596272859E-3</v>
      </c>
      <c r="D19" s="18">
        <f t="shared" si="3"/>
        <v>0.69225213879342884</v>
      </c>
      <c r="E19" s="18">
        <f t="shared" si="5"/>
        <v>8063.4744802370951</v>
      </c>
      <c r="F19" s="18">
        <f>((1/(1+$B$3))^A19)*(VLOOKUP($F$2+A19,'TD 88-90'!A12:B120,2,FALSE)/VLOOKUP($F$2,'TD 88-90'!A12:B120,2,FALSE))</f>
        <v>0.67666393532444069</v>
      </c>
      <c r="G19" s="18">
        <f t="shared" si="0"/>
        <v>1501855.9939992686</v>
      </c>
      <c r="H19" s="19">
        <f t="shared" si="1"/>
        <v>10935.339574008211</v>
      </c>
      <c r="I19" s="19">
        <f>(1/F19)*(SUM(E19:$E$33)-(SUM($E$8:$E$33)/SUM($G$8:$G$33))*SUM(G19:$G$33))</f>
        <v>57444.951173711765</v>
      </c>
      <c r="J19" s="19">
        <f t="shared" si="4"/>
        <v>9358.4144322256379</v>
      </c>
    </row>
    <row r="20" spans="1:10" x14ac:dyDescent="0.25">
      <c r="A20" s="18">
        <v>12</v>
      </c>
      <c r="B20" s="19">
        <f t="shared" si="2"/>
        <v>2134198.1260468964</v>
      </c>
      <c r="C20" s="20">
        <f>(VLOOKUP($F$2+A20,'TD 88-90'!A13:B121,2,FALSE)/VLOOKUP($F$2,'TD 88-90'!A13:B121,2,FALSE))*(1-VLOOKUP($F$2+A20+1,'TD 88-90'!A13:B121,2,FALSE)/VLOOKUP($F$2+A20,'TD 88-90'!A13:B121,2,FALSE))</f>
        <v>5.8032955176351283E-3</v>
      </c>
      <c r="D20" s="18">
        <f t="shared" si="3"/>
        <v>0.67046211989678339</v>
      </c>
      <c r="E20" s="18">
        <f t="shared" si="5"/>
        <v>8303.9297521291955</v>
      </c>
      <c r="F20" s="18">
        <f>((1/(1+$B$3))^A20)*(VLOOKUP($F$2+A20,'TD 88-90'!A13:B121,2,FALSE)/VLOOKUP($F$2,'TD 88-90'!A13:B121,2,FALSE))</f>
        <v>0.65178920859898437</v>
      </c>
      <c r="G20" s="18">
        <f t="shared" si="0"/>
        <v>1391047.3075695422</v>
      </c>
      <c r="H20" s="19">
        <f t="shared" si="1"/>
        <v>10515.059776143691</v>
      </c>
      <c r="I20" s="19">
        <f>(1/F20)*(SUM(E20:$E$33)-(SUM($E$8:$E$33)/SUM($G$8:$G$33))*SUM(G20:$G$33))</f>
        <v>58618.64794888239</v>
      </c>
      <c r="J20" s="19">
        <f t="shared" si="4"/>
        <v>9157.6708317381617</v>
      </c>
    </row>
    <row r="21" spans="1:10" x14ac:dyDescent="0.25">
      <c r="A21" s="18">
        <v>13</v>
      </c>
      <c r="B21" s="19">
        <f t="shared" si="2"/>
        <v>2041218.4559391155</v>
      </c>
      <c r="C21" s="20">
        <f>(VLOOKUP($F$2+A21,'TD 88-90'!A14:B122,2,FALSE)/VLOOKUP($F$2,'TD 88-90'!A14:B122,2,FALSE))*(1-VLOOKUP($F$2+A21+1,'TD 88-90'!A14:B122,2,FALSE)/VLOOKUP($F$2+A21,'TD 88-90'!A14:B122,2,FALSE))</f>
        <v>6.3584844389973577E-3</v>
      </c>
      <c r="D21" s="18">
        <f t="shared" si="3"/>
        <v>0.64935798537218725</v>
      </c>
      <c r="E21" s="18">
        <f t="shared" si="5"/>
        <v>8428.0535189724687</v>
      </c>
      <c r="F21" s="18">
        <f>((1/(1+$B$3))^A21)*(VLOOKUP($F$2+A21,'TD 88-90'!A14:B122,2,FALSE)/VLOOKUP($F$2,'TD 88-90'!A14:B122,2,FALSE))</f>
        <v>0.62744367783172883</v>
      </c>
      <c r="G21" s="18">
        <f t="shared" si="0"/>
        <v>1280749.6152524413</v>
      </c>
      <c r="H21" s="19">
        <f t="shared" si="1"/>
        <v>10056.954796471362</v>
      </c>
      <c r="I21" s="19">
        <f>(1/F21)*(SUM(E21:$E$33)-(SUM($E$8:$E$33)/SUM($G$8:$G$33))*SUM(G21:$G$33))</f>
        <v>58581.632411214858</v>
      </c>
      <c r="J21" s="19">
        <f t="shared" si="4"/>
        <v>8876.992091144446</v>
      </c>
    </row>
    <row r="22" spans="1:10" x14ac:dyDescent="0.25">
      <c r="A22" s="18">
        <v>14</v>
      </c>
      <c r="B22" s="19">
        <f t="shared" si="2"/>
        <v>1939870.6155216349</v>
      </c>
      <c r="C22" s="20">
        <f>(VLOOKUP($F$2+A22,'TD 88-90'!A15:B123,2,FALSE)/VLOOKUP($F$2,'TD 88-90'!A15:B123,2,FALSE))*(1-VLOOKUP($F$2+A22+1,'TD 88-90'!A15:B123,2,FALSE)/VLOOKUP($F$2+A22,'TD 88-90'!A15:B123,2,FALSE))</f>
        <v>6.9136733603595586E-3</v>
      </c>
      <c r="D22" s="18">
        <f t="shared" si="3"/>
        <v>0.62891814563892234</v>
      </c>
      <c r="E22" s="18">
        <f t="shared" si="5"/>
        <v>8434.8185998091885</v>
      </c>
      <c r="F22" s="18">
        <f>((1/(1+$B$3))^A22)*(VLOOKUP($F$2+A22,'TD 88-90'!A15:B123,2,FALSE)/VLOOKUP($F$2,'TD 88-90'!A15:B123,2,FALSE))</f>
        <v>0.60363020483907093</v>
      </c>
      <c r="G22" s="18">
        <f t="shared" si="0"/>
        <v>1170964.4970086191</v>
      </c>
      <c r="H22" s="19">
        <f t="shared" si="1"/>
        <v>9557.6203686285262</v>
      </c>
      <c r="I22" s="19">
        <f>(1/F22)*(SUM(E22:$E$33)-(SUM($E$8:$E$33)/SUM($G$8:$G$33))*SUM(G22:$G$33))</f>
        <v>57384.129889634671</v>
      </c>
      <c r="J22" s="19">
        <f t="shared" si="4"/>
        <v>8516.665951377734</v>
      </c>
    </row>
    <row r="23" spans="1:10" x14ac:dyDescent="0.25">
      <c r="A23" s="18">
        <v>15</v>
      </c>
      <c r="B23" s="19">
        <f t="shared" si="2"/>
        <v>1829401.469466581</v>
      </c>
      <c r="C23" s="20">
        <f>(VLOOKUP($F$2+A23,'TD 88-90'!A16:B124,2,FALSE)/VLOOKUP($F$2,'TD 88-90'!A16:B124,2,FALSE))*(1-VLOOKUP($F$2+A23+1,'TD 88-90'!A16:B124,2,FALSE)/VLOOKUP($F$2+A23,'TD 88-90'!A16:B124,2,FALSE))</f>
        <v>7.5421891203922347E-3</v>
      </c>
      <c r="D23" s="18">
        <f t="shared" si="3"/>
        <v>0.60912169069145017</v>
      </c>
      <c r="E23" s="18">
        <f t="shared" si="5"/>
        <v>8404.4733933056523</v>
      </c>
      <c r="F23" s="18">
        <f>((1/(1+$B$3))^A23)*(VLOOKUP($F$2+A23,'TD 88-90'!A16:B124,2,FALSE)/VLOOKUP($F$2,'TD 88-90'!A16:B124,2,FALSE))</f>
        <v>0.58035058398835149</v>
      </c>
      <c r="G23" s="18">
        <f t="shared" si="0"/>
        <v>1061694.2111540786</v>
      </c>
      <c r="H23" s="19">
        <f t="shared" si="1"/>
        <v>9013.345842279834</v>
      </c>
      <c r="I23" s="19">
        <f>(1/F23)*(SUM(E23:$E$33)-(SUM($E$8:$E$33)/SUM($G$8:$G$33))*SUM(G23:$G$33))</f>
        <v>55092.981213427913</v>
      </c>
      <c r="J23" s="19">
        <f t="shared" si="4"/>
        <v>8077.5745254308558</v>
      </c>
    </row>
    <row r="24" spans="1:10" x14ac:dyDescent="0.25">
      <c r="A24" s="18">
        <v>16</v>
      </c>
      <c r="B24" s="19">
        <f t="shared" si="2"/>
        <v>1708990.1002665723</v>
      </c>
      <c r="C24" s="20">
        <f>(VLOOKUP($F$2+A24,'TD 88-90'!A17:B125,2,FALSE)/VLOOKUP($F$2,'TD 88-90'!A17:B125,2,FALSE))*(1-VLOOKUP($F$2+A24+1,'TD 88-90'!A17:B125,2,FALSE)/VLOOKUP($F$2+A24,'TD 88-90'!A17:B125,2,FALSE))</f>
        <v>8.1707048804248762E-3</v>
      </c>
      <c r="D24" s="18">
        <f t="shared" si="3"/>
        <v>0.58994836870842637</v>
      </c>
      <c r="E24" s="18">
        <f t="shared" si="5"/>
        <v>8237.8347527007227</v>
      </c>
      <c r="F24" s="18">
        <f>((1/(1+$B$3))^A24)*(VLOOKUP($F$2+A24,'TD 88-90'!A17:B125,2,FALSE)/VLOOKUP($F$2,'TD 88-90'!A17:B125,2,FALSE))</f>
        <v>0.55756166159955745</v>
      </c>
      <c r="G24" s="18">
        <f t="shared" si="0"/>
        <v>952867.35996182438</v>
      </c>
      <c r="H24" s="19">
        <f t="shared" si="1"/>
        <v>8420.0866085597609</v>
      </c>
      <c r="I24" s="19">
        <f>(1/F24)*(SUM(E24:$E$33)-(SUM($E$8:$E$33)/SUM($G$8:$G$33))*SUM(G24:$G$33))</f>
        <v>51652.889598256857</v>
      </c>
      <c r="J24" s="19">
        <f t="shared" si="4"/>
        <v>7554.6561119177895</v>
      </c>
    </row>
    <row r="25" spans="1:10" x14ac:dyDescent="0.25">
      <c r="A25" s="18">
        <v>17</v>
      </c>
      <c r="B25" s="19">
        <f t="shared" si="2"/>
        <v>1577741.7078385628</v>
      </c>
      <c r="C25" s="20">
        <f>(VLOOKUP($F$2+A25,'TD 88-90'!A18:B126,2,FALSE)/VLOOKUP($F$2,'TD 88-90'!A18:B126,2,FALSE))*(1-VLOOKUP($F$2+A25+1,'TD 88-90'!A18:B126,2,FALSE)/VLOOKUP($F$2+A25,'TD 88-90'!A18:B126,2,FALSE))</f>
        <v>8.8620722164608236E-3</v>
      </c>
      <c r="D25" s="18">
        <f t="shared" si="3"/>
        <v>0.57137856533503761</v>
      </c>
      <c r="E25" s="18">
        <f t="shared" si="5"/>
        <v>7989.0499282021929</v>
      </c>
      <c r="F25" s="18">
        <f>((1/(1+$B$3))^A25)*(VLOOKUP($F$2+A25,'TD 88-90'!A18:B126,2,FALSE)/VLOOKUP($F$2,'TD 88-90'!A18:B126,2,FALSE))</f>
        <v>0.53526747128259</v>
      </c>
      <c r="G25" s="18">
        <f t="shared" si="0"/>
        <v>844513.81429182237</v>
      </c>
      <c r="H25" s="19">
        <f t="shared" si="1"/>
        <v>7773.4340438048803</v>
      </c>
      <c r="I25" s="19">
        <f>(1/F25)*(SUM(E25:$E$33)-(SUM($E$8:$E$33)/SUM($G$8:$G$33))*SUM(G25:$G$33))</f>
        <v>47184.92162036994</v>
      </c>
      <c r="J25" s="19">
        <f t="shared" si="4"/>
        <v>6950.9164396730757</v>
      </c>
    </row>
    <row r="26" spans="1:10" x14ac:dyDescent="0.25">
      <c r="A26" s="18">
        <v>18</v>
      </c>
      <c r="B26" s="19">
        <f t="shared" si="2"/>
        <v>1434680.9600920321</v>
      </c>
      <c r="C26" s="20">
        <f>(VLOOKUP($F$2+A26,'TD 88-90'!A19:B127,2,FALSE)/VLOOKUP($F$2,'TD 88-90'!A19:B127,2,FALSE))*(1-VLOOKUP($F$2+A26+1,'TD 88-90'!A19:B127,2,FALSE)/VLOOKUP($F$2+A26,'TD 88-90'!A19:B127,2,FALSE))</f>
        <v>9.6791427045033098E-3</v>
      </c>
      <c r="D26" s="18">
        <f t="shared" si="3"/>
        <v>0.55339328361746987</v>
      </c>
      <c r="E26" s="18">
        <f t="shared" si="5"/>
        <v>7684.6857325108685</v>
      </c>
      <c r="F26" s="18">
        <f>((1/(1+$B$3))^A26)*(VLOOKUP($F$2+A26,'TD 88-90'!A19:B127,2,FALSE)/VLOOKUP($F$2,'TD 88-90'!A19:B127,2,FALSE))</f>
        <v>0.51343559090494439</v>
      </c>
      <c r="G26" s="18">
        <f t="shared" si="0"/>
        <v>736616.26650492544</v>
      </c>
      <c r="H26" s="19">
        <f t="shared" si="1"/>
        <v>7068.5827482220593</v>
      </c>
      <c r="I26" s="19">
        <f>(1/F26)*(SUM(E26:$E$33)-(SUM($E$8:$E$33)/SUM($G$8:$G$33))*SUM(G26:$G$33))</f>
        <v>41735.264390693636</v>
      </c>
      <c r="J26" s="19">
        <f t="shared" si="4"/>
        <v>6265.6003066386966</v>
      </c>
    </row>
    <row r="27" spans="1:10" x14ac:dyDescent="0.25">
      <c r="A27" s="18">
        <v>19</v>
      </c>
      <c r="B27" s="19">
        <f t="shared" si="2"/>
        <v>1278744.7450483136</v>
      </c>
      <c r="C27" s="20">
        <f>(VLOOKUP($F$2+A27,'TD 88-90'!A20:B128,2,FALSE)/VLOOKUP($F$2,'TD 88-90'!A20:B128,2,FALSE))*(1-VLOOKUP($F$2+A27+1,'TD 88-90'!A20:B128,2,FALSE)/VLOOKUP($F$2+A27,'TD 88-90'!A20:B128,2,FALSE))</f>
        <v>1.0318133727203169E-2</v>
      </c>
      <c r="D27" s="18">
        <f t="shared" si="3"/>
        <v>0.53597412456897808</v>
      </c>
      <c r="E27" s="18">
        <f t="shared" si="5"/>
        <v>7071.7815682026712</v>
      </c>
      <c r="F27" s="18">
        <f>((1/(1+$B$3))^A27)*(VLOOKUP($F$2+A27,'TD 88-90'!A20:B128,2,FALSE)/VLOOKUP($F$2,'TD 88-90'!A20:B128,2,FALSE))</f>
        <v>0.49200278279090592</v>
      </c>
      <c r="G27" s="18">
        <f t="shared" si="0"/>
        <v>629145.97304301779</v>
      </c>
      <c r="H27" s="19">
        <f t="shared" si="1"/>
        <v>6300.2948360367836</v>
      </c>
      <c r="I27" s="19">
        <f>(1/F27)*(SUM(E27:$E$33)-(SUM($E$8:$E$33)/SUM($G$8:$G$33))*SUM(G27:$G$33))</f>
        <v>35310.666868882625</v>
      </c>
      <c r="J27" s="19">
        <f t="shared" si="4"/>
        <v>5495.8355779824242</v>
      </c>
    </row>
    <row r="28" spans="1:10" x14ac:dyDescent="0.25">
      <c r="A28" s="18">
        <v>20</v>
      </c>
      <c r="B28" s="19">
        <f t="shared" si="2"/>
        <v>1108774.2706506609</v>
      </c>
      <c r="C28" s="20">
        <f>(VLOOKUP($F$2+A28,'TD 88-90'!A21:B129,2,FALSE)/VLOOKUP($F$2,'TD 88-90'!A21:B129,2,FALSE))*(1-VLOOKUP($F$2+A28+1,'TD 88-90'!A21:B129,2,FALSE)/VLOOKUP($F$2+A28,'TD 88-90'!A21:B129,2,FALSE))</f>
        <v>1.094664948723593E-2</v>
      </c>
      <c r="D28" s="18">
        <f t="shared" si="3"/>
        <v>0.5191032683476785</v>
      </c>
      <c r="E28" s="18">
        <f t="shared" si="5"/>
        <v>6300.5449588168112</v>
      </c>
      <c r="F28" s="18">
        <f>((1/(1+$B$3))^A28)*(VLOOKUP($F$2+A28,'TD 88-90'!A21:B129,2,FALSE)/VLOOKUP($F$2,'TD 88-90'!A21:B129,2,FALSE))</f>
        <v>0.47107349349121375</v>
      </c>
      <c r="G28" s="18">
        <f t="shared" si="0"/>
        <v>522314.16916857933</v>
      </c>
      <c r="H28" s="19">
        <f t="shared" si="1"/>
        <v>5462.861011754836</v>
      </c>
      <c r="I28" s="19">
        <f>(1/F28)*(SUM(E28:$E$33)-(SUM($E$8:$E$33)/SUM($G$8:$G$33))*SUM(G28:$G$33))</f>
        <v>28447.636240168631</v>
      </c>
      <c r="J28" s="19">
        <f t="shared" si="4"/>
        <v>4663.3617152399074</v>
      </c>
    </row>
    <row r="29" spans="1:10" x14ac:dyDescent="0.25">
      <c r="A29" s="18">
        <v>21</v>
      </c>
      <c r="B29" s="19">
        <f t="shared" si="2"/>
        <v>923506.45355721877</v>
      </c>
      <c r="C29" s="20">
        <f>(VLOOKUP($F$2+A29,'TD 88-90'!A22:B130,2,FALSE)/VLOOKUP($F$2,'TD 88-90'!A22:B130,2,FALSE))*(1-VLOOKUP($F$2+A29+1,'TD 88-90'!A22:B130,2,FALSE)/VLOOKUP($F$2+A29,'TD 88-90'!A22:B130,2,FALSE))</f>
        <v>1.1816096288614466E-2</v>
      </c>
      <c r="D29" s="18">
        <f t="shared" si="3"/>
        <v>0.50276345602680728</v>
      </c>
      <c r="E29" s="18">
        <f t="shared" si="5"/>
        <v>5486.2760878448735</v>
      </c>
      <c r="F29" s="18">
        <f>((1/(1+$B$3))^A29)*(VLOOKUP($F$2+A29,'TD 88-90'!A22:B130,2,FALSE)/VLOOKUP($F$2,'TD 88-90'!A22:B130,2,FALSE))</f>
        <v>0.45065322092049448</v>
      </c>
      <c r="G29" s="18">
        <f t="shared" si="0"/>
        <v>416181.15783642366</v>
      </c>
      <c r="H29" s="19">
        <f t="shared" si="1"/>
        <v>4550.0581432875097</v>
      </c>
      <c r="I29" s="19">
        <f>(1/F29)*(SUM(E29:$E$33)-(SUM($E$8:$E$33)/SUM($G$8:$G$33))*SUM(G29:$G$33))</f>
        <v>21466.154015079504</v>
      </c>
      <c r="J29" s="19">
        <f t="shared" si="4"/>
        <v>3779.4285993803933</v>
      </c>
    </row>
    <row r="30" spans="1:10" x14ac:dyDescent="0.25">
      <c r="A30" s="18">
        <v>22</v>
      </c>
      <c r="B30" s="19">
        <f t="shared" si="2"/>
        <v>721564.53292536712</v>
      </c>
      <c r="C30" s="20">
        <f>(VLOOKUP($F$2+A30,'TD 88-90'!A23:B131,2,FALSE)/VLOOKUP($F$2,'TD 88-90'!A23:B131,2,FALSE))*(1-VLOOKUP($F$2+A30+1,'TD 88-90'!A23:B131,2,FALSE)/VLOOKUP($F$2+A30,'TD 88-90'!A23:B131,2,FALSE))</f>
        <v>1.2559839937986463E-2</v>
      </c>
      <c r="D30" s="18">
        <f t="shared" si="3"/>
        <v>0.4869379719387964</v>
      </c>
      <c r="E30" s="18">
        <f t="shared" si="5"/>
        <v>4412.9898198515311</v>
      </c>
      <c r="F30" s="18">
        <f>((1/(1+$B$3))^A30)*(VLOOKUP($F$2+A30,'TD 88-90'!A23:B131,2,FALSE)/VLOOKUP($F$2,'TD 88-90'!A23:B131,2,FALSE))</f>
        <v>0.43062155446139022</v>
      </c>
      <c r="G30" s="18">
        <f t="shared" si="0"/>
        <v>310721.24081252859</v>
      </c>
      <c r="H30" s="19">
        <f t="shared" si="1"/>
        <v>3555.1030166581249</v>
      </c>
      <c r="I30" s="19">
        <f>(1/F30)*(SUM(E30:$E$33)-(SUM($E$8:$E$33)/SUM($G$8:$G$33))*SUM(G30:$G$33))</f>
        <v>14486.069387020092</v>
      </c>
      <c r="J30" s="19">
        <f t="shared" si="4"/>
        <v>2845.5388599660455</v>
      </c>
    </row>
    <row r="31" spans="1:10" x14ac:dyDescent="0.25">
      <c r="A31" s="18">
        <v>23</v>
      </c>
      <c r="B31" s="19">
        <f t="shared" si="2"/>
        <v>501447.83943664934</v>
      </c>
      <c r="C31" s="20">
        <f>(VLOOKUP($F$2+A31,'TD 88-90'!A24:B132,2,FALSE)/VLOOKUP($F$2,'TD 88-90'!A24:B132,2,FALSE))*(1-VLOOKUP($F$2+A31+1,'TD 88-90'!A24:B132,2,FALSE)/VLOOKUP($F$2+A31,'TD 88-90'!A24:B132,2,FALSE))</f>
        <v>1.3429286739365002E-2</v>
      </c>
      <c r="D31" s="18">
        <f t="shared" si="3"/>
        <v>0.47161062657510544</v>
      </c>
      <c r="E31" s="18">
        <f t="shared" si="5"/>
        <v>3175.8669048883917</v>
      </c>
      <c r="F31" s="18">
        <f>((1/(1+$B$3))^A31)*(VLOOKUP($F$2+A31,'TD 88-90'!A24:B132,2,FALSE)/VLOOKUP($F$2,'TD 88-90'!A24:B132,2,FALSE))</f>
        <v>0.41104804196085692</v>
      </c>
      <c r="G31" s="18">
        <f t="shared" si="0"/>
        <v>206119.15254593687</v>
      </c>
      <c r="H31" s="19">
        <f t="shared" si="1"/>
        <v>2470.601928632098</v>
      </c>
      <c r="I31" s="19">
        <f>(1/F31)*(SUM(E31:$E$33)-(SUM($E$8:$E$33)/SUM($G$8:$G$33))*SUM(G31:$G$33))</f>
        <v>8164.3203283909443</v>
      </c>
      <c r="J31" s="19">
        <f t="shared" si="4"/>
        <v>1888.0665737443226</v>
      </c>
    </row>
    <row r="32" spans="1:10" x14ac:dyDescent="0.25">
      <c r="A32" s="18">
        <v>24</v>
      </c>
      <c r="B32" s="19">
        <f t="shared" si="2"/>
        <v>261520.64353394631</v>
      </c>
      <c r="C32" s="20">
        <f>(VLOOKUP($F$2+A32,'TD 88-90'!A25:B133,2,FALSE)/VLOOKUP($F$2,'TD 88-90'!A25:B133,2,FALSE))*(1-VLOOKUP($F$2+A32+1,'TD 88-90'!A25:B133,2,FALSE)/VLOOKUP($F$2+A32,'TD 88-90'!A25:B133,2,FALSE))</f>
        <v>1.4235881964740221E-2</v>
      </c>
      <c r="D32" s="18">
        <f t="shared" si="3"/>
        <v>0.45676574002431525</v>
      </c>
      <c r="E32" s="18">
        <f t="shared" si="5"/>
        <v>1700.52835029585</v>
      </c>
      <c r="F32" s="18">
        <f>((1/(1+$B$3))^A32)*(VLOOKUP($F$2+A32,'TD 88-90'!A25:B133,2,FALSE)/VLOOKUP($F$2,'TD 88-90'!A25:B133,2,FALSE))</f>
        <v>0.39187656451025082</v>
      </c>
      <c r="G32" s="18">
        <f t="shared" si="0"/>
        <v>102483.81133659281</v>
      </c>
      <c r="H32" s="19">
        <f t="shared" si="1"/>
        <v>1288.4957426837259</v>
      </c>
      <c r="I32" s="19">
        <f>(1/F32)*(SUM(E32:$E$33)-(SUM($E$8:$E$33)/SUM($G$8:$G$33))*SUM(G32:$G$33))</f>
        <v>3050.953217274091</v>
      </c>
      <c r="J32" s="19">
        <f t="shared" si="4"/>
        <v>927.95673181372115</v>
      </c>
    </row>
    <row r="33" spans="1:10" x14ac:dyDescent="0.25">
      <c r="A33" s="18">
        <v>25</v>
      </c>
      <c r="B33" s="19">
        <f t="shared" si="2"/>
        <v>0</v>
      </c>
      <c r="C33" s="20">
        <f>(VLOOKUP($F$2+A33,'TD 88-90'!A26:B134,2,FALSE)/VLOOKUP($F$2,'TD 88-90'!A26:B134,2,FALSE))*(1-VLOOKUP($F$2+A33+1,'TD 88-90'!A26:B134,2,FALSE)/VLOOKUP($F$2+A33,'TD 88-90'!A26:B134,2,FALSE))</f>
        <v>1.5042477190115545E-2</v>
      </c>
      <c r="D33" s="18">
        <f t="shared" si="3"/>
        <v>0.4423881259315402</v>
      </c>
      <c r="E33" s="18">
        <f t="shared" si="5"/>
        <v>0</v>
      </c>
      <c r="F33" s="18">
        <f>((1/(1+$B$3))^A33)*(VLOOKUP($F$2+A33,'TD 88-90'!A26:B134,2,FALSE)/VLOOKUP($F$2,'TD 88-90'!A26:B134,2,FALSE))</f>
        <v>0.37314216094693486</v>
      </c>
      <c r="G33" s="18">
        <f t="shared" si="0"/>
        <v>0</v>
      </c>
      <c r="H33" s="19">
        <f t="shared" si="1"/>
        <v>0</v>
      </c>
      <c r="I33" s="19">
        <f>(1/F33)*(SUM(E33:$E$33)-(SUM($E$8:$E$33)/SUM($G$8:$G$33))*SUM(G33:$G$33))</f>
        <v>0</v>
      </c>
      <c r="J33" s="19">
        <f t="shared" si="4"/>
        <v>0</v>
      </c>
    </row>
  </sheetData>
  <conditionalFormatting sqref="B8:B3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{1C7B71E2-42E1-4C59-8DF6-6DE33FD89C95}</x14:id>
        </ext>
      </extLst>
    </cfRule>
  </conditionalFormatting>
  <conditionalFormatting sqref="H8:H3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{289F5D66-5B4C-4B8C-BE55-0FA6ABA0F28C}</x14:id>
        </ext>
      </extLst>
    </cfRule>
  </conditionalFormatting>
  <conditionalFormatting sqref="I8:I3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{BC82C32B-D4E3-4BE8-8A0A-69DA8AA339F1}</x14:id>
        </ext>
      </extLst>
    </cfRule>
  </conditionalFormatting>
  <conditionalFormatting sqref="J8:J3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{9E2118F6-766C-40CC-B813-26124F27F31C}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C7B71E2-42E1-4C59-8DF6-6DE33FD89C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B8:B33</xm:sqref>
        </x14:conditionalFormatting>
        <x14:conditionalFormatting xmlns:xm="http://schemas.microsoft.com/office/excel/2006/main">
          <x14:cfRule type="dataBar" id="{289F5D66-5B4C-4B8C-BE55-0FA6ABA0F2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H8:H33</xm:sqref>
        </x14:conditionalFormatting>
        <x14:conditionalFormatting xmlns:xm="http://schemas.microsoft.com/office/excel/2006/main">
          <x14:cfRule type="dataBar" id="{BC82C32B-D4E3-4BE8-8A0A-69DA8AA339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I8:I33</xm:sqref>
        </x14:conditionalFormatting>
        <x14:conditionalFormatting xmlns:xm="http://schemas.microsoft.com/office/excel/2006/main">
          <x14:cfRule type="dataBar" id="{9E2118F6-766C-40CC-B813-26124F27F3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J8:J33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Y28"/>
  <sheetViews>
    <sheetView showGridLines="0" zoomScale="80" zoomScaleNormal="80" workbookViewId="0">
      <pane xSplit="3" topLeftCell="D1" activePane="topRight" state="frozen"/>
      <selection pane="topRight" activeCell="K3" sqref="K3"/>
    </sheetView>
  </sheetViews>
  <sheetFormatPr defaultColWidth="11.42578125" defaultRowHeight="15" x14ac:dyDescent="0.25"/>
  <cols>
    <col min="1" max="1" width="24.85546875" customWidth="1"/>
    <col min="2" max="2" width="15.7109375" bestFit="1" customWidth="1"/>
    <col min="3" max="3" width="21.28515625" bestFit="1" customWidth="1"/>
    <col min="4" max="4" width="14.85546875" customWidth="1"/>
    <col min="5" max="5" width="15.42578125" customWidth="1"/>
    <col min="6" max="6" width="16.7109375" bestFit="1" customWidth="1"/>
    <col min="7" max="7" width="18.140625" customWidth="1"/>
    <col min="8" max="8" width="28.7109375" bestFit="1" customWidth="1"/>
    <col min="9" max="9" width="15.7109375" style="15" bestFit="1" customWidth="1"/>
    <col min="10" max="10" width="17.7109375" style="15" bestFit="1" customWidth="1"/>
    <col min="11" max="12" width="17.140625" style="15" bestFit="1" customWidth="1"/>
    <col min="13" max="13" width="13.5703125" style="15" bestFit="1" customWidth="1"/>
    <col min="14" max="14" width="16" style="15" customWidth="1"/>
    <col min="15" max="15" width="20.28515625" style="15" bestFit="1" customWidth="1"/>
    <col min="16" max="16" width="19.5703125" style="15" bestFit="1" customWidth="1"/>
    <col min="17" max="17" width="21.5703125" style="15" bestFit="1" customWidth="1"/>
    <col min="18" max="18" width="14" style="15" customWidth="1"/>
    <col min="19" max="19" width="20.140625" style="15" bestFit="1" customWidth="1"/>
    <col min="20" max="20" width="17.7109375" style="15" bestFit="1" customWidth="1"/>
    <col min="21" max="21" width="13.85546875" style="15" bestFit="1" customWidth="1"/>
    <col min="22" max="22" width="26.7109375" style="15" bestFit="1" customWidth="1"/>
    <col min="23" max="23" width="12.85546875" style="15" bestFit="1" customWidth="1"/>
    <col min="24" max="24" width="13.85546875" style="15" bestFit="1" customWidth="1"/>
    <col min="25" max="25" width="12.85546875" bestFit="1" customWidth="1"/>
  </cols>
  <sheetData>
    <row r="2" spans="1:25" ht="18.75" x14ac:dyDescent="0.25">
      <c r="A2" s="10" t="s">
        <v>19</v>
      </c>
      <c r="B2" s="11">
        <v>0.05</v>
      </c>
      <c r="C2" s="25" t="s">
        <v>14</v>
      </c>
      <c r="D2" s="25" t="s">
        <v>54</v>
      </c>
      <c r="E2" s="25" t="s">
        <v>55</v>
      </c>
      <c r="F2" s="25" t="s">
        <v>15</v>
      </c>
      <c r="G2" s="25" t="s">
        <v>16</v>
      </c>
      <c r="H2" s="25" t="s">
        <v>17</v>
      </c>
      <c r="I2" s="26" t="s">
        <v>18</v>
      </c>
      <c r="J2" s="26" t="s">
        <v>29</v>
      </c>
      <c r="K2" s="26" t="s">
        <v>31</v>
      </c>
      <c r="L2" s="26" t="s">
        <v>22</v>
      </c>
      <c r="M2" s="26" t="s">
        <v>23</v>
      </c>
      <c r="N2" s="26" t="s">
        <v>24</v>
      </c>
      <c r="O2" s="26" t="s">
        <v>25</v>
      </c>
      <c r="P2" s="26" t="s">
        <v>26</v>
      </c>
      <c r="Q2" s="26" t="s">
        <v>30</v>
      </c>
      <c r="R2" s="26" t="s">
        <v>44</v>
      </c>
      <c r="S2" s="26" t="s">
        <v>45</v>
      </c>
      <c r="T2" s="26" t="s">
        <v>28</v>
      </c>
      <c r="U2" s="26" t="s">
        <v>40</v>
      </c>
      <c r="V2" s="26" t="s">
        <v>39</v>
      </c>
      <c r="W2" s="26" t="s">
        <v>32</v>
      </c>
      <c r="X2" s="26" t="s">
        <v>41</v>
      </c>
    </row>
    <row r="3" spans="1:25" x14ac:dyDescent="0.25">
      <c r="A3" s="10" t="s">
        <v>33</v>
      </c>
      <c r="B3" s="11">
        <v>0.7</v>
      </c>
      <c r="C3" s="17">
        <v>1</v>
      </c>
      <c r="D3" s="23">
        <f>1-VLOOKUP('SRD &amp; PM'!$F$2+C3,'TD 88-90'!A1:B109,2,FALSE)/VLOOKUP('SRD &amp; PM'!$F$2,'TD 88-90'!A1:B109,2,FALSE)</f>
        <v>2.3674093627897852E-3</v>
      </c>
      <c r="E3" s="23">
        <f t="shared" ref="E3:E28" si="0">D3*$B$3</f>
        <v>1.6571865539528495E-3</v>
      </c>
      <c r="F3" s="23">
        <f>B2</f>
        <v>0.05</v>
      </c>
      <c r="G3" s="23">
        <v>1</v>
      </c>
      <c r="H3" s="24">
        <f>100</f>
        <v>100</v>
      </c>
      <c r="I3" s="24">
        <f>H3*'SRD &amp; PM'!H8</f>
        <v>1379542.3683431433</v>
      </c>
      <c r="J3" s="24">
        <f>H3*'SRD &amp; PM'!I8</f>
        <v>0</v>
      </c>
      <c r="K3" s="24">
        <f t="shared" ref="K3" si="1">J3*$B$4</f>
        <v>0</v>
      </c>
      <c r="L3" s="24">
        <f t="shared" ref="L3:L28" si="2">H3*$B$7</f>
        <v>10000</v>
      </c>
      <c r="M3" s="24">
        <f t="shared" ref="M3:M28" si="3">H3*$B$8</f>
        <v>0</v>
      </c>
      <c r="N3" s="24">
        <f t="shared" ref="N3:N28" si="4">I3*$B$9</f>
        <v>68977.118417157166</v>
      </c>
      <c r="O3" s="24">
        <f>H3*E3*'SRD &amp; PM'!B8</f>
        <v>464012.23510679783</v>
      </c>
      <c r="P3" s="24">
        <f>H3*F3*'SRD &amp; PM'!I8*(1-$B$11)</f>
        <v>0</v>
      </c>
      <c r="Q3" s="24">
        <f>J3</f>
        <v>0</v>
      </c>
      <c r="R3" s="24">
        <f t="shared" ref="R3:R27" si="5">(SUM(I3,K3)-SUM(L3:Q3))*(1-$B$10)</f>
        <v>527028.39933608857</v>
      </c>
      <c r="S3" s="24">
        <f>R3*('SRD &amp; PM'!$F$4)^(C3)</f>
        <v>510439.12768628431</v>
      </c>
      <c r="T3" s="24">
        <f>'SRD &amp; PM'!J8*H3</f>
        <v>840000</v>
      </c>
      <c r="U3" s="24">
        <f>(T3-T3)*('SRD &amp; PM'!$F$4)^(C3)</f>
        <v>0</v>
      </c>
      <c r="V3" s="24">
        <f>T3*$B$4*('SRD &amp; PM'!$F$4)^C3</f>
        <v>32542.372881355932</v>
      </c>
      <c r="W3" s="24">
        <f>V3*$B$10</f>
        <v>12040.677966101695</v>
      </c>
      <c r="X3" s="24">
        <f>V3-U3-W3</f>
        <v>20501.694915254237</v>
      </c>
      <c r="Y3" s="15"/>
    </row>
    <row r="4" spans="1:25" x14ac:dyDescent="0.25">
      <c r="A4" s="10" t="s">
        <v>36</v>
      </c>
      <c r="B4" s="11">
        <v>0.04</v>
      </c>
      <c r="C4" s="17">
        <v>2</v>
      </c>
      <c r="D4" s="23">
        <f>1-VLOOKUP('SRD &amp; PM'!$F$2+C4,'TD 88-90'!A1:B109,2,FALSE)/VLOOKUP('SRD &amp; PM'!$F$2+C3,'TD 88-90'!A1:B109,2,FALSE)</f>
        <v>2.520028980333322E-3</v>
      </c>
      <c r="E4" s="23">
        <f t="shared" si="0"/>
        <v>1.7640202862333253E-3</v>
      </c>
      <c r="F4" s="23">
        <f>F3*G4</f>
        <v>4.7417140672302356E-2</v>
      </c>
      <c r="G4" s="23">
        <f>G3-E3*G3-F3</f>
        <v>0.94834281344604709</v>
      </c>
      <c r="H4" s="24">
        <f>100*G4</f>
        <v>94.834281344604705</v>
      </c>
      <c r="I4" s="24">
        <f>H4*'SRD &amp; PM'!H9</f>
        <v>1292833.2201676269</v>
      </c>
      <c r="J4" s="24">
        <f>H4*'SRD &amp; PM'!I9</f>
        <v>713721.85045261343</v>
      </c>
      <c r="K4" s="24">
        <f>J4*$B$5</f>
        <v>32117.483270367604</v>
      </c>
      <c r="L4" s="24">
        <f t="shared" si="2"/>
        <v>9483.4281344604697</v>
      </c>
      <c r="M4" s="24">
        <f t="shared" si="3"/>
        <v>0</v>
      </c>
      <c r="N4" s="24">
        <f t="shared" si="4"/>
        <v>64641.661008381343</v>
      </c>
      <c r="O4" s="24">
        <f>H4*E4*'SRD &amp; PM'!B9</f>
        <v>462880.69307555998</v>
      </c>
      <c r="P4" s="24">
        <f>H4*F4*'SRD &amp; PM'!I9*(1-$B$11)</f>
        <v>33842.649383807518</v>
      </c>
      <c r="Q4" s="24">
        <f>J4-J3</f>
        <v>713721.85045261343</v>
      </c>
      <c r="R4" s="24">
        <f t="shared" si="5"/>
        <v>25439.665471398093</v>
      </c>
      <c r="S4" s="24">
        <f>R4*('SRD &amp; PM'!$F$4)^(C4)</f>
        <v>23863.342550074722</v>
      </c>
      <c r="T4" s="24">
        <f>'SRD &amp; PM'!J9*H4</f>
        <v>820747.93708620628</v>
      </c>
      <c r="U4" s="24">
        <f>(T4-T3)*('SRD &amp; PM'!$F$4)^(C4)</f>
        <v>-18059.14360878586</v>
      </c>
      <c r="V4" s="24">
        <f>T4*$B$5*('SRD &amp; PM'!$F$4)^(C4)</f>
        <v>34645.129812689796</v>
      </c>
      <c r="W4" s="24">
        <f t="shared" ref="W4:W27" si="6">V4*$B$10</f>
        <v>12818.698030695225</v>
      </c>
      <c r="X4" s="24">
        <f t="shared" ref="X4:X27" si="7">V4-U4-W4</f>
        <v>39885.575390780432</v>
      </c>
      <c r="Y4" s="15"/>
    </row>
    <row r="5" spans="1:25" x14ac:dyDescent="0.25">
      <c r="A5" s="10" t="s">
        <v>37</v>
      </c>
      <c r="B5" s="13">
        <v>4.4999999999999998E-2</v>
      </c>
      <c r="C5" s="17">
        <v>3</v>
      </c>
      <c r="D5" s="23">
        <f>1-VLOOKUP('SRD &amp; PM'!$F$2+C5,'TD 88-90'!A2:B110,2,FALSE)/VLOOKUP('SRD &amp; PM'!$F$2+C4,'TD 88-90'!A2:B110,2,FALSE)</f>
        <v>2.6421887006957689E-3</v>
      </c>
      <c r="E5" s="23">
        <f t="shared" si="0"/>
        <v>1.8495320904870381E-3</v>
      </c>
      <c r="F5" s="23">
        <f t="shared" ref="F5:F28" si="8">F4*G5</f>
        <v>4.2639995418077885E-2</v>
      </c>
      <c r="G5" s="23">
        <f t="shared" ref="G5:G28" si="9">G4-E4*G4-F4</f>
        <v>0.89925277681252225</v>
      </c>
      <c r="H5" s="24">
        <f t="shared" ref="H5:H28" si="10">100*G5</f>
        <v>89.925277681252226</v>
      </c>
      <c r="I5" s="24">
        <f>H5*'SRD &amp; PM'!H10</f>
        <v>1209946.4750714267</v>
      </c>
      <c r="J5" s="24">
        <f>H5*'SRD &amp; PM'!I10</f>
        <v>1330742.0705158419</v>
      </c>
      <c r="K5" s="24">
        <f>J5*$B$6</f>
        <v>66537.103525792103</v>
      </c>
      <c r="L5" s="24">
        <f t="shared" si="2"/>
        <v>8992.5277681252228</v>
      </c>
      <c r="M5" s="24">
        <f t="shared" si="3"/>
        <v>0</v>
      </c>
      <c r="N5" s="24">
        <f t="shared" si="4"/>
        <v>60497.323753571342</v>
      </c>
      <c r="O5" s="24">
        <f>H5*E5*'SRD &amp; PM'!B10</f>
        <v>454204.06631592556</v>
      </c>
      <c r="P5" s="24">
        <f>H5*F5*'SRD &amp; PM'!I10*(1-$B$11)</f>
        <v>56742.835789438977</v>
      </c>
      <c r="Q5" s="24">
        <f t="shared" ref="Q5:Q27" si="11">J5-J4</f>
        <v>617020.22006322851</v>
      </c>
      <c r="R5" s="24">
        <f t="shared" si="5"/>
        <v>49786.761091365392</v>
      </c>
      <c r="S5" s="24">
        <f>R5*('SRD &amp; PM'!$F$4)^(C5)</f>
        <v>45231.781468418332</v>
      </c>
      <c r="T5" s="24">
        <f>'SRD &amp; PM'!J10*H5</f>
        <v>799278.34950231551</v>
      </c>
      <c r="U5" s="24">
        <f>(T5-T4)*('SRD &amp; PM'!$F$4)^(C5)</f>
        <v>-19505.339823763625</v>
      </c>
      <c r="V5" s="24">
        <f>T5*$B$6*('SRD &amp; PM'!$F$4)^(C5)</f>
        <v>36307.627614881007</v>
      </c>
      <c r="W5" s="24">
        <f t="shared" si="6"/>
        <v>13433.822217505973</v>
      </c>
      <c r="X5" s="24">
        <f t="shared" si="7"/>
        <v>42379.145221138657</v>
      </c>
      <c r="Y5" s="15"/>
    </row>
    <row r="6" spans="1:25" x14ac:dyDescent="0.25">
      <c r="A6" s="10" t="s">
        <v>38</v>
      </c>
      <c r="B6" s="11">
        <v>0.05</v>
      </c>
      <c r="C6" s="17">
        <v>4</v>
      </c>
      <c r="D6" s="23">
        <f>1-VLOOKUP('SRD &amp; PM'!$F$2+C6,'TD 88-90'!A3:B111,2,FALSE)/VLOOKUP('SRD &amp; PM'!$F$2+C5,'TD 88-90'!A3:B111,2,FALSE)</f>
        <v>2.8497245266291271E-3</v>
      </c>
      <c r="E6" s="23">
        <f t="shared" si="0"/>
        <v>1.9948071686403889E-3</v>
      </c>
      <c r="F6" s="23">
        <f t="shared" si="8"/>
        <v>3.6455046366887747E-2</v>
      </c>
      <c r="G6" s="23">
        <f t="shared" si="9"/>
        <v>0.85494958452627012</v>
      </c>
      <c r="H6" s="24">
        <f t="shared" si="10"/>
        <v>85.494958452627017</v>
      </c>
      <c r="I6" s="24">
        <f>H6*'SRD &amp; PM'!H11</f>
        <v>1133792.4373597421</v>
      </c>
      <c r="J6" s="24">
        <f>H6*'SRD &amp; PM'!I11</f>
        <v>1872128.0664960139</v>
      </c>
      <c r="K6" s="24">
        <f t="shared" ref="K6:K28" si="12">J6*$B$6</f>
        <v>93606.403324800704</v>
      </c>
      <c r="L6" s="24">
        <f t="shared" si="2"/>
        <v>8549.4958452627016</v>
      </c>
      <c r="M6" s="24">
        <f t="shared" si="3"/>
        <v>0</v>
      </c>
      <c r="N6" s="24">
        <f t="shared" si="4"/>
        <v>56689.621867987109</v>
      </c>
      <c r="O6" s="24">
        <f>H6*E6*'SRD &amp; PM'!B11</f>
        <v>459047.32861761109</v>
      </c>
      <c r="P6" s="24">
        <f>H6*F6*'SRD &amp; PM'!I11*(1-$B$11)</f>
        <v>68248.515468864091</v>
      </c>
      <c r="Q6" s="24">
        <f t="shared" si="11"/>
        <v>541385.99598017195</v>
      </c>
      <c r="R6" s="24">
        <f t="shared" si="5"/>
        <v>58891.066229926975</v>
      </c>
      <c r="S6" s="24">
        <f>R6*('SRD &amp; PM'!$F$4)^(C6)</f>
        <v>51819.01769363779</v>
      </c>
      <c r="T6" s="24">
        <f>'SRD &amp; PM'!J11*H6</f>
        <v>778353.48257298965</v>
      </c>
      <c r="U6" s="24">
        <f>(T6-T5)*('SRD &amp; PM'!$F$4)^(C6)</f>
        <v>-18412.063476900261</v>
      </c>
      <c r="V6" s="24">
        <f>T6*$B$6*('SRD &amp; PM'!$F$4)^(C6)</f>
        <v>34244.169334514321</v>
      </c>
      <c r="W6" s="24">
        <f t="shared" si="6"/>
        <v>12670.342653770298</v>
      </c>
      <c r="X6" s="24">
        <f t="shared" si="7"/>
        <v>39985.89015764428</v>
      </c>
      <c r="Y6" s="15"/>
    </row>
    <row r="7" spans="1:25" x14ac:dyDescent="0.25">
      <c r="A7" s="10" t="s">
        <v>34</v>
      </c>
      <c r="B7" s="10">
        <v>100</v>
      </c>
      <c r="C7" s="17">
        <v>5</v>
      </c>
      <c r="D7" s="23">
        <f>1-VLOOKUP('SRD &amp; PM'!$F$2+C7,'TD 88-90'!A4:B112,2,FALSE)/VLOOKUP('SRD &amp; PM'!$F$2+C6,'TD 88-90'!A4:B112,2,FALSE)</f>
        <v>3.1119014352851693E-3</v>
      </c>
      <c r="E7" s="23">
        <f t="shared" si="0"/>
        <v>2.1783310046996182E-3</v>
      </c>
      <c r="F7" s="23">
        <f t="shared" si="8"/>
        <v>2.9776083732306578E-2</v>
      </c>
      <c r="G7" s="23">
        <f t="shared" si="9"/>
        <v>0.81678907859934324</v>
      </c>
      <c r="H7" s="24">
        <f t="shared" si="10"/>
        <v>81.678907859934327</v>
      </c>
      <c r="I7" s="24">
        <f>H7*'SRD &amp; PM'!H12</f>
        <v>1065957.7726622308</v>
      </c>
      <c r="J7" s="24">
        <f>H7*'SRD &amp; PM'!I12</f>
        <v>2335127.6327818367</v>
      </c>
      <c r="K7" s="24">
        <f t="shared" si="12"/>
        <v>116756.38163909184</v>
      </c>
      <c r="L7" s="24">
        <f t="shared" si="2"/>
        <v>8167.8907859934325</v>
      </c>
      <c r="M7" s="24">
        <f t="shared" si="3"/>
        <v>0</v>
      </c>
      <c r="N7" s="24">
        <f t="shared" si="4"/>
        <v>53297.888633111543</v>
      </c>
      <c r="O7" s="24">
        <f>H7*E7*'SRD &amp; PM'!B12</f>
        <v>471288.521011681</v>
      </c>
      <c r="P7" s="24">
        <f>H7*F7*'SRD &amp; PM'!I12*(1-$B$11)</f>
        <v>69530.95591933481</v>
      </c>
      <c r="Q7" s="24">
        <f t="shared" si="11"/>
        <v>462999.56628582277</v>
      </c>
      <c r="R7" s="24">
        <f t="shared" si="5"/>
        <v>73980.478949188764</v>
      </c>
      <c r="S7" s="24">
        <f>R7*('SRD &amp; PM'!$F$4)^(C7)</f>
        <v>63047.349984953617</v>
      </c>
      <c r="T7" s="24">
        <f>'SRD &amp; PM'!J12*H7</f>
        <v>758810.09948563459</v>
      </c>
      <c r="U7" s="24">
        <f>(T7-T6)*('SRD &amp; PM'!$F$4)^(C7)</f>
        <v>-16655.184325648504</v>
      </c>
      <c r="V7" s="24">
        <f>T7*$B$6*('SRD &amp; PM'!$F$4)^(C7)</f>
        <v>32333.506483005054</v>
      </c>
      <c r="W7" s="24">
        <f t="shared" si="6"/>
        <v>11963.39739871187</v>
      </c>
      <c r="X7" s="24">
        <f t="shared" si="7"/>
        <v>37025.293409941689</v>
      </c>
      <c r="Y7" s="15"/>
    </row>
    <row r="8" spans="1:25" x14ac:dyDescent="0.25">
      <c r="A8" s="12" t="s">
        <v>21</v>
      </c>
      <c r="B8" s="12">
        <v>0</v>
      </c>
      <c r="C8" s="17">
        <v>6</v>
      </c>
      <c r="D8" s="23">
        <f>1-VLOOKUP('SRD &amp; PM'!$F$2+C8,'TD 88-90'!A5:B113,2,FALSE)/VLOOKUP('SRD &amp; PM'!$F$2+C7,'TD 88-90'!A5:B113,2,FALSE)</f>
        <v>3.3339703977405266E-3</v>
      </c>
      <c r="E8" s="23">
        <f t="shared" si="0"/>
        <v>2.3337792784183685E-3</v>
      </c>
      <c r="F8" s="23">
        <f t="shared" si="8"/>
        <v>2.3381186124450469E-2</v>
      </c>
      <c r="G8" s="23">
        <f t="shared" si="9"/>
        <v>0.78523375789282368</v>
      </c>
      <c r="H8" s="24">
        <f t="shared" si="10"/>
        <v>78.523375789282369</v>
      </c>
      <c r="I8" s="24">
        <f>H8*'SRD &amp; PM'!H13</f>
        <v>1006723.115315833</v>
      </c>
      <c r="J8" s="24">
        <f>H8*'SRD &amp; PM'!I13</f>
        <v>2726747.7805280229</v>
      </c>
      <c r="K8" s="24">
        <f t="shared" si="12"/>
        <v>136337.38902640116</v>
      </c>
      <c r="L8" s="24">
        <f t="shared" si="2"/>
        <v>7852.3375789282372</v>
      </c>
      <c r="M8" s="24">
        <f t="shared" si="3"/>
        <v>0</v>
      </c>
      <c r="N8" s="24">
        <f t="shared" si="4"/>
        <v>50336.155765791656</v>
      </c>
      <c r="O8" s="24">
        <f>H8*E8*'SRD &amp; PM'!B13</f>
        <v>476862.10142728541</v>
      </c>
      <c r="P8" s="24">
        <f>H8*F8*'SRD &amp; PM'!I13*(1-$B$11)</f>
        <v>63754.597370957919</v>
      </c>
      <c r="Q8" s="24">
        <f t="shared" si="11"/>
        <v>391620.14774618624</v>
      </c>
      <c r="R8" s="24">
        <f t="shared" si="5"/>
        <v>96160.153605443353</v>
      </c>
      <c r="S8" s="24">
        <f>R8*('SRD &amp; PM'!$F$4)^(C8)</f>
        <v>79369.70870937327</v>
      </c>
      <c r="T8" s="24">
        <f>'SRD &amp; PM'!J13*H8</f>
        <v>741148.4073311981</v>
      </c>
      <c r="U8" s="24">
        <f>(T8-T7)*('SRD &amp; PM'!$F$4)^(C8)</f>
        <v>-14577.798693666969</v>
      </c>
      <c r="V8" s="24">
        <f>T8*$B$6*('SRD &amp; PM'!$F$4)^(C8)</f>
        <v>30586.854843045516</v>
      </c>
      <c r="W8" s="24">
        <f t="shared" si="6"/>
        <v>11317.136291926841</v>
      </c>
      <c r="X8" s="24">
        <f t="shared" si="7"/>
        <v>33847.517244785646</v>
      </c>
      <c r="Y8" s="15"/>
    </row>
    <row r="9" spans="1:25" x14ac:dyDescent="0.25">
      <c r="A9" s="10" t="s">
        <v>35</v>
      </c>
      <c r="B9" s="11">
        <v>0.05</v>
      </c>
      <c r="C9" s="17">
        <v>7</v>
      </c>
      <c r="D9" s="23">
        <f>1-VLOOKUP('SRD &amp; PM'!$F$2+C9,'TD 88-90'!A6:B114,2,FALSE)/VLOOKUP('SRD &amp; PM'!$F$2+C8,'TD 88-90'!A6:B114,2,FALSE)</f>
        <v>3.7605999914773758E-3</v>
      </c>
      <c r="E9" s="23">
        <f t="shared" si="0"/>
        <v>2.6324199940341627E-3</v>
      </c>
      <c r="F9" s="23">
        <f t="shared" si="8"/>
        <v>1.7770169300320625E-2</v>
      </c>
      <c r="G9" s="23">
        <f t="shared" si="9"/>
        <v>0.76002000949548831</v>
      </c>
      <c r="H9" s="24">
        <f t="shared" si="10"/>
        <v>76.00200094954883</v>
      </c>
      <c r="I9" s="24">
        <f>H9*'SRD &amp; PM'!H14</f>
        <v>955351.34007446666</v>
      </c>
      <c r="J9" s="24">
        <f>H9*'SRD &amp; PM'!I14</f>
        <v>3071284.6846737014</v>
      </c>
      <c r="K9" s="24">
        <f t="shared" si="12"/>
        <v>153564.23423368507</v>
      </c>
      <c r="L9" s="24">
        <f t="shared" si="2"/>
        <v>7600.2000949548828</v>
      </c>
      <c r="M9" s="24">
        <f t="shared" si="3"/>
        <v>0</v>
      </c>
      <c r="N9" s="24">
        <f t="shared" si="4"/>
        <v>47767.567003723336</v>
      </c>
      <c r="O9" s="24">
        <f>H9*E9*'SRD &amp; PM'!B14</f>
        <v>510435.98765925493</v>
      </c>
      <c r="P9" s="24">
        <f>H9*F9*'SRD &amp; PM'!I14*(1-$B$11)</f>
        <v>54577.24881613352</v>
      </c>
      <c r="Q9" s="24">
        <f t="shared" si="11"/>
        <v>344536.90414567851</v>
      </c>
      <c r="R9" s="24">
        <f t="shared" si="5"/>
        <v>90718.529950696277</v>
      </c>
      <c r="S9" s="24">
        <f>R9*('SRD &amp; PM'!$F$4)^(C9)</f>
        <v>72521.300204095751</v>
      </c>
      <c r="T9" s="24">
        <f>'SRD &amp; PM'!J14*H9</f>
        <v>726061.49255844799</v>
      </c>
      <c r="U9" s="24">
        <f>(T9-T8)*('SRD &amp; PM'!$F$4)^(C9)</f>
        <v>-12060.63056778865</v>
      </c>
      <c r="V9" s="24">
        <f>T9*$B$6*('SRD &amp; PM'!$F$4)^(C9)</f>
        <v>29021.040958821726</v>
      </c>
      <c r="W9" s="24">
        <f t="shared" si="6"/>
        <v>10737.785154764038</v>
      </c>
      <c r="X9" s="24">
        <f t="shared" si="7"/>
        <v>30343.88637184634</v>
      </c>
      <c r="Y9" s="15"/>
    </row>
    <row r="10" spans="1:25" x14ac:dyDescent="0.25">
      <c r="A10" s="10" t="s">
        <v>20</v>
      </c>
      <c r="B10" s="11">
        <v>0.37</v>
      </c>
      <c r="C10" s="17">
        <v>8</v>
      </c>
      <c r="D10" s="23">
        <f>1-VLOOKUP('SRD &amp; PM'!$F$2+C10,'TD 88-90'!A7:B115,2,FALSE)/VLOOKUP('SRD &amp; PM'!$F$2+C9,'TD 88-90'!A7:B115,2,FALSE)</f>
        <v>4.084906164786406E-3</v>
      </c>
      <c r="E10" s="23">
        <f t="shared" si="0"/>
        <v>2.8594343153504841E-3</v>
      </c>
      <c r="F10" s="23">
        <f t="shared" si="8"/>
        <v>1.3154352690176606E-2</v>
      </c>
      <c r="G10" s="23">
        <f t="shared" si="9"/>
        <v>0.74024914832630573</v>
      </c>
      <c r="H10" s="24">
        <f t="shared" si="10"/>
        <v>74.024914832630571</v>
      </c>
      <c r="I10" s="24">
        <f>H10*'SRD &amp; PM'!H15</f>
        <v>910279.07670415053</v>
      </c>
      <c r="J10" s="24">
        <f>H10*'SRD &amp; PM'!I15</f>
        <v>3340237.2017396088</v>
      </c>
      <c r="K10" s="24">
        <f t="shared" si="12"/>
        <v>167011.86008698045</v>
      </c>
      <c r="L10" s="24">
        <f t="shared" si="2"/>
        <v>7402.4914832630575</v>
      </c>
      <c r="M10" s="24">
        <f t="shared" si="3"/>
        <v>0</v>
      </c>
      <c r="N10" s="24">
        <f t="shared" si="4"/>
        <v>45513.953835207532</v>
      </c>
      <c r="O10" s="24">
        <f>H10*E10*'SRD &amp; PM'!B15</f>
        <v>528296.42691428494</v>
      </c>
      <c r="P10" s="24">
        <f>H10*F10*'SRD &amp; PM'!I15*(1-$B$11)</f>
        <v>43938.658220531404</v>
      </c>
      <c r="Q10" s="24">
        <f t="shared" si="11"/>
        <v>268952.51706590736</v>
      </c>
      <c r="R10" s="24">
        <f t="shared" si="5"/>
        <v>115407.74024132013</v>
      </c>
      <c r="S10" s="24">
        <f>R10*('SRD &amp; PM'!$F$4)^(C10)</f>
        <v>89354.093801916839</v>
      </c>
      <c r="T10" s="24">
        <f>'SRD &amp; PM'!J15*H10</f>
        <v>711257.8690826135</v>
      </c>
      <c r="U10" s="24">
        <f>(T10-T9)*('SRD &amp; PM'!$F$4)^(C10)</f>
        <v>-11461.660698858188</v>
      </c>
      <c r="V10" s="24">
        <f>T10*$B$6*('SRD &amp; PM'!$F$4)^(C10)</f>
        <v>27534.462687886848</v>
      </c>
      <c r="W10" s="24">
        <f t="shared" si="6"/>
        <v>10187.751194518134</v>
      </c>
      <c r="X10" s="24">
        <f t="shared" si="7"/>
        <v>28808.372192226903</v>
      </c>
      <c r="Y10" s="15"/>
    </row>
    <row r="11" spans="1:25" x14ac:dyDescent="0.25">
      <c r="A11" s="12" t="s">
        <v>27</v>
      </c>
      <c r="B11" s="12">
        <v>0</v>
      </c>
      <c r="C11" s="17">
        <v>9</v>
      </c>
      <c r="D11" s="23">
        <f>1-VLOOKUP('SRD &amp; PM'!$F$2+C11,'TD 88-90'!A8:B116,2,FALSE)/VLOOKUP('SRD &amp; PM'!$F$2+C10,'TD 88-90'!A8:B116,2,FALSE)</f>
        <v>4.3593570485219724E-3</v>
      </c>
      <c r="E11" s="23">
        <f t="shared" si="0"/>
        <v>3.0515499339653805E-3</v>
      </c>
      <c r="F11" s="23">
        <f t="shared" si="8"/>
        <v>9.5366176439884154E-3</v>
      </c>
      <c r="G11" s="23">
        <f t="shared" si="9"/>
        <v>0.72497810181949585</v>
      </c>
      <c r="H11" s="24">
        <f t="shared" si="10"/>
        <v>72.497810181949589</v>
      </c>
      <c r="I11" s="24">
        <f>H11*'SRD &amp; PM'!H16</f>
        <v>869915.1138346591</v>
      </c>
      <c r="J11" s="24">
        <f>H11*'SRD &amp; PM'!I16</f>
        <v>3561615.8307592287</v>
      </c>
      <c r="K11" s="24">
        <f t="shared" si="12"/>
        <v>178080.79153796146</v>
      </c>
      <c r="L11" s="24">
        <f t="shared" si="2"/>
        <v>7249.781018194959</v>
      </c>
      <c r="M11" s="24">
        <f t="shared" si="3"/>
        <v>0</v>
      </c>
      <c r="N11" s="24">
        <f t="shared" si="4"/>
        <v>43495.755691732957</v>
      </c>
      <c r="O11" s="24">
        <f>H11*E11*'SRD &amp; PM'!B16</f>
        <v>538791.01602543658</v>
      </c>
      <c r="P11" s="24">
        <f>H11*F11*'SRD &amp; PM'!I16*(1-$B$11)</f>
        <v>33965.768372726918</v>
      </c>
      <c r="Q11" s="24">
        <f t="shared" si="11"/>
        <v>221378.6290196199</v>
      </c>
      <c r="R11" s="24">
        <f t="shared" si="5"/>
        <v>127962.42180429284</v>
      </c>
      <c r="S11" s="24">
        <f>R11*('SRD &amp; PM'!$F$4)^(C11)</f>
        <v>95955.949663182488</v>
      </c>
      <c r="T11" s="24">
        <f>'SRD &amp; PM'!J16*H11</f>
        <v>697085.14561673289</v>
      </c>
      <c r="U11" s="24">
        <f>(T11-T10)*('SRD &amp; PM'!$F$4)^(C11)</f>
        <v>-10627.785253722213</v>
      </c>
      <c r="V11" s="24">
        <f>T11*$B$6*('SRD &amp; PM'!$F$4)^(C11)</f>
        <v>26136.371209843524</v>
      </c>
      <c r="W11" s="24">
        <f t="shared" si="6"/>
        <v>9670.4573476421047</v>
      </c>
      <c r="X11" s="24">
        <f t="shared" si="7"/>
        <v>27093.699115923635</v>
      </c>
      <c r="Y11" s="15"/>
    </row>
    <row r="12" spans="1:25" x14ac:dyDescent="0.25">
      <c r="C12" s="17">
        <v>10</v>
      </c>
      <c r="D12" s="23">
        <f>1-VLOOKUP('SRD &amp; PM'!$F$2+C12,'TD 88-90'!A9:B117,2,FALSE)/VLOOKUP('SRD &amp; PM'!$F$2+C11,'TD 88-90'!A9:B117,2,FALSE)</f>
        <v>4.6588372318742133E-3</v>
      </c>
      <c r="E12" s="23">
        <f t="shared" si="0"/>
        <v>3.2611860623119491E-3</v>
      </c>
      <c r="F12" s="23">
        <f t="shared" si="8"/>
        <v>6.8017939564157552E-3</v>
      </c>
      <c r="G12" s="23">
        <f t="shared" si="9"/>
        <v>0.71322917729677382</v>
      </c>
      <c r="H12" s="24">
        <f t="shared" si="10"/>
        <v>71.322917729677386</v>
      </c>
      <c r="I12" s="24">
        <f>H12*'SRD &amp; PM'!H17</f>
        <v>832670.70541034476</v>
      </c>
      <c r="J12" s="24">
        <f>H12*'SRD &amp; PM'!I17</f>
        <v>3748310.6042265855</v>
      </c>
      <c r="K12" s="24">
        <f t="shared" si="12"/>
        <v>187415.53021132929</v>
      </c>
      <c r="L12" s="24">
        <f t="shared" si="2"/>
        <v>7132.2917729677383</v>
      </c>
      <c r="M12" s="24">
        <f t="shared" si="3"/>
        <v>0</v>
      </c>
      <c r="N12" s="24">
        <f t="shared" si="4"/>
        <v>41633.535270517241</v>
      </c>
      <c r="O12" s="24">
        <f>H12*E12*'SRD &amp; PM'!B17</f>
        <v>551152.58883095405</v>
      </c>
      <c r="P12" s="24">
        <f>H12*F12*'SRD &amp; PM'!I17*(1-$B$11)</f>
        <v>25495.236414597479</v>
      </c>
      <c r="Q12" s="24">
        <f t="shared" si="11"/>
        <v>186694.7734673568</v>
      </c>
      <c r="R12" s="24">
        <f t="shared" si="5"/>
        <v>131026.0202151268</v>
      </c>
      <c r="S12" s="24">
        <f>R12*('SRD &amp; PM'!$F$4)^(C12)</f>
        <v>95160.550702831286</v>
      </c>
      <c r="T12" s="24">
        <f>'SRD &amp; PM'!J17*H12</f>
        <v>683181.77007055283</v>
      </c>
      <c r="U12" s="24">
        <f>(T12-T11)*('SRD &amp; PM'!$F$4)^(C12)</f>
        <v>-10097.634587622371</v>
      </c>
      <c r="V12" s="24">
        <f>T12*$B$6*('SRD &amp; PM'!$F$4)^(C12)</f>
        <v>24808.794987174355</v>
      </c>
      <c r="W12" s="24">
        <f t="shared" si="6"/>
        <v>9179.254145254512</v>
      </c>
      <c r="X12" s="24">
        <f t="shared" si="7"/>
        <v>25727.175429542214</v>
      </c>
      <c r="Y12" s="15"/>
    </row>
    <row r="13" spans="1:25" x14ac:dyDescent="0.25">
      <c r="C13" s="17">
        <v>11</v>
      </c>
      <c r="D13" s="23">
        <f>1-VLOOKUP('SRD &amp; PM'!$F$2+C13,'TD 88-90'!A10:B118,2,FALSE)/VLOOKUP('SRD &amp; PM'!$F$2+C12,'TD 88-90'!A10:B118,2,FALSE)</f>
        <v>5.0056882821387649E-3</v>
      </c>
      <c r="E13" s="23">
        <f t="shared" si="0"/>
        <v>3.5039817974971354E-3</v>
      </c>
      <c r="F13" s="23">
        <f t="shared" si="8"/>
        <v>4.7891527172015686E-3</v>
      </c>
      <c r="G13" s="23">
        <f t="shared" si="9"/>
        <v>0.70410141028812356</v>
      </c>
      <c r="H13" s="24">
        <f t="shared" si="10"/>
        <v>70.410141028812362</v>
      </c>
      <c r="I13" s="24">
        <f>H13*'SRD &amp; PM'!H18</f>
        <v>797107.38861231296</v>
      </c>
      <c r="J13" s="24">
        <f>H13*'SRD &amp; PM'!I18</f>
        <v>3897675.747135784</v>
      </c>
      <c r="K13" s="24">
        <f t="shared" si="12"/>
        <v>194883.78735678922</v>
      </c>
      <c r="L13" s="24">
        <f t="shared" si="2"/>
        <v>7041.0141028812359</v>
      </c>
      <c r="M13" s="24">
        <f t="shared" si="3"/>
        <v>0</v>
      </c>
      <c r="N13" s="24">
        <f t="shared" si="4"/>
        <v>39855.369430615654</v>
      </c>
      <c r="O13" s="24">
        <f>H13*E13*'SRD &amp; PM'!B18</f>
        <v>566893.74421802454</v>
      </c>
      <c r="P13" s="24">
        <f>H13*F13*'SRD &amp; PM'!I18</f>
        <v>18666.564395165995</v>
      </c>
      <c r="Q13" s="24">
        <f t="shared" si="11"/>
        <v>149365.14290919853</v>
      </c>
      <c r="R13" s="24">
        <f t="shared" si="5"/>
        <v>132406.68477532623</v>
      </c>
      <c r="S13" s="24">
        <f>R13*('SRD &amp; PM'!$F$4)^(C13)</f>
        <v>93136.357322077078</v>
      </c>
      <c r="T13" s="24">
        <f>'SRD &amp; PM'!J18*H13</f>
        <v>668547.51449945313</v>
      </c>
      <c r="U13" s="24">
        <f>(T13-T12)*('SRD &amp; PM'!$F$4)^(C13)</f>
        <v>-10293.90063141682</v>
      </c>
      <c r="V13" s="24">
        <f>T13*$B$6*('SRD &amp; PM'!$F$4)^(C13)</f>
        <v>23513.193575861947</v>
      </c>
      <c r="W13" s="24">
        <f t="shared" si="6"/>
        <v>8699.8816230689208</v>
      </c>
      <c r="X13" s="24">
        <f t="shared" si="7"/>
        <v>25107.212584209847</v>
      </c>
      <c r="Y13" s="15"/>
    </row>
    <row r="14" spans="1:25" x14ac:dyDescent="0.25">
      <c r="A14" s="14" t="s">
        <v>42</v>
      </c>
      <c r="B14" s="16">
        <f>SUM(S3:S27)</f>
        <v>2394397.2301330189</v>
      </c>
      <c r="C14" s="17">
        <v>12</v>
      </c>
      <c r="D14" s="23">
        <f>1-VLOOKUP('SRD &amp; PM'!$F$2+C14,'TD 88-90'!A11:B119,2,FALSE)/VLOOKUP('SRD &amp; PM'!$F$2+C13,'TD 88-90'!A11:B119,2,FALSE)</f>
        <v>5.4555551925777879E-3</v>
      </c>
      <c r="E14" s="23">
        <f t="shared" si="0"/>
        <v>3.8188886348044511E-3</v>
      </c>
      <c r="F14" s="23">
        <f t="shared" si="8"/>
        <v>3.3372975995632163E-3</v>
      </c>
      <c r="G14" s="23">
        <f t="shared" si="9"/>
        <v>0.69684509904568037</v>
      </c>
      <c r="H14" s="24">
        <f t="shared" si="10"/>
        <v>69.684509904568031</v>
      </c>
      <c r="I14" s="24">
        <f>H14*'SRD &amp; PM'!H19</f>
        <v>762023.77885478991</v>
      </c>
      <c r="J14" s="24">
        <f>H14*'SRD &amp; PM'!I19</f>
        <v>4003023.2690319442</v>
      </c>
      <c r="K14" s="24">
        <f t="shared" si="12"/>
        <v>200151.16345159721</v>
      </c>
      <c r="L14" s="24">
        <f t="shared" si="2"/>
        <v>6968.4509904568031</v>
      </c>
      <c r="M14" s="24">
        <f t="shared" si="3"/>
        <v>0</v>
      </c>
      <c r="N14" s="24">
        <f t="shared" si="4"/>
        <v>38101.1889427395</v>
      </c>
      <c r="O14" s="24">
        <f>H14*E14*'SRD &amp; PM'!B19</f>
        <v>590647.68453905615</v>
      </c>
      <c r="P14" s="24">
        <f>H14*F14*'SRD &amp; PM'!I19</f>
        <v>13359.279946736007</v>
      </c>
      <c r="Q14" s="24">
        <f t="shared" si="11"/>
        <v>105347.52189616021</v>
      </c>
      <c r="R14" s="24">
        <f t="shared" si="5"/>
        <v>130883.01407448016</v>
      </c>
      <c r="S14" s="24">
        <f>R14*('SRD &amp; PM'!$F$4)^(C14)</f>
        <v>89166.673263429562</v>
      </c>
      <c r="T14" s="24">
        <f>'SRD &amp; PM'!J19*H14</f>
        <v>652136.52319347986</v>
      </c>
      <c r="U14" s="24">
        <f>(T14-T13)*('SRD &amp; PM'!$F$4)^(C14)</f>
        <v>-11180.316331009839</v>
      </c>
      <c r="V14" s="24">
        <f>T14*$B$6*('SRD &amp; PM'!$F$4)^(C14)</f>
        <v>22214.053022056723</v>
      </c>
      <c r="W14" s="24">
        <f t="shared" si="6"/>
        <v>8219.1996181609884</v>
      </c>
      <c r="X14" s="24">
        <f t="shared" si="7"/>
        <v>25175.169734905576</v>
      </c>
      <c r="Y14" s="15"/>
    </row>
    <row r="15" spans="1:25" x14ac:dyDescent="0.25">
      <c r="A15" s="14" t="s">
        <v>41</v>
      </c>
      <c r="B15" s="16">
        <f>SUM(X3:X27)</f>
        <v>780933.68439393002</v>
      </c>
      <c r="C15" s="17">
        <v>13</v>
      </c>
      <c r="D15" s="23">
        <f>1-VLOOKUP('SRD &amp; PM'!$F$2+C15,'TD 88-90'!A12:B120,2,FALSE)/VLOOKUP('SRD &amp; PM'!$F$2+C14,'TD 88-90'!A12:B120,2,FALSE)</f>
        <v>6.0657819822187431E-3</v>
      </c>
      <c r="E15" s="23">
        <f t="shared" si="0"/>
        <v>4.24604738755312E-3</v>
      </c>
      <c r="F15" s="23">
        <f t="shared" si="8"/>
        <v>2.3055607920130661E-3</v>
      </c>
      <c r="G15" s="23">
        <f t="shared" si="9"/>
        <v>0.69084662761715243</v>
      </c>
      <c r="H15" s="24">
        <f t="shared" si="10"/>
        <v>69.084662761715236</v>
      </c>
      <c r="I15" s="24">
        <f>H15*'SRD &amp; PM'!H20</f>
        <v>726429.35855416383</v>
      </c>
      <c r="J15" s="24">
        <f>H15*'SRD &amp; PM'!I20</f>
        <v>4049649.5250962502</v>
      </c>
      <c r="K15" s="24">
        <f t="shared" si="12"/>
        <v>202482.47625481253</v>
      </c>
      <c r="L15" s="24">
        <f t="shared" si="2"/>
        <v>6908.4662761715235</v>
      </c>
      <c r="M15" s="24">
        <f t="shared" si="3"/>
        <v>0</v>
      </c>
      <c r="N15" s="24">
        <f t="shared" si="4"/>
        <v>36321.467927708196</v>
      </c>
      <c r="O15" s="24">
        <f>H15*E15*'SRD &amp; PM'!B20</f>
        <v>626038.74607626547</v>
      </c>
      <c r="P15" s="24">
        <f>H15*F15*'SRD &amp; PM'!I20</f>
        <v>9336.7131664562494</v>
      </c>
      <c r="Q15" s="24">
        <f t="shared" si="11"/>
        <v>46626.256064306013</v>
      </c>
      <c r="R15" s="24">
        <f t="shared" si="5"/>
        <v>128318.51673778349</v>
      </c>
      <c r="S15" s="24">
        <f>R15*('SRD &amp; PM'!$F$4)^(C15)</f>
        <v>84667.852899254256</v>
      </c>
      <c r="T15" s="24">
        <f>'SRD &amp; PM'!J20*H15</f>
        <v>632654.60109342716</v>
      </c>
      <c r="U15" s="24">
        <f>(T15-T14)*('SRD &amp; PM'!$F$4)^(C15)</f>
        <v>-12854.672548410923</v>
      </c>
      <c r="V15" s="24">
        <f>T15*$B$6*('SRD &amp; PM'!$F$4)^(C15)</f>
        <v>20872.087701447952</v>
      </c>
      <c r="W15" s="24">
        <f t="shared" si="6"/>
        <v>7722.6724495357421</v>
      </c>
      <c r="X15" s="24">
        <f t="shared" si="7"/>
        <v>26004.087800323134</v>
      </c>
      <c r="Y15" s="15"/>
    </row>
    <row r="16" spans="1:25" x14ac:dyDescent="0.25">
      <c r="A16" s="14" t="s">
        <v>43</v>
      </c>
      <c r="B16" s="16">
        <f>B14+B15</f>
        <v>3175330.9145269487</v>
      </c>
      <c r="C16" s="17">
        <v>14</v>
      </c>
      <c r="D16" s="23">
        <f>1-VLOOKUP('SRD &amp; PM'!$F$2+C16,'TD 88-90'!A13:B121,2,FALSE)/VLOOKUP('SRD &amp; PM'!$F$2+C15,'TD 88-90'!A13:B121,2,FALSE)</f>
        <v>6.6866421379629948E-3</v>
      </c>
      <c r="E16" s="23">
        <f t="shared" si="0"/>
        <v>4.6806494965740963E-3</v>
      </c>
      <c r="F16" s="23">
        <f t="shared" si="8"/>
        <v>1.5807102302239167E-3</v>
      </c>
      <c r="G16" s="23">
        <f t="shared" si="9"/>
        <v>0.6856076993067457</v>
      </c>
      <c r="H16" s="24">
        <f t="shared" si="10"/>
        <v>68.560769930674567</v>
      </c>
      <c r="I16" s="24">
        <f>H16*'SRD &amp; PM'!H21</f>
        <v>689512.5640040671</v>
      </c>
      <c r="J16" s="24">
        <f>H16*'SRD &amp; PM'!I21</f>
        <v>4016401.8219086505</v>
      </c>
      <c r="K16" s="24">
        <f t="shared" si="12"/>
        <v>200820.09109543252</v>
      </c>
      <c r="L16" s="24">
        <f t="shared" si="2"/>
        <v>6856.0769930674569</v>
      </c>
      <c r="M16" s="24">
        <f t="shared" si="3"/>
        <v>0</v>
      </c>
      <c r="N16" s="24">
        <f t="shared" si="4"/>
        <v>34475.628200203355</v>
      </c>
      <c r="O16" s="24">
        <f>H16*E16*'SRD &amp; PM'!B21</f>
        <v>655045.2372475653</v>
      </c>
      <c r="P16" s="24">
        <f>H16*F16*'SRD &amp; PM'!I21</f>
        <v>6348.7674485809812</v>
      </c>
      <c r="Q16" s="24">
        <f t="shared" si="11"/>
        <v>-33247.703187599778</v>
      </c>
      <c r="R16" s="24">
        <f t="shared" si="5"/>
        <v>139138.4284905399</v>
      </c>
      <c r="S16" s="24">
        <f>R16*('SRD &amp; PM'!$F$4)^(C16)</f>
        <v>88917.296423633496</v>
      </c>
      <c r="T16" s="24">
        <f>'SRD &amp; PM'!J21*H16</f>
        <v>608613.41243737203</v>
      </c>
      <c r="U16" s="24">
        <f>(T16-T15)*('SRD &amp; PM'!$F$4)^(C16)</f>
        <v>-15363.674301181944</v>
      </c>
      <c r="V16" s="24">
        <f>T16*$B$6*('SRD &amp; PM'!$F$4)^(C16)</f>
        <v>19446.913332348118</v>
      </c>
      <c r="W16" s="24">
        <f t="shared" si="6"/>
        <v>7195.3579329688037</v>
      </c>
      <c r="X16" s="24">
        <f t="shared" si="7"/>
        <v>27615.22970056126</v>
      </c>
      <c r="Y16" s="15"/>
    </row>
    <row r="17" spans="3:25" x14ac:dyDescent="0.25">
      <c r="C17" s="17">
        <v>15</v>
      </c>
      <c r="D17" s="23">
        <f>1-VLOOKUP('SRD &amp; PM'!$F$2+C17,'TD 88-90'!A14:B122,2,FALSE)/VLOOKUP('SRD &amp; PM'!$F$2+C16,'TD 88-90'!A14:B122,2,FALSE)</f>
        <v>7.3194264231294381E-3</v>
      </c>
      <c r="E17" s="23">
        <f t="shared" si="0"/>
        <v>5.123598496190606E-3</v>
      </c>
      <c r="F17" s="23">
        <f t="shared" si="8"/>
        <v>1.0761758190447662E-3</v>
      </c>
      <c r="G17" s="23">
        <f t="shared" si="9"/>
        <v>0.68081789974391438</v>
      </c>
      <c r="H17" s="24">
        <f t="shared" si="10"/>
        <v>68.081789974391441</v>
      </c>
      <c r="I17" s="24">
        <f>H17*'SRD &amp; PM'!H22</f>
        <v>650699.90259193303</v>
      </c>
      <c r="J17" s="24">
        <f>H17*'SRD &amp; PM'!I22</f>
        <v>3906814.2790093059</v>
      </c>
      <c r="K17" s="24">
        <f t="shared" si="12"/>
        <v>195340.71395046532</v>
      </c>
      <c r="L17" s="24">
        <f t="shared" si="2"/>
        <v>6808.178997439144</v>
      </c>
      <c r="M17" s="24">
        <f t="shared" si="3"/>
        <v>0</v>
      </c>
      <c r="N17" s="24">
        <f t="shared" si="4"/>
        <v>32534.995129596653</v>
      </c>
      <c r="O17" s="24">
        <f>H17*E17*'SRD &amp; PM'!B22</f>
        <v>676672.95567786193</v>
      </c>
      <c r="P17" s="24">
        <f>H17*F17*'SRD &amp; PM'!I22</f>
        <v>4204.4190565686276</v>
      </c>
      <c r="Q17" s="24">
        <f t="shared" si="11"/>
        <v>-109587.54289934458</v>
      </c>
      <c r="R17" s="24">
        <f t="shared" si="5"/>
        <v>148306.79466557424</v>
      </c>
      <c r="S17" s="24">
        <f>R17*('SRD &amp; PM'!$F$4)^(C17)</f>
        <v>91793.122574302164</v>
      </c>
      <c r="T17" s="24">
        <f>'SRD &amp; PM'!J22*H17</f>
        <v>579829.86258374958</v>
      </c>
      <c r="U17" s="24">
        <f>(T17-T16)*('SRD &amp; PM'!$F$4)^(C17)</f>
        <v>-17815.312682031879</v>
      </c>
      <c r="V17" s="24">
        <f>T17*$B$6*('SRD &amp; PM'!$F$4)^(C17)</f>
        <v>17944.017254371167</v>
      </c>
      <c r="W17" s="24">
        <f t="shared" si="6"/>
        <v>6639.2863841173321</v>
      </c>
      <c r="X17" s="24">
        <f t="shared" si="7"/>
        <v>29120.043552285715</v>
      </c>
      <c r="Y17" s="15"/>
    </row>
    <row r="18" spans="3:25" x14ac:dyDescent="0.25">
      <c r="C18" s="17">
        <v>16</v>
      </c>
      <c r="D18" s="23">
        <f>1-VLOOKUP('SRD &amp; PM'!$F$2+C18,'TD 88-90'!A15:B123,2,FALSE)/VLOOKUP('SRD &amp; PM'!$F$2+C17,'TD 88-90'!A15:B123,2,FALSE)</f>
        <v>8.0437041257499509E-3</v>
      </c>
      <c r="E18" s="23">
        <f t="shared" si="0"/>
        <v>5.6305928880249654E-3</v>
      </c>
      <c r="F18" s="23">
        <f t="shared" si="8"/>
        <v>7.2776764956272808E-4</v>
      </c>
      <c r="G18" s="23">
        <f t="shared" si="9"/>
        <v>0.67625348635756211</v>
      </c>
      <c r="H18" s="24">
        <f t="shared" si="10"/>
        <v>67.625348635756211</v>
      </c>
      <c r="I18" s="24">
        <f>H18*'SRD &amp; PM'!H23</f>
        <v>609530.65495881753</v>
      </c>
      <c r="J18" s="24">
        <f>H18*'SRD &amp; PM'!I23</f>
        <v>3725682.0619412297</v>
      </c>
      <c r="K18" s="24">
        <f t="shared" si="12"/>
        <v>186284.10309706151</v>
      </c>
      <c r="L18" s="24">
        <f t="shared" si="2"/>
        <v>6762.5348635756209</v>
      </c>
      <c r="M18" s="24">
        <f t="shared" si="3"/>
        <v>0</v>
      </c>
      <c r="N18" s="24">
        <f t="shared" si="4"/>
        <v>30476.532747940877</v>
      </c>
      <c r="O18" s="24">
        <f>H18*E18*'SRD &amp; PM'!B23</f>
        <v>696582.67399974563</v>
      </c>
      <c r="P18" s="24">
        <f>H18*F18*'SRD &amp; PM'!I23</f>
        <v>2711.4308772369873</v>
      </c>
      <c r="Q18" s="24">
        <f t="shared" si="11"/>
        <v>-181132.21706807613</v>
      </c>
      <c r="R18" s="24">
        <f t="shared" si="5"/>
        <v>151460.69566033734</v>
      </c>
      <c r="S18" s="24">
        <f>R18*('SRD &amp; PM'!$F$4)^(C18)</f>
        <v>90794.383054124715</v>
      </c>
      <c r="T18" s="24">
        <f>'SRD &amp; PM'!J23*H18</f>
        <v>546248.79341356468</v>
      </c>
      <c r="U18" s="24">
        <f>(T18-T17)*('SRD &amp; PM'!$F$4)^(C18)</f>
        <v>-20130.453279063164</v>
      </c>
      <c r="V18" s="24">
        <f>T18*$B$6*('SRD &amp; PM'!$F$4)^(C18)</f>
        <v>16372.67080275015</v>
      </c>
      <c r="W18" s="24">
        <f t="shared" si="6"/>
        <v>6057.8881970175553</v>
      </c>
      <c r="X18" s="24">
        <f t="shared" si="7"/>
        <v>30445.235884795758</v>
      </c>
      <c r="Y18" s="15"/>
    </row>
    <row r="19" spans="3:25" x14ac:dyDescent="0.25">
      <c r="C19" s="17">
        <v>17</v>
      </c>
      <c r="D19" s="23">
        <f>1-VLOOKUP('SRD &amp; PM'!$F$2+C19,'TD 88-90'!A16:B124,2,FALSE)/VLOOKUP('SRD &amp; PM'!$F$2+C18,'TD 88-90'!A16:B124,2,FALSE)</f>
        <v>8.7846741223772673E-3</v>
      </c>
      <c r="E19" s="23">
        <f t="shared" si="0"/>
        <v>6.1492718856640868E-3</v>
      </c>
      <c r="F19" s="23">
        <f t="shared" si="8"/>
        <v>4.8885463777039568E-4</v>
      </c>
      <c r="G19" s="23">
        <f t="shared" si="9"/>
        <v>0.67171801063721237</v>
      </c>
      <c r="H19" s="24">
        <f t="shared" si="10"/>
        <v>67.171801063721233</v>
      </c>
      <c r="I19" s="24">
        <f>H19*'SRD &amp; PM'!H24</f>
        <v>565592.38260947948</v>
      </c>
      <c r="J19" s="24">
        <f>H19*'SRD &amp; PM'!I24</f>
        <v>3469617.6244604653</v>
      </c>
      <c r="K19" s="24">
        <f t="shared" si="12"/>
        <v>173480.88122302329</v>
      </c>
      <c r="L19" s="24">
        <f t="shared" si="2"/>
        <v>6717.1801063721232</v>
      </c>
      <c r="M19" s="24">
        <f t="shared" si="3"/>
        <v>0</v>
      </c>
      <c r="N19" s="24">
        <f t="shared" si="4"/>
        <v>28279.619130473977</v>
      </c>
      <c r="O19" s="24">
        <f>H19*E19*'SRD &amp; PM'!B24</f>
        <v>705911.46509326901</v>
      </c>
      <c r="P19" s="24">
        <f>H19*F19*'SRD &amp; PM'!I24</f>
        <v>1696.1386670074016</v>
      </c>
      <c r="Q19" s="24">
        <f t="shared" si="11"/>
        <v>-256064.43748076446</v>
      </c>
      <c r="R19" s="24">
        <f t="shared" si="5"/>
        <v>159095.97793917111</v>
      </c>
      <c r="S19" s="24">
        <f>R19*('SRD &amp; PM'!$F$4)^(C19)</f>
        <v>92369.411128087333</v>
      </c>
      <c r="T19" s="24">
        <f>'SRD &amp; PM'!J24*H19</f>
        <v>507459.85745456751</v>
      </c>
      <c r="U19" s="24">
        <f>(T19-T18)*('SRD &amp; PM'!$F$4)^(C19)</f>
        <v>-22520.43841226177</v>
      </c>
      <c r="V19" s="24">
        <f>T19*$B$6*('SRD &amp; PM'!$F$4)^(C19)</f>
        <v>14731.286362922167</v>
      </c>
      <c r="W19" s="24">
        <f t="shared" si="6"/>
        <v>5450.5759542812011</v>
      </c>
      <c r="X19" s="24">
        <f t="shared" si="7"/>
        <v>31801.148820902737</v>
      </c>
      <c r="Y19" s="15"/>
    </row>
    <row r="20" spans="3:25" x14ac:dyDescent="0.25">
      <c r="C20" s="17">
        <v>18</v>
      </c>
      <c r="D20" s="23">
        <f>1-VLOOKUP('SRD &amp; PM'!$F$2+C20,'TD 88-90'!A17:B125,2,FALSE)/VLOOKUP('SRD &amp; PM'!$F$2+C19,'TD 88-90'!A17:B125,2,FALSE)</f>
        <v>9.6124348092851974E-3</v>
      </c>
      <c r="E20" s="23">
        <f t="shared" si="0"/>
        <v>6.7287043664996382E-3</v>
      </c>
      <c r="F20" s="23">
        <f t="shared" si="8"/>
        <v>3.2611423435137524E-4</v>
      </c>
      <c r="G20" s="23">
        <f t="shared" si="9"/>
        <v>0.66709857932153638</v>
      </c>
      <c r="H20" s="24">
        <f t="shared" si="10"/>
        <v>66.709857932153639</v>
      </c>
      <c r="I20" s="24">
        <f>H20*'SRD &amp; PM'!H25</f>
        <v>518564.68070719013</v>
      </c>
      <c r="J20" s="24">
        <f>H20*'SRD &amp; PM'!I25</f>
        <v>3147699.4178346833</v>
      </c>
      <c r="K20" s="24">
        <f t="shared" si="12"/>
        <v>157384.97089173418</v>
      </c>
      <c r="L20" s="24">
        <f t="shared" si="2"/>
        <v>6670.9857932153636</v>
      </c>
      <c r="M20" s="24">
        <f t="shared" si="3"/>
        <v>0</v>
      </c>
      <c r="N20" s="24">
        <f t="shared" si="4"/>
        <v>25928.234035359506</v>
      </c>
      <c r="O20" s="24">
        <f>H20*E20*'SRD &amp; PM'!B25</f>
        <v>708202.35986063909</v>
      </c>
      <c r="P20" s="24">
        <f>H20*F20*'SRD &amp; PM'!I25</f>
        <v>1026.5095856154273</v>
      </c>
      <c r="Q20" s="24">
        <f t="shared" si="11"/>
        <v>-321918.20662578195</v>
      </c>
      <c r="R20" s="24">
        <f t="shared" si="5"/>
        <v>161305.05443842238</v>
      </c>
      <c r="S20" s="24">
        <f>R20*('SRD &amp; PM'!$F$4)^(C20)</f>
        <v>90704.094091066014</v>
      </c>
      <c r="T20" s="24">
        <f>'SRD &amp; PM'!J25*H20</f>
        <v>463694.64818886208</v>
      </c>
      <c r="U20" s="24">
        <f>(T20-T19)*('SRD &amp; PM'!$F$4)^(C20)</f>
        <v>-24609.790889517055</v>
      </c>
      <c r="V20" s="24">
        <f>T20*$B$6*('SRD &amp; PM'!$F$4)^(C20)</f>
        <v>13037.100153269586</v>
      </c>
      <c r="W20" s="24">
        <f t="shared" si="6"/>
        <v>4823.7270567097466</v>
      </c>
      <c r="X20" s="24">
        <f t="shared" si="7"/>
        <v>32823.163986076899</v>
      </c>
      <c r="Y20" s="15"/>
    </row>
    <row r="21" spans="3:25" x14ac:dyDescent="0.25">
      <c r="C21" s="17">
        <v>19</v>
      </c>
      <c r="D21" s="23">
        <f>1-VLOOKUP('SRD &amp; PM'!$F$2+C21,'TD 88-90'!A18:B126,2,FALSE)/VLOOKUP('SRD &amp; PM'!$F$2+C20,'TD 88-90'!A18:B126,2,FALSE)</f>
        <v>1.0600585097229387E-2</v>
      </c>
      <c r="E21" s="23">
        <f t="shared" si="0"/>
        <v>7.4204095680605701E-3</v>
      </c>
      <c r="F21" s="23">
        <f t="shared" si="8"/>
        <v>2.1598015999942848E-4</v>
      </c>
      <c r="G21" s="23">
        <f t="shared" si="9"/>
        <v>0.66228375596361844</v>
      </c>
      <c r="H21" s="24">
        <f t="shared" si="10"/>
        <v>66.228375596361843</v>
      </c>
      <c r="I21" s="24">
        <f>H21*'SRD &amp; PM'!H26</f>
        <v>468140.75318321417</v>
      </c>
      <c r="J21" s="24">
        <f>H21*'SRD &amp; PM'!I26</f>
        <v>2764058.7656803238</v>
      </c>
      <c r="K21" s="24">
        <f t="shared" si="12"/>
        <v>138202.93828401619</v>
      </c>
      <c r="L21" s="24">
        <f t="shared" si="2"/>
        <v>6622.8375596361839</v>
      </c>
      <c r="M21" s="24">
        <f t="shared" si="3"/>
        <v>0</v>
      </c>
      <c r="N21" s="24">
        <f t="shared" si="4"/>
        <v>23407.037659160709</v>
      </c>
      <c r="O21" s="24">
        <f>H21*E21*'SRD &amp; PM'!B26</f>
        <v>705062.00974583474</v>
      </c>
      <c r="P21" s="24">
        <f>H21*F21*'SRD &amp; PM'!I26</f>
        <v>596.9818544594591</v>
      </c>
      <c r="Q21" s="24">
        <f t="shared" si="11"/>
        <v>-383640.6521543595</v>
      </c>
      <c r="R21" s="24">
        <f t="shared" si="5"/>
        <v>160206.15038557418</v>
      </c>
      <c r="S21" s="24">
        <f>R21*('SRD &amp; PM'!$F$4)^(C21)</f>
        <v>87250.522936775727</v>
      </c>
      <c r="T21" s="24">
        <f>'SRD &amp; PM'!J26*H21</f>
        <v>414960.53044474754</v>
      </c>
      <c r="U21" s="24">
        <f>(T21-T20)*('SRD &amp; PM'!$F$4)^(C21)</f>
        <v>-26541.286010573003</v>
      </c>
      <c r="V21" s="24">
        <f>T21*$B$6*('SRD &amp; PM'!$F$4)^(C21)</f>
        <v>11299.667082783299</v>
      </c>
      <c r="W21" s="24">
        <f t="shared" si="6"/>
        <v>4180.87682062982</v>
      </c>
      <c r="X21" s="24">
        <f t="shared" si="7"/>
        <v>33660.076272726481</v>
      </c>
      <c r="Y21" s="15"/>
    </row>
    <row r="22" spans="3:25" x14ac:dyDescent="0.25">
      <c r="C22" s="17">
        <v>20</v>
      </c>
      <c r="D22" s="23">
        <f>1-VLOOKUP('SRD &amp; PM'!$F$2+C22,'TD 88-90'!A19:B127,2,FALSE)/VLOOKUP('SRD &amp; PM'!$F$2+C21,'TD 88-90'!A19:B127,2,FALSE)</f>
        <v>1.1421481661854527E-2</v>
      </c>
      <c r="E22" s="23">
        <f t="shared" si="0"/>
        <v>7.9950371632981684E-3</v>
      </c>
      <c r="F22" s="23">
        <f t="shared" si="8"/>
        <v>1.419320876391448E-4</v>
      </c>
      <c r="G22" s="23">
        <f t="shared" si="9"/>
        <v>0.65715335908409545</v>
      </c>
      <c r="H22" s="24">
        <f t="shared" si="10"/>
        <v>65.715335908409543</v>
      </c>
      <c r="I22" s="24">
        <f>H22*'SRD &amp; PM'!H27</f>
        <v>414025.99147217529</v>
      </c>
      <c r="J22" s="24">
        <f>H22*'SRD &amp; PM'!I27</f>
        <v>2320452.3344385694</v>
      </c>
      <c r="K22" s="24">
        <f t="shared" si="12"/>
        <v>116022.61672192847</v>
      </c>
      <c r="L22" s="24">
        <f t="shared" si="2"/>
        <v>6571.5335908409543</v>
      </c>
      <c r="M22" s="24">
        <f t="shared" si="3"/>
        <v>0</v>
      </c>
      <c r="N22" s="24">
        <f t="shared" si="4"/>
        <v>20701.299573608765</v>
      </c>
      <c r="O22" s="24">
        <f>H22*E22*'SRD &amp; PM'!B27</f>
        <v>671848.08094205277</v>
      </c>
      <c r="P22" s="24">
        <f>H22*F22*'SRD &amp; PM'!I27</f>
        <v>329.34664409399323</v>
      </c>
      <c r="Q22" s="24">
        <f t="shared" si="11"/>
        <v>-443606.43124175444</v>
      </c>
      <c r="R22" s="24">
        <f t="shared" si="5"/>
        <v>172749.0105717149</v>
      </c>
      <c r="S22" s="24">
        <f>R22*('SRD &amp; PM'!$F$4)^(C22)</f>
        <v>91120.136581331666</v>
      </c>
      <c r="T22" s="24">
        <f>'SRD &amp; PM'!J27*H22</f>
        <v>361160.68110450311</v>
      </c>
      <c r="U22" s="24">
        <f>(T22-T21)*('SRD &amp; PM'!$F$4)^(C22)</f>
        <v>-28377.873793395898</v>
      </c>
      <c r="V22" s="24">
        <f>T22*$B$6*('SRD &amp; PM'!$F$4)^(C22)</f>
        <v>9525.0937997087021</v>
      </c>
      <c r="W22" s="24">
        <f t="shared" si="6"/>
        <v>3524.2847058922198</v>
      </c>
      <c r="X22" s="24">
        <f t="shared" si="7"/>
        <v>34378.682887212381</v>
      </c>
      <c r="Y22" s="15"/>
    </row>
    <row r="23" spans="3:25" x14ac:dyDescent="0.25">
      <c r="C23" s="17">
        <v>21</v>
      </c>
      <c r="D23" s="23">
        <f>1-VLOOKUP('SRD &amp; PM'!$F$2+C23,'TD 88-90'!A20:B128,2,FALSE)/VLOOKUP('SRD &amp; PM'!$F$2+C22,'TD 88-90'!A20:B128,2,FALSE)</f>
        <v>1.2257201839166787E-2</v>
      </c>
      <c r="E23" s="23">
        <f t="shared" si="0"/>
        <v>8.5800412874167502E-3</v>
      </c>
      <c r="F23" s="23">
        <f t="shared" si="8"/>
        <v>9.2505297140626838E-5</v>
      </c>
      <c r="G23" s="23">
        <f t="shared" si="9"/>
        <v>0.6517574614685927</v>
      </c>
      <c r="H23" s="24">
        <f t="shared" si="10"/>
        <v>65.175746146859268</v>
      </c>
      <c r="I23" s="24">
        <f>H23*'SRD &amp; PM'!H28</f>
        <v>356046.04253770795</v>
      </c>
      <c r="J23" s="24">
        <f>H23*'SRD &amp; PM'!I28</f>
        <v>1854095.9180674248</v>
      </c>
      <c r="K23" s="24">
        <f t="shared" si="12"/>
        <v>92704.79590337124</v>
      </c>
      <c r="L23" s="24">
        <f t="shared" si="2"/>
        <v>6517.5746146859265</v>
      </c>
      <c r="M23" s="24">
        <f t="shared" si="3"/>
        <v>0</v>
      </c>
      <c r="N23" s="24">
        <f t="shared" si="4"/>
        <v>17802.302126885399</v>
      </c>
      <c r="O23" s="24">
        <f>H23*E23*'SRD &amp; PM'!B28</f>
        <v>620038.3172587005</v>
      </c>
      <c r="P23" s="24">
        <f>H23*F23*'SRD &amp; PM'!I28</f>
        <v>171.51369382805044</v>
      </c>
      <c r="Q23" s="24">
        <f t="shared" si="11"/>
        <v>-466356.41637114459</v>
      </c>
      <c r="R23" s="24">
        <f t="shared" si="5"/>
        <v>170463.85468441807</v>
      </c>
      <c r="S23" s="24">
        <f>R23*('SRD &amp; PM'!$F$4)^(C23)</f>
        <v>87084.53515593319</v>
      </c>
      <c r="T23" s="24">
        <f>'SRD &amp; PM'!J28*H23</f>
        <v>303938.0793434584</v>
      </c>
      <c r="U23" s="24">
        <f>(T23-T22)*('SRD &amp; PM'!$F$4)^(C23)</f>
        <v>-29233.198345767381</v>
      </c>
      <c r="V23" s="24">
        <f>T23*$B$6*('SRD &amp; PM'!$F$4)^(C23)</f>
        <v>7763.6125279500848</v>
      </c>
      <c r="W23" s="24">
        <f t="shared" si="6"/>
        <v>2872.5366353415311</v>
      </c>
      <c r="X23" s="24">
        <f t="shared" si="7"/>
        <v>34124.274238375932</v>
      </c>
      <c r="Y23" s="15"/>
    </row>
    <row r="24" spans="3:25" x14ac:dyDescent="0.25">
      <c r="C24" s="17">
        <v>22</v>
      </c>
      <c r="D24" s="23">
        <f>1-VLOOKUP('SRD &amp; PM'!$F$2+C24,'TD 88-90'!A21:B129,2,FALSE)/VLOOKUP('SRD &amp; PM'!$F$2+C23,'TD 88-90'!A21:B129,2,FALSE)</f>
        <v>1.3394924653548856E-2</v>
      </c>
      <c r="E24" s="23">
        <f t="shared" si="0"/>
        <v>9.3764472574841985E-3</v>
      </c>
      <c r="F24" s="23">
        <f t="shared" si="8"/>
        <v>5.9765160986189855E-5</v>
      </c>
      <c r="G24" s="23">
        <f t="shared" si="9"/>
        <v>0.64607285024266958</v>
      </c>
      <c r="H24" s="24">
        <f t="shared" si="10"/>
        <v>64.607285024266957</v>
      </c>
      <c r="I24" s="24">
        <f>H24*'SRD &amp; PM'!H29</f>
        <v>293966.90334036306</v>
      </c>
      <c r="J24" s="24">
        <f>H24*'SRD &amp; PM'!I29</f>
        <v>1386869.9308270542</v>
      </c>
      <c r="K24" s="24">
        <f t="shared" si="12"/>
        <v>69343.49654135271</v>
      </c>
      <c r="L24" s="24">
        <f t="shared" si="2"/>
        <v>6460.7285024266957</v>
      </c>
      <c r="M24" s="24">
        <f t="shared" si="3"/>
        <v>0</v>
      </c>
      <c r="N24" s="24">
        <f t="shared" si="4"/>
        <v>14698.345167018153</v>
      </c>
      <c r="O24" s="24">
        <f>H24*E24*'SRD &amp; PM'!B29</f>
        <v>559448.01972240151</v>
      </c>
      <c r="P24" s="24">
        <f>H24*F24*'SRD &amp; PM'!I29</f>
        <v>82.886504682784874</v>
      </c>
      <c r="Q24" s="24">
        <f t="shared" si="11"/>
        <v>-467225.9872403706</v>
      </c>
      <c r="R24" s="24">
        <f t="shared" si="5"/>
        <v>157403.23655210101</v>
      </c>
      <c r="S24" s="24">
        <f>R24*('SRD &amp; PM'!$F$4)^(C24)</f>
        <v>77881.145552630231</v>
      </c>
      <c r="T24" s="24">
        <f>'SRD &amp; PM'!J29*H24</f>
        <v>244178.62074903512</v>
      </c>
      <c r="U24" s="24">
        <f>(T24-T23)*('SRD &amp; PM'!$F$4)^(C24)</f>
        <v>-29568.229948042554</v>
      </c>
      <c r="V24" s="24">
        <f>T24*$B$6*('SRD &amp; PM'!$F$4)^(C24)</f>
        <v>6040.8258178037659</v>
      </c>
      <c r="W24" s="24">
        <f t="shared" si="6"/>
        <v>2235.1055525873935</v>
      </c>
      <c r="X24" s="24">
        <f t="shared" si="7"/>
        <v>33373.950213258926</v>
      </c>
      <c r="Y24" s="15"/>
    </row>
    <row r="25" spans="3:25" x14ac:dyDescent="0.25">
      <c r="C25" s="17">
        <v>23</v>
      </c>
      <c r="D25" s="23">
        <f>1-VLOOKUP('SRD &amp; PM'!$F$2+C25,'TD 88-90'!A22:B130,2,FALSE)/VLOOKUP('SRD &amp; PM'!$F$2+C24,'TD 88-90'!A22:B130,2,FALSE)</f>
        <v>1.4431351780749391E-2</v>
      </c>
      <c r="E25" s="23">
        <f t="shared" si="0"/>
        <v>1.0101946246524572E-2</v>
      </c>
      <c r="F25" s="23">
        <f t="shared" si="8"/>
        <v>3.8247026572552435E-5</v>
      </c>
      <c r="G25" s="23">
        <f t="shared" si="9"/>
        <v>0.63995521707689051</v>
      </c>
      <c r="H25" s="24">
        <f t="shared" si="10"/>
        <v>63.995521707689051</v>
      </c>
      <c r="I25" s="24">
        <f>H25*'SRD &amp; PM'!H30</f>
        <v>227510.67227561586</v>
      </c>
      <c r="J25" s="24">
        <f>H25*'SRD &amp; PM'!I30</f>
        <v>927043.56791613414</v>
      </c>
      <c r="K25" s="24">
        <f t="shared" si="12"/>
        <v>46352.17839580671</v>
      </c>
      <c r="L25" s="24">
        <f t="shared" si="2"/>
        <v>6399.5521707689049</v>
      </c>
      <c r="M25" s="24">
        <f t="shared" si="3"/>
        <v>0</v>
      </c>
      <c r="N25" s="24">
        <f t="shared" si="4"/>
        <v>11375.533613780794</v>
      </c>
      <c r="O25" s="24">
        <f>H25*E25*'SRD &amp; PM'!B30</f>
        <v>466476.54880494019</v>
      </c>
      <c r="P25" s="24">
        <f>H25*F25*'SRD &amp; PM'!I30</f>
        <v>35.4566599760022</v>
      </c>
      <c r="Q25" s="24">
        <f t="shared" si="11"/>
        <v>-459826.36291092006</v>
      </c>
      <c r="R25" s="24">
        <f t="shared" si="5"/>
        <v>157123.33706971235</v>
      </c>
      <c r="S25" s="24">
        <f>R25*('SRD &amp; PM'!$F$4)^(C25)</f>
        <v>75295.549445366822</v>
      </c>
      <c r="T25" s="24">
        <f>'SRD &amp; PM'!J30*H25</f>
        <v>182101.74388302982</v>
      </c>
      <c r="U25" s="24">
        <f>(T25-T24)*('SRD &amp; PM'!$F$4)^(C25)</f>
        <v>-29748.047862580996</v>
      </c>
      <c r="V25" s="24">
        <f>T25*$B$6*('SRD &amp; PM'!$F$4)^(C25)</f>
        <v>4363.2763650344032</v>
      </c>
      <c r="W25" s="24">
        <f t="shared" si="6"/>
        <v>1614.4122550627292</v>
      </c>
      <c r="X25" s="24">
        <f t="shared" si="7"/>
        <v>32496.911972552669</v>
      </c>
      <c r="Y25" s="15"/>
    </row>
    <row r="26" spans="3:25" x14ac:dyDescent="0.25">
      <c r="C26" s="17">
        <v>24</v>
      </c>
      <c r="D26" s="23">
        <f>1-VLOOKUP('SRD &amp; PM'!$F$2+C26,'TD 88-90'!A23:B131,2,FALSE)/VLOOKUP('SRD &amp; PM'!$F$2+C25,'TD 88-90'!A23:B131,2,FALSE)</f>
        <v>1.5656294269942861E-2</v>
      </c>
      <c r="E26" s="23">
        <f t="shared" si="0"/>
        <v>1.0959405988960003E-2</v>
      </c>
      <c r="F26" s="23">
        <f t="shared" si="8"/>
        <v>2.4227662240316974E-5</v>
      </c>
      <c r="G26" s="23">
        <f t="shared" si="9"/>
        <v>0.63345217684722432</v>
      </c>
      <c r="H26" s="24">
        <f t="shared" si="10"/>
        <v>63.345217684722435</v>
      </c>
      <c r="I26" s="24">
        <f>H26*'SRD &amp; PM'!H31</f>
        <v>156500.81698149533</v>
      </c>
      <c r="J26" s="24">
        <f>H26*'SRD &amp; PM'!I31</f>
        <v>517170.64844972891</v>
      </c>
      <c r="K26" s="24">
        <f t="shared" si="12"/>
        <v>25858.532422486445</v>
      </c>
      <c r="L26" s="24">
        <f t="shared" si="2"/>
        <v>6334.5217684722438</v>
      </c>
      <c r="M26" s="24">
        <f t="shared" si="3"/>
        <v>0</v>
      </c>
      <c r="N26" s="24">
        <f t="shared" si="4"/>
        <v>7825.0408490747668</v>
      </c>
      <c r="O26" s="24">
        <f>H26*E26*'SRD &amp; PM'!B31</f>
        <v>348118.10675299459</v>
      </c>
      <c r="P26" s="24">
        <f>H26*F26*'SRD &amp; PM'!I31</f>
        <v>12.529835791245741</v>
      </c>
      <c r="Q26" s="24">
        <f t="shared" si="11"/>
        <v>-409872.91946640523</v>
      </c>
      <c r="R26" s="24">
        <f t="shared" si="5"/>
        <v>144863.50388835411</v>
      </c>
      <c r="S26" s="24">
        <f>R26*('SRD &amp; PM'!$F$4)^(C26)</f>
        <v>67235.329507904069</v>
      </c>
      <c r="T26" s="24">
        <f>'SRD &amp; PM'!J31*H26</f>
        <v>119599.98811708216</v>
      </c>
      <c r="U26" s="24">
        <f>(T26-T25)*('SRD &amp; PM'!$F$4)^(C26)</f>
        <v>-29008.867181514226</v>
      </c>
      <c r="V26" s="24">
        <f>T26*$B$6*('SRD &amp; PM'!$F$4)^(C26)</f>
        <v>2775.4901663813384</v>
      </c>
      <c r="W26" s="24">
        <f t="shared" si="6"/>
        <v>1026.9313615610952</v>
      </c>
      <c r="X26" s="24">
        <f t="shared" si="7"/>
        <v>30757.425986334471</v>
      </c>
      <c r="Y26" s="15"/>
    </row>
    <row r="27" spans="3:25" x14ac:dyDescent="0.25">
      <c r="C27" s="17">
        <v>25</v>
      </c>
      <c r="D27" s="23">
        <f>1-VLOOKUP('SRD &amp; PM'!$F$2+C27,'TD 88-90'!A24:B132,2,FALSE)/VLOOKUP('SRD &amp; PM'!$F$2+C26,'TD 88-90'!A24:B132,2,FALSE)</f>
        <v>1.6860623805860842E-2</v>
      </c>
      <c r="E27" s="23">
        <f t="shared" si="0"/>
        <v>1.1802436664102588E-2</v>
      </c>
      <c r="F27" s="23">
        <f t="shared" si="8"/>
        <v>1.5178283686125641E-5</v>
      </c>
      <c r="G27" s="23">
        <f t="shared" si="9"/>
        <v>0.62648568960432482</v>
      </c>
      <c r="H27" s="24">
        <f t="shared" si="10"/>
        <v>62.648568960432485</v>
      </c>
      <c r="I27" s="24">
        <f>H27*'SRD &amp; PM'!H32</f>
        <v>80722.414390745078</v>
      </c>
      <c r="J27" s="24">
        <f>H27*'SRD &amp; PM'!I32</f>
        <v>191137.85302744925</v>
      </c>
      <c r="K27" s="24">
        <f t="shared" si="12"/>
        <v>9556.8926513724637</v>
      </c>
      <c r="L27" s="24">
        <f t="shared" si="2"/>
        <v>6264.8568960432485</v>
      </c>
      <c r="M27" s="24">
        <f t="shared" si="3"/>
        <v>0</v>
      </c>
      <c r="N27" s="24">
        <f t="shared" si="4"/>
        <v>4036.120719537254</v>
      </c>
      <c r="O27" s="24">
        <f>H27*E27*'SRD &amp; PM'!B32</f>
        <v>193369.87208449823</v>
      </c>
      <c r="P27" s="24">
        <f>H27*F27*'SRD &amp; PM'!I32</f>
        <v>2.9011445564076133</v>
      </c>
      <c r="Q27" s="24">
        <f t="shared" si="11"/>
        <v>-326032.79542227963</v>
      </c>
      <c r="R27" s="24">
        <f t="shared" si="5"/>
        <v>133962.16152045008</v>
      </c>
      <c r="S27" s="24">
        <f>R27*('SRD &amp; PM'!$F$4)^(C27)</f>
        <v>60218.597732333881</v>
      </c>
      <c r="T27" s="24">
        <f>'SRD &amp; PM'!J32*H27</f>
        <v>58135.161305329464</v>
      </c>
      <c r="U27" s="24">
        <f>(T27-T26)*('SRD &amp; PM'!$F$4)^(C27)</f>
        <v>-27629.635401930096</v>
      </c>
      <c r="V27" s="24">
        <f>T27*$B$6*('SRD &amp; PM'!$F$4)^(C27)</f>
        <v>1306.6442990379628</v>
      </c>
      <c r="W27" s="24">
        <f t="shared" si="6"/>
        <v>483.45839064404623</v>
      </c>
      <c r="X27" s="24">
        <f t="shared" si="7"/>
        <v>28452.821310324012</v>
      </c>
      <c r="Y27" s="15"/>
    </row>
    <row r="28" spans="3:25" x14ac:dyDescent="0.25">
      <c r="C28" s="17">
        <v>26</v>
      </c>
      <c r="D28" s="23">
        <f>1-VLOOKUP('SRD &amp; PM'!$F$2+C28,'TD 88-90'!A25:B133,2,FALSE)/VLOOKUP('SRD &amp; PM'!$F$2+C27,'TD 88-90'!A25:B133,2,FALSE)</f>
        <v>1.8121474452002073E-2</v>
      </c>
      <c r="E28" s="23">
        <f t="shared" si="0"/>
        <v>1.268503211640145E-2</v>
      </c>
      <c r="F28" s="23">
        <f t="shared" si="8"/>
        <v>9.3965180368717319E-6</v>
      </c>
      <c r="G28" s="23">
        <f t="shared" si="9"/>
        <v>0.61907645364811703</v>
      </c>
      <c r="H28" s="24">
        <f t="shared" si="10"/>
        <v>61.9076453648117</v>
      </c>
      <c r="I28" s="24">
        <f>H28*'SRD &amp; PM'!H33</f>
        <v>0</v>
      </c>
      <c r="J28" s="24">
        <f>H28*'SRD &amp; PM'!I33</f>
        <v>0</v>
      </c>
      <c r="K28" s="24">
        <f t="shared" si="12"/>
        <v>0</v>
      </c>
      <c r="L28" s="24">
        <f t="shared" si="2"/>
        <v>6190.7645364811697</v>
      </c>
      <c r="M28" s="24">
        <f t="shared" si="3"/>
        <v>0</v>
      </c>
      <c r="N28" s="24">
        <f t="shared" si="4"/>
        <v>0</v>
      </c>
      <c r="O28" s="24">
        <f>H28*E28*'SRD &amp; PM'!B33</f>
        <v>0</v>
      </c>
      <c r="P28" s="24">
        <f>H28*F28*'SRD &amp; PM'!I33</f>
        <v>0</v>
      </c>
      <c r="Q28" s="24">
        <f t="shared" ref="Q28" si="13">J28-J27</f>
        <v>-191137.85302744925</v>
      </c>
      <c r="R28" s="24">
        <f t="shared" ref="R28" si="14">(SUM(I28,K28)-SUM(L28:Q28))*(1-$B$10)</f>
        <v>116516.66574930989</v>
      </c>
      <c r="S28" s="24">
        <f>R28*('SRD &amp; PM'!$F$4)^(C28)</f>
        <v>50727.852779423607</v>
      </c>
      <c r="T28" s="24">
        <f>'SRD &amp; PM'!J33*H28</f>
        <v>0</v>
      </c>
      <c r="U28" s="24">
        <f>(T28-T27)*('SRD &amp; PM'!$F$4)^(C28)</f>
        <v>-25310.301192018651</v>
      </c>
      <c r="V28" s="24">
        <f>T28*$B$6*('SRD &amp; PM'!$F$4)^(C28)</f>
        <v>0</v>
      </c>
      <c r="W28" s="24">
        <f t="shared" ref="W28" si="15">V28*$B$10</f>
        <v>0</v>
      </c>
      <c r="X28" s="24">
        <f t="shared" ref="X28" si="16">V28-U28-W28</f>
        <v>25310.301192018651</v>
      </c>
      <c r="Y28" s="15"/>
    </row>
  </sheetData>
  <conditionalFormatting sqref="H3:H28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{33A58BE9-E0F4-4C3B-AA9E-1A35EEAA4817}</x14:id>
        </ext>
      </extLst>
    </cfRule>
  </conditionalFormatting>
  <conditionalFormatting sqref="I3:I28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{F3A34549-65C4-46F9-82FF-42A02A76777B}</x14:id>
        </ext>
      </extLst>
    </cfRule>
  </conditionalFormatting>
  <conditionalFormatting sqref="J3:J28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{573B95FC-1CF2-464E-B257-A39C292C30EC}</x14:id>
        </ext>
      </extLst>
    </cfRule>
  </conditionalFormatting>
  <conditionalFormatting sqref="K3:K28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{8256E317-A866-4DF2-9541-BA06E586B739}</x14:id>
        </ext>
      </extLst>
    </cfRule>
  </conditionalFormatting>
  <conditionalFormatting sqref="L3:L28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{8872A8B8-DD88-474C-9BB1-7A5116CF1AC4}</x14:id>
        </ext>
      </extLst>
    </cfRule>
  </conditionalFormatting>
  <conditionalFormatting sqref="N3:N28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{BB4C042A-C2D9-439B-9AFC-80C7F014ECD4}</x14:id>
        </ext>
      </extLst>
    </cfRule>
  </conditionalFormatting>
  <conditionalFormatting sqref="O3:O28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{DE19E647-A984-43BC-AD82-0247591F96BF}</x14:id>
        </ext>
      </extLst>
    </cfRule>
  </conditionalFormatting>
  <conditionalFormatting sqref="R1:R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{B473053A-1FDF-4175-A9DF-8B78AB5D7D92}</x14:id>
        </ext>
      </extLst>
    </cfRule>
  </conditionalFormatting>
  <conditionalFormatting sqref="R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{E3D3ADD7-86E7-4126-AF47-C3CCDC44F829}</x14:id>
        </ext>
      </extLst>
    </cfRule>
  </conditionalFormatting>
  <conditionalFormatting sqref="V3:V2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{123904F4-908F-4D0C-BAA4-74509A2C1B63}</x14:id>
        </ext>
      </extLst>
    </cfRule>
  </conditionalFormatting>
  <conditionalFormatting sqref="Y3:Y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{6DB824DD-F6EF-45F4-B6BA-B1E4C43B5440}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A58BE9-E0F4-4C3B-AA9E-1A35EEAA48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H3:H28</xm:sqref>
        </x14:conditionalFormatting>
        <x14:conditionalFormatting xmlns:xm="http://schemas.microsoft.com/office/excel/2006/main">
          <x14:cfRule type="dataBar" id="{F3A34549-65C4-46F9-82FF-42A02A7677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I3:I28</xm:sqref>
        </x14:conditionalFormatting>
        <x14:conditionalFormatting xmlns:xm="http://schemas.microsoft.com/office/excel/2006/main">
          <x14:cfRule type="dataBar" id="{573B95FC-1CF2-464E-B257-A39C292C30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J3:J28</xm:sqref>
        </x14:conditionalFormatting>
        <x14:conditionalFormatting xmlns:xm="http://schemas.microsoft.com/office/excel/2006/main">
          <x14:cfRule type="dataBar" id="{8256E317-A866-4DF2-9541-BA06E586B7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K3:K28</xm:sqref>
        </x14:conditionalFormatting>
        <x14:conditionalFormatting xmlns:xm="http://schemas.microsoft.com/office/excel/2006/main">
          <x14:cfRule type="dataBar" id="{8872A8B8-DD88-474C-9BB1-7A5116CF1A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L3:L28</xm:sqref>
        </x14:conditionalFormatting>
        <x14:conditionalFormatting xmlns:xm="http://schemas.microsoft.com/office/excel/2006/main">
          <x14:cfRule type="dataBar" id="{BB4C042A-C2D9-439B-9AFC-80C7F014EC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N3:N28</xm:sqref>
        </x14:conditionalFormatting>
        <x14:conditionalFormatting xmlns:xm="http://schemas.microsoft.com/office/excel/2006/main">
          <x14:cfRule type="dataBar" id="{DE19E647-A984-43BC-AD82-0247591F96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O3:O28</xm:sqref>
        </x14:conditionalFormatting>
        <x14:conditionalFormatting xmlns:xm="http://schemas.microsoft.com/office/excel/2006/main">
          <x14:cfRule type="dataBar" id="{B473053A-1FDF-4175-A9DF-8B78AB5D7D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R1:R1048576</xm:sqref>
        </x14:conditionalFormatting>
        <x14:conditionalFormatting xmlns:xm="http://schemas.microsoft.com/office/excel/2006/main">
          <x14:cfRule type="dataBar" id="{E3D3ADD7-86E7-4126-AF47-C3CCDC44F8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</xm:sqref>
        </x14:conditionalFormatting>
        <x14:conditionalFormatting xmlns:xm="http://schemas.microsoft.com/office/excel/2006/main">
          <x14:cfRule type="dataBar" id="{123904F4-908F-4D0C-BAA4-74509A2C1B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V3:V28</xm:sqref>
        </x14:conditionalFormatting>
        <x14:conditionalFormatting xmlns:xm="http://schemas.microsoft.com/office/excel/2006/main">
          <x14:cfRule type="dataBar" id="{6DB824DD-F6EF-45F4-B6BA-B1E4C43B54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Y3:Y28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3"/>
  <sheetViews>
    <sheetView workbookViewId="0">
      <selection activeCell="F4" sqref="F4"/>
    </sheetView>
  </sheetViews>
  <sheetFormatPr defaultColWidth="11.42578125" defaultRowHeight="15" x14ac:dyDescent="0.25"/>
  <sheetData>
    <row r="1" spans="1:2" x14ac:dyDescent="0.25">
      <c r="A1" s="4" t="s">
        <v>1</v>
      </c>
      <c r="B1" s="4" t="s">
        <v>2</v>
      </c>
    </row>
    <row r="2" spans="1:2" x14ac:dyDescent="0.25">
      <c r="A2">
        <v>0</v>
      </c>
      <c r="B2">
        <v>100000</v>
      </c>
    </row>
    <row r="3" spans="1:2" x14ac:dyDescent="0.25">
      <c r="A3">
        <v>1</v>
      </c>
      <c r="B3">
        <v>99129</v>
      </c>
    </row>
    <row r="4" spans="1:2" x14ac:dyDescent="0.25">
      <c r="A4">
        <v>2</v>
      </c>
      <c r="B4">
        <v>99057</v>
      </c>
    </row>
    <row r="5" spans="1:2" x14ac:dyDescent="0.25">
      <c r="A5">
        <v>3</v>
      </c>
      <c r="B5">
        <v>99010</v>
      </c>
    </row>
    <row r="6" spans="1:2" x14ac:dyDescent="0.25">
      <c r="A6">
        <v>4</v>
      </c>
      <c r="B6">
        <v>98977</v>
      </c>
    </row>
    <row r="7" spans="1:2" x14ac:dyDescent="0.25">
      <c r="A7">
        <v>5</v>
      </c>
      <c r="B7">
        <v>98948</v>
      </c>
    </row>
    <row r="8" spans="1:2" x14ac:dyDescent="0.25">
      <c r="A8">
        <v>6</v>
      </c>
      <c r="B8">
        <v>98921</v>
      </c>
    </row>
    <row r="9" spans="1:2" x14ac:dyDescent="0.25">
      <c r="A9">
        <v>7</v>
      </c>
      <c r="B9">
        <v>98897</v>
      </c>
    </row>
    <row r="10" spans="1:2" x14ac:dyDescent="0.25">
      <c r="A10">
        <v>8</v>
      </c>
      <c r="B10">
        <v>98876</v>
      </c>
    </row>
    <row r="11" spans="1:2" x14ac:dyDescent="0.25">
      <c r="A11">
        <v>9</v>
      </c>
      <c r="B11">
        <v>98855</v>
      </c>
    </row>
    <row r="12" spans="1:2" x14ac:dyDescent="0.25">
      <c r="A12">
        <v>10</v>
      </c>
      <c r="B12">
        <v>98835</v>
      </c>
    </row>
    <row r="13" spans="1:2" x14ac:dyDescent="0.25">
      <c r="A13">
        <v>11</v>
      </c>
      <c r="B13">
        <v>98814</v>
      </c>
    </row>
    <row r="14" spans="1:2" x14ac:dyDescent="0.25">
      <c r="A14">
        <v>12</v>
      </c>
      <c r="B14">
        <v>98793</v>
      </c>
    </row>
    <row r="15" spans="1:2" x14ac:dyDescent="0.25">
      <c r="A15">
        <v>13</v>
      </c>
      <c r="B15">
        <v>98771</v>
      </c>
    </row>
    <row r="16" spans="1:2" x14ac:dyDescent="0.25">
      <c r="A16">
        <v>14</v>
      </c>
      <c r="B16">
        <v>98745</v>
      </c>
    </row>
    <row r="17" spans="1:2" x14ac:dyDescent="0.25">
      <c r="A17">
        <v>15</v>
      </c>
      <c r="B17">
        <v>98712</v>
      </c>
    </row>
    <row r="18" spans="1:2" x14ac:dyDescent="0.25">
      <c r="A18">
        <v>16</v>
      </c>
      <c r="B18">
        <v>98667</v>
      </c>
    </row>
    <row r="19" spans="1:2" x14ac:dyDescent="0.25">
      <c r="A19">
        <v>17</v>
      </c>
      <c r="B19">
        <v>98606</v>
      </c>
    </row>
    <row r="20" spans="1:2" x14ac:dyDescent="0.25">
      <c r="A20">
        <v>18</v>
      </c>
      <c r="B20">
        <v>98520</v>
      </c>
    </row>
    <row r="21" spans="1:2" x14ac:dyDescent="0.25">
      <c r="A21">
        <v>19</v>
      </c>
      <c r="B21">
        <v>98406</v>
      </c>
    </row>
    <row r="22" spans="1:2" x14ac:dyDescent="0.25">
      <c r="A22">
        <v>20</v>
      </c>
      <c r="B22">
        <v>98277</v>
      </c>
    </row>
    <row r="23" spans="1:2" x14ac:dyDescent="0.25">
      <c r="A23">
        <v>21</v>
      </c>
      <c r="B23">
        <v>98137</v>
      </c>
    </row>
    <row r="24" spans="1:2" x14ac:dyDescent="0.25">
      <c r="A24">
        <v>22</v>
      </c>
      <c r="B24">
        <v>97987</v>
      </c>
    </row>
    <row r="25" spans="1:2" x14ac:dyDescent="0.25">
      <c r="A25">
        <v>23</v>
      </c>
      <c r="B25">
        <v>97830</v>
      </c>
    </row>
    <row r="26" spans="1:2" x14ac:dyDescent="0.25">
      <c r="A26">
        <v>24</v>
      </c>
      <c r="B26">
        <v>97677</v>
      </c>
    </row>
    <row r="27" spans="1:2" x14ac:dyDescent="0.25">
      <c r="A27">
        <v>25</v>
      </c>
      <c r="B27">
        <v>97524</v>
      </c>
    </row>
    <row r="28" spans="1:2" x14ac:dyDescent="0.25">
      <c r="A28">
        <v>26</v>
      </c>
      <c r="B28">
        <v>97373</v>
      </c>
    </row>
    <row r="29" spans="1:2" x14ac:dyDescent="0.25">
      <c r="A29">
        <v>27</v>
      </c>
      <c r="B29">
        <v>97222</v>
      </c>
    </row>
    <row r="30" spans="1:2" x14ac:dyDescent="0.25">
      <c r="A30">
        <v>28</v>
      </c>
      <c r="B30">
        <v>97070</v>
      </c>
    </row>
    <row r="31" spans="1:2" x14ac:dyDescent="0.25">
      <c r="A31">
        <v>29</v>
      </c>
      <c r="B31">
        <v>96916</v>
      </c>
    </row>
    <row r="32" spans="1:2" x14ac:dyDescent="0.25">
      <c r="A32">
        <v>30</v>
      </c>
      <c r="B32">
        <v>96759</v>
      </c>
    </row>
    <row r="33" spans="1:2" x14ac:dyDescent="0.25">
      <c r="A33">
        <v>31</v>
      </c>
      <c r="B33">
        <v>96597</v>
      </c>
    </row>
    <row r="34" spans="1:2" x14ac:dyDescent="0.25">
      <c r="A34">
        <v>32</v>
      </c>
      <c r="B34">
        <v>96429</v>
      </c>
    </row>
    <row r="35" spans="1:2" x14ac:dyDescent="0.25">
      <c r="A35">
        <v>33</v>
      </c>
      <c r="B35">
        <v>96255</v>
      </c>
    </row>
    <row r="36" spans="1:2" x14ac:dyDescent="0.25">
      <c r="A36">
        <v>34</v>
      </c>
      <c r="B36">
        <v>96071</v>
      </c>
    </row>
    <row r="37" spans="1:2" x14ac:dyDescent="0.25">
      <c r="A37">
        <v>35</v>
      </c>
      <c r="B37">
        <v>95878</v>
      </c>
    </row>
    <row r="38" spans="1:2" x14ac:dyDescent="0.25">
      <c r="A38">
        <v>36</v>
      </c>
      <c r="B38">
        <v>95676</v>
      </c>
    </row>
    <row r="39" spans="1:2" x14ac:dyDescent="0.25">
      <c r="A39">
        <v>37</v>
      </c>
      <c r="B39">
        <v>95463</v>
      </c>
    </row>
    <row r="40" spans="1:2" x14ac:dyDescent="0.25">
      <c r="A40">
        <v>38</v>
      </c>
      <c r="B40">
        <v>95237</v>
      </c>
    </row>
    <row r="41" spans="1:2" x14ac:dyDescent="0.25">
      <c r="A41">
        <v>39</v>
      </c>
      <c r="B41">
        <v>94997</v>
      </c>
    </row>
    <row r="42" spans="1:2" x14ac:dyDescent="0.25">
      <c r="A42">
        <v>40</v>
      </c>
      <c r="B42">
        <v>94746</v>
      </c>
    </row>
    <row r="43" spans="1:2" x14ac:dyDescent="0.25">
      <c r="A43">
        <v>41</v>
      </c>
      <c r="B43">
        <v>94476</v>
      </c>
    </row>
    <row r="44" spans="1:2" x14ac:dyDescent="0.25">
      <c r="A44">
        <v>42</v>
      </c>
      <c r="B44">
        <v>94182</v>
      </c>
    </row>
    <row r="45" spans="1:2" x14ac:dyDescent="0.25">
      <c r="A45">
        <v>43</v>
      </c>
      <c r="B45">
        <v>93868</v>
      </c>
    </row>
    <row r="46" spans="1:2" x14ac:dyDescent="0.25">
      <c r="A46">
        <v>44</v>
      </c>
      <c r="B46">
        <v>93515</v>
      </c>
    </row>
    <row r="47" spans="1:2" x14ac:dyDescent="0.25">
      <c r="A47">
        <v>45</v>
      </c>
      <c r="B47">
        <v>93133</v>
      </c>
    </row>
    <row r="48" spans="1:2" x14ac:dyDescent="0.25">
      <c r="A48">
        <v>46</v>
      </c>
      <c r="B48">
        <v>92727</v>
      </c>
    </row>
    <row r="49" spans="1:2" x14ac:dyDescent="0.25">
      <c r="A49">
        <v>47</v>
      </c>
      <c r="B49">
        <v>92295</v>
      </c>
    </row>
    <row r="50" spans="1:2" x14ac:dyDescent="0.25">
      <c r="A50">
        <v>48</v>
      </c>
      <c r="B50">
        <v>91833</v>
      </c>
    </row>
    <row r="51" spans="1:2" x14ac:dyDescent="0.25">
      <c r="A51">
        <v>49</v>
      </c>
      <c r="B51">
        <v>91332</v>
      </c>
    </row>
    <row r="52" spans="1:2" x14ac:dyDescent="0.25">
      <c r="A52">
        <v>50</v>
      </c>
      <c r="B52">
        <v>90778</v>
      </c>
    </row>
    <row r="53" spans="1:2" x14ac:dyDescent="0.25">
      <c r="A53">
        <v>51</v>
      </c>
      <c r="B53">
        <v>90171</v>
      </c>
    </row>
    <row r="54" spans="1:2" x14ac:dyDescent="0.25">
      <c r="A54">
        <v>52</v>
      </c>
      <c r="B54">
        <v>89511</v>
      </c>
    </row>
    <row r="55" spans="1:2" x14ac:dyDescent="0.25">
      <c r="A55">
        <v>53</v>
      </c>
      <c r="B55">
        <v>88791</v>
      </c>
    </row>
    <row r="56" spans="1:2" x14ac:dyDescent="0.25">
      <c r="A56">
        <v>54</v>
      </c>
      <c r="B56">
        <v>88011</v>
      </c>
    </row>
    <row r="57" spans="1:2" x14ac:dyDescent="0.25">
      <c r="A57">
        <v>55</v>
      </c>
      <c r="B57">
        <v>87165</v>
      </c>
    </row>
    <row r="58" spans="1:2" x14ac:dyDescent="0.25">
      <c r="A58">
        <v>56</v>
      </c>
      <c r="B58">
        <v>86241</v>
      </c>
    </row>
    <row r="59" spans="1:2" x14ac:dyDescent="0.25">
      <c r="A59">
        <v>57</v>
      </c>
      <c r="B59">
        <v>85256</v>
      </c>
    </row>
    <row r="60" spans="1:2" x14ac:dyDescent="0.25">
      <c r="A60">
        <v>58</v>
      </c>
      <c r="B60">
        <v>84211</v>
      </c>
    </row>
    <row r="61" spans="1:2" x14ac:dyDescent="0.25">
      <c r="A61">
        <v>59</v>
      </c>
      <c r="B61">
        <v>83083</v>
      </c>
    </row>
    <row r="62" spans="1:2" x14ac:dyDescent="0.25">
      <c r="A62">
        <v>60</v>
      </c>
      <c r="B62">
        <v>81884</v>
      </c>
    </row>
    <row r="63" spans="1:2" x14ac:dyDescent="0.25">
      <c r="A63">
        <v>61</v>
      </c>
      <c r="B63">
        <v>80602</v>
      </c>
    </row>
    <row r="64" spans="1:2" x14ac:dyDescent="0.25">
      <c r="A64">
        <v>62</v>
      </c>
      <c r="B64">
        <v>79243</v>
      </c>
    </row>
    <row r="65" spans="1:2" x14ac:dyDescent="0.25">
      <c r="A65">
        <v>63</v>
      </c>
      <c r="B65">
        <v>77807</v>
      </c>
    </row>
    <row r="66" spans="1:2" x14ac:dyDescent="0.25">
      <c r="A66">
        <v>64</v>
      </c>
      <c r="B66">
        <v>76295</v>
      </c>
    </row>
    <row r="67" spans="1:2" x14ac:dyDescent="0.25">
      <c r="A67">
        <v>65</v>
      </c>
      <c r="B67">
        <v>74720</v>
      </c>
    </row>
    <row r="68" spans="1:2" x14ac:dyDescent="0.25">
      <c r="A68">
        <v>66</v>
      </c>
      <c r="B68">
        <v>73075</v>
      </c>
    </row>
    <row r="69" spans="1:2" x14ac:dyDescent="0.25">
      <c r="A69">
        <v>67</v>
      </c>
      <c r="B69">
        <v>71366</v>
      </c>
    </row>
    <row r="70" spans="1:2" x14ac:dyDescent="0.25">
      <c r="A70">
        <v>68</v>
      </c>
      <c r="B70">
        <v>69559</v>
      </c>
    </row>
    <row r="71" spans="1:2" x14ac:dyDescent="0.25">
      <c r="A71">
        <v>69</v>
      </c>
      <c r="B71">
        <v>67655</v>
      </c>
    </row>
    <row r="72" spans="1:2" x14ac:dyDescent="0.25">
      <c r="A72">
        <v>70</v>
      </c>
      <c r="B72">
        <v>65649</v>
      </c>
    </row>
    <row r="73" spans="1:2" x14ac:dyDescent="0.25">
      <c r="A73">
        <v>71</v>
      </c>
      <c r="B73">
        <v>63543</v>
      </c>
    </row>
    <row r="74" spans="1:2" x14ac:dyDescent="0.25">
      <c r="A74">
        <v>72</v>
      </c>
      <c r="B74">
        <v>61285</v>
      </c>
    </row>
    <row r="75" spans="1:2" x14ac:dyDescent="0.25">
      <c r="A75">
        <v>73</v>
      </c>
      <c r="B75">
        <v>58911</v>
      </c>
    </row>
    <row r="76" spans="1:2" x14ac:dyDescent="0.25">
      <c r="A76">
        <v>74</v>
      </c>
      <c r="B76">
        <v>56416</v>
      </c>
    </row>
    <row r="77" spans="1:2" x14ac:dyDescent="0.25">
      <c r="A77">
        <v>75</v>
      </c>
      <c r="B77">
        <v>53818</v>
      </c>
    </row>
    <row r="78" spans="1:2" x14ac:dyDescent="0.25">
      <c r="A78">
        <v>76</v>
      </c>
      <c r="B78">
        <v>51086</v>
      </c>
    </row>
    <row r="79" spans="1:2" x14ac:dyDescent="0.25">
      <c r="A79">
        <v>77</v>
      </c>
      <c r="B79">
        <v>48251</v>
      </c>
    </row>
    <row r="80" spans="1:2" x14ac:dyDescent="0.25">
      <c r="A80">
        <v>78</v>
      </c>
      <c r="B80">
        <v>45284</v>
      </c>
    </row>
    <row r="81" spans="1:2" x14ac:dyDescent="0.25">
      <c r="A81">
        <v>79</v>
      </c>
      <c r="B81">
        <v>42203</v>
      </c>
    </row>
    <row r="82" spans="1:2" x14ac:dyDescent="0.25">
      <c r="A82">
        <v>80</v>
      </c>
      <c r="B82">
        <v>39041</v>
      </c>
    </row>
    <row r="83" spans="1:2" x14ac:dyDescent="0.25">
      <c r="A83">
        <v>81</v>
      </c>
      <c r="B83">
        <v>35824</v>
      </c>
    </row>
    <row r="84" spans="1:2" x14ac:dyDescent="0.25">
      <c r="A84">
        <v>82</v>
      </c>
      <c r="B84">
        <v>32518</v>
      </c>
    </row>
    <row r="85" spans="1:2" x14ac:dyDescent="0.25">
      <c r="A85">
        <v>83</v>
      </c>
      <c r="B85">
        <v>29220</v>
      </c>
    </row>
    <row r="86" spans="1:2" x14ac:dyDescent="0.25">
      <c r="A86">
        <v>84</v>
      </c>
      <c r="B86">
        <v>25962</v>
      </c>
    </row>
    <row r="87" spans="1:2" x14ac:dyDescent="0.25">
      <c r="A87">
        <v>85</v>
      </c>
      <c r="B87">
        <v>22780</v>
      </c>
    </row>
    <row r="88" spans="1:2" x14ac:dyDescent="0.25">
      <c r="A88">
        <v>86</v>
      </c>
      <c r="B88">
        <v>19725</v>
      </c>
    </row>
    <row r="89" spans="1:2" x14ac:dyDescent="0.25">
      <c r="A89">
        <v>87</v>
      </c>
      <c r="B89">
        <v>16843</v>
      </c>
    </row>
    <row r="90" spans="1:2" x14ac:dyDescent="0.25">
      <c r="A90">
        <v>88</v>
      </c>
      <c r="B90">
        <v>14133</v>
      </c>
    </row>
    <row r="91" spans="1:2" x14ac:dyDescent="0.25">
      <c r="A91">
        <v>89</v>
      </c>
      <c r="B91">
        <v>11625</v>
      </c>
    </row>
    <row r="92" spans="1:2" x14ac:dyDescent="0.25">
      <c r="A92">
        <v>90</v>
      </c>
      <c r="B92">
        <v>9389</v>
      </c>
    </row>
    <row r="93" spans="1:2" x14ac:dyDescent="0.25">
      <c r="A93">
        <v>91</v>
      </c>
      <c r="B93">
        <v>7438</v>
      </c>
    </row>
    <row r="94" spans="1:2" x14ac:dyDescent="0.25">
      <c r="A94">
        <v>92</v>
      </c>
      <c r="B94">
        <v>5763</v>
      </c>
    </row>
    <row r="95" spans="1:2" x14ac:dyDescent="0.25">
      <c r="A95">
        <v>93</v>
      </c>
      <c r="B95">
        <v>4350</v>
      </c>
    </row>
    <row r="96" spans="1:2" x14ac:dyDescent="0.25">
      <c r="A96">
        <v>94</v>
      </c>
      <c r="B96">
        <v>3211</v>
      </c>
    </row>
    <row r="97" spans="1:2" x14ac:dyDescent="0.25">
      <c r="A97">
        <v>95</v>
      </c>
      <c r="B97">
        <v>2315</v>
      </c>
    </row>
    <row r="98" spans="1:2" x14ac:dyDescent="0.25">
      <c r="A98">
        <v>96</v>
      </c>
      <c r="B98">
        <v>1635</v>
      </c>
    </row>
    <row r="99" spans="1:2" x14ac:dyDescent="0.25">
      <c r="A99">
        <v>97</v>
      </c>
      <c r="B99">
        <v>1115</v>
      </c>
    </row>
    <row r="100" spans="1:2" x14ac:dyDescent="0.25">
      <c r="A100">
        <v>98</v>
      </c>
      <c r="B100">
        <v>740</v>
      </c>
    </row>
    <row r="101" spans="1:2" x14ac:dyDescent="0.25">
      <c r="A101">
        <v>99</v>
      </c>
      <c r="B101">
        <v>453</v>
      </c>
    </row>
    <row r="102" spans="1:2" x14ac:dyDescent="0.25">
      <c r="A102">
        <v>100</v>
      </c>
      <c r="B102">
        <v>263</v>
      </c>
    </row>
    <row r="103" spans="1:2" x14ac:dyDescent="0.25">
      <c r="A103">
        <v>101</v>
      </c>
      <c r="B103">
        <v>145</v>
      </c>
    </row>
    <row r="104" spans="1:2" x14ac:dyDescent="0.25">
      <c r="A104">
        <v>102</v>
      </c>
      <c r="B104">
        <v>76</v>
      </c>
    </row>
    <row r="105" spans="1:2" x14ac:dyDescent="0.25">
      <c r="A105">
        <v>103</v>
      </c>
      <c r="B105">
        <v>37</v>
      </c>
    </row>
    <row r="106" spans="1:2" x14ac:dyDescent="0.25">
      <c r="A106">
        <v>104</v>
      </c>
      <c r="B106">
        <v>17</v>
      </c>
    </row>
    <row r="107" spans="1:2" x14ac:dyDescent="0.25">
      <c r="A107">
        <v>105</v>
      </c>
      <c r="B107">
        <v>7</v>
      </c>
    </row>
    <row r="108" spans="1:2" x14ac:dyDescent="0.25">
      <c r="A108">
        <v>106</v>
      </c>
      <c r="B108">
        <v>2</v>
      </c>
    </row>
    <row r="109" spans="1:2" x14ac:dyDescent="0.25">
      <c r="A109">
        <v>107</v>
      </c>
      <c r="B109">
        <v>0</v>
      </c>
    </row>
    <row r="110" spans="1:2" x14ac:dyDescent="0.25">
      <c r="A110">
        <v>108</v>
      </c>
      <c r="B110">
        <v>0</v>
      </c>
    </row>
    <row r="111" spans="1:2" x14ac:dyDescent="0.25">
      <c r="A111">
        <v>109</v>
      </c>
      <c r="B111">
        <v>0</v>
      </c>
    </row>
    <row r="112" spans="1:2" x14ac:dyDescent="0.25">
      <c r="A112">
        <v>110</v>
      </c>
      <c r="B112">
        <v>0</v>
      </c>
    </row>
    <row r="113" spans="1:2" x14ac:dyDescent="0.25">
      <c r="A113">
        <v>111</v>
      </c>
      <c r="B1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Description du produit</vt:lpstr>
      <vt:lpstr>Formules</vt:lpstr>
      <vt:lpstr>SRD &amp; PM</vt:lpstr>
      <vt:lpstr>Embedded Value</vt:lpstr>
      <vt:lpstr>TD 88-90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ayoub bakraoui</dc:creator>
  <cp:lastModifiedBy>Ayoub Bakraoui</cp:lastModifiedBy>
  <cp:lastPrinted>2017-10-27T16:37:19Z</cp:lastPrinted>
  <dcterms:created xsi:type="dcterms:W3CDTF">2017-10-26T08:22:49Z</dcterms:created>
  <dcterms:modified xsi:type="dcterms:W3CDTF">2024-07-31T20:26:01Z</dcterms:modified>
</cp:coreProperties>
</file>