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 name="Sheet2" sheetId="2" r:id="rId2"/>
  </sheets>
</workbook>
</file>

<file path=xl/styles.xml><?xml version="1.0" encoding="utf-8"?>
<styleSheet xmlns="http://schemas.openxmlformats.org/spreadsheetml/2006/main" xmlns:vt="http://schemas.openxmlformats.org/officeDocument/2006/docPropsVTypes">
  <numFmts count="2">
    <numFmt numFmtId="56" formatCode="&quot;上午/下午 &quot;hh&quot;時&quot;mm&quot;分&quot;ss&quot;秒 &quot;"/>
    <numFmt numFmtId="164" formatCode="General"/>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AD124"/>
  <sheetViews>
    <sheetView workbookViewId="0"/>
  </sheetViews>
  <sheetData>
    <row r="1">
      <c r="B1" t="str">
        <v>name</v>
      </c>
      <c r="C1" t="str">
        <v>guiname</v>
      </c>
      <c r="D1" t="str">
        <v>slider</v>
      </c>
      <c r="E1" t="str">
        <v>description</v>
      </c>
      <c r="F1" t="str">
        <v>flags</v>
      </c>
      <c r="G1" t="str">
        <v>introduce</v>
      </c>
      <c r="H1" t="str">
        <v>cancel</v>
      </c>
      <c r="I1" t="str">
        <v>raise</v>
      </c>
      <c r="J1" t="str">
        <v>lower</v>
      </c>
      <c r="K1" t="str">
        <v>department</v>
      </c>
      <c r="L1" t="str">
        <v>mincost</v>
      </c>
      <c r="M1" t="str">
        <v>maxcost</v>
      </c>
      <c r="N1" t="str">
        <v>cost multiplier</v>
      </c>
      <c r="O1" t="str">
        <v>implementation</v>
      </c>
      <c r="P1" t="str">
        <v>minincome</v>
      </c>
      <c r="Q1" t="str">
        <v>maxincome</v>
      </c>
      <c r="R1" t="str">
        <v>incomemultiplier</v>
      </c>
    </row>
    <row r="2">
      <c r="A2" t="str">
        <v>#</v>
      </c>
      <c r="B2" t="str">
        <v>AdultEducationSubsidies</v>
      </c>
      <c r="C2" t="str">
        <v>Adult Education Subsidies</v>
      </c>
      <c r="D2" t="str">
        <v>default</v>
      </c>
      <c r="E2" t="str">
        <v>Adult education subsidies are a way to encourage people to re-train and continue their education after they have joined the workforce. This includes evening classes and distance learning resources. These schemes help to raise the overall educational level of the workforce.</v>
      </c>
      <c r="G2" t="str">
        <v>12</v>
      </c>
      <c r="H2" t="str">
        <v>18</v>
      </c>
      <c r="I2" t="str">
        <v>7</v>
      </c>
      <c r="J2" t="str">
        <v>7</v>
      </c>
      <c r="K2" t="str">
        <v>PUBLICSERVICES</v>
      </c>
      <c r="L2" t="str">
        <v>160</v>
      </c>
      <c r="M2" t="str">
        <v>300</v>
      </c>
      <c r="O2" t="str">
        <v>2</v>
      </c>
      <c r="P2" t="str">
        <v>0</v>
      </c>
      <c r="Q2" t="str">
        <v>0</v>
      </c>
      <c r="S2" t="str">
        <v>#Effects</v>
      </c>
      <c r="T2" t="str">
        <v>Education,0.04+(0.04*x),4</v>
      </c>
      <c r="U2" t="str">
        <v>WorkerProductivity,0.02+(0.02*x),4</v>
      </c>
    </row>
    <row r="3">
      <c r="A3" t="str">
        <v>#</v>
      </c>
      <c r="B3" t="str">
        <v>AgricultureSubsidies</v>
      </c>
      <c r="C3" t="str">
        <v>Agriculture Subsidies</v>
      </c>
      <c r="D3" t="str">
        <v>default</v>
      </c>
      <c r="E3" t="str">
        <v>For strategic reasons some governments are happy to pay subsidies to farmers to ensure the security of the nation's food supply. This goes against free market economics and can also be very expensive, but it does safeguard jobs (and votes) in agricultural communities.</v>
      </c>
      <c r="G3" t="str">
        <v>15</v>
      </c>
      <c r="H3" t="str">
        <v>24</v>
      </c>
      <c r="I3" t="str">
        <v>10</v>
      </c>
      <c r="J3" t="str">
        <v>10</v>
      </c>
      <c r="K3" t="str">
        <v>ECONOMY</v>
      </c>
      <c r="L3" t="str">
        <v>120</v>
      </c>
      <c r="M3" t="str">
        <v>2800</v>
      </c>
      <c r="O3" t="str">
        <v>4</v>
      </c>
      <c r="P3" t="str">
        <v>0</v>
      </c>
      <c r="Q3" t="str">
        <v>0</v>
      </c>
      <c r="S3" t="str">
        <v>#Effects</v>
      </c>
      <c r="T3" t="str">
        <v>Capitalist,0.00-(0.08*x)</v>
      </c>
      <c r="U3" t="str">
        <v>Unemployment,0.00-(0.17*x)</v>
      </c>
      <c r="V3" t="str">
        <v>Farmers,0.10+(0.50*x)</v>
      </c>
      <c r="W3" t="str">
        <v>Farmers_freq,0.02+(0.18*x),4</v>
      </c>
      <c r="X3" t="str">
        <v>Farmers_income,0+(0.35*x)</v>
      </c>
      <c r="Y3" t="str">
        <v>Health,0-(0.04*x),4</v>
      </c>
    </row>
    <row r="4">
      <c r="A4" t="str">
        <v>#</v>
      </c>
      <c r="B4" t="str">
        <v>AirlineTax</v>
      </c>
      <c r="C4" t="str">
        <v>Airline Tax</v>
      </c>
      <c r="D4" t="str">
        <v>tax</v>
      </c>
      <c r="E4" t="str">
        <v>Airline fuel has generally not been subject to taxation. Supporters of air fuel taxes insist that this results in an unfair subsidy on an environmentally destructive form of transport. The airlines point out that taxing airline fuel will just encourage them to refuel elsewhere thereby diverting funds from our economy.</v>
      </c>
      <c r="G4" t="str">
        <v>28</v>
      </c>
      <c r="H4" t="str">
        <v>15</v>
      </c>
      <c r="I4" t="str">
        <v>13</v>
      </c>
      <c r="J4" t="str">
        <v>7</v>
      </c>
      <c r="K4" t="str">
        <v>TAX</v>
      </c>
      <c r="L4" t="str">
        <v>0</v>
      </c>
      <c r="M4" t="str">
        <v>0</v>
      </c>
      <c r="O4" t="str">
        <v>1</v>
      </c>
      <c r="P4" t="str">
        <v>115</v>
      </c>
      <c r="Q4" t="str">
        <v>7015</v>
      </c>
      <c r="R4" t="str">
        <v>AirTravel,0+(1.0*x)</v>
      </c>
      <c r="S4" t="str">
        <v>#Effects</v>
      </c>
      <c r="T4" t="str">
        <v>Capitalist,0.00-(0.06*x)</v>
      </c>
      <c r="U4" t="str">
        <v>Environmentalist,0.05+(0.10*x)</v>
      </c>
      <c r="V4" t="str">
        <v>GDP,0.00-(0.05*x),2</v>
      </c>
      <c r="W4" t="str">
        <v>AirTravel,0-(0.3*x),4</v>
      </c>
      <c r="X4" t="str">
        <v>_MiddleIncome,0-(0.02*x)</v>
      </c>
    </row>
    <row r="5">
      <c r="A5" t="str">
        <v>#</v>
      </c>
      <c r="B5" t="str">
        <v>AlcoholLaw</v>
      </c>
      <c r="C5" t="str">
        <v>Alcohol Law</v>
      </c>
      <c r="D5" t="str">
        <v>alcohollaw</v>
      </c>
      <c r="E5" t="str">
        <v>There is ample evidence that excessive consumption of alcohol can lead to health problems and even premature death. However, some people object to the state interfering in an individual's right to choose what he/she drinks. There is also the complication that the government can make a lot of money by taxing alcohol.</v>
      </c>
      <c r="F5" t="str">
        <v>UNCANCELLABLE</v>
      </c>
      <c r="G5" t="str">
        <v>21</v>
      </c>
      <c r="H5" t="str">
        <v>12</v>
      </c>
      <c r="I5" t="str">
        <v>13</v>
      </c>
      <c r="J5" t="str">
        <v>9</v>
      </c>
      <c r="K5" t="str">
        <v>LAWANDORDER</v>
      </c>
      <c r="L5" t="str">
        <v>0</v>
      </c>
      <c r="M5" t="str">
        <v>0</v>
      </c>
      <c r="O5" t="str">
        <v>1</v>
      </c>
      <c r="P5" t="str">
        <v>0</v>
      </c>
      <c r="Q5" t="str">
        <v>0</v>
      </c>
      <c r="S5" t="str">
        <v>#Effects</v>
      </c>
      <c r="T5" t="str">
        <v>Liberal,0.20-(0.40*x)</v>
      </c>
      <c r="U5" t="str">
        <v>AlcoholConsumption,0.5-(1.0*x),4</v>
      </c>
      <c r="W5" t="str">
        <v>ViolentCrimeRate,0.05-(0.11*x)</v>
      </c>
      <c r="X5" t="str">
        <v>Young,-0.2*(x^2)</v>
      </c>
    </row>
    <row r="6">
      <c r="A6" t="str">
        <v>#</v>
      </c>
      <c r="B6" t="str">
        <v>AlcoholTax</v>
      </c>
      <c r="C6" t="str">
        <v>Alcohol Tax</v>
      </c>
      <c r="D6" t="str">
        <v>tax</v>
      </c>
      <c r="E6" t="str">
        <v>Medically there is a clear case for the government to tax alcohol in order to discourage consumption because of its negative effects on health and its possible links to social breakdown. On the other hand, those who drink socially see the government benefiting from such a tax to be hypocritical.</v>
      </c>
      <c r="G6" t="str">
        <v>30</v>
      </c>
      <c r="H6" t="str">
        <v>9</v>
      </c>
      <c r="I6" t="str">
        <v>9</v>
      </c>
      <c r="J6" t="str">
        <v>4</v>
      </c>
      <c r="K6" t="str">
        <v>TAX</v>
      </c>
      <c r="L6" t="str">
        <v>0</v>
      </c>
      <c r="M6" t="str">
        <v>0</v>
      </c>
      <c r="O6" t="str">
        <v>1</v>
      </c>
      <c r="P6" t="str">
        <v>0</v>
      </c>
      <c r="Q6" t="str">
        <v>8050</v>
      </c>
      <c r="R6" t="str">
        <v>AlcoholConsumption,0+(1.0*x)</v>
      </c>
      <c r="S6" t="str">
        <v>#Effects</v>
      </c>
      <c r="T6" t="str">
        <v>Poor,0-(0.2*x)</v>
      </c>
      <c r="U6" t="str">
        <v>PovertyRate,0+(0.2*x)</v>
      </c>
      <c r="V6" t="str">
        <v>Equality,0-(0.1*x)</v>
      </c>
      <c r="W6" t="str">
        <v>AlcoholConsumption,0-(0.4*x),2</v>
      </c>
    </row>
    <row r="7">
      <c r="A7" t="str">
        <v>#</v>
      </c>
      <c r="B7" t="str">
        <v>ArmedPolice</v>
      </c>
      <c r="C7" t="str">
        <v>Armed Police</v>
      </c>
      <c r="D7" t="str">
        <v>armedpolice</v>
      </c>
      <c r="E7" t="str">
        <v>Arming police officers can be an effective strategy in deterring crime and maintaining order. Opponents would argue that it encourages criminals to use firearms in a 'criminal arms race'. Critics also worry that arming the police will distance them from law-abiding citizens.</v>
      </c>
      <c r="G7" t="str">
        <v>50</v>
      </c>
      <c r="H7" t="str">
        <v>48</v>
      </c>
      <c r="I7" t="str">
        <v>10</v>
      </c>
      <c r="J7" t="str">
        <v>19</v>
      </c>
      <c r="K7" t="str">
        <v>LAWANDORDER</v>
      </c>
      <c r="L7" t="str">
        <v>300</v>
      </c>
      <c r="M7" t="str">
        <v>960</v>
      </c>
      <c r="O7" t="str">
        <v>3</v>
      </c>
      <c r="P7" t="str">
        <v>0</v>
      </c>
      <c r="Q7" t="str">
        <v>0</v>
      </c>
      <c r="S7" t="str">
        <v>#Effects</v>
      </c>
      <c r="T7" t="str">
        <v>Liberal,-0.05-(0.25*x)</v>
      </c>
      <c r="U7" t="str">
        <v>CrimeRate,-0.10-(0.10*x)</v>
      </c>
      <c r="V7" t="str">
        <v>ViolentCrimeRate,0.00-(0.20*x)</v>
      </c>
      <c r="X7" t="str">
        <v>_security_,(0.025+0.035*x)</v>
      </c>
    </row>
    <row r="8">
      <c r="A8" t="str">
        <v>#</v>
      </c>
      <c r="B8" t="str">
        <v>BanSundayShopping</v>
      </c>
      <c r="C8" t="str">
        <v>Ban Sunday Shopping</v>
      </c>
      <c r="D8" t="str">
        <v>default</v>
      </c>
      <c r="E8" t="str">
        <v>The Christian religion generally recognizes the 'Sabbath' as a 'day of rest' and many religious people believe that there should be no shopping carried out on that day. Some trade unions also believe that an enforced day of rest prevents its members being exploited.</v>
      </c>
      <c r="G8" t="str">
        <v>36</v>
      </c>
      <c r="H8" t="str">
        <v>21</v>
      </c>
      <c r="I8" t="str">
        <v>15</v>
      </c>
      <c r="J8" t="str">
        <v>10</v>
      </c>
      <c r="K8" t="str">
        <v>ECONOMY</v>
      </c>
      <c r="L8" t="str">
        <v>0</v>
      </c>
      <c r="M8" t="str">
        <v>0</v>
      </c>
      <c r="O8" t="str">
        <v>1</v>
      </c>
      <c r="P8" t="str">
        <v>0</v>
      </c>
      <c r="Q8" t="str">
        <v>0</v>
      </c>
      <c r="S8" t="str">
        <v>#Effects</v>
      </c>
      <c r="T8" t="str">
        <v>Religious,0.12+(0*x)</v>
      </c>
      <c r="U8" t="str">
        <v>Liberal,-0.08+(0*x)</v>
      </c>
      <c r="V8" t="str">
        <v>GDP,-0.02+(0*x)</v>
      </c>
      <c r="W8" t="str">
        <v>TradeUnionist,0.06+(0*x)</v>
      </c>
    </row>
    <row r="9">
      <c r="A9" t="str">
        <v>#</v>
      </c>
      <c r="B9" t="str">
        <v>BiofuelSubsidies</v>
      </c>
      <c r="C9" t="str">
        <v>Biofuel Subsidies</v>
      </c>
      <c r="D9" t="str">
        <v>default</v>
      </c>
      <c r="E9" t="str">
        <v>Biofuels can reduce oil demand, by mixing ethanol derived from corn with petro-chemical fuel. This is generally popular with environmentalists. Farmers who earn money producing corn for biofuel use also benefit. Biofuels with a higher mix of ethanol can be subsidized through tax breaks.</v>
      </c>
      <c r="G9" t="str">
        <v>10</v>
      </c>
      <c r="H9" t="str">
        <v>16</v>
      </c>
      <c r="I9" t="str">
        <v>7</v>
      </c>
      <c r="J9" t="str">
        <v>8</v>
      </c>
      <c r="K9" t="str">
        <v>TRANSPORT</v>
      </c>
      <c r="L9" t="str">
        <v>5</v>
      </c>
      <c r="M9" t="str">
        <v>700</v>
      </c>
      <c r="N9" t="str">
        <v>CarUsage,0+(1.0*x)</v>
      </c>
      <c r="O9" t="str">
        <v>2</v>
      </c>
      <c r="P9" t="str">
        <v>0</v>
      </c>
      <c r="Q9" t="str">
        <v>0</v>
      </c>
      <c r="S9" t="str">
        <v>#Effects</v>
      </c>
      <c r="T9" t="str">
        <v>OilDemand,0-(0.12*x),8</v>
      </c>
      <c r="U9" t="str">
        <v>Environmentalist,0.02+(0.06*x)</v>
      </c>
      <c r="V9" t="str">
        <v>Farmers,0.05+(0.10*x),4</v>
      </c>
      <c r="W9" t="str">
        <v>Motorist,0.02+(0.02*x)</v>
      </c>
      <c r="X9" t="str">
        <v>Farmers_freq,0.02+(0.05*x),4</v>
      </c>
      <c r="Y9" t="str">
        <v>Farmers_income,0+(0.09*x)</v>
      </c>
    </row>
    <row r="10">
      <c r="A10" t="str">
        <v>#</v>
      </c>
      <c r="B10" t="str">
        <v>BorderControls</v>
      </c>
      <c r="C10" t="str">
        <v>Border Controls</v>
      </c>
      <c r="D10" t="str">
        <v>bordercontrols</v>
      </c>
      <c r="E10" t="str">
        <v>Without some kind of customs checks at the borders, your country is open to the problem of mass illegal immigration. Some people argue that these immigrants cause crime, others that they take jobs away from your own citizens. Border controls can be effective in reducing illegal immigration.</v>
      </c>
      <c r="F10" t="str">
        <v>UNCANCELLABLE</v>
      </c>
      <c r="G10" t="str">
        <v>25</v>
      </c>
      <c r="H10" t="str">
        <v>25</v>
      </c>
      <c r="I10" t="str">
        <v>18</v>
      </c>
      <c r="J10" t="str">
        <v>13</v>
      </c>
      <c r="K10" t="str">
        <v>FOREIGNPOLICY</v>
      </c>
      <c r="L10" t="str">
        <v>10</v>
      </c>
      <c r="M10" t="str">
        <v>280</v>
      </c>
      <c r="O10" t="str">
        <v>1</v>
      </c>
      <c r="P10" t="str">
        <v>0</v>
      </c>
      <c r="Q10" t="str">
        <v>0</v>
      </c>
      <c r="S10" t="str">
        <v>#Effects</v>
      </c>
      <c r="T10" t="str">
        <v>Patriot,0+(0.30*x)</v>
      </c>
      <c r="U10" t="str">
        <v>Liberal,0-(0.225*x)</v>
      </c>
      <c r="V10" t="str">
        <v>Immigration,0-(0.8*x),2</v>
      </c>
      <c r="W10" t="str">
        <v>_Terrorism,0-(0.1*x)</v>
      </c>
      <c r="X10" t="str">
        <v>EthnicMinorities,0.00-(0.42*x)</v>
      </c>
    </row>
    <row r="11">
      <c r="A11" t="str">
        <v>#</v>
      </c>
      <c r="B11" t="str">
        <v>BusLanes</v>
      </c>
      <c r="C11" t="str">
        <v>Bus Lanes</v>
      </c>
      <c r="D11" t="str">
        <v>default</v>
      </c>
      <c r="E11" t="str">
        <v>Setting aside specific lanes of a road for use only by buses (and perhaps taxis and motorbikes) is one way to get traffic flowing faster and avoid congestion. It also shortens journey times for public transport and therefore encourages usage. There are noticeable costs involved in setting up such schemes, and motorists can be annoyed if the bus lanes seem empty while they remain stuck in traffic.</v>
      </c>
      <c r="G11" t="str">
        <v>10</v>
      </c>
      <c r="H11" t="str">
        <v>10</v>
      </c>
      <c r="I11" t="str">
        <v>7</v>
      </c>
      <c r="J11" t="str">
        <v>4</v>
      </c>
      <c r="K11" t="str">
        <v>TRANSPORT</v>
      </c>
      <c r="L11" t="str">
        <v>100</v>
      </c>
      <c r="M11" t="str">
        <v>220</v>
      </c>
      <c r="O11" t="str">
        <v>2</v>
      </c>
      <c r="P11" t="str">
        <v>0</v>
      </c>
      <c r="Q11" t="str">
        <v>0</v>
      </c>
      <c r="S11" t="str">
        <v>#Effects</v>
      </c>
      <c r="T11" t="str">
        <v>Commuter,0.05+(0.17*x)</v>
      </c>
      <c r="U11" t="str">
        <v>Motorist,0.00-(0.25*x)</v>
      </c>
      <c r="V11" t="str">
        <v>BusUsage,0.05+(0.2*x),2</v>
      </c>
    </row>
    <row r="12">
      <c r="A12" t="str">
        <v>#</v>
      </c>
      <c r="B12" t="str">
        <v>BusSubsidies</v>
      </c>
      <c r="C12" t="str">
        <v>Bus Subsidies</v>
      </c>
      <c r="D12" t="str">
        <v>default</v>
      </c>
      <c r="E12" t="str">
        <v>Traffic congestion and pollution can be reduced by encouraging people to travel by bus instead of car. It can be an expensive option though, and some motorists may resent a transport system they do not use being subsidized.</v>
      </c>
      <c r="G12" t="str">
        <v>10</v>
      </c>
      <c r="H12" t="str">
        <v>18</v>
      </c>
      <c r="I12" t="str">
        <v>7</v>
      </c>
      <c r="J12" t="str">
        <v>7</v>
      </c>
      <c r="K12" t="str">
        <v>TRANSPORT</v>
      </c>
      <c r="L12" t="str">
        <v>125</v>
      </c>
      <c r="M12" t="str">
        <v>1552</v>
      </c>
      <c r="O12" t="str">
        <v>6</v>
      </c>
      <c r="P12" t="str">
        <v>0</v>
      </c>
      <c r="Q12" t="str">
        <v>0</v>
      </c>
      <c r="S12" t="str">
        <v>#Effects</v>
      </c>
      <c r="T12" t="str">
        <v>Commuter,0.10+(0.34*x)</v>
      </c>
      <c r="U12" t="str">
        <v>Motorist,0.00-(0.15*x)</v>
      </c>
      <c r="V12" t="str">
        <v>BusUsage,0.00+(0.32*x),2</v>
      </c>
      <c r="W12" t="str">
        <v>_LowIncome,0+(0.07*x)</v>
      </c>
      <c r="X12" t="str">
        <v>Commuter_income,0+(0.07*x)</v>
      </c>
      <c r="Y12" t="str">
        <v>Commuter_freq,0+(0.12*x),4</v>
      </c>
      <c r="Z12" t="str">
        <v>Capitalist,-0-(0.06*x)</v>
      </c>
      <c r="AA12" t="str">
        <v>Unemployment,0-(0.01*x)</v>
      </c>
    </row>
    <row r="13">
      <c r="A13" t="str">
        <v>#</v>
      </c>
      <c r="B13" t="str">
        <v>CarbonTax</v>
      </c>
      <c r="C13" t="str">
        <v>Carbon Tax</v>
      </c>
      <c r="D13" t="str">
        <v>tax</v>
      </c>
      <c r="E13" t="str">
        <v>A carbon tax is a tax levied on all emissions of Carbon Dioxide, thought to be the main cause of climate change. The tax is effectively a pollution tax, and a way to make those individuals and industries who contribute to climate change pay for the damage they cause or to reduce emissions. Obviously the tax is popular with environmentalists, and can also lead to a more energy efficient economy.</v>
      </c>
      <c r="G13" t="str">
        <v>39</v>
      </c>
      <c r="H13" t="str">
        <v>21</v>
      </c>
      <c r="I13" t="str">
        <v>12</v>
      </c>
      <c r="J13" t="str">
        <v>8</v>
      </c>
      <c r="K13" t="str">
        <v>TAX</v>
      </c>
      <c r="L13" t="str">
        <v>0</v>
      </c>
      <c r="M13" t="str">
        <v>0</v>
      </c>
      <c r="O13" t="str">
        <v>2</v>
      </c>
      <c r="P13" t="str">
        <v>1150</v>
      </c>
      <c r="Q13" t="str">
        <v>31510</v>
      </c>
      <c r="R13" t="str">
        <v>CO2Emissions,0.5+(1.0*x)</v>
      </c>
      <c r="S13" t="str">
        <v>#Effects</v>
      </c>
      <c r="T13" t="str">
        <v>CO2Emissions,0-(0.5*x),8</v>
      </c>
      <c r="U13" t="str">
        <v>GDP,-0.25*(x^2),4</v>
      </c>
      <c r="V13" t="str">
        <v>Environmentalist,0.1+(0.1*x)</v>
      </c>
      <c r="W13" t="str">
        <v>EnergyEfficiency,0+(0.25*x),8</v>
      </c>
      <c r="X13" t="str">
        <v>_All_,0-(0.25*x)</v>
      </c>
      <c r="Y13" t="str">
        <v>AirTravel,0-(0.28*x),2</v>
      </c>
      <c r="Z13" t="str">
        <v>Capitalist,0.02-(0.11*x)</v>
      </c>
    </row>
    <row r="14">
      <c r="A14" t="str">
        <v>#</v>
      </c>
      <c r="B14" t="str">
        <v>CarEmmissionsLimits</v>
      </c>
      <c r="C14" t="str">
        <v>Car Emission Limits</v>
      </c>
      <c r="D14" t="str">
        <v>default</v>
      </c>
      <c r="E14" t="str">
        <v>Setting legal limits on exhaust fumes helps to reduce air pollution, especially in cities, but it's unpopular with motorists who look upon it as yet more bureaucracy and tax.</v>
      </c>
      <c r="G14" t="str">
        <v>13</v>
      </c>
      <c r="H14" t="str">
        <v>18</v>
      </c>
      <c r="I14" t="str">
        <v>6</v>
      </c>
      <c r="J14" t="str">
        <v>4</v>
      </c>
      <c r="K14" t="str">
        <v>TRANSPORT</v>
      </c>
      <c r="L14" t="str">
        <v>0</v>
      </c>
      <c r="M14" t="str">
        <v>80</v>
      </c>
      <c r="O14" t="str">
        <v>5</v>
      </c>
      <c r="P14" t="str">
        <v>0</v>
      </c>
      <c r="Q14" t="str">
        <v>0</v>
      </c>
      <c r="S14" t="str">
        <v>#Effects</v>
      </c>
      <c r="T14" t="str">
        <v>Motorist,0-(0.1*x)</v>
      </c>
      <c r="U14" t="str">
        <v>Environmentalist,0.04+(0.05*x)</v>
      </c>
      <c r="V14" t="str">
        <v>Environment,0+(0.23*x),16</v>
      </c>
      <c r="W14" t="str">
        <v>CarUsage,-0.01-(0.02*x),4</v>
      </c>
      <c r="X14" t="str">
        <v>CO2Emissions,-0.02-(0.08*x),16</v>
      </c>
      <c r="Y14" t="str">
        <v>Motorist_income,0-(0.06*x)</v>
      </c>
    </row>
    <row r="15">
      <c r="A15" t="str">
        <v>#</v>
      </c>
      <c r="B15" t="str">
        <v>CarTax</v>
      </c>
      <c r="C15" t="str">
        <v>Car Tax</v>
      </c>
      <c r="D15" t="str">
        <v>default</v>
      </c>
      <c r="E15" t="str">
        <v>Taxing the ownership of all motor vehicles is one way to persuade people to use alternative forms of transport. It can be argued however, that such a  system increases the fixed costs of car ownership, encouraging people to use a car more once they have gone to the trouble of taxing it. There is also an argument that this is a tax that unfairly hits the poor and people in rural communities where a car is a necessity.</v>
      </c>
      <c r="F15" t="str">
        <v>MULTIPLYINCOME</v>
      </c>
      <c r="G15" t="str">
        <v>38</v>
      </c>
      <c r="H15" t="str">
        <v>18</v>
      </c>
      <c r="I15" t="str">
        <v>18</v>
      </c>
      <c r="J15" t="str">
        <v>7</v>
      </c>
      <c r="K15" t="str">
        <v>TAX</v>
      </c>
      <c r="L15" t="str">
        <v>0</v>
      </c>
      <c r="M15" t="str">
        <v>0</v>
      </c>
      <c r="O15" t="str">
        <v>1</v>
      </c>
      <c r="P15" t="str">
        <v>115</v>
      </c>
      <c r="Q15" t="str">
        <v>7435.9</v>
      </c>
      <c r="R15" t="str">
        <v>CarUsage,0+(1.0*x);TaxEvasion,1.0-(0.2*x)</v>
      </c>
      <c r="S15" t="str">
        <v>#Effects</v>
      </c>
      <c r="T15" t="str">
        <v>CarUsage,0.00-(0.14*x),6</v>
      </c>
      <c r="U15" t="str">
        <v>_MiddleIncome,0-(0.05*x)</v>
      </c>
      <c r="V15" t="str">
        <v>Motorist,-0.05-(0.15*x)</v>
      </c>
      <c r="W15" t="str">
        <v>Environmentalist,0.05+(0.05*x)</v>
      </c>
      <c r="X15" t="str">
        <v>Motorist_freq,-0.1-(0.2*x)</v>
      </c>
      <c r="Y15" t="str">
        <v>Motorist_income,0-(0.08*x)</v>
      </c>
      <c r="Z15" t="str">
        <v>Farmers,-0.03-(0.03*x)</v>
      </c>
    </row>
    <row r="16">
      <c r="A16" t="str">
        <v>#</v>
      </c>
      <c r="B16" t="str">
        <v>CCTVCameras</v>
      </c>
      <c r="C16" t="str">
        <v>CCTV Cameras</v>
      </c>
      <c r="D16" t="str">
        <v>cctv</v>
      </c>
      <c r="E16" t="str">
        <v>CCTV cameras can be a great help in catching criminals and cameras also deter crime.  The installation costs are extremely high, and there are concerns about civil rights from people who don't like to feel that the government is constantly watching them.</v>
      </c>
      <c r="G16" t="str">
        <v>28</v>
      </c>
      <c r="H16" t="str">
        <v>28</v>
      </c>
      <c r="I16" t="str">
        <v>9</v>
      </c>
      <c r="J16" t="str">
        <v>7</v>
      </c>
      <c r="K16" t="str">
        <v>LAWANDORDER</v>
      </c>
      <c r="L16" t="str">
        <v>400</v>
      </c>
      <c r="M16" t="str">
        <v>720</v>
      </c>
      <c r="O16" t="str">
        <v>2</v>
      </c>
      <c r="P16" t="str">
        <v>0</v>
      </c>
      <c r="Q16" t="str">
        <v>0</v>
      </c>
      <c r="S16" t="str">
        <v>#Effects</v>
      </c>
      <c r="T16" t="str">
        <v>Liberal,-0.075-(0.135*x)</v>
      </c>
      <c r="U16" t="str">
        <v>CrimeRate,-0.16*(x^0.4),4</v>
      </c>
      <c r="V16" t="str">
        <v>ViolentCrimeRate,-0.10-(0.20*x),3</v>
      </c>
      <c r="W16" t="str">
        <v>Conservatives,0.10+(0.14*x)</v>
      </c>
      <c r="X16" t="str">
        <v>_security_,(0.025+0.038*x)</v>
      </c>
    </row>
    <row r="17">
      <c r="A17" t="str">
        <v>#</v>
      </c>
      <c r="B17" t="str">
        <v>ChildBenefit</v>
      </c>
      <c r="C17" t="str">
        <v>Child Benefit</v>
      </c>
      <c r="D17" t="str">
        <v>default</v>
      </c>
      <c r="E17" t="str">
        <v xml:space="preserve">A fixed payment made by the state directly to parents to assist in the cost of bringing up children. Popular with parents for obvious reasons, and the poor who see it as a redistributive tax, but capitalists are opposed to such an unnecessary level of interference by government. </v>
      </c>
      <c r="G17" t="str">
        <v>18</v>
      </c>
      <c r="H17" t="str">
        <v>22</v>
      </c>
      <c r="I17" t="str">
        <v>9</v>
      </c>
      <c r="J17" t="str">
        <v>10</v>
      </c>
      <c r="K17" t="str">
        <v>WELFARE</v>
      </c>
      <c r="L17" t="str">
        <v>400</v>
      </c>
      <c r="M17" t="str">
        <v>4320</v>
      </c>
      <c r="O17" t="str">
        <v>2</v>
      </c>
      <c r="P17" t="str">
        <v>0</v>
      </c>
      <c r="Q17" t="str">
        <v>0</v>
      </c>
      <c r="S17" t="str">
        <v>#Effects</v>
      </c>
      <c r="T17" t="str">
        <v>Capitalist,-0.05-(0.02*x)</v>
      </c>
      <c r="U17" t="str">
        <v>Poor,0.05+(0.04*x)</v>
      </c>
      <c r="V17" t="str">
        <v>Equality,0.05+(0.15*x)</v>
      </c>
      <c r="W17" t="str">
        <v>Parents,0+(0.23*x)</v>
      </c>
      <c r="X17" t="str">
        <v>Liberal,0.05+(0.12*x)</v>
      </c>
      <c r="Y17" t="str">
        <v>Parents_freq,0.025+(0.05*x),2</v>
      </c>
      <c r="Z17" t="str">
        <v>_LowIncome,0+(0.07*x)</v>
      </c>
      <c r="AA17" t="str">
        <v>Parents_income,0+(0.05*x)</v>
      </c>
    </row>
    <row r="18">
      <c r="A18" t="str">
        <v>#</v>
      </c>
      <c r="B18" t="str">
        <v>ChildcareProvision</v>
      </c>
      <c r="C18" t="str">
        <v>Childcare Provision</v>
      </c>
      <c r="D18" t="str">
        <v>default</v>
      </c>
      <c r="E18" t="str">
        <v>By giving state subsidies for childcare, we can ensure more parents return to the workforce after having children, and therefore benefit the economy. Although this can be expensive, and is also a distortion of the market, it is popular with parents.</v>
      </c>
      <c r="G18" t="str">
        <v>16</v>
      </c>
      <c r="H18" t="str">
        <v>21</v>
      </c>
      <c r="I18" t="str">
        <v>7</v>
      </c>
      <c r="J18" t="str">
        <v>10</v>
      </c>
      <c r="K18" t="str">
        <v>WELFARE</v>
      </c>
      <c r="L18" t="str">
        <v>400</v>
      </c>
      <c r="M18" t="str">
        <v>5020</v>
      </c>
      <c r="N18" t="str">
        <v>GDP,0.4+(0.6*x)</v>
      </c>
      <c r="O18" t="str">
        <v>1</v>
      </c>
      <c r="P18" t="str">
        <v>0</v>
      </c>
      <c r="Q18" t="str">
        <v>0</v>
      </c>
      <c r="S18" t="str">
        <v>#Effects</v>
      </c>
      <c r="T18" t="str">
        <v>Parents,0.05+(0.06*x)</v>
      </c>
      <c r="U18" t="str">
        <v>Capitalist,-0.03-(0.02*x)</v>
      </c>
      <c r="V18" t="str">
        <v>WorkerProductivity,0.02+(0.08*x),2</v>
      </c>
      <c r="W18" t="str">
        <v>Parents_freq,0.025+(0.045*x),2</v>
      </c>
      <c r="X18" t="str">
        <v>Parents_income,0+(0.03*x)</v>
      </c>
      <c r="Y18" t="str">
        <v>Unemployment,-0.01-(0.11*x)</v>
      </c>
    </row>
    <row r="19">
      <c r="A19" t="str">
        <v>#</v>
      </c>
      <c r="B19" t="str">
        <v>CitizenshipTests</v>
      </c>
      <c r="C19" t="str">
        <v>Citizenship Tests</v>
      </c>
      <c r="D19" t="str">
        <v>default</v>
      </c>
      <c r="E19" t="str">
        <v>Citizenship tests are a way of ensuring that people migrating to our country have a demonstrable understanding of our culture and history. This lessens the chances of a clash of cultures for newcomers to the country, encourages integration and reassures patriotic members of society that they need not fear immigration.</v>
      </c>
      <c r="G19" t="str">
        <v>25</v>
      </c>
      <c r="H19" t="str">
        <v>25</v>
      </c>
      <c r="I19" t="str">
        <v>7</v>
      </c>
      <c r="J19" t="str">
        <v>4</v>
      </c>
      <c r="K19" t="str">
        <v>FOREIGNPOLICY</v>
      </c>
      <c r="L19" t="str">
        <v>10</v>
      </c>
      <c r="M19" t="str">
        <v>50</v>
      </c>
      <c r="N19" t="str">
        <v>Immigration,0+(1.0*x)</v>
      </c>
      <c r="O19" t="str">
        <v>2</v>
      </c>
      <c r="P19" t="str">
        <v>0</v>
      </c>
      <c r="Q19" t="str">
        <v>0</v>
      </c>
      <c r="S19" t="str">
        <v>#Effects</v>
      </c>
      <c r="T19" t="str">
        <v>Patriot,0.1+(0.16*x)</v>
      </c>
      <c r="U19" t="str">
        <v>RacialTension,-0.1-(0.22*x),6</v>
      </c>
      <c r="V19" t="str">
        <v>Patriot_freq,0.02+(0.04*x),4</v>
      </c>
      <c r="W19" t="str">
        <v>Immigration,-0.05-(0.1*x)</v>
      </c>
      <c r="X19" t="str">
        <v>Liberal,-0.02-(0.03*x)</v>
      </c>
      <c r="Y19" t="str">
        <v>EthnicMinorities,-0.02-(0.03*x)</v>
      </c>
    </row>
    <row r="20">
      <c r="A20" t="str">
        <v>#</v>
      </c>
      <c r="B20" t="str">
        <v>CleanEnergySubsidies</v>
      </c>
      <c r="C20" t="str">
        <v>Clean Energy Subsidies</v>
      </c>
      <c r="D20" t="str">
        <v>default</v>
      </c>
      <c r="E20" t="str">
        <v>Renewable energy might not be ultra efficient yet, but there is an argument for investing heavily in it now so as to strategically prepare our country for a future without fossil fuels. Environmentalists are happy for obvious reasons, but capitalists see it as an unwelcome distortion of the energy market.</v>
      </c>
      <c r="G20" t="str">
        <v>2</v>
      </c>
      <c r="H20" t="str">
        <v>13</v>
      </c>
      <c r="I20" t="str">
        <v>1</v>
      </c>
      <c r="J20" t="str">
        <v>7</v>
      </c>
      <c r="K20" t="str">
        <v>ECONOMY</v>
      </c>
      <c r="L20" t="str">
        <v>590</v>
      </c>
      <c r="M20" t="str">
        <v>1560</v>
      </c>
      <c r="N20" t="str">
        <v>GDP,0.2+(0.8*x)</v>
      </c>
      <c r="O20" t="str">
        <v>8</v>
      </c>
      <c r="P20" t="str">
        <v>0</v>
      </c>
      <c r="Q20" t="str">
        <v>0</v>
      </c>
      <c r="S20" t="str">
        <v>#Effects</v>
      </c>
      <c r="T20" t="str">
        <v>Environmentalist,0.05+(0.11*x)</v>
      </c>
      <c r="U20" t="str">
        <v>Capitalist,-0.02-(0.05*x)</v>
      </c>
      <c r="V20" t="str">
        <v>Environment,0.1+(0.14*x),8</v>
      </c>
      <c r="W20" t="str">
        <v>EnergyEfficiency,0.01+(0.25*x),4</v>
      </c>
      <c r="X20" t="str">
        <v>CO2Emissions,-0.02-(0.13*x),12</v>
      </c>
    </row>
    <row r="21">
      <c r="A21" t="str">
        <v>#</v>
      </c>
      <c r="B21" t="str">
        <v>CleanFuelSubsidy</v>
      </c>
      <c r="C21" t="str">
        <v>Clean Fuel Subsidy</v>
      </c>
      <c r="D21" t="str">
        <v>default</v>
      </c>
      <c r="E21" t="str">
        <v>A Subsidy for cleaner fuels such as Ultra-Low Sulfur fuel in an effort to reduce the environmental impact of motoring. The subsidy will reduce the costs of fitting catalytic converters to older cars, and provide an incentive at the  pump to choose less damaging fuels.</v>
      </c>
      <c r="G21" t="str">
        <v>14</v>
      </c>
      <c r="H21" t="str">
        <v>18</v>
      </c>
      <c r="I21" t="str">
        <v>6</v>
      </c>
      <c r="J21" t="str">
        <v>7</v>
      </c>
      <c r="K21" t="str">
        <v>TRANSPORT</v>
      </c>
      <c r="L21" t="str">
        <v>120</v>
      </c>
      <c r="M21" t="str">
        <v>320</v>
      </c>
      <c r="N21" t="str">
        <v>CarUsage,0+(1.0*x)</v>
      </c>
      <c r="O21" t="str">
        <v>1</v>
      </c>
      <c r="P21" t="str">
        <v>0</v>
      </c>
      <c r="Q21" t="str">
        <v>0</v>
      </c>
      <c r="S21" t="str">
        <v>#Effects</v>
      </c>
      <c r="T21" t="str">
        <v>Environment,0.00+(0.07*x),8</v>
      </c>
      <c r="U21" t="str">
        <v>Environmentalist,0.04+(0.10*x)</v>
      </c>
      <c r="V21" t="str">
        <v>Motorist,0.02+(0.02*x)</v>
      </c>
      <c r="W21" t="str">
        <v>Motorist_income,0.02+(0.08*x)</v>
      </c>
    </row>
    <row r="22">
      <c r="A22" t="str">
        <v>#</v>
      </c>
      <c r="B22" t="str">
        <v>CommunityPolicing</v>
      </c>
      <c r="C22" t="str">
        <v>Community Policing</v>
      </c>
      <c r="D22" t="str">
        <v>default</v>
      </c>
      <c r="E22" t="str">
        <v>Working with the community rather than attempting to control it. Community policing encourages the police to better understand the needs of the local community, especially in areas with ethnic minorities. Critics see it as an expensive waste of money which could be spent on more direct methods to cut crime.</v>
      </c>
      <c r="G22" t="str">
        <v>1</v>
      </c>
      <c r="H22" t="str">
        <v>6</v>
      </c>
      <c r="I22" t="str">
        <v>0</v>
      </c>
      <c r="J22" t="str">
        <v>2</v>
      </c>
      <c r="K22" t="str">
        <v>LAWANDORDER</v>
      </c>
      <c r="L22" t="str">
        <v>100</v>
      </c>
      <c r="M22" t="str">
        <v>639</v>
      </c>
      <c r="O22" t="str">
        <v>5</v>
      </c>
      <c r="P22" t="str">
        <v>0</v>
      </c>
      <c r="Q22" t="str">
        <v>0</v>
      </c>
      <c r="S22" t="str">
        <v>#Effects</v>
      </c>
      <c r="T22" t="str">
        <v>Liberal,0.05+(0.05*x)</v>
      </c>
      <c r="U22" t="str">
        <v>CrimeRate,-0.02-(0.05*x),4</v>
      </c>
      <c r="V22" t="str">
        <v>ViolentCrimeRate,-0.02-(0.03*x),4</v>
      </c>
      <c r="W22" t="str">
        <v>RacialTension,0-(0.08*x),4</v>
      </c>
      <c r="X22" t="str">
        <v>_global_liberalism,0+(0.1*x),8</v>
      </c>
      <c r="Y22" t="str">
        <v>Unemployment,0-(0.02*x)</v>
      </c>
    </row>
    <row r="23">
      <c r="A23" t="str">
        <v>#</v>
      </c>
      <c r="B23" t="str">
        <v>ConsumerRights</v>
      </c>
      <c r="C23" t="str">
        <v>Consumer Rights</v>
      </c>
      <c r="D23" t="str">
        <v>consumerrights</v>
      </c>
      <c r="E23" t="str">
        <v>At a minimum level, the state guarantees that the consumer is not totally ripped off, at the other end of the spectrum, draconian legislation can benefit the consumer at the expense of business. Companies often complain about the amount of legislation governing selling to the public.</v>
      </c>
      <c r="G23" t="str">
        <v>14</v>
      </c>
      <c r="H23" t="str">
        <v>20</v>
      </c>
      <c r="I23" t="str">
        <v>10</v>
      </c>
      <c r="J23" t="str">
        <v>7</v>
      </c>
      <c r="K23" t="str">
        <v>ECONOMY</v>
      </c>
      <c r="L23" t="str">
        <v>5</v>
      </c>
      <c r="M23" t="str">
        <v>8</v>
      </c>
      <c r="O23" t="str">
        <v>1</v>
      </c>
      <c r="P23" t="str">
        <v>0</v>
      </c>
      <c r="Q23" t="str">
        <v>0</v>
      </c>
      <c r="S23" t="str">
        <v>#Effects</v>
      </c>
      <c r="T23" t="str">
        <v>Capitalist,0.00-(0.06*x)</v>
      </c>
      <c r="U23" t="str">
        <v>SelfEmployed,0.00-(0.10*x)</v>
      </c>
      <c r="V23" t="str">
        <v>Liberal,0.00+(0.15*x)</v>
      </c>
      <c r="W23" t="str">
        <v>GDP,-0.04*(x^4)</v>
      </c>
    </row>
    <row r="24">
      <c r="A24" t="str">
        <v>#</v>
      </c>
      <c r="B24" t="str">
        <v>CorporationTax</v>
      </c>
      <c r="C24" t="str">
        <v>Corporation Tax</v>
      </c>
      <c r="D24" t="str">
        <v>corptax</v>
      </c>
      <c r="E24" t="str">
        <v>A direct and proportionate tax on the profits of business. Some argue that this should be the only form of taxation, others that such taxes stifle entrepreneurship and discourage people from starting a business. It is often one of the main ways the government brings in money.</v>
      </c>
      <c r="F24" t="str">
        <v>MULTIPLYINCOME</v>
      </c>
      <c r="G24" t="str">
        <v>30</v>
      </c>
      <c r="H24" t="str">
        <v>30</v>
      </c>
      <c r="I24" t="str">
        <v>19</v>
      </c>
      <c r="J24" t="str">
        <v>10</v>
      </c>
      <c r="K24" t="str">
        <v>TAX</v>
      </c>
      <c r="L24" t="str">
        <v>0</v>
      </c>
      <c r="M24" t="str">
        <v>0</v>
      </c>
      <c r="O24" t="str">
        <v>1</v>
      </c>
      <c r="P24" t="str">
        <v>575</v>
      </c>
      <c r="Q24" t="str">
        <v>30638.3</v>
      </c>
      <c r="R24" t="str">
        <v>GDP,0.5+(0.5*x);TaxEvasion,1.0-(0.2*x)</v>
      </c>
      <c r="S24" t="str">
        <v>#Effects</v>
      </c>
      <c r="T24" t="str">
        <v>Socialist,0+(0.22*x)</v>
      </c>
      <c r="U24" t="str">
        <v>Capitalist,-0.03-(0.23*x)</v>
      </c>
      <c r="V24" t="str">
        <v>Wealthy,0-(0.2*x)</v>
      </c>
      <c r="W24" t="str">
        <v>SelfEmployed,0-(0.12*x)</v>
      </c>
      <c r="X24" t="str">
        <v>GDP,-0.27*(x^5),6</v>
      </c>
      <c r="Y24" t="str">
        <v>_HighIncome,0-(0.07*x)</v>
      </c>
      <c r="Z24" t="str">
        <v>_global_socialism,0+(0.02*x)</v>
      </c>
      <c r="AA24" t="str">
        <v>SelfEmployed_income,0-(0.1*x)</v>
      </c>
    </row>
    <row r="25">
      <c r="A25" t="str">
        <v>#</v>
      </c>
      <c r="B25" t="str">
        <v>Creationism</v>
      </c>
      <c r="C25" t="str">
        <v>Creationism vs. Evolution</v>
      </c>
      <c r="D25" t="str">
        <v>creationism</v>
      </c>
      <c r="E25" t="str">
        <v>A bitter battle has raged about the way children are taught evolution versus creationism. Scientists and Liberals consider it obvious that evidence based evolution should be taught in science classes. Some religious groups feel that it is wrong to teach evolution or 'Darwinism' as fact, when it remains an unproven theory or that creationism should be taught as an alternative theory in science. The government has to decide what is taught in our schools.</v>
      </c>
      <c r="F25" t="str">
        <v>UNCANCELLABLE</v>
      </c>
      <c r="G25" t="str">
        <v>40</v>
      </c>
      <c r="H25" t="str">
        <v>40</v>
      </c>
      <c r="I25" t="str">
        <v>30</v>
      </c>
      <c r="J25" t="str">
        <v>21</v>
      </c>
      <c r="K25" t="str">
        <v>PUBLICSERVICES</v>
      </c>
      <c r="L25" t="str">
        <v>0</v>
      </c>
      <c r="M25" t="str">
        <v>0</v>
      </c>
      <c r="O25" t="str">
        <v>1</v>
      </c>
      <c r="P25" t="str">
        <v>0</v>
      </c>
      <c r="Q25" t="str">
        <v>0</v>
      </c>
      <c r="S25" t="str">
        <v>#Effects</v>
      </c>
      <c r="T25" t="str">
        <v>Religious,0.3-(0.6*x)</v>
      </c>
      <c r="U25" t="str">
        <v>Liberal,-0.35+(0.6*x)</v>
      </c>
      <c r="V25" t="str">
        <v>Religious_freq,0.35-(x*0.7),30</v>
      </c>
      <c r="W25" t="str">
        <v>_global_liberalism,-0.08+(0.16*x),16</v>
      </c>
    </row>
    <row r="26">
      <c r="A26" t="str">
        <v>#</v>
      </c>
      <c r="B26" t="str">
        <v>Curfews</v>
      </c>
      <c r="C26" t="str">
        <v>Curfews</v>
      </c>
      <c r="D26" t="str">
        <v>curfews</v>
      </c>
      <c r="E26" t="str">
        <v>Introduced  for a short period of time in  state of national emergency. These can be an effective way to combat crime at the cost of much personal liberty. Often, however, limiting the ability of peaceful citizens to leave their homes at night can be a sign of a country's degeneration into severe authoritarianism.</v>
      </c>
      <c r="G26" t="str">
        <v>50</v>
      </c>
      <c r="H26" t="str">
        <v>13</v>
      </c>
      <c r="I26" t="str">
        <v>36</v>
      </c>
      <c r="J26" t="str">
        <v>6</v>
      </c>
      <c r="K26" t="str">
        <v>LAWANDORDER</v>
      </c>
      <c r="L26" t="str">
        <v>80</v>
      </c>
      <c r="M26" t="str">
        <v>200</v>
      </c>
      <c r="O26" t="str">
        <v>1</v>
      </c>
      <c r="P26" t="str">
        <v>0</v>
      </c>
      <c r="Q26" t="str">
        <v>0</v>
      </c>
      <c r="S26" t="str">
        <v>#Effects</v>
      </c>
      <c r="T26" t="str">
        <v>CrimeRate,-0.05-(0.15*x)</v>
      </c>
      <c r="U26" t="str">
        <v>ViolentCrimeRate,-0.05-(0.15*x)</v>
      </c>
      <c r="V26" t="str">
        <v>_All_,-0.05-(0.2*x)</v>
      </c>
      <c r="W26" t="str">
        <v>Liberal,-0.1-(0.25*x)</v>
      </c>
      <c r="X26" t="str">
        <v>_Terrorism,-0.1-(0.3*x)</v>
      </c>
      <c r="Y26" t="str">
        <v>_security_,0.12+(0.11*x)</v>
      </c>
      <c r="Z26" t="str">
        <v>GDP,-0.08*(x^4)</v>
      </c>
    </row>
    <row r="27">
      <c r="A27" t="str">
        <v>#</v>
      </c>
      <c r="B27" t="str">
        <v>DeathPenalty</v>
      </c>
      <c r="C27" t="str">
        <v>Death Penalty</v>
      </c>
      <c r="D27" t="str">
        <v>deathpenalty</v>
      </c>
      <c r="E27" t="str">
        <v>The death penalty is the ultimate punishment for serious crimes. Opponents are concerned by the possibility of killing the wrong person, and suggest that only a barbaric state has the death penalty. Supporters point out that it absolutely guarantees no re-offending, and acts as a deterrent to serious crime.</v>
      </c>
      <c r="G27" t="str">
        <v>50</v>
      </c>
      <c r="H27" t="str">
        <v>54</v>
      </c>
      <c r="I27" t="str">
        <v>44</v>
      </c>
      <c r="J27" t="str">
        <v>21</v>
      </c>
      <c r="K27" t="str">
        <v>LAWANDORDER</v>
      </c>
      <c r="L27" t="str">
        <v>0</v>
      </c>
      <c r="M27" t="str">
        <v>0</v>
      </c>
      <c r="O27" t="str">
        <v>3</v>
      </c>
      <c r="P27" t="str">
        <v>0</v>
      </c>
      <c r="Q27" t="str">
        <v>0</v>
      </c>
      <c r="S27" t="str">
        <v>#Effects</v>
      </c>
      <c r="T27" t="str">
        <v>Patriot,0.10+(0.02*x)</v>
      </c>
      <c r="U27" t="str">
        <v>Liberal,-0.10-(0.05*x)</v>
      </c>
      <c r="V27" t="str">
        <v>ViolentCrimeRate,-0.05-(0.10*x),4</v>
      </c>
      <c r="W27" t="str">
        <v>_global_liberalism,-0.04-(0.04*x),8</v>
      </c>
      <c r="X27" t="str">
        <v>Conservatives,0.20+(0.14*x)</v>
      </c>
      <c r="Y27" t="str">
        <v>Religious-0.06-(0.06*x)</v>
      </c>
    </row>
    <row r="28">
      <c r="A28" t="str">
        <v>#</v>
      </c>
      <c r="B28" t="str">
        <v>DetentionWithoutTrial</v>
      </c>
      <c r="C28" t="str">
        <v>Detention Without Trial</v>
      </c>
      <c r="D28" t="str">
        <v>detention</v>
      </c>
      <c r="E28" t="str">
        <v>Detention without trial allows your police and security services to detain suspects when they do not have sufficient evidence (or cannot reveal sensitive evidence) to convict suspects. This can be justified in the name of preventing terrorism, but Liberals are concerned that this infringes human-rights.</v>
      </c>
      <c r="G28" t="str">
        <v>50</v>
      </c>
      <c r="H28" t="str">
        <v>16</v>
      </c>
      <c r="I28" t="str">
        <v>36</v>
      </c>
      <c r="J28" t="str">
        <v>19</v>
      </c>
      <c r="K28" t="str">
        <v>LAWANDORDER</v>
      </c>
      <c r="L28" t="str">
        <v>2</v>
      </c>
      <c r="M28" t="str">
        <v>2</v>
      </c>
      <c r="O28" t="str">
        <v>1</v>
      </c>
      <c r="P28" t="str">
        <v>0</v>
      </c>
      <c r="Q28" t="str">
        <v>0</v>
      </c>
      <c r="S28" t="str">
        <v>#Effects</v>
      </c>
      <c r="T28" t="str">
        <v>Patriot,0.1+(0.1*x)</v>
      </c>
      <c r="U28" t="str">
        <v>Liberal,-0.15-(0.1*x)</v>
      </c>
      <c r="V28" t="str">
        <v>_Terrorism,-0.1-(0.1*x)</v>
      </c>
      <c r="W28" t="str">
        <v>_security_,(0.05+0.05*x)</v>
      </c>
      <c r="X28" t="str">
        <v>ForeignRelations,0-(0.10*x)</v>
      </c>
    </row>
    <row r="29">
      <c r="A29" t="str">
        <v>#</v>
      </c>
      <c r="B29" t="str">
        <v>DisabilityBenefit</v>
      </c>
      <c r="C29" t="str">
        <v>Disability Benefit</v>
      </c>
      <c r="D29" t="str">
        <v>default</v>
      </c>
      <c r="E29" t="str">
        <v xml:space="preserve">A direct payment from the state to disabled people to allow for the fact that they are possibly unable, or need assistance to work. Additionally many disabled people have special requirements in terms of transport or housing. </v>
      </c>
      <c r="G29" t="str">
        <v>9</v>
      </c>
      <c r="H29" t="str">
        <v>19</v>
      </c>
      <c r="I29" t="str">
        <v>4</v>
      </c>
      <c r="J29" t="str">
        <v>7</v>
      </c>
      <c r="K29" t="str">
        <v>WELFARE</v>
      </c>
      <c r="L29" t="str">
        <v>50</v>
      </c>
      <c r="M29" t="str">
        <v>420</v>
      </c>
      <c r="O29" t="str">
        <v>1</v>
      </c>
      <c r="P29" t="str">
        <v>0</v>
      </c>
      <c r="Q29" t="str">
        <v>0</v>
      </c>
      <c r="S29" t="str">
        <v>#Effects</v>
      </c>
      <c r="T29" t="str">
        <v>Capitalist,-0.02-(0.02*x)</v>
      </c>
      <c r="U29" t="str">
        <v>Equality,0.04+(0.05*x),3</v>
      </c>
      <c r="V29" t="str">
        <v>Retired,0.02+(0.02*x)</v>
      </c>
    </row>
    <row r="30">
      <c r="A30" t="str">
        <v>#</v>
      </c>
      <c r="B30" t="str">
        <v>FaithSchoolSubsidies</v>
      </c>
      <c r="C30" t="str">
        <v>Faith School Subsidies</v>
      </c>
      <c r="D30" t="str">
        <v>default</v>
      </c>
      <c r="E30" t="str">
        <v>Religious schools can achieve good academic standards. Their supporters make a case  that the government should subsidize methods of education that are proven to be effective. Critics say that religion has no place in education and that the government cannot be seen to 'push' a particular religion on children.</v>
      </c>
      <c r="G30" t="str">
        <v>50</v>
      </c>
      <c r="H30" t="str">
        <v>36</v>
      </c>
      <c r="I30" t="str">
        <v>28</v>
      </c>
      <c r="J30" t="str">
        <v>21</v>
      </c>
      <c r="K30" t="str">
        <v>PUBLICSERVICES</v>
      </c>
      <c r="L30" t="str">
        <v>180</v>
      </c>
      <c r="M30" t="str">
        <v>1160</v>
      </c>
      <c r="O30" t="str">
        <v>1</v>
      </c>
      <c r="P30" t="str">
        <v>0</v>
      </c>
      <c r="Q30" t="str">
        <v>0</v>
      </c>
      <c r="S30" t="str">
        <v>#Effects</v>
      </c>
      <c r="T30" t="str">
        <v>Religious,0.13+(0.10*x)</v>
      </c>
      <c r="U30" t="str">
        <v>Education,0.04+(0.04*x)</v>
      </c>
      <c r="V30" t="str">
        <v>Religious_freq,0.02+(0.35*x),30</v>
      </c>
      <c r="W30" t="str">
        <v>RacialTension,0.1+(0.17*x)</v>
      </c>
      <c r="X30" t="str">
        <v>Religious_income,0+(0.08*x)</v>
      </c>
    </row>
    <row r="31">
      <c r="A31" t="str">
        <v>#</v>
      </c>
      <c r="B31" t="str">
        <v>ForeignAid</v>
      </c>
      <c r="C31" t="str">
        <v>Foreign Aid</v>
      </c>
      <c r="D31" t="str">
        <v>default</v>
      </c>
      <c r="E31" t="str">
        <v>Some foreign countries have very poor economies, poor education or food shortages, and it can be argued that relatively rich nations such as ours have a moral duty to help them. Others may argue that the first priority of any nation is to its own citizens, and if those citizens wish to help, they can do so individually through charities.</v>
      </c>
      <c r="G31" t="str">
        <v>14</v>
      </c>
      <c r="H31" t="str">
        <v>16</v>
      </c>
      <c r="I31" t="str">
        <v>7</v>
      </c>
      <c r="J31" t="str">
        <v>7</v>
      </c>
      <c r="K31" t="str">
        <v>FOREIGNPOLICY</v>
      </c>
      <c r="L31" t="str">
        <v>200</v>
      </c>
      <c r="M31" t="str">
        <v>2490</v>
      </c>
      <c r="O31" t="str">
        <v>2</v>
      </c>
      <c r="P31" t="str">
        <v>0</v>
      </c>
      <c r="Q31" t="str">
        <v>0</v>
      </c>
      <c r="S31" t="str">
        <v>#Effects</v>
      </c>
      <c r="T31" t="str">
        <v>Socialist,0.02+(0.04*x)</v>
      </c>
      <c r="U31" t="str">
        <v>Patriot,-0.02-(0.28*x)</v>
      </c>
      <c r="V31" t="str">
        <v>Liberal,0+0.10*x)</v>
      </c>
      <c r="W31" t="str">
        <v>ForeignRelations,0+(0.6*x),4</v>
      </c>
      <c r="X31" t="str">
        <v>EthnicMinorities,0.02+(0.20*x)</v>
      </c>
    </row>
    <row r="32">
      <c r="A32" t="str">
        <v>#</v>
      </c>
      <c r="B32" t="str">
        <v>FreeBusPasses</v>
      </c>
      <c r="C32" t="str">
        <v>Free Bus Passes</v>
      </c>
      <c r="D32" t="str">
        <v>default</v>
      </c>
      <c r="E32" t="str">
        <v>Traditionally, free bus travel is offered as a concession to those citizens of retirement age. This can be expensive, but its a great way to reduce car usage and thus reduce pollution and congestion. Some oppose such a distortion of the market however.</v>
      </c>
      <c r="F32" t="str">
        <v xml:space="preserve"> </v>
      </c>
      <c r="G32" t="str">
        <v>13</v>
      </c>
      <c r="H32" t="str">
        <v>19</v>
      </c>
      <c r="I32" t="str">
        <v>3</v>
      </c>
      <c r="J32" t="str">
        <v>8</v>
      </c>
      <c r="K32" t="str">
        <v>TRANSPORT</v>
      </c>
      <c r="L32" t="str">
        <v>220</v>
      </c>
      <c r="M32" t="str">
        <v>800</v>
      </c>
      <c r="O32" t="str">
        <v>2</v>
      </c>
      <c r="P32" t="str">
        <v>0</v>
      </c>
      <c r="Q32" t="str">
        <v>0</v>
      </c>
      <c r="S32" t="str">
        <v>#Effects</v>
      </c>
      <c r="T32" t="str">
        <v>Retired,0.01+(0.08*x)</v>
      </c>
      <c r="U32" t="str">
        <v>BusUsage,0.05+(0.15*x),4</v>
      </c>
      <c r="V32" t="str">
        <v>_LowIncome,0.01+(0.04*x)</v>
      </c>
      <c r="W32" t="str">
        <v>Retired_income,0+(0.05*x)</v>
      </c>
    </row>
    <row r="33">
      <c r="A33" t="str">
        <v>#</v>
      </c>
      <c r="B33" t="str">
        <v>FreeEyeTests</v>
      </c>
      <c r="C33" t="str">
        <v>Free Eye Tests</v>
      </c>
      <c r="D33" t="str">
        <v>default</v>
      </c>
      <c r="E33" t="str">
        <v>Eye tests catch problems early and advise those with poor eyesight that they need glasses. Getting your eyes tested privately can be expensive, and it's a luxury many people just do without. Socialists believe that the universal provision of free eye tests are essential in providing a health 'safety net' for all.</v>
      </c>
      <c r="G33" t="str">
        <v>8</v>
      </c>
      <c r="H33" t="str">
        <v>15</v>
      </c>
      <c r="I33" t="str">
        <v>6</v>
      </c>
      <c r="J33" t="str">
        <v>7</v>
      </c>
      <c r="K33" t="str">
        <v>PUBLICSERVICES</v>
      </c>
      <c r="L33" t="str">
        <v>200</v>
      </c>
      <c r="M33" t="str">
        <v>240</v>
      </c>
      <c r="O33" t="str">
        <v>1</v>
      </c>
      <c r="P33" t="str">
        <v>0</v>
      </c>
      <c r="Q33" t="str">
        <v>0</v>
      </c>
      <c r="S33" t="str">
        <v>#Effects</v>
      </c>
      <c r="T33" t="str">
        <v>Poor,0.05+(0.05*x)</v>
      </c>
      <c r="U33" t="str">
        <v>Capitalist,0-(0.05*x)</v>
      </c>
      <c r="V33" t="str">
        <v>Wealthy,0.00-(0.10*x)</v>
      </c>
      <c r="W33" t="str">
        <v>Socialist,0.01+(0.03*x)</v>
      </c>
      <c r="X33" t="str">
        <v>PovertyRate,-0.03-(0.03*x),4</v>
      </c>
      <c r="Y33" t="str">
        <v>_LowIncome,0.05+(0.05*x)</v>
      </c>
      <c r="Z33" t="str">
        <v>Retired,0.02+(0.04*x)</v>
      </c>
      <c r="AA33" t="str">
        <v>Health,0.01+(0.02*x),16</v>
      </c>
    </row>
    <row r="34">
      <c r="A34" t="str">
        <v>#</v>
      </c>
      <c r="B34" t="str">
        <v>FreeSchoolMeals</v>
      </c>
      <c r="C34" t="str">
        <v>Free School Meals</v>
      </c>
      <c r="D34" t="str">
        <v>default</v>
      </c>
      <c r="E34" t="str">
        <v>Not only are free school meals a way of redistributing wealth by ensuring everyone can afford to feed their children, its also a way to ensure that children eat healthily rather than surviving purely on junk food.</v>
      </c>
      <c r="G34" t="str">
        <v>10</v>
      </c>
      <c r="H34" t="str">
        <v>18</v>
      </c>
      <c r="I34" t="str">
        <v>3</v>
      </c>
      <c r="J34" t="str">
        <v>4</v>
      </c>
      <c r="K34" t="str">
        <v>PUBLICSERVICES</v>
      </c>
      <c r="L34" t="str">
        <v>210</v>
      </c>
      <c r="M34" t="str">
        <v>320</v>
      </c>
      <c r="O34" t="str">
        <v>1</v>
      </c>
      <c r="P34" t="str">
        <v>0</v>
      </c>
      <c r="Q34" t="str">
        <v>0</v>
      </c>
      <c r="S34" t="str">
        <v>#Effects</v>
      </c>
      <c r="T34" t="str">
        <v>Poor,0.00+(0.05*x)</v>
      </c>
      <c r="U34" t="str">
        <v>Health,0.00+(0.09*x),16</v>
      </c>
      <c r="V34" t="str">
        <v>Socialist,0.01+(0.03*x)</v>
      </c>
      <c r="W34" t="str">
        <v>PovertyRate,-0.05-(0.11*x)</v>
      </c>
      <c r="X34" t="str">
        <v>Parents,0.01+(0.03*x)</v>
      </c>
      <c r="Y34" t="str">
        <v>Parents_freq,0.01+(0.02*x)</v>
      </c>
      <c r="Z34" t="str">
        <v>_LowIncome,0+(0.05*x)</v>
      </c>
      <c r="AA34" t="str">
        <v>Obesity,0-(0.06*x),16</v>
      </c>
    </row>
    <row r="35">
      <c r="A35" t="str">
        <v>#</v>
      </c>
      <c r="B35" t="str">
        <v>Gambling</v>
      </c>
      <c r="C35" t="str">
        <v>Gambling</v>
      </c>
      <c r="D35" t="str">
        <v>gambling</v>
      </c>
      <c r="E35" t="str">
        <v>To some, gambling is a sin which leads to poverty and disaster, but others believe that some 'social' gambling is harmless fun which can also be taxed nicely by the government as an additional form of revenue. It also encourages tourism and creates jobs.</v>
      </c>
      <c r="G35" t="str">
        <v>27</v>
      </c>
      <c r="H35" t="str">
        <v>32</v>
      </c>
      <c r="I35" t="str">
        <v>19</v>
      </c>
      <c r="J35" t="str">
        <v>14</v>
      </c>
      <c r="K35" t="str">
        <v>LAWANDORDER</v>
      </c>
      <c r="L35" t="str">
        <v>0</v>
      </c>
      <c r="M35" t="str">
        <v>0</v>
      </c>
      <c r="O35" t="str">
        <v>3</v>
      </c>
      <c r="P35" t="str">
        <v>0</v>
      </c>
      <c r="Q35" t="str">
        <v>0</v>
      </c>
      <c r="S35" t="str">
        <v>#Effects</v>
      </c>
      <c r="T35" t="str">
        <v>Liberal,0.00+(0.08*x)</v>
      </c>
      <c r="U35" t="str">
        <v>Religious,0.00-(0.15*x)</v>
      </c>
      <c r="V35" t="str">
        <v>GDP,0.00+(0.04*x),6</v>
      </c>
      <c r="W35" t="str">
        <v>Unemployment,0.00-(0.03*x),4</v>
      </c>
      <c r="X35" t="str">
        <v>Capitalist,0.01+(0.04*x)</v>
      </c>
    </row>
    <row r="36">
      <c r="A36" t="str">
        <v>#</v>
      </c>
      <c r="B36" t="str">
        <v>GatedCommunities</v>
      </c>
      <c r="C36" t="str">
        <v>Gated Communities</v>
      </c>
      <c r="D36" t="str">
        <v>gatedcommunities</v>
      </c>
      <c r="E36" t="str">
        <v>A drastic solution to serious street crime and vandalism, gated communities are basically self-policed residential areas. They are popular with the wealthy, but often associated with class divide and inequality, as only the relatively wealthy can afford to live inside them. As a result, some governments are reluctant to permit their construction.</v>
      </c>
      <c r="G36" t="str">
        <v>13</v>
      </c>
      <c r="H36" t="str">
        <v>14</v>
      </c>
      <c r="I36" t="str">
        <v>7</v>
      </c>
      <c r="J36" t="str">
        <v>4</v>
      </c>
      <c r="K36" t="str">
        <v>LAWANDORDER</v>
      </c>
      <c r="L36" t="str">
        <v>0</v>
      </c>
      <c r="M36" t="str">
        <v>0</v>
      </c>
      <c r="O36" t="str">
        <v>12</v>
      </c>
      <c r="P36" t="str">
        <v>0</v>
      </c>
      <c r="Q36" t="str">
        <v>0</v>
      </c>
      <c r="S36" t="str">
        <v>#Effects</v>
      </c>
      <c r="T36" t="str">
        <v>CrimeRate,0.00-(0.07*x)</v>
      </c>
      <c r="U36" t="str">
        <v>Conservatives,0.00+(0.40*x)</v>
      </c>
      <c r="V36" t="str">
        <v>Liberal,0.00-(0.11*x)</v>
      </c>
      <c r="W36" t="str">
        <v>Equality,0.00-(0.11*x),8</v>
      </c>
      <c r="X36" t="str">
        <v>_global_liberalism,-0.01-(0.09*x),12</v>
      </c>
      <c r="Y36" t="str">
        <v>Wealthy,0.00+(0.42*x)</v>
      </c>
    </row>
    <row r="37">
      <c r="A37" t="str">
        <v>#</v>
      </c>
      <c r="B37" t="str">
        <v>GraduateTax</v>
      </c>
      <c r="C37" t="str">
        <v>Graduate tax</v>
      </c>
      <c r="D37" t="str">
        <v>default</v>
      </c>
      <c r="E37" t="str">
        <v>A graduate tax is a deciated tax levied purely on people graduating from university, as a way of them contributing to the cost of their university tuition. Supporters say this is fair because not everyone benefits from a university education. Opponents argue that it creates a disincentive to study purely academic subjects and the arts, as well as penalizing ambition.</v>
      </c>
      <c r="G37" t="str">
        <v>24</v>
      </c>
      <c r="H37" t="str">
        <v>2</v>
      </c>
      <c r="I37" t="str">
        <v>10</v>
      </c>
      <c r="J37" t="str">
        <v>0</v>
      </c>
      <c r="K37" t="str">
        <v>TAX</v>
      </c>
      <c r="L37" t="str">
        <v>2</v>
      </c>
      <c r="M37" t="str">
        <v>2</v>
      </c>
      <c r="O37" t="str">
        <v>1</v>
      </c>
      <c r="P37" t="str">
        <v>200</v>
      </c>
      <c r="Q37" t="str">
        <v>2600</v>
      </c>
      <c r="S37" t="str">
        <v>#Effects</v>
      </c>
      <c r="T37" t="str">
        <v>Young,-0.2-(0.1*x)</v>
      </c>
      <c r="U37" t="str">
        <v>Capitalist,0.02+(0.01*x)</v>
      </c>
      <c r="V37" t="str">
        <v>Socialist,-0.05-(0.02*x)</v>
      </c>
      <c r="W37" t="str">
        <v>_MiddleIncome,0-(0.05*x)</v>
      </c>
      <c r="X37" t="str">
        <v>Young_income,-0.01-(0.13*x)</v>
      </c>
    </row>
    <row r="38">
      <c r="A38" t="str">
        <v>#</v>
      </c>
      <c r="B38" t="str">
        <v>HandgunLaws</v>
      </c>
      <c r="C38" t="str">
        <v>Handgun Laws</v>
      </c>
      <c r="D38" t="str">
        <v>gunlaws</v>
      </c>
      <c r="E38" t="str">
        <v>Some countries allow the virtually unrestricted ownership of any kind of firearm, whereas in others it is strictly controlled. Some people talk of the basic right to defend yourself, others are concerned that gun ownership leads to gun crime.</v>
      </c>
      <c r="F38" t="str">
        <v>UNCANCELLABLE</v>
      </c>
      <c r="G38" t="str">
        <v>50</v>
      </c>
      <c r="H38" t="str">
        <v>45</v>
      </c>
      <c r="I38" t="str">
        <v>40</v>
      </c>
      <c r="J38" t="str">
        <v>34</v>
      </c>
      <c r="K38" t="str">
        <v>LAWANDORDER</v>
      </c>
      <c r="L38" t="str">
        <v>0</v>
      </c>
      <c r="M38" t="str">
        <v>4</v>
      </c>
      <c r="O38" t="str">
        <v>1</v>
      </c>
      <c r="P38" t="str">
        <v>0</v>
      </c>
      <c r="Q38" t="str">
        <v>0</v>
      </c>
      <c r="S38" t="str">
        <v>#Effects</v>
      </c>
      <c r="T38" t="str">
        <v>ViolentCrimeRate,0.20-(0.40*x),4</v>
      </c>
      <c r="U38" t="str">
        <v>Liberal,0.00-(0.12*x)</v>
      </c>
      <c r="V38" t="str">
        <v>Patriot,0.20-(0.40*x)</v>
      </c>
      <c r="W38" t="str">
        <v>Parents,-0.15+(0.30*x)</v>
      </c>
      <c r="X38" t="str">
        <v>_global_liberalism,0-(0.05*x),8</v>
      </c>
    </row>
    <row r="39">
      <c r="A39" t="str">
        <v>#</v>
      </c>
      <c r="B39" t="str">
        <v>HybridCarsInitiative</v>
      </c>
      <c r="C39" t="str">
        <v>Hybrid Cars Initiative</v>
      </c>
      <c r="D39" t="str">
        <v>default</v>
      </c>
      <c r="E39" t="str">
        <v>Hybrid cars are less damaging to the environment, because at slower speeds they use electric engines that produce no CO2. They also get higher fuel efficiency, thus reducing demand for oil. The downside is they are very expensive, but tax incentives can encourage more people to buy hybrid models when they get new cars.</v>
      </c>
      <c r="G39" t="str">
        <v>9</v>
      </c>
      <c r="H39" t="str">
        <v>14</v>
      </c>
      <c r="I39" t="str">
        <v>4</v>
      </c>
      <c r="J39" t="str">
        <v>6</v>
      </c>
      <c r="K39" t="str">
        <v>TAX</v>
      </c>
      <c r="L39" t="str">
        <v>5</v>
      </c>
      <c r="M39" t="str">
        <v>200</v>
      </c>
      <c r="N39" t="str">
        <v>CarUsage,0+(1.0*x)</v>
      </c>
      <c r="O39" t="str">
        <v>1</v>
      </c>
      <c r="P39" t="str">
        <v>0</v>
      </c>
      <c r="Q39" t="str">
        <v>0</v>
      </c>
      <c r="S39" t="str">
        <v>#Effects</v>
      </c>
      <c r="T39" t="str">
        <v>OilDemand,-0.02-(0.12*x) *CarUsage,4</v>
      </c>
      <c r="U39" t="str">
        <v>Environmentalist,0.02+(0.09*x)</v>
      </c>
      <c r="V39" t="str">
        <v>Motorist,0.02+(0.02*x)</v>
      </c>
      <c r="W39" t="str">
        <v>CarUsage,0.01+(0.02*x),4</v>
      </c>
      <c r="X39" t="str">
        <v>Environmentalist_income,0+(0.05*x)</v>
      </c>
      <c r="Y39" t="str">
        <v>Environment,0.02+(0.12*x)*CarUsage,8</v>
      </c>
      <c r="Z39" t="str">
        <v>Environmentalist_freq,0+(0.05*x),8</v>
      </c>
      <c r="AA39" t="str">
        <v>_HighIncome,0+(0.02*x)</v>
      </c>
    </row>
    <row r="40">
      <c r="A40" t="str">
        <v>#</v>
      </c>
      <c r="B40" t="str">
        <v>IDCards</v>
      </c>
      <c r="C40" t="str">
        <v>ID Cards</v>
      </c>
      <c r="D40" t="str">
        <v>idcards</v>
      </c>
      <c r="E40" t="str">
        <v>Some say ID Cards act as a powerful deterrent against terrorism and other serious crimes, but liberals would argue that it is an infringement of an individual's civil liberties for the state to demand that citizens identify themselves on the spot.</v>
      </c>
      <c r="G40" t="str">
        <v>50</v>
      </c>
      <c r="H40" t="str">
        <v>25</v>
      </c>
      <c r="I40" t="str">
        <v>39</v>
      </c>
      <c r="J40" t="str">
        <v>20</v>
      </c>
      <c r="K40" t="str">
        <v>LAWANDORDER</v>
      </c>
      <c r="L40" t="str">
        <v>100</v>
      </c>
      <c r="M40" t="str">
        <v>1200</v>
      </c>
      <c r="O40" t="str">
        <v>12</v>
      </c>
      <c r="P40" t="str">
        <v>0</v>
      </c>
      <c r="Q40" t="str">
        <v>0</v>
      </c>
      <c r="S40" t="str">
        <v>#Effects</v>
      </c>
      <c r="T40" t="str">
        <v>Liberal,-0.15-(0.35*x)</v>
      </c>
      <c r="U40" t="str">
        <v>CrimeRate,0.00-(0.14*x)</v>
      </c>
      <c r="V40" t="str">
        <v>ViolentCrimeRate,0.00-(0.50*x)</v>
      </c>
      <c r="W40" t="str">
        <v>Conservatives,0.10+(0.14*x)</v>
      </c>
      <c r="X40" t="str">
        <v>_security_,0+(0.15*x)</v>
      </c>
      <c r="Y40" t="str">
        <v>Patriot,0.11+(0.07*x)</v>
      </c>
    </row>
    <row r="41">
      <c r="A41" t="str">
        <v>#</v>
      </c>
      <c r="B41" t="str">
        <v>ImportTarrifs</v>
      </c>
      <c r="C41" t="str">
        <v>Import Tariffs</v>
      </c>
      <c r="D41" t="str">
        <v>default</v>
      </c>
      <c r="E41" t="str">
        <v>Cheap imports can be damaging to the economy because local companies cannot match the lower salaries paid by foreign competitors. Import tariffs help to protect local manufacturers from 'unfair' competition. This does go against real free-market economics though, and can be seen as being unfair to foreign countries, possibly sparking retaliation.</v>
      </c>
      <c r="G41" t="str">
        <v>13</v>
      </c>
      <c r="H41" t="str">
        <v>13</v>
      </c>
      <c r="I41" t="str">
        <v>7</v>
      </c>
      <c r="J41" t="str">
        <v>7</v>
      </c>
      <c r="K41" t="str">
        <v>FOREIGNPOLICY</v>
      </c>
      <c r="L41" t="str">
        <v>0</v>
      </c>
      <c r="M41" t="str">
        <v>0</v>
      </c>
      <c r="O41" t="str">
        <v>5</v>
      </c>
      <c r="P41" t="str">
        <v>69</v>
      </c>
      <c r="Q41" t="str">
        <v>154.33</v>
      </c>
      <c r="R41" t="str">
        <v xml:space="preserve"> </v>
      </c>
      <c r="S41" t="str">
        <v>#Effects</v>
      </c>
      <c r="T41" t="str">
        <v>Capitalist,0.10-(0.10*x)</v>
      </c>
      <c r="U41" t="str">
        <v>Unemployment,0.00-(0.10*x)</v>
      </c>
      <c r="V41" t="str">
        <v>Patriot,0.10+(0.10*x)</v>
      </c>
      <c r="W41" t="str">
        <v>ForeignRelations,0-(0.16*x)</v>
      </c>
      <c r="X41" t="str">
        <v>InternationalTrade,-0.1-(0.35*x)</v>
      </c>
    </row>
    <row r="42">
      <c r="A42" t="str">
        <v>#</v>
      </c>
      <c r="B42" t="str">
        <v>IncomeTax</v>
      </c>
      <c r="C42" t="str">
        <v>Income Tax</v>
      </c>
      <c r="D42" t="str">
        <v>incometax</v>
      </c>
      <c r="E42" t="str">
        <v>One of the most popular ways to raise money for government is a direct tax on peoples earnings, deducted at source by their employer. Income tax is generally a progressive tax (the wealthy pay more as a fraction of their income than the poor) and for this reason it is popular with socialists and the low paid.</v>
      </c>
      <c r="F42" t="str">
        <v>MULTIPLYINCOME</v>
      </c>
      <c r="G42" t="str">
        <v>43</v>
      </c>
      <c r="H42" t="str">
        <v>13</v>
      </c>
      <c r="I42" t="str">
        <v>30</v>
      </c>
      <c r="J42" t="str">
        <v>7</v>
      </c>
      <c r="K42" t="str">
        <v>TAX</v>
      </c>
      <c r="L42" t="str">
        <v>0</v>
      </c>
      <c r="M42" t="str">
        <v>0</v>
      </c>
      <c r="O42" t="str">
        <v>1</v>
      </c>
      <c r="P42" t="str">
        <v>2300</v>
      </c>
      <c r="Q42" t="str">
        <v>123464</v>
      </c>
      <c r="R42" t="str">
        <v>GDP,0.5+(0.5*x);TaxEvasion,1.0-(0.2*x)</v>
      </c>
      <c r="S42" t="str">
        <v>#Effects</v>
      </c>
      <c r="T42" t="str">
        <v>Socialist,0+(0.112*x)</v>
      </c>
      <c r="U42" t="str">
        <v>Capitalist,0-(0.33*x)</v>
      </c>
      <c r="V42" t="str">
        <v>Equality,0+(0.3*x),4</v>
      </c>
      <c r="W42" t="str">
        <v>MiddleIncome,0-(1.07*x)</v>
      </c>
      <c r="X42" t="str">
        <v>Wealthy,0-(x^11)</v>
      </c>
      <c r="Y42" t="str">
        <v>_LowIncome,0-(0.10*x)</v>
      </c>
      <c r="Z42" t="str">
        <v>_MiddleIncome,0-(0.14*x)</v>
      </c>
      <c r="AA42" t="str">
        <v>_HighIncome,0-(0.20*x)</v>
      </c>
      <c r="AB42" t="str">
        <v xml:space="preserve"> </v>
      </c>
    </row>
    <row r="43">
      <c r="A43" t="str">
        <v>#</v>
      </c>
      <c r="B43" t="str">
        <v>FlatTax</v>
      </c>
      <c r="C43" t="str">
        <v>Flat Income Tax</v>
      </c>
      <c r="D43" t="str">
        <v>incometax</v>
      </c>
      <c r="E43" t="str">
        <v>A flat-rate income tax is a tax where every citizen pays the same marginal rate of income tax regardless of their total income. As a result, the cleaner in the office pays the same rate as the CEO, though the CEO's total tax bill will be higher. This simpler structure can lead to lower avoidance and evasion. It is not progressive, and can exacerbate income inequality.</v>
      </c>
      <c r="F43" t="str">
        <v>MULTIPLYINCOME</v>
      </c>
      <c r="G43" t="str">
        <v>43</v>
      </c>
      <c r="H43" t="str">
        <v>13</v>
      </c>
      <c r="I43" t="str">
        <v>32</v>
      </c>
      <c r="J43" t="str">
        <v>9</v>
      </c>
      <c r="K43" t="str">
        <v>TAX</v>
      </c>
      <c r="L43" t="str">
        <v>0</v>
      </c>
      <c r="M43" t="str">
        <v>0</v>
      </c>
      <c r="O43" t="str">
        <v>1</v>
      </c>
      <c r="P43" t="str">
        <v>2300</v>
      </c>
      <c r="Q43" t="str">
        <v>123464</v>
      </c>
      <c r="R43" t="str">
        <v>GDP,0.5+(0.5*x);TaxEvasion,1.0-(0.05*x)</v>
      </c>
      <c r="S43" t="str">
        <v>#Effects</v>
      </c>
      <c r="T43" t="str">
        <v>Socialist,0-(0.25*x)</v>
      </c>
      <c r="U43" t="str">
        <v>Capitalist,0-(0.12*x)</v>
      </c>
      <c r="V43" t="str">
        <v>Equality,0-(0.3*x),4</v>
      </c>
      <c r="W43" t="str">
        <v>MiddleIncome,0-(0.80*x)</v>
      </c>
      <c r="X43" t="str">
        <v>Wealthy,-0.2*(x^11)</v>
      </c>
      <c r="Y43" t="str">
        <v>_LowIncome,0-(0.15*x)</v>
      </c>
      <c r="Z43" t="str">
        <v>_MiddleIncome,0-(0.14*x)</v>
      </c>
      <c r="AA43" t="str">
        <v>_HighIncome,0-(0.10*x)</v>
      </c>
      <c r="AB43" t="str">
        <v>Poor,0-(0.85*x)</v>
      </c>
    </row>
    <row r="44">
      <c r="A44" t="str">
        <v>#</v>
      </c>
      <c r="B44" t="str">
        <v>CapitalGainsTax</v>
      </c>
      <c r="C44" t="str">
        <v>Capital Gains Tax</v>
      </c>
      <c r="D44" t="str">
        <v>capgains</v>
      </c>
      <c r="E44" t="str">
        <v>CGT is a tax levied on non-salary income such as stock market profits and share dividends, and profits from selling property or other assets. Primarily it affects the wealthy and business owners, and will raise more money if the economy is booming. Because it taxes profits from investments, it also acts as a slight deterrent to investment and thus be detrimental to the economy.</v>
      </c>
      <c r="F44" t="str">
        <v>MULTIPLYINCOME</v>
      </c>
      <c r="G44" t="str">
        <v>13</v>
      </c>
      <c r="H44" t="str">
        <v>9</v>
      </c>
      <c r="I44" t="str">
        <v>7</v>
      </c>
      <c r="J44" t="str">
        <v>7</v>
      </c>
      <c r="K44" t="str">
        <v>TAX</v>
      </c>
      <c r="L44" t="str">
        <v>0</v>
      </c>
      <c r="M44" t="str">
        <v>0</v>
      </c>
      <c r="O44" t="str">
        <v>1</v>
      </c>
      <c r="P44" t="str">
        <v>400</v>
      </c>
      <c r="Q44" t="str">
        <v>9022</v>
      </c>
      <c r="R44" t="str">
        <v>GDP,0.5+(0.5*x);TaxEvasion,1.0-(0.2*x)</v>
      </c>
      <c r="S44" t="str">
        <v>#Effects</v>
      </c>
      <c r="T44" t="str">
        <v>Socialist,0+(0.1*x)</v>
      </c>
      <c r="U44" t="str">
        <v>Capitalist,0-(0.12*x)</v>
      </c>
      <c r="V44" t="str">
        <v>Equality,0+(0.09*x)</v>
      </c>
      <c r="W44" t="str">
        <v>_HighIncome,0-(0.10*x)</v>
      </c>
      <c r="X44" t="str">
        <v>SelfEmployed_freq,0-(0.05*x),4</v>
      </c>
      <c r="Y44" t="str">
        <v>SelfEmployed,0-(0.1*x)</v>
      </c>
      <c r="Z44" t="str">
        <v>GDP,-0.01-(0.02*x),4</v>
      </c>
      <c r="AA44" t="str">
        <v>SelfEmployed_income,0-(0.10*x)</v>
      </c>
      <c r="AB44" t="str">
        <v>_global_socialism,0.02+(0.04*x),12</v>
      </c>
      <c r="AC44" t="str">
        <v>Wealthy,0-(0.13*x)</v>
      </c>
    </row>
    <row r="45">
      <c r="A45" t="str">
        <v>#</v>
      </c>
      <c r="B45" t="str">
        <v>InheritanceTax</v>
      </c>
      <c r="C45" t="str">
        <v>Inheritance Tax</v>
      </c>
      <c r="D45" t="str">
        <v>inheritancetax</v>
      </c>
      <c r="E45" t="str">
        <v>A tax paid on the wealth of an individual as it is passed on to their descendants. An inheritance tax protects equality, by preventing families amassing wealth and advantage over the generations, so it is popular with socialists and the poor. However, some people are strongly opposed to anything that prevents them handing on their hard-earned wealth, especially their house, to their children.</v>
      </c>
      <c r="G45" t="str">
        <v>48</v>
      </c>
      <c r="H45" t="str">
        <v>19</v>
      </c>
      <c r="I45" t="str">
        <v>25</v>
      </c>
      <c r="J45" t="str">
        <v>10</v>
      </c>
      <c r="K45" t="str">
        <v>TAX</v>
      </c>
      <c r="L45" t="str">
        <v>0</v>
      </c>
      <c r="M45" t="str">
        <v>0</v>
      </c>
      <c r="O45" t="str">
        <v>1</v>
      </c>
      <c r="P45" t="str">
        <v>460</v>
      </c>
      <c r="Q45" t="str">
        <v>1683.6</v>
      </c>
      <c r="S45" t="str">
        <v>#Effects</v>
      </c>
      <c r="T45" t="str">
        <v>Wealthy,-0.1-(0.25*x)</v>
      </c>
      <c r="U45" t="str">
        <v>Socialist,0+(0.2*x)</v>
      </c>
      <c r="V45" t="str">
        <v>Equality,0.1+(0.3*x),24</v>
      </c>
      <c r="W45" t="str">
        <v>Conservatives,0-(0.12*x)</v>
      </c>
      <c r="X45" t="str">
        <v>MiddleIncome,0-(0.18*x)</v>
      </c>
      <c r="Y45" t="str">
        <v>_HighIncome,0-(0.12*x)</v>
      </c>
      <c r="Z45" t="str">
        <v>Retired,0-(0.22*x)</v>
      </c>
      <c r="AA45" t="str">
        <v>_global_socialism,0+(0.1*x),32</v>
      </c>
    </row>
    <row r="46">
      <c r="A46" t="str">
        <v>#</v>
      </c>
      <c r="B46" t="str">
        <v>IntelligenceServices</v>
      </c>
      <c r="C46" t="str">
        <v>Intelligence Services</v>
      </c>
      <c r="D46" t="str">
        <v>intel</v>
      </c>
      <c r="E46" t="str">
        <v>Security services are an essential tool in the fight against organized crime and terrorism. Good, reliable intelligence can be difficult and expensive to obtain, and in many cases the methods employed can be unpopular with liberals and human rights advocates.</v>
      </c>
      <c r="F46" t="str">
        <v>UNCANCELLABLE</v>
      </c>
      <c r="G46" t="str">
        <v>13</v>
      </c>
      <c r="H46" t="str">
        <v>13</v>
      </c>
      <c r="I46" t="str">
        <v>7</v>
      </c>
      <c r="J46" t="str">
        <v>8</v>
      </c>
      <c r="K46" t="str">
        <v>LAWANDORDER</v>
      </c>
      <c r="L46" t="str">
        <v>900</v>
      </c>
      <c r="M46" t="str">
        <v>1600</v>
      </c>
      <c r="O46" t="str">
        <v>4</v>
      </c>
      <c r="P46" t="str">
        <v>0</v>
      </c>
      <c r="Q46" t="str">
        <v>0</v>
      </c>
      <c r="S46" t="str">
        <v>#Effects</v>
      </c>
      <c r="T46" t="str">
        <v>Liberal,0-(0.18*x)</v>
      </c>
      <c r="U46" t="str">
        <v>CrimeRate,0-(0.08*x),4</v>
      </c>
      <c r="V46" t="str">
        <v>Patriot,0+(0.05*x)</v>
      </c>
      <c r="W46" t="str">
        <v>_Terrorism,0.2-(0.3*x),2</v>
      </c>
      <c r="X46" t="str">
        <v>_security_,0+(0.4*x),2</v>
      </c>
    </row>
    <row r="47">
      <c r="A47" t="str">
        <v>#</v>
      </c>
      <c r="B47" t="str">
        <v>InternetCensorship</v>
      </c>
      <c r="C47" t="str">
        <v>Internet Censorship</v>
      </c>
      <c r="D47" t="str">
        <v>internetcensorship</v>
      </c>
      <c r="E47" t="str">
        <v>Liberals would suggest that the internet's greatest characteristic is its freedom from censorship and control, leading to an open and tolerant society. Freedom has its price however, and there is no shortage of material on the internet that can assist those with criminal intent. Opinion on what should and should not be censored on the web is bitterly divided.</v>
      </c>
      <c r="G47" t="str">
        <v>27</v>
      </c>
      <c r="H47" t="str">
        <v>27</v>
      </c>
      <c r="I47" t="str">
        <v>14</v>
      </c>
      <c r="J47" t="str">
        <v>10</v>
      </c>
      <c r="K47" t="str">
        <v>LAWANDORDER</v>
      </c>
      <c r="L47" t="str">
        <v>250</v>
      </c>
      <c r="M47" t="str">
        <v>400</v>
      </c>
      <c r="O47" t="str">
        <v>1</v>
      </c>
      <c r="P47" t="str">
        <v>0</v>
      </c>
      <c r="Q47" t="str">
        <v>0</v>
      </c>
      <c r="S47" t="str">
        <v>#Effects</v>
      </c>
      <c r="T47" t="str">
        <v>Conservatives,0.10+(0.15*x)</v>
      </c>
      <c r="U47" t="str">
        <v>Technology,0.00-(0.12*x),4</v>
      </c>
      <c r="V47" t="str">
        <v>Liberal,-0.25-(0.25*x)</v>
      </c>
      <c r="W47" t="str">
        <v>Young,-0.08-(0.25*x)</v>
      </c>
    </row>
    <row r="48">
      <c r="A48" t="str">
        <v>#</v>
      </c>
      <c r="B48" t="str">
        <v>InternetTax</v>
      </c>
      <c r="C48" t="str">
        <v>Internet Tax</v>
      </c>
      <c r="D48" t="str">
        <v>tax</v>
      </c>
      <c r="E48" t="str">
        <v>As more and more commerce moves from conventional 'bricks and mortar' establishments to the web, governments are tempted to levy taxes on such transactions in order to 'level the playing field'. However, opponents of an internet tax claim that such a move would cripple the hi-tech economy and do enormous harm to the country's competitiveness.</v>
      </c>
      <c r="G48" t="str">
        <v>28</v>
      </c>
      <c r="H48" t="str">
        <v>10</v>
      </c>
      <c r="I48" t="str">
        <v>18</v>
      </c>
      <c r="J48" t="str">
        <v>4</v>
      </c>
      <c r="K48" t="str">
        <v>TAX</v>
      </c>
      <c r="L48" t="str">
        <v>0</v>
      </c>
      <c r="M48" t="str">
        <v>0</v>
      </c>
      <c r="O48" t="str">
        <v>1</v>
      </c>
      <c r="P48" t="str">
        <v>115</v>
      </c>
      <c r="Q48" t="str">
        <v>7015</v>
      </c>
      <c r="R48" t="str">
        <v>GDP,0.2+(0.8*x)</v>
      </c>
      <c r="S48" t="str">
        <v>#Effects</v>
      </c>
      <c r="T48" t="str">
        <v>Technology,-0.10-(0.23*x),4</v>
      </c>
      <c r="U48" t="str">
        <v>GDP,0.00-(0.05*x),2</v>
      </c>
      <c r="V48" t="str">
        <v>_MiddleIncome,0-(0.02*x)</v>
      </c>
    </row>
    <row r="49">
      <c r="A49" t="str">
        <v>#</v>
      </c>
      <c r="B49" t="str">
        <v>JuryTrial</v>
      </c>
      <c r="C49" t="str">
        <v>Jury Trial</v>
      </c>
      <c r="D49" t="str">
        <v>jurytrial</v>
      </c>
      <c r="E49" t="str">
        <v>The right to be tried by ordinary members of the public rather than a judge is seen as a fundamental human right by many liberals. Conservatives argue that such a process is expensive, time wasting and is no fairer than a judge or a group of magistrates. Its entirely possible to have a system where a jury trial is reserved for more serious offences, with minor trials presided over by a magistrate.</v>
      </c>
      <c r="G49" t="str">
        <v>18</v>
      </c>
      <c r="H49" t="str">
        <v>25</v>
      </c>
      <c r="I49" t="str">
        <v>8</v>
      </c>
      <c r="J49" t="str">
        <v>10</v>
      </c>
      <c r="K49" t="str">
        <v>LAWANDORDER</v>
      </c>
      <c r="L49" t="str">
        <v>105</v>
      </c>
      <c r="M49" t="str">
        <v>322</v>
      </c>
      <c r="O49" t="str">
        <v>1</v>
      </c>
      <c r="P49" t="str">
        <v>0</v>
      </c>
      <c r="Q49" t="str">
        <v>0</v>
      </c>
      <c r="S49" t="str">
        <v>#Effects</v>
      </c>
      <c r="T49" t="str">
        <v>Liberal,0+(0.15*x)</v>
      </c>
    </row>
    <row r="50">
      <c r="A50" t="str">
        <v>#</v>
      </c>
      <c r="B50" t="str">
        <v>LabourLaws</v>
      </c>
      <c r="C50" t="str">
        <v>Labor Laws</v>
      </c>
      <c r="D50" t="str">
        <v>labourlaws</v>
      </c>
      <c r="E50" t="str">
        <v>Labor laws are basically restrictions on a worker's right to strike. Capitalists argue that such restrictions are vital to prevent key workers such as power station workers, policemen and train drivers from holding the country to ransom. Trade unionists consider the right to strike to be fundamental and not open to negotiation.</v>
      </c>
      <c r="F50" t="str">
        <v>UNCANCELLABLE</v>
      </c>
      <c r="G50" t="str">
        <v>45</v>
      </c>
      <c r="H50" t="str">
        <v>45</v>
      </c>
      <c r="I50" t="str">
        <v>27</v>
      </c>
      <c r="J50" t="str">
        <v>20</v>
      </c>
      <c r="K50" t="str">
        <v>ECONOMY</v>
      </c>
      <c r="L50" t="str">
        <v>100</v>
      </c>
      <c r="M50" t="str">
        <v>160</v>
      </c>
      <c r="O50" t="str">
        <v>2</v>
      </c>
      <c r="P50" t="str">
        <v>0</v>
      </c>
      <c r="Q50" t="str">
        <v>0</v>
      </c>
      <c r="S50" t="str">
        <v>#Effects</v>
      </c>
      <c r="T50" t="str">
        <v>Socialist,-0.05+(0.1*x)</v>
      </c>
      <c r="U50" t="str">
        <v>TradeUnionist,-0.14+(0.28*x)</v>
      </c>
      <c r="V50" t="str">
        <v>WorkingWeek,0.37-(0.56*x)</v>
      </c>
      <c r="W50" t="str">
        <v>Capitalist,0.05-(0.1*x)</v>
      </c>
      <c r="X50" t="str">
        <v>WorkerProductivity,0.05-(0.10*x)</v>
      </c>
      <c r="Y50" t="str">
        <v>TradeUnionist_freq,-0.10+(0.20*x),8</v>
      </c>
      <c r="Z50" t="str">
        <v>_global_socialism,-0.10+(0.20*x),8</v>
      </c>
      <c r="AA50" t="str">
        <v>Wages,-0.12+0.24*x)</v>
      </c>
    </row>
    <row r="51">
      <c r="A51" t="str">
        <v>#</v>
      </c>
      <c r="B51" t="str">
        <v>LegalAid</v>
      </c>
      <c r="C51" t="str">
        <v>Legal Aid</v>
      </c>
      <c r="D51" t="str">
        <v>default</v>
      </c>
      <c r="E51" t="str">
        <v>Not everyone has the money to pay a lawyer to defend themselves in court. Although a citizen could theoretically defend himself, providing state-employed lawyers should make for a fairer system. On the other hand, this is basically a big subsidy to people who have already been charged with a crime but remember they are innocent until proved guilty.</v>
      </c>
      <c r="G51" t="str">
        <v>13</v>
      </c>
      <c r="H51" t="str">
        <v>13</v>
      </c>
      <c r="I51" t="str">
        <v>7</v>
      </c>
      <c r="J51" t="str">
        <v>9</v>
      </c>
      <c r="K51" t="str">
        <v>LAWANDORDER</v>
      </c>
      <c r="L51" t="str">
        <v>10</v>
      </c>
      <c r="M51" t="str">
        <v>400</v>
      </c>
      <c r="O51" t="str">
        <v>1</v>
      </c>
      <c r="P51" t="str">
        <v>0</v>
      </c>
      <c r="Q51" t="str">
        <v>0</v>
      </c>
      <c r="S51" t="str">
        <v>#Effects</v>
      </c>
      <c r="T51" t="str">
        <v>Liberal,0.05+(0.05*x)</v>
      </c>
      <c r="U51" t="str">
        <v>Poor,0.025+(0.05*x)</v>
      </c>
      <c r="V51" t="str">
        <v>Socialist,0.01+(0.02*x)</v>
      </c>
      <c r="W51" t="str">
        <v>Equality,0.02+(0.04*x)</v>
      </c>
      <c r="X51" t="str">
        <v>_LowIncome,0+(0.04*x)</v>
      </c>
    </row>
    <row r="52">
      <c r="A52" t="str">
        <v>#</v>
      </c>
      <c r="B52" t="str">
        <v>LegaliseProstitution</v>
      </c>
      <c r="C52" t="str">
        <v>Legalize Prostitution</v>
      </c>
      <c r="D52" t="str">
        <v>default</v>
      </c>
      <c r="E52" t="str">
        <v>Conservatives claim that the legalization of prostitution would mark a severe decline in family values. Others claim that as prostitution is unlikely to disappear, even if illegal, it's better for society and prostitutes that the practice is regulated and monitored rather than criminalized.</v>
      </c>
      <c r="G52" t="str">
        <v>25</v>
      </c>
      <c r="H52" t="str">
        <v>25</v>
      </c>
      <c r="I52" t="str">
        <v>12</v>
      </c>
      <c r="J52" t="str">
        <v>8</v>
      </c>
      <c r="K52" t="str">
        <v>LAWANDORDER</v>
      </c>
      <c r="L52" t="str">
        <v>0</v>
      </c>
      <c r="M52" t="str">
        <v>0</v>
      </c>
      <c r="O52" t="str">
        <v>1</v>
      </c>
      <c r="P52" t="str">
        <v>0</v>
      </c>
      <c r="Q52" t="str">
        <v>0</v>
      </c>
      <c r="S52" t="str">
        <v>#Effects</v>
      </c>
      <c r="T52" t="str">
        <v>Conservatives,-0.30-(0.10*x)</v>
      </c>
      <c r="U52" t="str">
        <v>GDP,0.03+(0.02*x),2</v>
      </c>
      <c r="V52" t="str">
        <v>Liberal,0.05+(0.03*x)</v>
      </c>
      <c r="W52" t="str">
        <v>Parents,-0.08-(0.02*x)</v>
      </c>
      <c r="X52" t="str">
        <v>Religious,-0.33-(0.07*x)</v>
      </c>
    </row>
    <row r="53">
      <c r="A53" t="str">
        <v>#</v>
      </c>
      <c r="B53" t="str">
        <v>LuxuryGoodsTax</v>
      </c>
      <c r="C53" t="str">
        <v>Luxury Goods Tax</v>
      </c>
      <c r="D53" t="str">
        <v>luxtax</v>
      </c>
      <c r="E53" t="str">
        <v>A tax aimed specifically at the high spenders in our society. A surcharge is added to high value luxuries such as sports cars, private yachts etc. Although it is never a vast source of income, a luxury goods tax can be popular with those people concerned with the gap between rich and poor. A luxury goods tax could encourage high earners to live and work elsewhere.</v>
      </c>
      <c r="G53" t="str">
        <v>14</v>
      </c>
      <c r="H53" t="str">
        <v>8</v>
      </c>
      <c r="I53" t="str">
        <v>7</v>
      </c>
      <c r="J53" t="str">
        <v>3</v>
      </c>
      <c r="K53" t="str">
        <v>TAX</v>
      </c>
      <c r="L53" t="str">
        <v>0</v>
      </c>
      <c r="M53" t="str">
        <v>0</v>
      </c>
      <c r="O53" t="str">
        <v>1</v>
      </c>
      <c r="P53" t="str">
        <v>115</v>
      </c>
      <c r="Q53" t="str">
        <v>8137.4</v>
      </c>
      <c r="R53" t="str">
        <v>Wealthy_perc,0+(1.0*x)</v>
      </c>
      <c r="S53" t="str">
        <v>#Effects</v>
      </c>
      <c r="T53" t="str">
        <v>Wealthy,0-(0.25*x)</v>
      </c>
      <c r="U53" t="str">
        <v>Socialist,0+(0.4*x)</v>
      </c>
      <c r="V53" t="str">
        <v>Capitalist,0-(0.08*x)</v>
      </c>
      <c r="W53" t="str">
        <v>Equality,0.05+(0.2*x),4</v>
      </c>
      <c r="X53" t="str">
        <v>_HighIncome,0-(0.18*x)</v>
      </c>
    </row>
    <row r="54">
      <c r="A54" t="str">
        <v>#</v>
      </c>
      <c r="B54" t="str">
        <v>MarriedTaxAllowance</v>
      </c>
      <c r="C54" t="str">
        <v>Married Tax Allowance</v>
      </c>
      <c r="D54" t="str">
        <v>marriedtax</v>
      </c>
      <c r="E54" t="str">
        <v>This is a tax break for married couples, given as an encouragement for people to marry and also to stick together. Church groups see it as essential that the state encourages traditional family values. Some see it as religion meddling in the tax system for no good reason.</v>
      </c>
      <c r="G54" t="str">
        <v>21</v>
      </c>
      <c r="H54" t="str">
        <v>21</v>
      </c>
      <c r="I54" t="str">
        <v>12</v>
      </c>
      <c r="J54" t="str">
        <v>8</v>
      </c>
      <c r="K54" t="str">
        <v>TAX</v>
      </c>
      <c r="L54" t="str">
        <v>100</v>
      </c>
      <c r="M54" t="str">
        <v>5200</v>
      </c>
      <c r="N54" t="str">
        <v>GDP,0.25+(0.75*x)</v>
      </c>
      <c r="O54" t="str">
        <v>1</v>
      </c>
      <c r="P54" t="str">
        <v>0</v>
      </c>
      <c r="Q54" t="str">
        <v>0</v>
      </c>
      <c r="S54" t="str">
        <v>#Effects</v>
      </c>
      <c r="T54" t="str">
        <v>Religious,0.1+(0.2*x)</v>
      </c>
      <c r="U54" t="str">
        <v>Conservatives,0.07+(0.10*x)</v>
      </c>
      <c r="V54" t="str">
        <v>Parents,0.02+(0.03*x)</v>
      </c>
      <c r="W54" t="str">
        <v>_global_liberalism,-0.04-(0.04*x),12</v>
      </c>
    </row>
    <row r="55">
      <c r="A55" t="str">
        <v>#</v>
      </c>
      <c r="B55" t="str">
        <v>MaternityLeave</v>
      </c>
      <c r="C55" t="str">
        <v>Maternity Leave</v>
      </c>
      <c r="D55" t="str">
        <v>maternityleave</v>
      </c>
      <c r="E55" t="str">
        <v>To some people, ensuring that mothers have a right to maternity leave and to return to their jobs afterwards is a sign of a civilized society, and one that encourages women to work. Some small businesses are concerned that it can put an unpredictable and even potentially crippling burden on an employer, especially where the number of employees is small. It could be argued that this actually encourages employers not to employ women.</v>
      </c>
      <c r="G55" t="str">
        <v>13</v>
      </c>
      <c r="H55" t="str">
        <v>18</v>
      </c>
      <c r="I55" t="str">
        <v>7</v>
      </c>
      <c r="J55" t="str">
        <v>7</v>
      </c>
      <c r="K55" t="str">
        <v>ECONOMY</v>
      </c>
      <c r="L55" t="str">
        <v>0</v>
      </c>
      <c r="M55" t="str">
        <v>0</v>
      </c>
      <c r="O55" t="str">
        <v>1</v>
      </c>
      <c r="P55" t="str">
        <v>0</v>
      </c>
      <c r="Q55" t="str">
        <v>0</v>
      </c>
      <c r="S55" t="str">
        <v>#Effects</v>
      </c>
      <c r="T55" t="str">
        <v>Parents,0.07+(0.15*x)</v>
      </c>
      <c r="U55" t="str">
        <v>WorkerProductivity,-0.05-(0.07*x)</v>
      </c>
      <c r="V55" t="str">
        <v>Parents_income,0+(0.1*x)</v>
      </c>
      <c r="W55" t="str">
        <v>Parents_freq,0.025+(0.04*x),4</v>
      </c>
      <c r="X55" t="str">
        <v>TradeUnionist,0.06+(0.05*x)</v>
      </c>
    </row>
    <row r="56">
      <c r="A56" t="str">
        <v>#</v>
      </c>
      <c r="B56" t="str">
        <v>MicrogenerationGrants</v>
      </c>
      <c r="C56" t="str">
        <v>Micro-Generation Grants</v>
      </c>
      <c r="D56" t="str">
        <v>default</v>
      </c>
      <c r="E56" t="str">
        <v>These grants are given to citizens to help subsidize the cost of energy micro-generation systems such as solar panels and wind turbines. This is a good way to take advantage of some people's desire to make a personal step towards cleaner and greener energy, and will increase the country's overall energy efficiency.</v>
      </c>
      <c r="G56" t="str">
        <v>10</v>
      </c>
      <c r="H56" t="str">
        <v>10</v>
      </c>
      <c r="I56" t="str">
        <v>3</v>
      </c>
      <c r="J56" t="str">
        <v>7</v>
      </c>
      <c r="K56" t="str">
        <v>TAX</v>
      </c>
      <c r="L56" t="str">
        <v>100</v>
      </c>
      <c r="M56" t="str">
        <v>1100</v>
      </c>
      <c r="N56" t="str">
        <v>GDP,0.25+(0.75*x)</v>
      </c>
      <c r="O56" t="str">
        <v>2</v>
      </c>
      <c r="P56" t="str">
        <v>0</v>
      </c>
      <c r="Q56" t="str">
        <v>0</v>
      </c>
      <c r="S56" t="str">
        <v>#Effects</v>
      </c>
      <c r="T56" t="str">
        <v>Environmentalist,0.03+(0.06*x)</v>
      </c>
      <c r="U56" t="str">
        <v>EnergyEfficiency,0.01+(0.11*x),4</v>
      </c>
      <c r="V56" t="str">
        <v>Environmentalist_income,0.02+(0.05*x)</v>
      </c>
      <c r="W56" t="str">
        <v>Environmentalist_freq,0.02+(0.06*x)</v>
      </c>
      <c r="X56" t="str">
        <v>CO2Emissions,-0.02-(0.05*x),8</v>
      </c>
      <c r="Y56" t="str">
        <v>Environment,0.02+(0.04*x),8</v>
      </c>
    </row>
    <row r="57">
      <c r="A57" t="str">
        <v>#</v>
      </c>
      <c r="B57" t="str">
        <v>MilitarySpending</v>
      </c>
      <c r="C57" t="str">
        <v>Military Spending</v>
      </c>
      <c r="D57" t="str">
        <v>militaryspending</v>
      </c>
      <c r="E57" t="str">
        <v>A modern, well equipped military can cost an absolute fortune, and many people feel that the money could best be spent elsewhere. Others (especially patriots) would argue that you cannot put a price on freedom and security, and also point out the huge benefits for our businesses, technology and employment figures.</v>
      </c>
      <c r="F57" t="str">
        <v>UNCANCELLABLE</v>
      </c>
      <c r="G57" t="str">
        <v>0</v>
      </c>
      <c r="H57" t="str">
        <v>0</v>
      </c>
      <c r="I57" t="str">
        <v>9</v>
      </c>
      <c r="J57" t="str">
        <v>19</v>
      </c>
      <c r="K57" t="str">
        <v>FOREIGNPOLICY</v>
      </c>
      <c r="L57" t="str">
        <v>1000</v>
      </c>
      <c r="M57" t="str">
        <v>10030</v>
      </c>
      <c r="N57" t="str">
        <v>_default_,1.0;Wages,-0.1+(0.2*x)</v>
      </c>
      <c r="O57" t="str">
        <v>8</v>
      </c>
      <c r="P57" t="str">
        <v>0</v>
      </c>
      <c r="Q57" t="str">
        <v>0</v>
      </c>
      <c r="S57" t="str">
        <v>#Effects</v>
      </c>
      <c r="T57" t="str">
        <v>Patriot,-0.35+(0.62*x)</v>
      </c>
      <c r="U57" t="str">
        <v>Unemployment,0.00-(0.23*x)</v>
      </c>
      <c r="V57" t="str">
        <v>StateEmployees,0.00+(0.23*x)</v>
      </c>
      <c r="W57" t="str">
        <v>_Terrorism,0-(0.2*x),4</v>
      </c>
      <c r="X57" t="str">
        <v>StateEmployees_freq,-0.05+(0.16*x)</v>
      </c>
      <c r="Y57" t="str">
        <v>StateEmployees_income,-0.3+(0.09*x)</v>
      </c>
      <c r="Z57" t="str">
        <v>Liberal,-0.10*(x^4)</v>
      </c>
    </row>
    <row r="58">
      <c r="A58" t="str">
        <v>#</v>
      </c>
      <c r="B58" t="str">
        <v>Monorail</v>
      </c>
      <c r="C58" t="str">
        <v>National Monorail System</v>
      </c>
      <c r="D58" t="str">
        <v>default</v>
      </c>
      <c r="E58" t="str">
        <v>Monorails are often seen as the transport system of the future. They are promoted as being fast, reliable and environmentally beneficial. The main problem however is the high cost. The construction time is also a major consideration so investment in a national network would take a long time to give an eventually good payoff.</v>
      </c>
      <c r="G58" t="str">
        <v>14</v>
      </c>
      <c r="H58" t="str">
        <v>14</v>
      </c>
      <c r="I58" t="str">
        <v>8</v>
      </c>
      <c r="J58" t="str">
        <v>8</v>
      </c>
      <c r="K58" t="str">
        <v>TRANSPORT</v>
      </c>
      <c r="L58" t="str">
        <v>2100</v>
      </c>
      <c r="M58" t="str">
        <v>2320</v>
      </c>
      <c r="O58" t="str">
        <v>16</v>
      </c>
      <c r="P58" t="str">
        <v>0</v>
      </c>
      <c r="Q58" t="str">
        <v>0</v>
      </c>
      <c r="S58" t="str">
        <v>#Effects</v>
      </c>
      <c r="T58" t="str">
        <v>CarUsage,-0.06-(0.10*x),2</v>
      </c>
      <c r="U58" t="str">
        <v>Commuter,0.12+(0.15*x)</v>
      </c>
      <c r="V58" t="str">
        <v>Unemployment,0-(0.05*x)</v>
      </c>
    </row>
    <row r="59">
      <c r="A59" t="str">
        <v>#</v>
      </c>
      <c r="B59" t="str">
        <v>MortgageTaxRelief</v>
      </c>
      <c r="C59" t="str">
        <v>Mortgage Tax Relief</v>
      </c>
      <c r="D59" t="str">
        <v>default</v>
      </c>
      <c r="E59" t="str">
        <v>This allows people to claim tax relief on the interest payments they have to make when they borrow money to buy a house. This helps homebuyers to afford their mortgage payments, but can be resented by those who are not in a position to buy a house, as it is effectively a tax break for homebuyers.</v>
      </c>
      <c r="G59" t="str">
        <v>31</v>
      </c>
      <c r="H59" t="str">
        <v>44</v>
      </c>
      <c r="I59" t="str">
        <v>18</v>
      </c>
      <c r="J59" t="str">
        <v>22</v>
      </c>
      <c r="K59" t="str">
        <v>TAX</v>
      </c>
      <c r="L59" t="str">
        <v>200</v>
      </c>
      <c r="M59" t="str">
        <v>920</v>
      </c>
      <c r="N59" t="str">
        <v>GDP,0.25+(0.75*x)</v>
      </c>
      <c r="O59" t="str">
        <v>1</v>
      </c>
      <c r="P59" t="str">
        <v>0</v>
      </c>
      <c r="Q59" t="str">
        <v>0</v>
      </c>
      <c r="S59" t="str">
        <v>#Effects</v>
      </c>
      <c r="T59" t="str">
        <v>MiddleIncome,0.1+(0.18*x)</v>
      </c>
      <c r="U59" t="str">
        <v>Socialist,-0.06-(0.07*x)</v>
      </c>
      <c r="V59" t="str">
        <v>Poor,-0.07-(0.06*x)</v>
      </c>
      <c r="W59" t="str">
        <v>_MiddleIncome,0+(0.09*x)</v>
      </c>
    </row>
    <row r="60">
      <c r="A60" t="str">
        <v>#</v>
      </c>
      <c r="B60" t="str">
        <v>Narcotics</v>
      </c>
      <c r="C60" t="str">
        <v>Narcotics</v>
      </c>
      <c r="D60" t="str">
        <v>narcotics</v>
      </c>
      <c r="E60" t="str">
        <v>Should drugs such as cannabis and heroin be legalized? Supporters suggest that it is the crime associated with the buying black-market drugs that cause problems, and legalizing narcotics would reduce crime. Opponents point to the health risks and say it would be giving into criminals.</v>
      </c>
      <c r="F60" t="str">
        <v>UNCANCELLABLE</v>
      </c>
      <c r="G60" t="str">
        <v>37</v>
      </c>
      <c r="H60" t="str">
        <v>37</v>
      </c>
      <c r="I60" t="str">
        <v>27</v>
      </c>
      <c r="J60" t="str">
        <v>20</v>
      </c>
      <c r="K60" t="str">
        <v>LAWANDORDER</v>
      </c>
      <c r="L60" t="str">
        <v>0</v>
      </c>
      <c r="M60" t="str">
        <v>0</v>
      </c>
      <c r="O60" t="str">
        <v>5</v>
      </c>
      <c r="P60" t="str">
        <v>0</v>
      </c>
      <c r="Q60" t="str">
        <v>0</v>
      </c>
      <c r="S60" t="str">
        <v>#Effects</v>
      </c>
      <c r="T60" t="str">
        <v>Liberal,-0.05+(0.2*x)</v>
      </c>
      <c r="U60" t="str">
        <v>Parents,0.00-(0.15*x)</v>
      </c>
      <c r="V60" t="str">
        <v>CrimeRate,0.00+(0.20*x)</v>
      </c>
      <c r="W60" t="str">
        <v>Conservatives,0.05-(0.2*x)</v>
      </c>
      <c r="X60" t="str">
        <v>LegalDrugConsumption,0.8*(GDP+0.2)*x</v>
      </c>
    </row>
    <row r="61">
      <c r="A61" t="str">
        <v>#</v>
      </c>
      <c r="B61" t="str">
        <v>NationalService</v>
      </c>
      <c r="C61" t="str">
        <v>National Service</v>
      </c>
      <c r="D61" t="str">
        <v>nationalservice</v>
      </c>
      <c r="E61" t="str">
        <v>Compulsory military service for some citizens where they are taught the basics of how to defend this country from attack has some benefits. For example it would allow us to have a smaller regular army. However, there are concerns about forcing people to bear arms against their will.</v>
      </c>
      <c r="G61" t="str">
        <v>50</v>
      </c>
      <c r="H61" t="str">
        <v>45</v>
      </c>
      <c r="I61" t="str">
        <v>26</v>
      </c>
      <c r="J61" t="str">
        <v>16</v>
      </c>
      <c r="K61" t="str">
        <v>FOREIGNPOLICY</v>
      </c>
      <c r="L61" t="str">
        <v>100</v>
      </c>
      <c r="M61" t="str">
        <v>1000</v>
      </c>
      <c r="O61" t="str">
        <v>1</v>
      </c>
      <c r="P61" t="str">
        <v>0</v>
      </c>
      <c r="Q61" t="str">
        <v>0</v>
      </c>
      <c r="S61" t="str">
        <v>#Effects</v>
      </c>
      <c r="T61" t="str">
        <v>Liberal,-0.10-(0.02*x)</v>
      </c>
      <c r="U61" t="str">
        <v>Patriot,0.15+(0.03*x)</v>
      </c>
      <c r="V61" t="str">
        <v>Conservatives,0.20+(0.24*x)</v>
      </c>
      <c r="W61" t="str">
        <v>Young,-0.20-(0.02*x)</v>
      </c>
      <c r="X61" t="str">
        <v>Patriot_freq,0.10+(0.06*x)</v>
      </c>
    </row>
    <row r="62">
      <c r="A62" t="str">
        <v>#</v>
      </c>
      <c r="B62" t="str">
        <v>OrganDonation</v>
      </c>
      <c r="C62" t="str">
        <v>Organ Donation</v>
      </c>
      <c r="D62" t="str">
        <v>organdonation</v>
      </c>
      <c r="E62" t="str">
        <v>There are few who would disagree that organ transplant is an amazing technology but it requires a plentiful supply of donors. Sadly many people do not give the topic consideration. Some suggest that an 'opt-out' policy is best, with consent for donation assumed unless otherwise stated. Others suggest that this is no place for the state to interfere and explicit permission should be requested.</v>
      </c>
      <c r="G62" t="str">
        <v>13</v>
      </c>
      <c r="H62" t="str">
        <v>13</v>
      </c>
      <c r="I62" t="str">
        <v>9</v>
      </c>
      <c r="J62" t="str">
        <v>7</v>
      </c>
      <c r="K62" t="str">
        <v>PUBLICSERVICES</v>
      </c>
      <c r="L62" t="str">
        <v>8</v>
      </c>
      <c r="M62" t="str">
        <v>10</v>
      </c>
      <c r="O62" t="str">
        <v>1</v>
      </c>
      <c r="P62" t="str">
        <v>0</v>
      </c>
      <c r="Q62" t="str">
        <v>0</v>
      </c>
      <c r="S62" t="str">
        <v>#Effects</v>
      </c>
      <c r="T62" t="str">
        <v>Health,0.05+(0.06*x)</v>
      </c>
      <c r="U62" t="str">
        <v>Religious,-0.08-(0.025*x)</v>
      </c>
    </row>
    <row r="63">
      <c r="A63" t="str">
        <v>#</v>
      </c>
      <c r="B63" t="str">
        <v>OrganicSubsidy</v>
      </c>
      <c r="C63" t="str">
        <v>Organic Farming Subsidy</v>
      </c>
      <c r="D63" t="str">
        <v>default</v>
      </c>
      <c r="E63" t="str">
        <v>Supporters of organic farming say the state should subsidize this method of farming because of the perceived health benefits of food without artificial flavorings and additives. Naturally this is popular with farmers and environmentalists, but some people see it as a pointless distortion of what should be a free market.</v>
      </c>
      <c r="G63" t="str">
        <v>15</v>
      </c>
      <c r="H63" t="str">
        <v>18</v>
      </c>
      <c r="I63" t="str">
        <v>9</v>
      </c>
      <c r="J63" t="str">
        <v>9</v>
      </c>
      <c r="K63" t="str">
        <v>ECONOMY</v>
      </c>
      <c r="L63" t="str">
        <v>190</v>
      </c>
      <c r="M63" t="str">
        <v>800</v>
      </c>
      <c r="O63" t="str">
        <v>1</v>
      </c>
      <c r="P63" t="str">
        <v>0</v>
      </c>
      <c r="Q63" t="str">
        <v>0</v>
      </c>
      <c r="S63" t="str">
        <v>#Effects</v>
      </c>
      <c r="T63" t="str">
        <v>Environmentalist,0.11+(0.09*x)</v>
      </c>
      <c r="U63" t="str">
        <v>Farmers,0.10+(0.18*x)</v>
      </c>
      <c r="V63" t="str">
        <v>Capitalist,-0.05-(0.02*x)</v>
      </c>
      <c r="W63" t="str">
        <v>Health,0.02+(0.06*x),8</v>
      </c>
      <c r="X63" t="str">
        <v>Farmers_income,0+(0.10*x)</v>
      </c>
      <c r="Y63" t="str">
        <v>Environmentalist_income,0+(0.05*x)</v>
      </c>
      <c r="Z63" t="str">
        <v>Farmers_freq,0.05+(0.09*x)</v>
      </c>
    </row>
    <row r="64">
      <c r="A64" t="str">
        <v>#</v>
      </c>
      <c r="B64" t="str">
        <v>PetrolTax</v>
      </c>
      <c r="C64" t="str">
        <v>Petrol Tax</v>
      </c>
      <c r="D64" t="str">
        <v>tax</v>
      </c>
      <c r="E64" t="str">
        <v>Taxing fuel can be a huge source of income for a government, and can also be seen as a 'green' policy by encouraging people to drive less, or to use more fuel efficient cars. Critics suggest that this is just another cynical tax on the motorist, and some complain that the alternative (public transport) is not a viable option for everyone.</v>
      </c>
      <c r="G64" t="str">
        <v>49</v>
      </c>
      <c r="H64" t="str">
        <v>28</v>
      </c>
      <c r="I64" t="str">
        <v>36</v>
      </c>
      <c r="J64" t="str">
        <v>10</v>
      </c>
      <c r="K64" t="str">
        <v>TAX</v>
      </c>
      <c r="L64" t="str">
        <v>0</v>
      </c>
      <c r="M64" t="str">
        <v>0</v>
      </c>
      <c r="O64" t="str">
        <v>1</v>
      </c>
      <c r="P64" t="str">
        <v>1150</v>
      </c>
      <c r="Q64" t="str">
        <v>21045</v>
      </c>
      <c r="R64" t="str">
        <v>CarUsage,0+(1.0*x)</v>
      </c>
      <c r="S64" t="str">
        <v>#Effects</v>
      </c>
      <c r="T64" t="str">
        <v>CarUsage,0.00-(0.40*x),4</v>
      </c>
      <c r="U64" t="str">
        <v>Motorist,0.00-(x^5)</v>
      </c>
      <c r="V64" t="str">
        <v>Environmentalist,0.00+(0.20*x)</v>
      </c>
      <c r="W64" t="str">
        <v>GDP,-0.13*(x^7),2</v>
      </c>
      <c r="X64" t="str">
        <v>Motorist_income,0-(0.15*x)</v>
      </c>
      <c r="Y64" t="str">
        <v>Motorist_freq,0-(0.16*x)</v>
      </c>
    </row>
    <row r="65">
      <c r="A65" t="str">
        <v>#</v>
      </c>
      <c r="B65" t="str">
        <v>PhoneTapping</v>
      </c>
      <c r="C65" t="str">
        <v>Wire Tapping</v>
      </c>
      <c r="D65" t="str">
        <v>phonetapping</v>
      </c>
      <c r="E65" t="str">
        <v>From a law and order perspective, wire tapping is an essential weapon in the fight against organized crime and terrorism. The problem is that it's difficult to prevent misuse of such a system, and liberals are keen to point out how widespread wire tapping is a very sinister sign of a police state.</v>
      </c>
      <c r="G65" t="str">
        <v>26</v>
      </c>
      <c r="H65" t="str">
        <v>16</v>
      </c>
      <c r="I65" t="str">
        <v>19</v>
      </c>
      <c r="J65" t="str">
        <v>8</v>
      </c>
      <c r="K65" t="str">
        <v>LAWANDORDER</v>
      </c>
      <c r="L65" t="str">
        <v>10</v>
      </c>
      <c r="M65" t="str">
        <v>40</v>
      </c>
      <c r="O65" t="str">
        <v>3</v>
      </c>
      <c r="P65" t="str">
        <v>0</v>
      </c>
      <c r="Q65" t="str">
        <v>0</v>
      </c>
      <c r="S65" t="str">
        <v>#Effects</v>
      </c>
      <c r="T65" t="str">
        <v>Liberal,-0.1-(0.25*x)</v>
      </c>
      <c r="U65" t="str">
        <v>CrimeRate,-0.05-(0.10*x),4</v>
      </c>
      <c r="V65" t="str">
        <v>_Terrorism,-0.05-(0.15*x)</v>
      </c>
      <c r="W65" t="str">
        <v>_security_,(0.075+0.1*x)</v>
      </c>
    </row>
    <row r="66">
      <c r="A66" t="str">
        <v>#</v>
      </c>
      <c r="B66" t="str">
        <v>PlasticBagTax</v>
      </c>
      <c r="C66" t="str">
        <v>Plastic Bag Tax</v>
      </c>
      <c r="D66" t="str">
        <v>default</v>
      </c>
      <c r="E66" t="str">
        <v>Plastic bags, unlike paper ones are not biodegradable so can last more or less forever, eventually ending up in huge unsightly landfill sites. A tax on bags discourages their use and encourages people to re-use stronger, more environmentally friendly alternatives. Capitalists just see this as the state meddling.</v>
      </c>
      <c r="G66" t="str">
        <v>4</v>
      </c>
      <c r="H66" t="str">
        <v>1</v>
      </c>
      <c r="I66" t="str">
        <v>1</v>
      </c>
      <c r="J66" t="str">
        <v>0</v>
      </c>
      <c r="K66" t="str">
        <v>TAX</v>
      </c>
      <c r="L66" t="str">
        <v>6</v>
      </c>
      <c r="M66" t="str">
        <v>7</v>
      </c>
      <c r="O66" t="str">
        <v>1</v>
      </c>
      <c r="P66" t="str">
        <v>5.75</v>
      </c>
      <c r="Q66" t="str">
        <v>70.15</v>
      </c>
      <c r="S66" t="str">
        <v>#Effects</v>
      </c>
      <c r="T66" t="str">
        <v>Environmentalist,0.02+(0.03*x)</v>
      </c>
      <c r="U66" t="str">
        <v>Capitalist,-0.02-(0.02*x)</v>
      </c>
    </row>
    <row r="67">
      <c r="A67" t="str">
        <v>#</v>
      </c>
      <c r="B67" t="str">
        <v>PoliceForce</v>
      </c>
      <c r="C67" t="str">
        <v>Police Force</v>
      </c>
      <c r="D67" t="str">
        <v>default</v>
      </c>
      <c r="E67" t="str">
        <v>Every government needs to employ a police force to ensure order is kept and laws are obeyed, but it's a matter of debate exactly how much should be spent on the police. Some favor a large force with police on every street corner, other prefer a more low-key and tolerant approach.</v>
      </c>
      <c r="F67" t="str">
        <v>UNCANCELLABLE</v>
      </c>
      <c r="G67" t="str">
        <v>25</v>
      </c>
      <c r="H67" t="str">
        <v>37</v>
      </c>
      <c r="I67" t="str">
        <v>4</v>
      </c>
      <c r="J67" t="str">
        <v>18</v>
      </c>
      <c r="K67" t="str">
        <v>LAWANDORDER</v>
      </c>
      <c r="L67" t="str">
        <v>300</v>
      </c>
      <c r="M67" t="str">
        <v>2320</v>
      </c>
      <c r="N67" t="str">
        <v>_default_,1.0;Wages,-0.1+(0.2*x)</v>
      </c>
      <c r="O67" t="str">
        <v>6</v>
      </c>
      <c r="P67" t="str">
        <v>0</v>
      </c>
      <c r="Q67" t="str">
        <v>0</v>
      </c>
      <c r="S67" t="str">
        <v>#Effects</v>
      </c>
      <c r="T67" t="str">
        <v>CrimeRate,-0.35*(x^0.6),4</v>
      </c>
      <c r="U67" t="str">
        <v>ViolentCrimeRate,-0.52*(x^0.6),3</v>
      </c>
      <c r="V67" t="str">
        <v>Conservatives,-0.2+(0.48*x)</v>
      </c>
      <c r="W67" t="str">
        <v>StateEmployees,-0.15+(0.37*x)</v>
      </c>
      <c r="X67" t="str">
        <v>StateEmployees_freq,-0.05+(0.1*x)</v>
      </c>
      <c r="Y67" t="str">
        <v>StateEmployees_income,-0.3+(0.09*x)</v>
      </c>
      <c r="Z67" t="str">
        <v>Unemployment,0-(0.03*x)</v>
      </c>
    </row>
    <row r="68">
      <c r="A68" t="str">
        <v>#</v>
      </c>
      <c r="B68" t="str">
        <v>PollutionControls</v>
      </c>
      <c r="C68" t="str">
        <v>Pollution Controls</v>
      </c>
      <c r="D68" t="str">
        <v>pollutioncontrols</v>
      </c>
      <c r="E68" t="str">
        <v>Restrictions on what chemicals and emissions can be released into the atmosphere. Controls reduce pollution and increase health, possibly at the cost of economic competitiveness.</v>
      </c>
      <c r="G68" t="str">
        <v>6</v>
      </c>
      <c r="H68" t="str">
        <v>6</v>
      </c>
      <c r="I68" t="str">
        <v>3</v>
      </c>
      <c r="J68" t="str">
        <v>3</v>
      </c>
      <c r="K68" t="str">
        <v>ECONOMY</v>
      </c>
      <c r="L68" t="str">
        <v>10</v>
      </c>
      <c r="M68" t="str">
        <v>24</v>
      </c>
      <c r="O68" t="str">
        <v>4</v>
      </c>
      <c r="P68" t="str">
        <v>0</v>
      </c>
      <c r="Q68" t="str">
        <v>0</v>
      </c>
      <c r="S68" t="str">
        <v>#Effects</v>
      </c>
      <c r="T68" t="str">
        <v>Environmentalist,0.05+(0.06*x)</v>
      </c>
      <c r="U68" t="str">
        <v>Capitalist,-0.02-(0.08*x)</v>
      </c>
      <c r="V68" t="str">
        <v>Environment,0.1+(0.2*x),12</v>
      </c>
      <c r="W68" t="str">
        <v>GDP,0-(0.05*x),4</v>
      </c>
      <c r="X68" t="str">
        <v>CO2Emissions,-0.05-(0.14*x),12</v>
      </c>
    </row>
    <row r="69">
      <c r="A69" t="str">
        <v>#</v>
      </c>
      <c r="B69" t="str">
        <v>PrisonerTagging</v>
      </c>
      <c r="C69" t="str">
        <v>Prisoner Tagging</v>
      </c>
      <c r="D69" t="str">
        <v>default</v>
      </c>
      <c r="E69" t="str">
        <v>A high tech alternative to incarceration that allows people to re-integrate with the community upon release from prison, whilst allowing law enforcement authorities to keep a close eye on them. Liberals have concerns that such a system is a step towards a police state which monitors our every move.</v>
      </c>
      <c r="G69" t="str">
        <v>14</v>
      </c>
      <c r="H69" t="str">
        <v>14</v>
      </c>
      <c r="I69" t="str">
        <v>7</v>
      </c>
      <c r="J69" t="str">
        <v>4</v>
      </c>
      <c r="K69" t="str">
        <v>LAWANDORDER</v>
      </c>
      <c r="L69" t="str">
        <v>16</v>
      </c>
      <c r="M69" t="str">
        <v>32</v>
      </c>
      <c r="O69" t="str">
        <v>1</v>
      </c>
      <c r="P69" t="str">
        <v>0</v>
      </c>
      <c r="Q69" t="str">
        <v>0</v>
      </c>
      <c r="S69" t="str">
        <v>#Effects</v>
      </c>
      <c r="T69" t="str">
        <v>Liberal,-0.10-(0.12*x)</v>
      </c>
      <c r="U69" t="str">
        <v>CrimeRate,-0.05-(0.08*x),4</v>
      </c>
      <c r="V69" t="str">
        <v>ViolentCrimeRate,-0.05-(0.09*x)</v>
      </c>
      <c r="W69" t="str">
        <v xml:space="preserve"> </v>
      </c>
    </row>
    <row r="70">
      <c r="A70" t="str">
        <v>#</v>
      </c>
      <c r="B70" t="str">
        <v>Prisons</v>
      </c>
      <c r="C70" t="str">
        <v>Prisons</v>
      </c>
      <c r="D70" t="str">
        <v>prisons</v>
      </c>
      <c r="E70" t="str">
        <v>Some argue that providing the minimum number of bare, cold cells is the only provision that needs to be made for those who have broken the law. Others suggest that spending more money allows for prisoners to be rehabilitated as well as punished and reduces the chances of reoffending.</v>
      </c>
      <c r="F70" t="str">
        <v>UNCANCELLABLE</v>
      </c>
      <c r="G70" t="str">
        <v>13</v>
      </c>
      <c r="H70" t="str">
        <v>20</v>
      </c>
      <c r="I70" t="str">
        <v>7</v>
      </c>
      <c r="J70" t="str">
        <v>8</v>
      </c>
      <c r="K70" t="str">
        <v>LAWANDORDER</v>
      </c>
      <c r="L70" t="str">
        <v>100</v>
      </c>
      <c r="M70" t="str">
        <v>1920</v>
      </c>
      <c r="N70" t="str">
        <v>CrimeRate,0.1+(0.9*x)</v>
      </c>
      <c r="O70" t="str">
        <v>6</v>
      </c>
      <c r="P70" t="str">
        <v>0</v>
      </c>
      <c r="Q70" t="str">
        <v>0</v>
      </c>
      <c r="S70" t="str">
        <v>#Effects</v>
      </c>
      <c r="T70" t="str">
        <v>CrimeRate,0.00-(0.07*x),8</v>
      </c>
      <c r="U70" t="str">
        <v>Liberal,0.12*(x^4)</v>
      </c>
      <c r="V70" t="str">
        <v>Conservatives,0.00+(0.12*x)</v>
      </c>
      <c r="W70" t="str">
        <v>StateEmployees,0+(0.15*x)</v>
      </c>
      <c r="X70" t="str">
        <v>StateEmployees_freq,-0.05+(0.1*x)</v>
      </c>
      <c r="Y70" t="str">
        <v>Unemployment,0-(0.02*x)</v>
      </c>
    </row>
    <row r="71">
      <c r="A71" t="str">
        <v>#</v>
      </c>
      <c r="B71" t="str">
        <v>PropertyTax</v>
      </c>
      <c r="C71" t="str">
        <v>Property Tax</v>
      </c>
      <c r="D71" t="str">
        <v>tax</v>
      </c>
      <c r="E71" t="str">
        <v>Property tax is a tax levied on the value of homes. The valuation is often made by a government body, and the money is used to fund local government services (at least in part) such as the provision of street lighting and emergency services. Some see it as a fair tax which mostly affects those who own large homes and are wealthy, others see it as an unfair tax on retired people with large homes but little actual income.</v>
      </c>
      <c r="G71" t="str">
        <v>37</v>
      </c>
      <c r="H71" t="str">
        <v>33</v>
      </c>
      <c r="I71" t="str">
        <v>19</v>
      </c>
      <c r="J71" t="str">
        <v>10</v>
      </c>
      <c r="K71" t="str">
        <v>TAX</v>
      </c>
      <c r="L71" t="str">
        <v>0</v>
      </c>
      <c r="M71" t="str">
        <v>0</v>
      </c>
      <c r="O71" t="str">
        <v>2</v>
      </c>
      <c r="P71" t="str">
        <v>1150</v>
      </c>
      <c r="Q71" t="str">
        <v>12650</v>
      </c>
      <c r="R71" t="str">
        <v>GDP,0.5+(0.5*x)</v>
      </c>
      <c r="S71" t="str">
        <v>#Effects</v>
      </c>
      <c r="T71" t="str">
        <v>_MiddleIncome,0-(0.1*x)</v>
      </c>
      <c r="U71" t="str">
        <v>_HighIncome,0-(0.14*x)</v>
      </c>
      <c r="V71" t="str">
        <v>Socialist,0+(0.12*x)</v>
      </c>
      <c r="W71" t="str">
        <v>Capitalist,0-(0.15*x)</v>
      </c>
      <c r="X71" t="str">
        <v>Equality,0+(0.15*x)</v>
      </c>
      <c r="Y71" t="str">
        <v>MiddleIncome,0-(0.32*x)</v>
      </c>
      <c r="Z71" t="str">
        <v>Wealthy,0-(x^11)</v>
      </c>
      <c r="AA71" t="str">
        <v>Retired,0-(0.28*x)</v>
      </c>
      <c r="AB71" t="str">
        <v xml:space="preserve"> </v>
      </c>
    </row>
    <row r="72">
      <c r="A72" t="str">
        <v>#</v>
      </c>
      <c r="B72" t="str">
        <v>PublicLibraries</v>
      </c>
      <c r="C72" t="str">
        <v>Public Libraries</v>
      </c>
      <c r="D72" t="str">
        <v>default</v>
      </c>
      <c r="E72" t="str">
        <v>Public libraries provide a number of services, acting as a focus for communities, providing access to information and literature to those on low incomes, and enabling people to learn new skills outside the normal educational establishment.</v>
      </c>
      <c r="G72" t="str">
        <v>10</v>
      </c>
      <c r="H72" t="str">
        <v>21</v>
      </c>
      <c r="I72" t="str">
        <v>6</v>
      </c>
      <c r="J72" t="str">
        <v>9</v>
      </c>
      <c r="K72" t="str">
        <v>PUBLICSERVICES</v>
      </c>
      <c r="L72" t="str">
        <v>50</v>
      </c>
      <c r="M72" t="str">
        <v>800</v>
      </c>
      <c r="O72" t="str">
        <v>4</v>
      </c>
      <c r="P72" t="str">
        <v>0</v>
      </c>
      <c r="Q72" t="str">
        <v>0</v>
      </c>
      <c r="S72" t="str">
        <v>#Effects</v>
      </c>
      <c r="T72" t="str">
        <v>Education,0.02+(0.05*x),4</v>
      </c>
      <c r="U72" t="str">
        <v>Equality,0.02+(0.02*x),4</v>
      </c>
      <c r="V72" t="str">
        <v>Retired,0.03+(0.03*x)</v>
      </c>
    </row>
    <row r="73">
      <c r="A73" t="str">
        <v>#</v>
      </c>
      <c r="B73" t="str">
        <v>RacialProfiling</v>
      </c>
      <c r="C73" t="str">
        <v>Racial Profiling</v>
      </c>
      <c r="D73" t="str">
        <v>default</v>
      </c>
      <c r="E73" t="str">
        <v>Racial (or ethnic) profiling is the practice of using race as a factor in identifying criminals and potential criminals. Law enforcement officials claim that using racial profiling allows them to quickly narrow down lists of potential suspects, and to best concentrate their efforts but opponents fear that it leads to racial discrimination by the police.</v>
      </c>
      <c r="G73" t="str">
        <v>32</v>
      </c>
      <c r="H73" t="str">
        <v>16</v>
      </c>
      <c r="I73" t="str">
        <v>18</v>
      </c>
      <c r="J73" t="str">
        <v>8</v>
      </c>
      <c r="K73" t="str">
        <v>LAWANDORDER</v>
      </c>
      <c r="L73" t="str">
        <v>0</v>
      </c>
      <c r="M73" t="str">
        <v>0</v>
      </c>
      <c r="O73" t="str">
        <v>1</v>
      </c>
      <c r="P73" t="str">
        <v>0</v>
      </c>
      <c r="Q73" t="str">
        <v>0</v>
      </c>
      <c r="S73" t="str">
        <v>#Effects</v>
      </c>
      <c r="T73" t="str">
        <v>CrimeRate,0-(0.09*x)</v>
      </c>
      <c r="U73" t="str">
        <v>ViolentCrimeRate,0-(0.09*x)</v>
      </c>
      <c r="V73" t="str">
        <v>Liberal,-0.06-(0.06*x)</v>
      </c>
      <c r="W73" t="str">
        <v>RacialTension,0.2+(0.1*x)</v>
      </c>
      <c r="X73" t="str">
        <v>_Terrorism,-0.04-(-0.05*x)</v>
      </c>
    </row>
    <row r="74">
      <c r="A74" t="str">
        <v>#</v>
      </c>
      <c r="B74" t="str">
        <v>RaceDiscriminationAct</v>
      </c>
      <c r="C74" t="str">
        <v>Race Discrimination Act</v>
      </c>
      <c r="D74" t="str">
        <v>default</v>
      </c>
      <c r="E74" t="str">
        <v>Prevents citizens being discriminated against purely on the basis of race, i.e. racist employment practices etc.</v>
      </c>
      <c r="G74" t="str">
        <v>2</v>
      </c>
      <c r="H74" t="str">
        <v>26</v>
      </c>
      <c r="I74" t="str">
        <v>1</v>
      </c>
      <c r="J74" t="str">
        <v>10</v>
      </c>
      <c r="K74" t="str">
        <v>LAWANDORDER</v>
      </c>
      <c r="L74" t="str">
        <v>5</v>
      </c>
      <c r="M74" t="str">
        <v>9</v>
      </c>
      <c r="O74" t="str">
        <v>1</v>
      </c>
      <c r="P74" t="str">
        <v>0</v>
      </c>
      <c r="Q74" t="str">
        <v>0</v>
      </c>
      <c r="S74" t="str">
        <v>#Effects</v>
      </c>
      <c r="T74" t="str">
        <v>RacialTension,0-(0.14*x)</v>
      </c>
      <c r="U74" t="str">
        <v>Liberal,0.1+(0.03*x)</v>
      </c>
      <c r="V74" t="str">
        <v>EthnicMinorities,0.2+(0.1*x)</v>
      </c>
      <c r="W74" t="str">
        <v>Conservatives,-0.05*(x^4)</v>
      </c>
      <c r="X74" t="str">
        <v>_global_liberalism,0+(0.12*x),8</v>
      </c>
    </row>
    <row r="75">
      <c r="A75" t="str">
        <v>#</v>
      </c>
      <c r="B75" t="str">
        <v>RailSubsidies</v>
      </c>
      <c r="C75" t="str">
        <v>Rail Subsidies</v>
      </c>
      <c r="D75" t="str">
        <v>default</v>
      </c>
      <c r="E75" t="str">
        <v>Travelling by rail is not only more environmentally sound than car travel, its much more efficient in terms of transport times and congestion. Of course that requires adequate investment over the very long term, and in the meantime, motorists take offence at subsidizing a system they do not use. It can take several years for the effects of rail investment to take effect.</v>
      </c>
      <c r="G75" t="str">
        <v>18</v>
      </c>
      <c r="H75" t="str">
        <v>18</v>
      </c>
      <c r="I75" t="str">
        <v>10</v>
      </c>
      <c r="J75" t="str">
        <v>9</v>
      </c>
      <c r="K75" t="str">
        <v>TRANSPORT</v>
      </c>
      <c r="L75" t="str">
        <v>500</v>
      </c>
      <c r="M75" t="str">
        <v>4800</v>
      </c>
      <c r="O75" t="str">
        <v>24</v>
      </c>
      <c r="P75" t="str">
        <v>0</v>
      </c>
      <c r="Q75" t="str">
        <v>0</v>
      </c>
      <c r="S75" t="str">
        <v>#Effects</v>
      </c>
      <c r="T75" t="str">
        <v>Commuter,0.10+(0.25*x)</v>
      </c>
      <c r="U75" t="str">
        <v>Motorist,0.00-(0.20*x)</v>
      </c>
      <c r="V75" t="str">
        <v>RailUsage,0.00+(0.35*x),8</v>
      </c>
      <c r="W75" t="str">
        <v>_LowIncome,0+(0.06*x)</v>
      </c>
      <c r="X75" t="str">
        <v>_MiddleIncome,0+(0.02*x)</v>
      </c>
      <c r="Y75" t="str">
        <v>Commuter_income,0+(0.1*x)</v>
      </c>
      <c r="Z75" t="str">
        <v>Commuter_freq,0+(0.12*x),4</v>
      </c>
      <c r="AA75" t="str">
        <v>Unemployment,0-(0.09*x)</v>
      </c>
    </row>
    <row r="76">
      <c r="A76" t="str">
        <v>#</v>
      </c>
      <c r="B76" t="str">
        <v>Recycling</v>
      </c>
      <c r="C76" t="str">
        <v>Recycling</v>
      </c>
      <c r="D76" t="str">
        <v>recycling</v>
      </c>
      <c r="E76" t="str">
        <v>Supporters of recycling argue that dumping waste in landfills just isn't a long term solution, and the government needs to show the way by providing facilities to recycle as many waste materials as possible. This might include recycling newspapers, cardboard, bottles and even some plastics.</v>
      </c>
      <c r="G76" t="str">
        <v>13</v>
      </c>
      <c r="H76" t="str">
        <v>18</v>
      </c>
      <c r="I76" t="str">
        <v>4</v>
      </c>
      <c r="J76" t="str">
        <v>4</v>
      </c>
      <c r="K76" t="str">
        <v>ECONOMY</v>
      </c>
      <c r="L76" t="str">
        <v>40</v>
      </c>
      <c r="M76" t="str">
        <v>400</v>
      </c>
      <c r="O76" t="str">
        <v>5</v>
      </c>
      <c r="P76" t="str">
        <v>0</v>
      </c>
      <c r="Q76" t="str">
        <v>0</v>
      </c>
      <c r="S76" t="str">
        <v>#Effects</v>
      </c>
      <c r="T76" t="str">
        <v>Environmentalist,0.04+(0.09*x)</v>
      </c>
      <c r="U76" t="str">
        <v>Environment,0.01+(0.04*x)</v>
      </c>
      <c r="V76" t="str">
        <v>Environmentalist_freq,0.02+(0.08*x),12</v>
      </c>
    </row>
    <row r="77">
      <c r="A77" t="str">
        <v>#</v>
      </c>
      <c r="B77" t="str">
        <v>RoadBuilding</v>
      </c>
      <c r="C77" t="str">
        <v>Road Building</v>
      </c>
      <c r="D77" t="str">
        <v>roadbuilding</v>
      </c>
      <c r="E77" t="str">
        <v>Although environmentalists often argue that more roads just lead to more congestion, not surprisingly this isn't how the motorist who is sat in traffic sees it. Building new roads is a very expensive and very slow process, but some suggest its vital to keep our economy functioning.</v>
      </c>
      <c r="F77" t="str">
        <v>UNCANCELLABLE</v>
      </c>
      <c r="G77" t="str">
        <v>30</v>
      </c>
      <c r="H77" t="str">
        <v>30</v>
      </c>
      <c r="I77" t="str">
        <v>18</v>
      </c>
      <c r="J77" t="str">
        <v>18</v>
      </c>
      <c r="K77" t="str">
        <v>TRANSPORT</v>
      </c>
      <c r="L77" t="str">
        <v>100</v>
      </c>
      <c r="M77" t="str">
        <v>5100</v>
      </c>
      <c r="O77" t="str">
        <v>16</v>
      </c>
      <c r="P77" t="str">
        <v>0</v>
      </c>
      <c r="Q77" t="str">
        <v>0</v>
      </c>
      <c r="R77" t="str">
        <v xml:space="preserve"> </v>
      </c>
      <c r="S77" t="str">
        <v>#Effects</v>
      </c>
      <c r="T77" t="str">
        <v>Motorist,-0.25+(0.55*x),4</v>
      </c>
      <c r="U77" t="str">
        <v>Environmentalist,0.16-(0.40*x)</v>
      </c>
      <c r="V77" t="str">
        <v>CarUsage,0.20+(0.29*x),4</v>
      </c>
      <c r="W77" t="str">
        <v>TrafficCongestion,0-(0.3*x)</v>
      </c>
      <c r="X77" t="str">
        <v>Unemployment,0-(0.05*x)</v>
      </c>
      <c r="Y77" t="str">
        <v xml:space="preserve"> </v>
      </c>
    </row>
    <row r="78">
      <c r="A78" t="str">
        <v>#</v>
      </c>
      <c r="B78" t="str">
        <v>RuralDevelopmentGrants</v>
      </c>
      <c r="C78" t="str">
        <v>Rural Development Grants</v>
      </c>
      <c r="D78" t="str">
        <v>default</v>
      </c>
      <c r="E78" t="str">
        <v>As technology advances and more and more citizens take jobs in our cities, there is a danger that poverty and unemployment will rise to unacceptable levels in the countryside. Rural development grants do distort the free market, but they also support rural businesses and prevent poverty amongst farmers and other rural occupations.</v>
      </c>
      <c r="G78" t="str">
        <v>27</v>
      </c>
      <c r="H78" t="str">
        <v>27</v>
      </c>
      <c r="I78" t="str">
        <v>18</v>
      </c>
      <c r="J78" t="str">
        <v>15</v>
      </c>
      <c r="K78" t="str">
        <v>ECONOMY</v>
      </c>
      <c r="L78" t="str">
        <v>100</v>
      </c>
      <c r="M78" t="str">
        <v>400</v>
      </c>
      <c r="O78" t="str">
        <v>6</v>
      </c>
      <c r="P78" t="str">
        <v>0</v>
      </c>
      <c r="Q78" t="str">
        <v>0</v>
      </c>
      <c r="S78" t="str">
        <v>#Effects</v>
      </c>
      <c r="T78" t="str">
        <v>_LowIncome,0.02+(0.13*x)</v>
      </c>
      <c r="U78" t="str">
        <v>Unemployment,0.00-(0.15*x)</v>
      </c>
      <c r="V78" t="str">
        <v>Equality,0.00+(0.14*x)</v>
      </c>
      <c r="W78" t="str">
        <v>Farmers,0.10+(0.30*x)</v>
      </c>
      <c r="X78" t="str">
        <v>GDP,0.00+(0.06*x),4</v>
      </c>
      <c r="Y78" t="str">
        <v>Farmers_freq,0.02+(0.06*x),8</v>
      </c>
    </row>
    <row r="79">
      <c r="A79" t="str">
        <v>#</v>
      </c>
      <c r="B79" t="str">
        <v>SalesTax</v>
      </c>
      <c r="C79" t="str">
        <v>Sales Tax</v>
      </c>
      <c r="D79" t="str">
        <v>salestax</v>
      </c>
      <c r="E79" t="str">
        <v>Sales tax is the classic 'regressive' tax, which means it does not take into account the ability to pay. Critics argue that this affects the poor disproportionately and thus increases inequality. Supporters argue that it is relatively easy to collect and affects everyone, and is thus fair. Businesses can be opposed to the administrative burden of the tax.</v>
      </c>
      <c r="F79" t="str">
        <v>MULTIPLYINCOME</v>
      </c>
      <c r="G79" t="str">
        <v>37</v>
      </c>
      <c r="H79" t="str">
        <v>21</v>
      </c>
      <c r="I79" t="str">
        <v>26</v>
      </c>
      <c r="J79" t="str">
        <v>9</v>
      </c>
      <c r="K79" t="str">
        <v>TAX</v>
      </c>
      <c r="L79" t="str">
        <v>0</v>
      </c>
      <c r="M79" t="str">
        <v>0</v>
      </c>
      <c r="O79" t="str">
        <v>1</v>
      </c>
      <c r="P79" t="str">
        <v>575</v>
      </c>
      <c r="Q79" t="str">
        <v>61732</v>
      </c>
      <c r="R79" t="str">
        <v>GDP,0.2+(0.8*x);TaxEvasion,1.0-(0.2*x)</v>
      </c>
      <c r="S79" t="str">
        <v>#Effects</v>
      </c>
      <c r="T79" t="str">
        <v>PovertyRate,0.00+(0.20*x)</v>
      </c>
      <c r="U79" t="str">
        <v>SelfEmployed,0.00-(0.21*x)</v>
      </c>
      <c r="V79" t="str">
        <v>Capitalist,0.00-(0.15*x)</v>
      </c>
      <c r="W79" t="str">
        <v>Equality,-0.02-(0.32*x)</v>
      </c>
      <c r="X79" t="str">
        <v>_LowIncome,0-(0.12*x)</v>
      </c>
      <c r="Y79" t="str">
        <v>_MiddleIncome,0-(0.06*x)</v>
      </c>
    </row>
    <row r="80">
      <c r="A80" t="str">
        <v>#</v>
      </c>
      <c r="B80" t="str">
        <v>SateliteRoadPricing</v>
      </c>
      <c r="C80" t="str">
        <v>Satellite Road Pricing</v>
      </c>
      <c r="D80" t="str">
        <v>default</v>
      </c>
      <c r="E80" t="str">
        <v>An expensive system that requires transponders to be fitted to everyone's car and keeps track of what roads people use (and when). Allows per-road pricing for car usage which gives local authorities fine control over reducing congestion without burdening motorists in more remote rural areas who have no alternative transport system.</v>
      </c>
      <c r="G80" t="str">
        <v>52</v>
      </c>
      <c r="H80" t="str">
        <v>21</v>
      </c>
      <c r="I80" t="str">
        <v>26</v>
      </c>
      <c r="J80" t="str">
        <v>14</v>
      </c>
      <c r="K80" t="str">
        <v>TRANSPORT</v>
      </c>
      <c r="L80" t="str">
        <v>2500</v>
      </c>
      <c r="M80" t="str">
        <v>2000</v>
      </c>
      <c r="O80" t="str">
        <v>16</v>
      </c>
      <c r="P80" t="str">
        <v>0</v>
      </c>
      <c r="Q80" t="str">
        <v>7015</v>
      </c>
      <c r="R80" t="str">
        <v>CarUsage,0+(1.0*x)</v>
      </c>
      <c r="S80" t="str">
        <v>#Effects</v>
      </c>
      <c r="T80" t="str">
        <v>CarUsage,-0.25*(x^4),4</v>
      </c>
      <c r="U80" t="str">
        <v>Motorist,-0.08-(0.06*x)</v>
      </c>
      <c r="V80" t="str">
        <v>Environmentalist,0.06+(0.1*x)</v>
      </c>
      <c r="W80" t="str">
        <v>Motorist_income,-0.04-(0.1*x)</v>
      </c>
      <c r="X80" t="str">
        <v>Capitalist,0.05+(0.02*x)</v>
      </c>
    </row>
    <row r="81">
      <c r="A81" t="str">
        <v>#</v>
      </c>
      <c r="B81" t="str">
        <v>SchoolBuses</v>
      </c>
      <c r="C81" t="str">
        <v>Subsidized School Buses</v>
      </c>
      <c r="D81" t="str">
        <v>default</v>
      </c>
      <c r="E81" t="str">
        <v>State subsidies for school buses ensure that every school kid has an efficient, and safe journey to school, whilst reducing the number of short 'school-run' trips carried out by parents, thus reducing traffic on the roads. Parents are also happier knowing that there are proper approved school buses.</v>
      </c>
      <c r="G81" t="str">
        <v>14</v>
      </c>
      <c r="H81" t="str">
        <v>21</v>
      </c>
      <c r="I81" t="str">
        <v>7</v>
      </c>
      <c r="J81" t="str">
        <v>10</v>
      </c>
      <c r="K81" t="str">
        <v>TRANSPORT</v>
      </c>
      <c r="L81" t="str">
        <v>250</v>
      </c>
      <c r="M81" t="str">
        <v>520</v>
      </c>
      <c r="O81" t="str">
        <v>2</v>
      </c>
      <c r="P81" t="str">
        <v>0</v>
      </c>
      <c r="Q81" t="str">
        <v>0</v>
      </c>
      <c r="S81" t="str">
        <v>#Effects</v>
      </c>
      <c r="T81" t="str">
        <v>Parents,0.07+(0.07*x)</v>
      </c>
      <c r="U81" t="str">
        <v>BusUsage,0.05+(0.15*x),2</v>
      </c>
    </row>
    <row r="82">
      <c r="A82" t="str">
        <v>#</v>
      </c>
      <c r="B82" t="str">
        <v>SchoolPrayers</v>
      </c>
      <c r="C82" t="str">
        <v>School Prayers</v>
      </c>
      <c r="D82" t="str">
        <v>schoolprayers</v>
      </c>
      <c r="E82" t="str">
        <v>Liberals will often argue that the education of our younger citizens should be kept entirely separate from any religious teachings. On the other hand, it's argued that some compulsory prayer in schools is a way of promoting moral values in our children.</v>
      </c>
      <c r="G82" t="str">
        <v>49</v>
      </c>
      <c r="H82" t="str">
        <v>39</v>
      </c>
      <c r="I82" t="str">
        <v>19</v>
      </c>
      <c r="J82" t="str">
        <v>14</v>
      </c>
      <c r="K82" t="str">
        <v>PUBLICSERVICES</v>
      </c>
      <c r="L82" t="str">
        <v>0</v>
      </c>
      <c r="M82" t="str">
        <v>0</v>
      </c>
      <c r="O82" t="str">
        <v>1</v>
      </c>
      <c r="P82" t="str">
        <v>0</v>
      </c>
      <c r="Q82" t="str">
        <v>0</v>
      </c>
      <c r="S82" t="str">
        <v>#Effects</v>
      </c>
      <c r="T82" t="str">
        <v>Religious,0.05+(0.15*x)</v>
      </c>
      <c r="U82" t="str">
        <v>Liberal,-0.05-(0.05*x)</v>
      </c>
      <c r="V82" t="str">
        <v>Religious_freq,0.04+(0.25*x),32</v>
      </c>
      <c r="W82" t="str">
        <v>RacialTension,0.1+(0.11*x),2</v>
      </c>
    </row>
    <row r="83">
      <c r="A83" t="str">
        <v>#</v>
      </c>
      <c r="B83" t="str">
        <v>ScienceFunding</v>
      </c>
      <c r="C83" t="str">
        <v>Science Funding</v>
      </c>
      <c r="D83" t="str">
        <v>sciencefunding</v>
      </c>
      <c r="E83" t="str">
        <v>In some countries, the majority of research is funded by private companies. State-sponsored science can be useful for investing in very long-term research projects or those that may not be commercially rewarding. The benefits of state sector research are freely available to the entire population, rather than patented by corporations.</v>
      </c>
      <c r="F83" t="str">
        <v>UNCANCELLABLE</v>
      </c>
      <c r="G83" t="str">
        <v>10</v>
      </c>
      <c r="H83" t="str">
        <v>20</v>
      </c>
      <c r="I83" t="str">
        <v>6</v>
      </c>
      <c r="J83" t="str">
        <v>8</v>
      </c>
      <c r="K83" t="str">
        <v>PUBLICSERVICES</v>
      </c>
      <c r="L83" t="str">
        <v>85</v>
      </c>
      <c r="M83" t="str">
        <v>4000</v>
      </c>
      <c r="O83" t="str">
        <v>4</v>
      </c>
      <c r="P83" t="str">
        <v>0</v>
      </c>
      <c r="Q83" t="str">
        <v>0</v>
      </c>
      <c r="S83" t="str">
        <v>#Effects</v>
      </c>
      <c r="T83" t="str">
        <v>Technology,-0.10+(0.21*x),16</v>
      </c>
      <c r="U83" t="str">
        <v>EnergyEfficiency,-0.1+(0.2*x),12</v>
      </c>
      <c r="V83" t="str">
        <v>GDP,0+(0.08*x),20</v>
      </c>
      <c r="W83" t="str">
        <v>StateEmployees,-0.15+(0.3*x)</v>
      </c>
      <c r="X83" t="str">
        <v>StateEmployees_freq,-0.05+(0.1*x)</v>
      </c>
      <c r="Y83" t="str">
        <v>Unemployment,0-(0.03*x)</v>
      </c>
    </row>
    <row r="84">
      <c r="A84" t="str">
        <v>#</v>
      </c>
      <c r="B84" t="str">
        <v>SmallBusinessGrants</v>
      </c>
      <c r="C84" t="str">
        <v>Small Business Grants</v>
      </c>
      <c r="D84" t="str">
        <v>default</v>
      </c>
      <c r="E84" t="str">
        <v>The failure rate for small businesses is very high. In the early years of trading, a preferential government grant can be an enormous help to get a new enterprise off the ground. This can lead to a big boost to the economy, but it can also be an expensive policy with no guarantee of good results.</v>
      </c>
      <c r="G84" t="str">
        <v>10</v>
      </c>
      <c r="H84" t="str">
        <v>14</v>
      </c>
      <c r="I84" t="str">
        <v>4</v>
      </c>
      <c r="J84" t="str">
        <v>7</v>
      </c>
      <c r="K84" t="str">
        <v>ECONOMY</v>
      </c>
      <c r="L84" t="str">
        <v>100</v>
      </c>
      <c r="M84" t="str">
        <v>5000</v>
      </c>
      <c r="N84" t="str">
        <v>GDP,0.25+(0.75*x)</v>
      </c>
      <c r="O84" t="str">
        <v>2</v>
      </c>
      <c r="P84" t="str">
        <v>0</v>
      </c>
      <c r="Q84" t="str">
        <v>0</v>
      </c>
      <c r="S84" t="str">
        <v>#Effects</v>
      </c>
      <c r="T84" t="str">
        <v>SelfEmployed,0.10+(0.25*x)</v>
      </c>
      <c r="U84" t="str">
        <v>GDP,0.01+(0.05*x),8</v>
      </c>
      <c r="V84" t="str">
        <v>Capitalist,0+(0.09*x)</v>
      </c>
      <c r="W84" t="str">
        <v>_global_socialism,-0.04-(0.1*x),12</v>
      </c>
      <c r="X84" t="str">
        <v>SelfEmployed_freq,0.02+(0.06*x),4</v>
      </c>
      <c r="Y84" t="str">
        <v>SelfEmployed_income,0.01+(0.15*x)</v>
      </c>
      <c r="Z84" t="str">
        <v>TradeUnionist_freq,-0.02-(0.04*x),4</v>
      </c>
      <c r="AA84" t="str">
        <v>Capitalist_income,0+(0.05*x),4</v>
      </c>
    </row>
    <row r="85">
      <c r="A85" t="str">
        <v>#</v>
      </c>
      <c r="B85" t="str">
        <v>SpaceProgram</v>
      </c>
      <c r="C85" t="str">
        <v>Space Program</v>
      </c>
      <c r="D85" t="str">
        <v>spaceprogram</v>
      </c>
      <c r="E85" t="str">
        <v>Invest in your country's efforts to explore space! As well as the purely scientific benefits, a well-funded space program will boost the level of technological expertise throughout the entire economy. It will also unite the country and encourage patriotism.</v>
      </c>
      <c r="G85" t="str">
        <v>24</v>
      </c>
      <c r="H85" t="str">
        <v>26</v>
      </c>
      <c r="I85" t="str">
        <v>18</v>
      </c>
      <c r="J85" t="str">
        <v>10</v>
      </c>
      <c r="K85" t="str">
        <v>ECONOMY</v>
      </c>
      <c r="L85" t="str">
        <v>1000</v>
      </c>
      <c r="M85" t="str">
        <v>3900</v>
      </c>
      <c r="O85" t="str">
        <v>16</v>
      </c>
      <c r="P85" t="str">
        <v>0</v>
      </c>
      <c r="Q85" t="str">
        <v>0</v>
      </c>
      <c r="S85" t="str">
        <v>#Effects</v>
      </c>
      <c r="T85" t="str">
        <v>Patriot,0.05+(0.15*x)</v>
      </c>
      <c r="U85" t="str">
        <v>Patriot_freq,0.05+(0.15*x)</v>
      </c>
      <c r="V85" t="str">
        <v>Unemployment,-0.02-(0.05*x)</v>
      </c>
      <c r="W85" t="str">
        <v>StateEmployees,0.035+(0.075*x)</v>
      </c>
      <c r="X85" t="str">
        <v>Technology,0+(0.12*x),16</v>
      </c>
      <c r="Y85" t="str">
        <v>Religious_freq,-0.02-(0.06*x),20</v>
      </c>
    </row>
    <row r="86">
      <c r="A86" t="str">
        <v>#</v>
      </c>
      <c r="B86" t="str">
        <v>SpeedCameras</v>
      </c>
      <c r="C86" t="str">
        <v>Speed Cameras</v>
      </c>
      <c r="D86" t="str">
        <v>speedcameras</v>
      </c>
      <c r="E86" t="str">
        <v>Speed cameras are an automated way to enforce speed restrictions on our roads, without having to invest a fortune in extra traffic police. Supporters claim they reduce road deaths and free up the police to deal with more serious crime, opponents claim they are a cynical way of taxing the motorist and have nothing to do with safety</v>
      </c>
      <c r="G86" t="str">
        <v>39</v>
      </c>
      <c r="H86" t="str">
        <v>14</v>
      </c>
      <c r="I86" t="str">
        <v>14</v>
      </c>
      <c r="J86" t="str">
        <v>7</v>
      </c>
      <c r="K86" t="str">
        <v>LAWANDORDER</v>
      </c>
      <c r="L86" t="str">
        <v>1</v>
      </c>
      <c r="M86" t="str">
        <v>8</v>
      </c>
      <c r="O86" t="str">
        <v>5</v>
      </c>
      <c r="P86" t="str">
        <v>11.5</v>
      </c>
      <c r="Q86" t="str">
        <v>210.45</v>
      </c>
      <c r="S86" t="str">
        <v>#Effects</v>
      </c>
      <c r="T86" t="str">
        <v>Motorist_income,0.00-(0.15*x)</v>
      </c>
      <c r="U86" t="str">
        <v>Parents,0.01+(0.03*x)</v>
      </c>
      <c r="V86" t="str">
        <v>Health,0.01+(0.015*x),4</v>
      </c>
      <c r="W86" t="str">
        <v>Motorist,-0.02-(0.08*x)</v>
      </c>
    </row>
    <row r="87">
      <c r="A87" t="str">
        <v>#</v>
      </c>
      <c r="B87" t="str">
        <v>StateHealthService</v>
      </c>
      <c r="C87" t="str">
        <v>State Health Service</v>
      </c>
      <c r="D87" t="str">
        <v>healthservice</v>
      </c>
      <c r="E87" t="str">
        <v>Although many citizens would be happy to pay privately for their own health treatment, there is an argument that the state has a duty to provide a minimum level of free health treatment for everyone regardless of income. Health provision can be expensive, so it's a matter of debate as to how much should be spent.</v>
      </c>
      <c r="G87" t="str">
        <v>38</v>
      </c>
      <c r="H87" t="str">
        <v>60</v>
      </c>
      <c r="I87" t="str">
        <v>18</v>
      </c>
      <c r="J87" t="str">
        <v>26</v>
      </c>
      <c r="K87" t="str">
        <v>PUBLICSERVICES</v>
      </c>
      <c r="L87" t="str">
        <v>3000</v>
      </c>
      <c r="M87" t="str">
        <v>12000</v>
      </c>
      <c r="N87" t="str">
        <v>_default_,0.6;TobaccoUse,0+(0.16*x);Environment,0.2-(0.1*x);Alcoholism,0.1+(0.1*x);Wages,-0.1+(0.2*x)</v>
      </c>
      <c r="O87" t="str">
        <v>12</v>
      </c>
      <c r="P87" t="str">
        <v>0</v>
      </c>
      <c r="Q87" t="str">
        <v>0</v>
      </c>
      <c r="S87" t="str">
        <v>#Effects</v>
      </c>
      <c r="T87" t="str">
        <v>Poor,0.05+(0.15*x)</v>
      </c>
      <c r="U87" t="str">
        <v>Capitalist,-0.02-(0.10*x)</v>
      </c>
      <c r="V87" t="str">
        <v>Wealthy,0.00-(0.10*x)</v>
      </c>
      <c r="W87" t="str">
        <v>Socialist,0.05+(0.11*x)</v>
      </c>
      <c r="X87" t="str">
        <v>Health,0.25*(x^0.6)+0.05,4</v>
      </c>
      <c r="Y87" t="str">
        <v>Retired,0.00+(0.16*x)</v>
      </c>
      <c r="Z87" t="str">
        <v>Unemployment,0-(0.19*x)</v>
      </c>
      <c r="AA87" t="str">
        <v>StateEmployees,0.00+(0.22*x)</v>
      </c>
      <c r="AB87" t="str">
        <v>StateEmployees_freq,0+(0.1*x)</v>
      </c>
      <c r="AC87" t="str">
        <v>StateEmployees_income,0+(0.09*x)</v>
      </c>
      <c r="AD87" t="str">
        <v>_global_socialism,0+(0.052*x),4</v>
      </c>
    </row>
    <row r="88">
      <c r="A88" t="str">
        <v>#</v>
      </c>
      <c r="B88" t="str">
        <v>StateHousing</v>
      </c>
      <c r="C88" t="str">
        <v>State Housing</v>
      </c>
      <c r="D88" t="str">
        <v>default</v>
      </c>
      <c r="E88" t="str">
        <v>Some citizens prefer to own their own homes, but the cost of housing is such that a large proportion of the population live in rented accommodation. State housing is provided, at a reduced rate, to those who cannot afford to pay the market rate. This can be expensive to fund, but the social benefits are also significant.</v>
      </c>
      <c r="G88" t="str">
        <v>13</v>
      </c>
      <c r="H88" t="str">
        <v>18</v>
      </c>
      <c r="I88" t="str">
        <v>8</v>
      </c>
      <c r="J88" t="str">
        <v>8</v>
      </c>
      <c r="K88" t="str">
        <v>WELFARE</v>
      </c>
      <c r="L88" t="str">
        <v>1000</v>
      </c>
      <c r="M88" t="str">
        <v>8400</v>
      </c>
      <c r="O88" t="str">
        <v>16</v>
      </c>
      <c r="P88" t="str">
        <v>0</v>
      </c>
      <c r="Q88" t="str">
        <v>0</v>
      </c>
      <c r="S88" t="str">
        <v>#Effects</v>
      </c>
      <c r="T88" t="str">
        <v>Capitalist,-0.02-(0.1*x)</v>
      </c>
      <c r="U88" t="str">
        <v>Poor,0.05+(0.05*x)</v>
      </c>
      <c r="V88" t="str">
        <v>Equality,0.03+(0.21*x)</v>
      </c>
      <c r="W88" t="str">
        <v>Socialist,0+(0.20*x)</v>
      </c>
      <c r="X88" t="str">
        <v>PovertyRate,0-(0.17*x)</v>
      </c>
      <c r="Y88" t="str">
        <v>_LowIncome,0+(0.17*x)</v>
      </c>
      <c r="Z88" t="str">
        <v>_global_socialism,0.015+(0.02*x),12</v>
      </c>
    </row>
    <row r="89">
      <c r="A89" t="str">
        <v>#</v>
      </c>
      <c r="B89" t="str">
        <v>StatePensions</v>
      </c>
      <c r="C89" t="str">
        <v>State Pensions</v>
      </c>
      <c r="D89" t="str">
        <v>default</v>
      </c>
      <c r="E89" t="str">
        <v>Rather than leave it up to the individual to provide for themselves after retirement, state pensions can guarantee a minimum standard of living for the elderly. Be aware that as life expectancy rises, the cost to the state of paying out pensions increases hugely. The level of state pension may encourage or discourage citizens to save into private pension plans.</v>
      </c>
      <c r="G89" t="str">
        <v>19</v>
      </c>
      <c r="H89" t="str">
        <v>49</v>
      </c>
      <c r="I89" t="str">
        <v>9</v>
      </c>
      <c r="J89" t="str">
        <v>26</v>
      </c>
      <c r="K89" t="str">
        <v>WELFARE</v>
      </c>
      <c r="L89" t="str">
        <v>2500</v>
      </c>
      <c r="M89" t="str">
        <v>14000</v>
      </c>
      <c r="N89" t="str">
        <v>_default_,1.0;Health,0.2*(x^6)</v>
      </c>
      <c r="O89" t="str">
        <v>2</v>
      </c>
      <c r="P89" t="str">
        <v>0</v>
      </c>
      <c r="Q89" t="str">
        <v>0</v>
      </c>
      <c r="S89" t="str">
        <v>#Effects</v>
      </c>
      <c r="T89" t="str">
        <v>Capitalist,-0.02-(0.1*x)</v>
      </c>
      <c r="U89" t="str">
        <v>Retired,0.2+(0.55*x)</v>
      </c>
      <c r="V89" t="str">
        <v>Poor,0.07+(0.12*x)</v>
      </c>
      <c r="W89" t="str">
        <v>PovertyRate,0-(0.2*x)</v>
      </c>
      <c r="X89" t="str">
        <v>Retired_income,0.1+(0.2*x)</v>
      </c>
      <c r="Y89" t="str">
        <v>_global_socialism,0.02+(0.02*x),12</v>
      </c>
      <c r="Z89" t="str">
        <v>Retired_freq,0+(0.09*x),8</v>
      </c>
    </row>
    <row r="90">
      <c r="A90" t="str">
        <v>#</v>
      </c>
      <c r="B90" t="str">
        <v>StateSchools</v>
      </c>
      <c r="C90" t="str">
        <v>State Schools</v>
      </c>
      <c r="D90" t="str">
        <v>stateschools</v>
      </c>
      <c r="E90" t="str">
        <v>Free education for all ensures high levels of literacy and can be beneficial to the economy, especially those parts of the economy requiring a skilled workforce. The flipside of this is that state education can be expensive for the government. Wealthy individuals, not making use of state schools, may resent subsidizing them.</v>
      </c>
      <c r="G90" t="str">
        <v>30</v>
      </c>
      <c r="H90" t="str">
        <v>42</v>
      </c>
      <c r="I90" t="str">
        <v>18</v>
      </c>
      <c r="J90" t="str">
        <v>21</v>
      </c>
      <c r="K90" t="str">
        <v>PUBLICSERVICES</v>
      </c>
      <c r="L90" t="str">
        <v>1000</v>
      </c>
      <c r="M90" t="str">
        <v>10200</v>
      </c>
      <c r="N90" t="str">
        <v>_default_,1.0;Wages,-0.1+(0.2*x)</v>
      </c>
      <c r="O90" t="str">
        <v>12</v>
      </c>
      <c r="P90" t="str">
        <v>0</v>
      </c>
      <c r="Q90" t="str">
        <v>0</v>
      </c>
      <c r="S90" t="str">
        <v>#Effects</v>
      </c>
      <c r="T90" t="str">
        <v>Poor,0.04+(0.11*x)</v>
      </c>
      <c r="U90" t="str">
        <v>Socialist,0.00+(0.20*x)</v>
      </c>
      <c r="V90" t="str">
        <v>Education,0.3*(x^0.6)+ 0.07,8</v>
      </c>
      <c r="W90" t="str">
        <v>PovertyRate,-0.08-(0.10*x)</v>
      </c>
      <c r="X90" t="str">
        <v>StateEmployees,0.00+(0.14*x)</v>
      </c>
      <c r="Y90" t="str">
        <v>Unemployment,0-(0.19*x)</v>
      </c>
      <c r="Z90" t="str">
        <v>StateEmployees_freq,0+(0.1*x)</v>
      </c>
      <c r="AA90" t="str">
        <v>StateEmployees_income,0+(0.09*x)</v>
      </c>
      <c r="AB90" t="str">
        <v>_global_socialism,0+(0.03*x),12</v>
      </c>
      <c r="AC90" t="str">
        <v>Parents_freq,0+(0.025*x),8</v>
      </c>
    </row>
    <row r="91">
      <c r="A91" t="str">
        <v>#</v>
      </c>
      <c r="B91" t="str">
        <v>StemCells</v>
      </c>
      <c r="C91" t="str">
        <v>Stem Cell Research</v>
      </c>
      <c r="D91" t="str">
        <v>default</v>
      </c>
      <c r="E91" t="str">
        <v>A stem cell is a primitive type of cell that can be developed into most of the types of cells found in the human body. Some scientists claim that stem cell research offers great hope for curing diseases such as diabetes and multiple sclerosis. However, because stem cells are taken from discarded human embryos, many 'pro-life' and religious groups oppose their usage.</v>
      </c>
      <c r="G91" t="str">
        <v>45</v>
      </c>
      <c r="H91" t="str">
        <v>45</v>
      </c>
      <c r="I91" t="str">
        <v>21</v>
      </c>
      <c r="J91" t="str">
        <v>15</v>
      </c>
      <c r="K91" t="str">
        <v>PUBLICSERVICES</v>
      </c>
      <c r="L91" t="str">
        <v>20</v>
      </c>
      <c r="M91" t="str">
        <v>160</v>
      </c>
      <c r="O91" t="str">
        <v>4</v>
      </c>
      <c r="P91" t="str">
        <v>0</v>
      </c>
      <c r="Q91" t="str">
        <v>0</v>
      </c>
      <c r="S91" t="str">
        <v>#Effects</v>
      </c>
      <c r="T91" t="str">
        <v>GDP,0.03+(0.035*x),22</v>
      </c>
      <c r="U91" t="str">
        <v>Religious,-0.17-(0.1*x)</v>
      </c>
      <c r="V91" t="str">
        <v>Conservatives,-0.02-(0.04*x)</v>
      </c>
      <c r="W91" t="str">
        <v>Health,0.01+(0.02*x),16</v>
      </c>
      <c r="X91" t="str">
        <v>Technology,0.02+(0.04*x)</v>
      </c>
    </row>
    <row r="92">
      <c r="A92" t="str">
        <v>#</v>
      </c>
      <c r="B92" t="str">
        <v>TaxShelters</v>
      </c>
      <c r="C92" t="str">
        <v>Tax Shelters</v>
      </c>
      <c r="D92" t="str">
        <v>default</v>
      </c>
      <c r="E92" t="str">
        <v>By not fully taxing the wealth of the super-rich, tax shelters can be a great way to encourage successful entrepreneurs to make our country their home. With an ever-shrinking world, the rich are free to settle wherever they please. encouraging them to live here may mean that they spend their wealth in this country. Such measures can be very unpopular with the poor, who resent paying tax on their much lower earnings.</v>
      </c>
      <c r="G92" t="str">
        <v>13</v>
      </c>
      <c r="H92" t="str">
        <v>18</v>
      </c>
      <c r="I92" t="str">
        <v>7</v>
      </c>
      <c r="J92" t="str">
        <v>7</v>
      </c>
      <c r="K92" t="str">
        <v>ECONOMY</v>
      </c>
      <c r="L92" t="str">
        <v>100</v>
      </c>
      <c r="M92" t="str">
        <v>400</v>
      </c>
      <c r="O92" t="str">
        <v>1</v>
      </c>
      <c r="P92" t="str">
        <v>0</v>
      </c>
      <c r="Q92" t="str">
        <v>0</v>
      </c>
      <c r="S92" t="str">
        <v>#Effects</v>
      </c>
      <c r="T92" t="str">
        <v>Wealthy,0.20+(0.30*x)</v>
      </c>
      <c r="U92" t="str">
        <v>Socialist,-0.20-(0.40*x)</v>
      </c>
      <c r="V92" t="str">
        <v>Equality,-0.10-(0.30*x),4</v>
      </c>
      <c r="W92" t="str">
        <v>Capitalist,0+(0.14*x)</v>
      </c>
      <c r="X92" t="str">
        <v>_HighIncome,0+(0.10*x)</v>
      </c>
      <c r="Y92" t="str">
        <v>GDP,0+(0.06*x),8</v>
      </c>
      <c r="Z92" t="str">
        <v>ForeignRelations,-0.08*(x^3)</v>
      </c>
    </row>
    <row r="93">
      <c r="A93" t="str">
        <v>#</v>
      </c>
      <c r="B93" t="str">
        <v>TechnologyColleges</v>
      </c>
      <c r="C93" t="str">
        <v>Technology Colleges</v>
      </c>
      <c r="D93" t="str">
        <v>default</v>
      </c>
      <c r="E93" t="str">
        <v>Technology colleges are 'specialist schools' with a focus on computer literacy, biotechnology and similar subjects. These state-run colleges receive special funding from central government in order to encourage a greater level of technological literacy amongst the future workforce.</v>
      </c>
      <c r="G93" t="str">
        <v>10</v>
      </c>
      <c r="H93" t="str">
        <v>16</v>
      </c>
      <c r="I93" t="str">
        <v>6</v>
      </c>
      <c r="J93" t="str">
        <v>7</v>
      </c>
      <c r="K93" t="str">
        <v>PUBLICSERVICES</v>
      </c>
      <c r="L93" t="str">
        <v>185</v>
      </c>
      <c r="M93" t="str">
        <v>670</v>
      </c>
      <c r="O93" t="str">
        <v>4</v>
      </c>
      <c r="P93" t="str">
        <v>0</v>
      </c>
      <c r="Q93" t="str">
        <v>0</v>
      </c>
      <c r="S93" t="str">
        <v>#Effects</v>
      </c>
      <c r="T93" t="str">
        <v>Education,0.025+(0.06*x),8</v>
      </c>
      <c r="U93" t="str">
        <v>Technology,0.05+(0.15*x),12</v>
      </c>
      <c r="V93" t="str">
        <v>StateEmployees,0.00+(0.05*x)</v>
      </c>
      <c r="W93" t="str">
        <v>StateEmployees_freq,0+(0.04*x)</v>
      </c>
      <c r="X93" t="str">
        <v>Socialist,-0.02-(0.06*x)</v>
      </c>
      <c r="Y93" t="str">
        <v>Equality,-0.02-(0.025*x)</v>
      </c>
    </row>
    <row r="94">
      <c r="A94" t="str">
        <v>#</v>
      </c>
      <c r="B94" t="str">
        <v>TechnologyGrants</v>
      </c>
      <c r="C94" t="str">
        <v>Technology Grants</v>
      </c>
      <c r="D94" t="str">
        <v>default</v>
      </c>
      <c r="E94" t="str">
        <v>The government can provide state funding to encourage business to invest in new and exciting technologies. Although this helps give us a competitive advantage and can create jobs, it can be argued that its an unnecessary distortion of the market.</v>
      </c>
      <c r="G94" t="str">
        <v>10</v>
      </c>
      <c r="H94" t="str">
        <v>18</v>
      </c>
      <c r="I94" t="str">
        <v>6</v>
      </c>
      <c r="J94" t="str">
        <v>7</v>
      </c>
      <c r="K94" t="str">
        <v>ECONOMY</v>
      </c>
      <c r="L94" t="str">
        <v>450</v>
      </c>
      <c r="M94" t="str">
        <v>4600</v>
      </c>
      <c r="N94" t="str">
        <v>GDP,0.25+(0.75*x)</v>
      </c>
      <c r="O94" t="str">
        <v>2</v>
      </c>
      <c r="P94" t="str">
        <v>0</v>
      </c>
      <c r="Q94" t="str">
        <v>0</v>
      </c>
      <c r="S94" t="str">
        <v>#Effects</v>
      </c>
      <c r="T94" t="str">
        <v>Unemployment,0.00-(0.05*x),6</v>
      </c>
      <c r="U94" t="str">
        <v>Technology,0.05+(0.12*x),12</v>
      </c>
      <c r="V94" t="str">
        <v>GDP,0.0+(0.02*x),16</v>
      </c>
      <c r="W94" t="str">
        <v>WorkerProductivity,0.00+(0.07*x),8</v>
      </c>
      <c r="X94" t="str">
        <v>Capitalist,0.03+(0.08*x)</v>
      </c>
      <c r="Y94" t="str">
        <v>Religious_freq,-0.08-(0.12*x),32</v>
      </c>
    </row>
    <row r="95">
      <c r="A95" t="str">
        <v>#</v>
      </c>
      <c r="B95" t="str">
        <v>TelecommutingInitiative</v>
      </c>
      <c r="C95" t="str">
        <v>Telecommuting Initiative</v>
      </c>
      <c r="D95" t="str">
        <v>default</v>
      </c>
      <c r="E95" t="str">
        <v>Telecommuting, or 'working from home' is seen as desirable because it reduces the pressure on the transport infrastructure, and can be an improvement to people's quality of life. It's also welcomed by parents. This policy offers tax incentives to companies supporting this option.</v>
      </c>
      <c r="G95" t="str">
        <v>2</v>
      </c>
      <c r="H95" t="str">
        <v>6</v>
      </c>
      <c r="I95" t="str">
        <v>0</v>
      </c>
      <c r="J95" t="str">
        <v>3</v>
      </c>
      <c r="K95" t="str">
        <v>TRANSPORT</v>
      </c>
      <c r="L95" t="str">
        <v>110</v>
      </c>
      <c r="M95" t="str">
        <v>900</v>
      </c>
      <c r="N95" t="str">
        <v>GDP,0.4+(0.6*x)</v>
      </c>
      <c r="O95" t="str">
        <v>1</v>
      </c>
      <c r="P95" t="str">
        <v>0</v>
      </c>
      <c r="Q95" t="str">
        <v>0</v>
      </c>
      <c r="S95" t="str">
        <v>#Effects</v>
      </c>
      <c r="T95" t="str">
        <v>Commuter,0.05+(0.15*x)</v>
      </c>
      <c r="U95" t="str">
        <v>Commuter_freq,-0.05-(0.1*x),4</v>
      </c>
      <c r="V95" t="str">
        <v>CarUsage,-0.05-(0.1*x),4</v>
      </c>
      <c r="W95" t="str">
        <v>Parents,0.07+(0.07*x)</v>
      </c>
      <c r="X95" t="str">
        <v>TradeUnionist,0.05+(0.05*x)</v>
      </c>
    </row>
    <row r="96">
      <c r="A96" t="str">
        <v>#</v>
      </c>
      <c r="B96" t="str">
        <v>TobaccoTax</v>
      </c>
      <c r="C96" t="str">
        <v>Tobacco Tax</v>
      </c>
      <c r="D96" t="str">
        <v>tax</v>
      </c>
      <c r="E96" t="str">
        <v>Despite the failure of tobacco companies to admit it, there is good reason to believe that smoking has negative effects on health. This is used as a justification for taxing tobacco. Cynics point out that the government benefits hugely from a tax on a product it is supposedly against. Health campaigners encourage the tax as a way to encourage a more healthy population</v>
      </c>
      <c r="G96" t="str">
        <v>39</v>
      </c>
      <c r="H96" t="str">
        <v>20</v>
      </c>
      <c r="I96" t="str">
        <v>27</v>
      </c>
      <c r="J96" t="str">
        <v>10</v>
      </c>
      <c r="K96" t="str">
        <v>TAX</v>
      </c>
      <c r="L96" t="str">
        <v>0</v>
      </c>
      <c r="M96" t="str">
        <v>0</v>
      </c>
      <c r="O96" t="str">
        <v>1</v>
      </c>
      <c r="P96" t="str">
        <v>115</v>
      </c>
      <c r="Q96" t="str">
        <v>8418</v>
      </c>
      <c r="R96" t="str">
        <v>TobaccoUse,0+(1.0*x)</v>
      </c>
      <c r="S96" t="str">
        <v>#Effects</v>
      </c>
      <c r="T96" t="str">
        <v>_All_,-0.4*(TobaccoUse*x)</v>
      </c>
      <c r="U96" t="str">
        <v>PovertyRate,0.23*(TobaccoUse*x)</v>
      </c>
      <c r="V96" t="str">
        <v>Equality,-0.1*(TobaccoUse*x)</v>
      </c>
      <c r="W96" t="str">
        <v>TobaccoUse,0-(0.8*x),8</v>
      </c>
    </row>
    <row r="97">
      <c r="A97" t="str">
        <v>#</v>
      </c>
      <c r="B97" t="str">
        <v>TollRoads</v>
      </c>
      <c r="C97" t="str">
        <v>Toll Roads</v>
      </c>
      <c r="D97" t="str">
        <v>default</v>
      </c>
      <c r="E97" t="str">
        <v>Toll roads charge motorists to use specific roads (normally major highways). This is a great example of directly applying market forces, by only charging those who use a particular route for the construction and maintenance of that route. Motorists tend to see this as just another form of taxation, whereas commuters appreciate not being charged for roads they seldom use.</v>
      </c>
      <c r="G97" t="str">
        <v>25</v>
      </c>
      <c r="H97" t="str">
        <v>13</v>
      </c>
      <c r="I97" t="str">
        <v>10</v>
      </c>
      <c r="J97" t="str">
        <v>7</v>
      </c>
      <c r="K97" t="str">
        <v>TRANSPORT</v>
      </c>
      <c r="L97" t="str">
        <v>0</v>
      </c>
      <c r="M97" t="str">
        <v>0</v>
      </c>
      <c r="O97" t="str">
        <v>12</v>
      </c>
      <c r="P97" t="str">
        <v>11.5</v>
      </c>
      <c r="Q97" t="str">
        <v>140.3</v>
      </c>
      <c r="R97" t="str">
        <v>CarUsage,0+(1.0*x)</v>
      </c>
      <c r="S97" t="str">
        <v>#Effects</v>
      </c>
      <c r="T97" t="str">
        <v>Motorist,0.00-(0.25*x)</v>
      </c>
      <c r="U97" t="str">
        <v>Commuter,0.10+(0.05*x)</v>
      </c>
      <c r="V97" t="str">
        <v>Capitalist,0.15+(0.11*x)</v>
      </c>
      <c r="W97" t="str">
        <v>CarUsage,0.00-(0.05*x)</v>
      </c>
      <c r="X97" t="str">
        <v>TrafficCongestion,0-(0.12*x)</v>
      </c>
      <c r="Y97" t="str">
        <v>Equality,0-(0.02*x)</v>
      </c>
      <c r="Z97" t="str">
        <v>Motorist_income,-0.04-(0.08*x)</v>
      </c>
    </row>
    <row r="98">
      <c r="A98" t="str">
        <v>#</v>
      </c>
      <c r="B98" t="str">
        <v>UnemployedBenefit</v>
      </c>
      <c r="C98" t="str">
        <v xml:space="preserve">Unemployed Benefit </v>
      </c>
      <c r="D98" t="str">
        <v>default</v>
      </c>
      <c r="E98" t="str">
        <v>Unemployment benefit is a state benefit given to everyone who is able to work but cannot find employment. Socialists regard this as a minimum safety net for workers out of work because of the whims of the economy. Some believe that high unemployment benefits distort the market and discourage people from seeking work.</v>
      </c>
      <c r="G98" t="str">
        <v>25</v>
      </c>
      <c r="H98" t="str">
        <v>27</v>
      </c>
      <c r="I98" t="str">
        <v>14</v>
      </c>
      <c r="J98" t="str">
        <v>12</v>
      </c>
      <c r="K98" t="str">
        <v>WELFARE</v>
      </c>
      <c r="L98" t="str">
        <v>500</v>
      </c>
      <c r="M98" t="str">
        <v>5440</v>
      </c>
      <c r="N98" t="str">
        <v>Unemployment,0+(1.0*x)</v>
      </c>
      <c r="O98" t="str">
        <v>1</v>
      </c>
      <c r="P98" t="str">
        <v>0</v>
      </c>
      <c r="Q98" t="str">
        <v>0</v>
      </c>
      <c r="S98" t="str">
        <v>#Effects</v>
      </c>
      <c r="T98" t="str">
        <v>Capitalist,-0.01-(0.08*x)</v>
      </c>
      <c r="U98" t="str">
        <v>Unemployment,0+(0.1*x),8</v>
      </c>
      <c r="V98" t="str">
        <v>Poor,0.1+(0.3*x)</v>
      </c>
      <c r="W98" t="str">
        <v>Socialist,0+(0.15*x)</v>
      </c>
      <c r="X98" t="str">
        <v>PovertyRate,0-(0.12*x)</v>
      </c>
      <c r="Y98" t="str">
        <v>_LowIncome,0+(0.15*x)</v>
      </c>
    </row>
    <row r="99">
      <c r="A99" t="str">
        <v>#</v>
      </c>
      <c r="B99" t="str">
        <v>UniversityGrants</v>
      </c>
      <c r="C99" t="str">
        <v>University Grants</v>
      </c>
      <c r="D99" t="str">
        <v>universitygrants</v>
      </c>
      <c r="E99" t="str">
        <v>Although not all citizens will pursue a university education, governments can provide subsidies to students to encourage a more educated workforce. University grants also ensure equality of opportunity, as in their absence the cost of a university education can be beyond the reach of working class families.</v>
      </c>
      <c r="G99" t="str">
        <v>13</v>
      </c>
      <c r="H99" t="str">
        <v>22</v>
      </c>
      <c r="I99" t="str">
        <v>7</v>
      </c>
      <c r="J99" t="str">
        <v>10</v>
      </c>
      <c r="K99" t="str">
        <v>PUBLICSERVICES</v>
      </c>
      <c r="L99" t="str">
        <v>200</v>
      </c>
      <c r="M99" t="str">
        <v>2600</v>
      </c>
      <c r="O99" t="str">
        <v>2</v>
      </c>
      <c r="P99" t="str">
        <v>0</v>
      </c>
      <c r="Q99" t="str">
        <v>0</v>
      </c>
      <c r="S99" t="str">
        <v>#Effects</v>
      </c>
      <c r="T99" t="str">
        <v>Education,0.00+(0.25*x),16</v>
      </c>
      <c r="U99" t="str">
        <v>StateEmployees,0.00+(0.18*x)</v>
      </c>
      <c r="V99" t="str">
        <v>_MiddleIncome,0+(0.06*x)</v>
      </c>
      <c r="W99" t="str">
        <v>_LowIncome,0+(0.06*x)</v>
      </c>
      <c r="X99" t="str">
        <v>Parents,0.02+(0.02*x)</v>
      </c>
      <c r="Y99" t="str">
        <v>Young,0.04+(0.17*x)</v>
      </c>
      <c r="Z99" t="str">
        <v>Young_income,0.08+(0.12*x)</v>
      </c>
    </row>
    <row r="100">
      <c r="A100" t="str">
        <v>#</v>
      </c>
      <c r="B100" t="str">
        <v>WelfareFraudDept</v>
      </c>
      <c r="C100" t="str">
        <v>Welfare Fraud Dept.</v>
      </c>
      <c r="D100" t="str">
        <v>welfarefraud</v>
      </c>
      <c r="E100" t="str">
        <v>When government gives so much money out in welfare payments, it's essential that the money is correctly targeted and not exploited by people making spurious claims. A dedicated fraud department will detect false claimants, recover lost money and reassure middle income tax payers that their taxes are being spent wisely, although it can antagonize legitimate claimants.</v>
      </c>
      <c r="G100" t="str">
        <v>4</v>
      </c>
      <c r="H100" t="str">
        <v>7</v>
      </c>
      <c r="I100" t="str">
        <v>3</v>
      </c>
      <c r="J100" t="str">
        <v>3</v>
      </c>
      <c r="K100" t="str">
        <v>WELFARE</v>
      </c>
      <c r="L100" t="str">
        <v>120</v>
      </c>
      <c r="M100" t="str">
        <v>155</v>
      </c>
      <c r="O100" t="str">
        <v>3</v>
      </c>
      <c r="P100" t="str">
        <v>115</v>
      </c>
      <c r="Q100" t="str">
        <v>800</v>
      </c>
      <c r="R100" t="str">
        <v>ChildBenefit,0+(0.25*x);DisabilityBenefit,0+(0.25*x);StateHousing,0+(0.25*x);UnemployedBenefit,0+(0.25*x)</v>
      </c>
      <c r="S100" t="str">
        <v>#Effects</v>
      </c>
      <c r="T100" t="str">
        <v>Poor,-0.03-(0.06*x)</v>
      </c>
      <c r="U100" t="str">
        <v>Conservatives,0.05+(0.07*x)</v>
      </c>
      <c r="V100" t="str">
        <v>MiddleIncome,0.03+(0.06*x)</v>
      </c>
    </row>
    <row r="101">
      <c r="A101" t="str">
        <v>#</v>
      </c>
      <c r="B101" t="str">
        <v>WinterFuelSubsidy</v>
      </c>
      <c r="C101" t="str">
        <v>Winter Fuel Subsidy</v>
      </c>
      <c r="D101" t="str">
        <v>default</v>
      </c>
      <c r="E101" t="str">
        <v>A special concession given to the elderly. This is a regular welfare payment made to everyone over retirement age towards the cost of their winter fuel bills. It is designed to reduce 'fuel poverty' which can occur when some elderly members of society cannot afford to heat their homes in winter.</v>
      </c>
      <c r="G101" t="str">
        <v>9</v>
      </c>
      <c r="H101" t="str">
        <v>30</v>
      </c>
      <c r="I101" t="str">
        <v>3</v>
      </c>
      <c r="J101" t="str">
        <v>9</v>
      </c>
      <c r="K101" t="str">
        <v>WELFARE</v>
      </c>
      <c r="L101" t="str">
        <v>500</v>
      </c>
      <c r="M101" t="str">
        <v>2000</v>
      </c>
      <c r="N101" t="str">
        <v>Retired_perc,0+(1.0*x)</v>
      </c>
      <c r="O101" t="str">
        <v>1</v>
      </c>
      <c r="P101" t="str">
        <v>0</v>
      </c>
      <c r="Q101" t="str">
        <v>0</v>
      </c>
      <c r="S101" t="str">
        <v>#Effects</v>
      </c>
      <c r="T101" t="str">
        <v>Health,0.02+(0.02*x)</v>
      </c>
      <c r="U101" t="str">
        <v>Retired,0.2+(0.2*x)</v>
      </c>
      <c r="V101" t="str">
        <v>PovertyRate,-0.02-(0.06*x)</v>
      </c>
      <c r="W101" t="str">
        <v>Environmentalist,-0.02-(0.03*x)</v>
      </c>
      <c r="X101" t="str">
        <v>Retired_freq,0+(0.04*x)</v>
      </c>
      <c r="Y101" t="str">
        <v>EnergyEfficiency,0-(0.08*x)</v>
      </c>
    </row>
    <row r="102">
      <c r="A102" t="str">
        <v>#</v>
      </c>
      <c r="B102" t="str">
        <v>WorkSafetyLaw</v>
      </c>
      <c r="C102" t="str">
        <v>Work Safety Law</v>
      </c>
      <c r="D102" t="str">
        <v>default</v>
      </c>
      <c r="E102" t="str">
        <v>Work safety law, often known as 'health and safety' is a series of measures to ensure employees are not at risk from injury in their day-to-day activities. Trade unionists often hail such laws as a valuable defense against unscrupulous employers who may put lives at risk. Many business leaders are concerned at the high levels of bureaucracy and restrictive practices that can result from such laws, which they see as a burden on business.</v>
      </c>
      <c r="G102" t="str">
        <v>4</v>
      </c>
      <c r="H102" t="str">
        <v>7</v>
      </c>
      <c r="I102" t="str">
        <v>1</v>
      </c>
      <c r="J102" t="str">
        <v>1</v>
      </c>
      <c r="K102" t="str">
        <v>ECONOMY</v>
      </c>
      <c r="L102" t="str">
        <v>10</v>
      </c>
      <c r="M102" t="str">
        <v>55</v>
      </c>
      <c r="O102" t="str">
        <v>1</v>
      </c>
      <c r="P102" t="str">
        <v>0</v>
      </c>
      <c r="Q102" t="str">
        <v>0</v>
      </c>
      <c r="S102" t="str">
        <v>#Effects</v>
      </c>
      <c r="T102" t="str">
        <v>TradeUnionist,0.04+(0.06*x)</v>
      </c>
      <c r="U102" t="str">
        <v>TradeUnionist_freq,0.02+(0.02*x)</v>
      </c>
      <c r="V102" t="str">
        <v>SelfEmployed,-0.05-(0.08*x)</v>
      </c>
      <c r="W102" t="str">
        <v>SelfEmployed_freq,-0.02-(0.08*x)</v>
      </c>
      <c r="X102" t="str">
        <v>WorkerProductivity,-0.01-(0.02*x),4</v>
      </c>
      <c r="Y102" t="str">
        <v>Health,0.01+(0.02*x)</v>
      </c>
    </row>
    <row r="103">
      <c r="A103" t="str">
        <v>#</v>
      </c>
      <c r="B103" t="str">
        <v>YouthClubSubsidies</v>
      </c>
      <c r="C103" t="str">
        <v>Youth Club Subsidies</v>
      </c>
      <c r="D103" t="str">
        <v>default</v>
      </c>
      <c r="E103" t="str">
        <v>Free youth clubs ensure that teenagers have a 'place to go' which can help them to stay out of trouble, and in the long run, reduce the incidence of street crime. It can be resented by some wealthier taxpayers, who see it as an unnecessary expense, paid for by their taxes.</v>
      </c>
      <c r="G103" t="str">
        <v>9</v>
      </c>
      <c r="H103" t="str">
        <v>15</v>
      </c>
      <c r="I103" t="str">
        <v>4</v>
      </c>
      <c r="J103" t="str">
        <v>7</v>
      </c>
      <c r="K103" t="str">
        <v>PUBLICSERVICES</v>
      </c>
      <c r="L103" t="str">
        <v>12</v>
      </c>
      <c r="M103" t="str">
        <v>220</v>
      </c>
      <c r="O103" t="str">
        <v>2</v>
      </c>
      <c r="P103" t="str">
        <v>0</v>
      </c>
      <c r="Q103" t="str">
        <v>0</v>
      </c>
      <c r="S103" t="str">
        <v>#Effects</v>
      </c>
      <c r="T103" t="str">
        <v>Parents,0.06+(0.05*x)</v>
      </c>
      <c r="U103" t="str">
        <v>Socialist,0.04+(0.02*x)</v>
      </c>
      <c r="V103" t="str">
        <v>CrimeRate,-0.03-(0.03*x),8</v>
      </c>
      <c r="W103" t="str">
        <v>Young,0.03+(0.08*x)</v>
      </c>
      <c r="X103" t="str">
        <v>Young_income,0.02+(0.06*x)</v>
      </c>
    </row>
    <row r="104">
      <c r="A104" t="str">
        <v>#</v>
      </c>
      <c r="B104" t="str">
        <v>AbortionLaw</v>
      </c>
      <c r="C104" t="str">
        <v>Abortion Law</v>
      </c>
      <c r="D104" t="str">
        <v>abortion</v>
      </c>
      <c r="E104" t="str">
        <v>Few areas of policy incite stronger emotions that the debate over abortion. On the 'pro-life' side, are arguments about the rights of the unborn child, and arguments are often made from a  religious standpoint. On the 'pro-choice' side, there is the argument that the State should not have more say over what a woman does with her body than she does. Making any change to the States position on abortion requires a hefty amount of political capital.</v>
      </c>
      <c r="F104" t="str">
        <v>UNCANCELLABLE</v>
      </c>
      <c r="G104" t="str">
        <v>0</v>
      </c>
      <c r="H104" t="str">
        <v>0</v>
      </c>
      <c r="I104" t="str">
        <v>26</v>
      </c>
      <c r="J104" t="str">
        <v>19</v>
      </c>
      <c r="K104" t="str">
        <v>PUBLICSERVICES</v>
      </c>
      <c r="L104" t="str">
        <v>0</v>
      </c>
      <c r="M104" t="str">
        <v>0</v>
      </c>
      <c r="O104" t="str">
        <v>1</v>
      </c>
      <c r="P104" t="str">
        <v>0</v>
      </c>
      <c r="Q104" t="str">
        <v>0</v>
      </c>
      <c r="S104" t="str">
        <v>#Effects</v>
      </c>
      <c r="T104" t="str">
        <v>Religious,0.2-(x^5)</v>
      </c>
      <c r="U104" t="str">
        <v>Liberal,0.2+(x-1)^5</v>
      </c>
      <c r="V104" t="str">
        <v>Conservatives,0.2-(0.4*x)</v>
      </c>
    </row>
    <row r="105">
      <c r="A105" t="str">
        <v>#</v>
      </c>
      <c r="B105" t="str">
        <v>RentControls</v>
      </c>
      <c r="C105" t="str">
        <v>Rent Controls</v>
      </c>
      <c r="D105" t="str">
        <v>default</v>
      </c>
      <c r="E105" t="str">
        <v>An alternative to state-housing is a system where the state will regulate the private-rental market in a bid to ensure the supply of affordable housing for all, even within the private sector. Capitalists will naturally see this as a distortion of the free market that will prevent enough homes being built, whereas supporters will say it prevents exploitation of the poor by greedy landlords.</v>
      </c>
      <c r="G105" t="str">
        <v>4</v>
      </c>
      <c r="H105" t="str">
        <v>18</v>
      </c>
      <c r="I105" t="str">
        <v>7</v>
      </c>
      <c r="J105" t="str">
        <v>10</v>
      </c>
      <c r="K105" t="str">
        <v>WELFARE</v>
      </c>
      <c r="L105" t="str">
        <v>10</v>
      </c>
      <c r="M105" t="str">
        <v>12</v>
      </c>
      <c r="O105" t="str">
        <v>1</v>
      </c>
      <c r="P105" t="str">
        <v>0</v>
      </c>
      <c r="Q105" t="str">
        <v>0</v>
      </c>
      <c r="S105" t="str">
        <v>#Effects</v>
      </c>
      <c r="T105" t="str">
        <v>PovertyRate,-0.03-(0.03*x)</v>
      </c>
      <c r="U105" t="str">
        <v>Socialist,0.04+(0.04*x)</v>
      </c>
      <c r="V105" t="str">
        <v>Capitalist,-0.1-(0.2*x)</v>
      </c>
      <c r="W105" t="str">
        <v>PrivateHousing,-0.1-(0.15*x)</v>
      </c>
      <c r="X105" t="str">
        <v>_LowIncome,0.03+(0.04*x)</v>
      </c>
      <c r="Y105" t="str">
        <v>Capitalist_income,-0.09-(0.04*x)</v>
      </c>
    </row>
    <row r="106">
      <c r="A106" t="str">
        <v>#</v>
      </c>
      <c r="B106" t="str">
        <v>SchoolVouchers</v>
      </c>
      <c r="C106" t="str">
        <v>School Vouchers</v>
      </c>
      <c r="D106" t="str">
        <v>default</v>
      </c>
      <c r="E106" t="str">
        <v>A measure designed to encourage the growth of private schooling, whilst still enabling everyone to afford an education. School  vouchers are issued by the State to parents for each child which they can then spend in the private sector on education. This is a different approach to pure state schooling because with school tax credits the schools are privately run and the teachers are no longer state employees.</v>
      </c>
      <c r="G106" t="str">
        <v>9</v>
      </c>
      <c r="H106" t="str">
        <v>14</v>
      </c>
      <c r="I106" t="str">
        <v>7</v>
      </c>
      <c r="J106" t="str">
        <v>9</v>
      </c>
      <c r="K106" t="str">
        <v>PUBLICSERVICES</v>
      </c>
      <c r="L106" t="str">
        <v>320</v>
      </c>
      <c r="M106" t="str">
        <v>8000</v>
      </c>
      <c r="N106" t="str">
        <v>PrivateSchools,0+(1.0*x)</v>
      </c>
      <c r="O106" t="str">
        <v>1</v>
      </c>
      <c r="P106" t="str">
        <v>0</v>
      </c>
      <c r="Q106" t="str">
        <v>0</v>
      </c>
      <c r="S106" t="str">
        <v>#Effects</v>
      </c>
      <c r="T106" t="str">
        <v>PrivateSchools,0+(0.6*x),2</v>
      </c>
      <c r="U106" t="str">
        <v>_LowIncome,0+(0.13*x)</v>
      </c>
      <c r="V106" t="str">
        <v>Equality,0+(0.05*x),8</v>
      </c>
      <c r="W106" t="str">
        <v>_global_socialism,-0.01-(0.12*x),8</v>
      </c>
    </row>
    <row r="107">
      <c r="A107" t="str">
        <v>#</v>
      </c>
      <c r="B107" t="str">
        <v>OilDrillingSubsidy</v>
      </c>
      <c r="C107" t="str">
        <v>Oil Drilling Subsidies</v>
      </c>
      <c r="D107" t="str">
        <v>default</v>
      </c>
      <c r="E107" t="str">
        <v>To encourage investment in new oil and gas drilling, and thus raise the supply of fossil fuel energy for the country, these tax breaks effectively subsidize fossil fuels. This will indirectly reduce fuel prices and stimulate the economy, but will be an outrage to environmentalists.</v>
      </c>
      <c r="G107" t="str">
        <v>36</v>
      </c>
      <c r="H107" t="str">
        <v>8</v>
      </c>
      <c r="I107" t="str">
        <v>18</v>
      </c>
      <c r="J107" t="str">
        <v>6</v>
      </c>
      <c r="K107" t="str">
        <v>ECONOMY</v>
      </c>
      <c r="L107" t="str">
        <v>200</v>
      </c>
      <c r="M107" t="str">
        <v>32100</v>
      </c>
      <c r="N107" t="str">
        <v>GDP,0.75+(0.25*x)</v>
      </c>
      <c r="O107" t="str">
        <v>1</v>
      </c>
      <c r="P107" t="str">
        <v>0</v>
      </c>
      <c r="Q107" t="str">
        <v>0</v>
      </c>
      <c r="S107" t="str">
        <v>#Effects</v>
      </c>
      <c r="T107" t="str">
        <v>Environmentalist,-0.1-(0.25*x)</v>
      </c>
      <c r="U107" t="str">
        <v>GDP,0+(0.02*x),12</v>
      </c>
      <c r="V107" t="str">
        <v>OilSupply,0.06+(0.1*x),4</v>
      </c>
    </row>
    <row r="108">
      <c r="A108" t="str">
        <v>#</v>
      </c>
      <c r="B108" t="str">
        <v>MansionTax</v>
      </c>
      <c r="C108" t="str">
        <v>Mansion Tax</v>
      </c>
      <c r="D108" t="str">
        <v>default</v>
      </c>
      <c r="E108" t="str">
        <v>A special high rate of tax charged annually on the ownership of super-expensive homes. This tax is popular with some because it is almost impossible to avoid, as homes cannot be easily hidden. It is perceived as unfair by some elderly people who may have expensive homes but relatively low incomes, and thus have difficulty in paying the annual tax. It is a form of wealth-tax, as opposed to income tax.</v>
      </c>
      <c r="G108" t="str">
        <v>26</v>
      </c>
      <c r="H108" t="str">
        <v>19</v>
      </c>
      <c r="I108" t="str">
        <v>10</v>
      </c>
      <c r="J108" t="str">
        <v>12</v>
      </c>
      <c r="K108" t="str">
        <v>TAX</v>
      </c>
      <c r="L108" t="str">
        <v>32</v>
      </c>
      <c r="M108" t="str">
        <v>34</v>
      </c>
      <c r="O108" t="str">
        <v>2</v>
      </c>
      <c r="P108" t="str">
        <v>500</v>
      </c>
      <c r="Q108" t="str">
        <v>4000</v>
      </c>
      <c r="R108" t="str">
        <v>Wealthy_perc,0.75+(0.5*x)</v>
      </c>
      <c r="S108" t="str">
        <v>#Effects</v>
      </c>
      <c r="T108" t="str">
        <v>Wealthy,-0.1-(0.15*x)</v>
      </c>
      <c r="U108" t="str">
        <v>Retired,-0.8*(x^8)</v>
      </c>
      <c r="V108" t="str">
        <v>Equality,0.28*(x^5)</v>
      </c>
      <c r="W108" t="str">
        <v>Socialist,0.08+(0.10*x)</v>
      </c>
    </row>
    <row r="109">
      <c r="A109" t="str">
        <v>#</v>
      </c>
      <c r="B109" t="str">
        <v>FuelEfficiency</v>
      </c>
      <c r="C109" t="str">
        <v>Fuel Efficiency Standards</v>
      </c>
      <c r="D109" t="str">
        <v>default</v>
      </c>
      <c r="E109" t="str">
        <v>Mandatory standards for new cars which dictate the minimum level of fuel efficiency. This is a long term measure aimed to raise the fuel efficiency of the country's cars, and thus reduce our dependence on oil, as well as reducing the cost of driving over the long term. It will be unpopular with car manufacturers, but a hit with environmentalists.</v>
      </c>
      <c r="G109" t="str">
        <v>6</v>
      </c>
      <c r="H109" t="str">
        <v>15</v>
      </c>
      <c r="I109" t="str">
        <v>2</v>
      </c>
      <c r="J109" t="str">
        <v>7</v>
      </c>
      <c r="K109" t="str">
        <v>TRANSPORT</v>
      </c>
      <c r="L109" t="str">
        <v>20</v>
      </c>
      <c r="M109" t="str">
        <v>22</v>
      </c>
      <c r="O109" t="str">
        <v>2</v>
      </c>
      <c r="P109" t="str">
        <v>0</v>
      </c>
      <c r="Q109" t="str">
        <v>0</v>
      </c>
      <c r="S109" t="str">
        <v>#Effects</v>
      </c>
      <c r="T109" t="str">
        <v>OilDemand,-0.04-(0.10*x),24</v>
      </c>
      <c r="U109" t="str">
        <v>Motorist_income,0.02+(0.08*x),24</v>
      </c>
      <c r="V109" t="str">
        <v>CarUsage,0.02+(0.06*x),24</v>
      </c>
      <c r="W109" t="str">
        <v>Environmentalist,0.04+(0.04*x)</v>
      </c>
      <c r="X109" t="str">
        <v>Capitalist,-0.01-(0.02*x)</v>
      </c>
      <c r="Y109" t="str">
        <v>CO2Emissions,0-(0.1*x),8</v>
      </c>
    </row>
    <row r="110">
      <c r="A110" t="str">
        <v>#</v>
      </c>
      <c r="B110" t="str">
        <v>ForeignInvestorTaxBreaks</v>
      </c>
      <c r="C110" t="str">
        <v>Foreign Investor Tax Breaks</v>
      </c>
      <c r="D110" t="str">
        <v>default</v>
      </c>
      <c r="E110" t="str">
        <v>Special tax breaks given to large foreign-owned multinational companies to encourage them to invest in our country. This could include tax-free periods, introductory rates of corporate tax, and straight subsidies to encourage investment. Helps to encourage investment from overseas, but will be seen as incredibly unpatriotic, and pandering to the whims of huge foreign capitalist organizations.</v>
      </c>
      <c r="G110" t="str">
        <v>10</v>
      </c>
      <c r="H110" t="str">
        <v>7</v>
      </c>
      <c r="I110" t="str">
        <v>7</v>
      </c>
      <c r="J110" t="str">
        <v>1</v>
      </c>
      <c r="K110" t="str">
        <v>ECONOMY</v>
      </c>
      <c r="L110" t="str">
        <v>600</v>
      </c>
      <c r="M110" t="str">
        <v>6000</v>
      </c>
      <c r="N110" t="str">
        <v>GDP,0.75+(0.25*x)</v>
      </c>
      <c r="O110" t="str">
        <v>1</v>
      </c>
      <c r="P110" t="str">
        <v>0</v>
      </c>
      <c r="Q110" t="str">
        <v>0</v>
      </c>
      <c r="S110" t="str">
        <v>#Effects</v>
      </c>
      <c r="T110" t="str">
        <v>Patriot,-0.1-(0.14*x)</v>
      </c>
      <c r="U110" t="str">
        <v>GDP,0.03+(0.05*x),4</v>
      </c>
    </row>
    <row r="111">
      <c r="A111" t="str">
        <v>#</v>
      </c>
      <c r="B111" t="str">
        <v>RoboticsResearch</v>
      </c>
      <c r="C111" t="str">
        <v>Robotics Research Grants</v>
      </c>
      <c r="D111" t="str">
        <v>default</v>
      </c>
      <c r="E111" t="str">
        <v>A special grant to encourage research in robotics. Robotics is a very long term area of research which will eventually bring about vast boosts in productivity, but at the same time it will reduce the amount of low or semi-skilled jobs in the economy, and thus potentially lead to higher unemployment.</v>
      </c>
      <c r="G111" t="str">
        <v>6</v>
      </c>
      <c r="H111" t="str">
        <v>7</v>
      </c>
      <c r="I111" t="str">
        <v>1</v>
      </c>
      <c r="J111" t="str">
        <v>3</v>
      </c>
      <c r="K111" t="str">
        <v>ECONOMY</v>
      </c>
      <c r="L111" t="str">
        <v>100</v>
      </c>
      <c r="M111" t="str">
        <v>2100</v>
      </c>
      <c r="O111" t="str">
        <v>2</v>
      </c>
      <c r="P111" t="str">
        <v>0</v>
      </c>
      <c r="Q111" t="str">
        <v>0</v>
      </c>
      <c r="S111" t="str">
        <v>#Effects</v>
      </c>
      <c r="T111" t="str">
        <v>Technology,0.01+(0.06*x),16</v>
      </c>
      <c r="U111" t="str">
        <v>WorkerProductivity,0.02+(0.1*x),16</v>
      </c>
      <c r="V111" t="str">
        <v>Unemployment,0-(0.06*x),2</v>
      </c>
      <c r="W111" t="str">
        <v>TradeUnionist,-0.06-(0.1*x)</v>
      </c>
      <c r="X111" t="str">
        <v>Unemployment,0+(0.19*x),20</v>
      </c>
    </row>
    <row r="112">
      <c r="A112" t="str">
        <v>#</v>
      </c>
      <c r="B112" t="str">
        <v>PrivatePrisons</v>
      </c>
      <c r="C112" t="str">
        <v>Private Prisons</v>
      </c>
      <c r="D112" t="str">
        <v>default</v>
      </c>
      <c r="E112" t="str">
        <v>Rather than directly control and manage a State prison service, this policy allows prisons to be privately owned and managed, and merely paid for by the state. Private prisons could result in lower cost and higher efficiency. These measures will be unpopular with trade unionists. Liberals will have ethical concerns about profiting from incarceration, but still be pleased if spending is high enough to promote rehabilitation.</v>
      </c>
      <c r="G112" t="str">
        <v>20</v>
      </c>
      <c r="H112" t="str">
        <v>3</v>
      </c>
      <c r="I112" t="str">
        <v>7</v>
      </c>
      <c r="J112" t="str">
        <v>3</v>
      </c>
      <c r="K112" t="str">
        <v>LAWANDORDER</v>
      </c>
      <c r="L112" t="str">
        <v>80</v>
      </c>
      <c r="M112" t="str">
        <v>1520</v>
      </c>
      <c r="N112" t="str">
        <v>CrimeRate,0.1+(0.9*x)</v>
      </c>
      <c r="O112" t="str">
        <v>5</v>
      </c>
      <c r="P112" t="str">
        <v>0</v>
      </c>
      <c r="Q112" t="str">
        <v>0</v>
      </c>
      <c r="S112" t="str">
        <v>#Effects</v>
      </c>
      <c r="T112" t="str">
        <v>CrimeRate,0.00-(0.07*x)</v>
      </c>
      <c r="U112" t="str">
        <v>Liberal,-0.05+(x^2)*0.11</v>
      </c>
      <c r="V112" t="str">
        <v>Conservatives,0.00+(0.12*x)</v>
      </c>
      <c r="X112" t="str">
        <v>Unemployment,0-(0.02*x)</v>
      </c>
      <c r="Y112" t="str">
        <v>Capitalist,0+(0.11*x)</v>
      </c>
      <c r="Z112" t="str">
        <v>TradeUnionist,-0.06-(0.06*x)</v>
      </c>
    </row>
    <row r="113">
      <c r="A113" t="str">
        <v>#</v>
      </c>
      <c r="B113" t="str">
        <v>JunkFoodTax</v>
      </c>
      <c r="C113" t="str">
        <v>Junk Food Tax</v>
      </c>
      <c r="D113" t="str">
        <v>junkfood</v>
      </c>
      <c r="E113" t="str">
        <v>A punitive tax rate charged on unhealthy food such as takeaway hamburgers, fizzy drinks and high sugar or fat content pre-processed food. Levied with the aim of improving the health of the nation, but can be unpopular.</v>
      </c>
      <c r="G113" t="str">
        <v>6</v>
      </c>
      <c r="H113" t="str">
        <v>6</v>
      </c>
      <c r="I113" t="str">
        <v>4</v>
      </c>
      <c r="J113" t="str">
        <v>1</v>
      </c>
      <c r="K113" t="str">
        <v>TAX</v>
      </c>
      <c r="L113" t="str">
        <v>4</v>
      </c>
      <c r="M113" t="str">
        <v>5</v>
      </c>
      <c r="O113" t="str">
        <v>1</v>
      </c>
      <c r="P113" t="str">
        <v>23</v>
      </c>
      <c r="Q113" t="str">
        <v>102</v>
      </c>
      <c r="S113" t="str">
        <v>#Effects</v>
      </c>
      <c r="T113" t="str">
        <v>Health,0.03+(0.06*x),8</v>
      </c>
      <c r="U113" t="str">
        <v>Young,-0.02-(0.04*x)</v>
      </c>
      <c r="V113" t="str">
        <v>_LowIncome,-0.02-(0.03*x)</v>
      </c>
      <c r="W113" t="str">
        <v>PovertyRate,0.02+(0.02*x)</v>
      </c>
    </row>
    <row r="114">
      <c r="A114" t="str">
        <v>#</v>
      </c>
      <c r="B114" t="str">
        <v>HealthFoodSubsidies</v>
      </c>
      <c r="C114" t="str">
        <v>Health Food Subsidies</v>
      </c>
      <c r="D114" t="str">
        <v>default</v>
      </c>
      <c r="E114" t="str">
        <v>A tax incentive that makes healthy food, such as fruit and vegetables, cheaper than the higher fat or higher sugar foods. Seen as an incentive to eat well, rather than a punishment for eating badly, and thus less punitive on the poor than a 'fat tax'.</v>
      </c>
      <c r="G114" t="str">
        <v>3</v>
      </c>
      <c r="H114" t="str">
        <v>6</v>
      </c>
      <c r="I114" t="str">
        <v>1</v>
      </c>
      <c r="J114" t="str">
        <v>1</v>
      </c>
      <c r="K114" t="str">
        <v>TAX</v>
      </c>
      <c r="L114" t="str">
        <v>12</v>
      </c>
      <c r="M114" t="str">
        <v>90</v>
      </c>
      <c r="N114" t="str">
        <v>Health,0.75+(0.25*x)</v>
      </c>
      <c r="O114" t="str">
        <v>1</v>
      </c>
      <c r="P114" t="str">
        <v>0</v>
      </c>
      <c r="Q114" t="str">
        <v>0</v>
      </c>
      <c r="S114" t="str">
        <v>#Effects</v>
      </c>
      <c r="T114" t="str">
        <v>Health,0.03+(0.06*x),8</v>
      </c>
      <c r="U114" t="str">
        <v>_LowIncome,0.02+(0.02*x)</v>
      </c>
    </row>
    <row r="115">
      <c r="A115" t="str">
        <v>#</v>
      </c>
      <c r="B115" t="str">
        <v>Tasers</v>
      </c>
      <c r="C115" t="str">
        <v>Tasers</v>
      </c>
      <c r="D115" t="str">
        <v>tasers</v>
      </c>
      <c r="E115" t="str">
        <v>A non-lethal but still highly effective (and possibly dangerous) weapon which effectively gives criminals an electric shock. Supporters say it is a good compromise between the need to disable violent criminals and the risk of death associated with traditional firearms. Opponents claim that the use of such weapons lowers the barrier-to-use for the police and will encourage more casual use of force against the population.</v>
      </c>
      <c r="G115" t="str">
        <v>25</v>
      </c>
      <c r="H115" t="str">
        <v>6</v>
      </c>
      <c r="I115" t="str">
        <v>3</v>
      </c>
      <c r="J115" t="str">
        <v>3</v>
      </c>
      <c r="K115" t="str">
        <v>LAWANDORDER</v>
      </c>
      <c r="L115" t="str">
        <v>200</v>
      </c>
      <c r="M115" t="str">
        <v>400</v>
      </c>
      <c r="O115" t="str">
        <v>2</v>
      </c>
      <c r="P115" t="str">
        <v>0</v>
      </c>
      <c r="Q115" t="str">
        <v>0</v>
      </c>
      <c r="S115" t="str">
        <v>#Effects</v>
      </c>
      <c r="T115" t="str">
        <v>Liberal,-0.08-(0.08*x)</v>
      </c>
      <c r="U115" t="str">
        <v>CrimeRate,-0.05-(0.05*x)</v>
      </c>
      <c r="V115" t="str">
        <v>ViolentCrimeRate,-0.10-(0.05*x)</v>
      </c>
      <c r="W115" t="str">
        <v>_security_,0.015+(0.02*x)</v>
      </c>
    </row>
    <row r="116">
      <c r="A116" t="str">
        <v>#</v>
      </c>
      <c r="B116" t="str">
        <v>PoliceDrones</v>
      </c>
      <c r="C116" t="str">
        <v>Police Drones</v>
      </c>
      <c r="D116" t="str">
        <v>default</v>
      </c>
      <c r="E116" t="str">
        <v>Unmanned aerial reconnaissance vehicles, similar to remote control planes which can be employed by the police force. The 'eye in the sky' is a useful way to keep track of mobs and rioters, and allows for subtle yet effective surveillance. The police see it as a vital tool for modern crime fighting, but there are concerns that this is a step further towards a big-brother style surveillance society where everyone is tracked.</v>
      </c>
      <c r="G116" t="str">
        <v>16</v>
      </c>
      <c r="H116" t="str">
        <v>6</v>
      </c>
      <c r="I116" t="str">
        <v>3</v>
      </c>
      <c r="J116" t="str">
        <v>3</v>
      </c>
      <c r="K116" t="str">
        <v>LAWANDORDER</v>
      </c>
      <c r="L116" t="str">
        <v>500</v>
      </c>
      <c r="M116" t="str">
        <v>1400</v>
      </c>
      <c r="O116" t="str">
        <v>4</v>
      </c>
      <c r="P116" t="str">
        <v>0</v>
      </c>
      <c r="Q116" t="str">
        <v>0</v>
      </c>
      <c r="S116" t="str">
        <v>#Effects</v>
      </c>
      <c r="T116" t="str">
        <v>Liberal,-0.1-(0.1*x)</v>
      </c>
      <c r="U116" t="str">
        <v>CrimeRate,-0.08-(0.05*x)</v>
      </c>
      <c r="V116" t="str">
        <v>ViolentCrimeRate,-0.02-(0.05*x)</v>
      </c>
      <c r="W116" t="str">
        <v>_security_,0.03+(0.03*x)</v>
      </c>
      <c r="X116" t="str">
        <v>_Terrorism,-0.1-(0.03*x)</v>
      </c>
    </row>
    <row r="117">
      <c r="A117" t="str">
        <v>#</v>
      </c>
      <c r="B117" t="str">
        <v>ArtsSubsidies</v>
      </c>
      <c r="C117" t="str">
        <v>Arts Subsidies</v>
      </c>
      <c r="D117" t="str">
        <v>artssubsidies</v>
      </c>
      <c r="E117" t="str">
        <v>Investing public money in the arts is controversial with capitalists who see it as supporting uneconomic elitist entertainment, but others see it as vital to a countries culture, boosting our image on the world stage, and attracting tourists.</v>
      </c>
      <c r="G117" t="str">
        <v>13</v>
      </c>
      <c r="H117" t="str">
        <v>15</v>
      </c>
      <c r="I117" t="str">
        <v>3</v>
      </c>
      <c r="J117" t="str">
        <v>6</v>
      </c>
      <c r="K117" t="str">
        <v>PUBLICSERVICES</v>
      </c>
      <c r="L117" t="str">
        <v>50</v>
      </c>
      <c r="M117" t="str">
        <v>575</v>
      </c>
      <c r="O117" t="str">
        <v>4</v>
      </c>
      <c r="P117" t="str">
        <v>0</v>
      </c>
      <c r="Q117" t="str">
        <v>0</v>
      </c>
      <c r="S117" t="str">
        <v>#Effects</v>
      </c>
      <c r="T117" t="str">
        <v>Liberal,0.01+(0.08*x)</v>
      </c>
      <c r="U117" t="str">
        <v>Capitalist,-0.01-(0.03*x)</v>
      </c>
      <c r="V117" t="str">
        <v>ForeignRelations,0+(0.07*x),32</v>
      </c>
      <c r="W117" t="str">
        <v>Tourism,0+(0.10*x),24</v>
      </c>
      <c r="X117" t="str">
        <v>Education,0+(0.03*x),16</v>
      </c>
      <c r="Y117" t="str">
        <v>_global_liberalism,-0.01+(0.06*x),16</v>
      </c>
      <c r="Z117" t="str">
        <v>Unemployment,0-(0.01*x)</v>
      </c>
    </row>
    <row r="118">
      <c r="A118" t="str">
        <v>#</v>
      </c>
      <c r="B118" t="str">
        <v>HealthcareVouchers</v>
      </c>
      <c r="C118" t="str">
        <v>Healthcare Vouchers</v>
      </c>
      <c r="D118" t="str">
        <v>default</v>
      </c>
      <c r="E118" t="str">
        <v>A measure designed to encourage the growth of private health care whilst still enabling everyone access to it. Healthcare vouchers are  issued by the State to everyone but can then only be spent in the private sector on health care. This is a different approach to pure State health care because with health tax credits, the hospitals are privately run and the medical staff are no longer state employees.</v>
      </c>
      <c r="G118" t="str">
        <v>13</v>
      </c>
      <c r="H118" t="str">
        <v>14</v>
      </c>
      <c r="I118" t="str">
        <v>7</v>
      </c>
      <c r="J118" t="str">
        <v>10</v>
      </c>
      <c r="K118" t="str">
        <v>PUBLICSERVICES</v>
      </c>
      <c r="L118" t="str">
        <v>2000</v>
      </c>
      <c r="M118" t="str">
        <v>15000</v>
      </c>
      <c r="N118" t="str">
        <v>_default_,0.6;TobaccoUse,0+(0.1*x);AlcoholConsumption,0+(0.2*x);Environment,0.2-(0.1*x);Alcoholism,0.1+(0.1*x)</v>
      </c>
      <c r="O118" t="str">
        <v>1</v>
      </c>
      <c r="P118" t="str">
        <v>0</v>
      </c>
      <c r="Q118" t="str">
        <v>0</v>
      </c>
      <c r="S118" t="str">
        <v>#Effects</v>
      </c>
      <c r="T118" t="str">
        <v>_LowIncome,0+(0.17*x)</v>
      </c>
      <c r="U118" t="str">
        <v>_MiddleIncome,0+(0.08*x)</v>
      </c>
      <c r="V118" t="str">
        <v>Equality,0+(0.1*x),8</v>
      </c>
      <c r="W118" t="str">
        <v>_global_socialism,-0.01-(0.12*x),8</v>
      </c>
      <c r="X118" t="str">
        <v>PrivateHealthcare,0+(0.6*x),2</v>
      </c>
    </row>
    <row r="119">
      <c r="A119" t="str">
        <v>#</v>
      </c>
      <c r="B119" t="str">
        <v>HealthTaxCredits</v>
      </c>
      <c r="C119" t="str">
        <v>Health Tax Credits</v>
      </c>
      <c r="D119" t="str">
        <v>default</v>
      </c>
      <c r="E119" t="str">
        <v>A system of tax-reductions and credits designed to encourage people to spend their money on private healthcare, in order to reduce their tax liability. This boosts healthcare without involving the state running hospitals or employing doctors, but it's effect is limited to those people in society earning enough to be paying tax in the first place.</v>
      </c>
      <c r="G119" t="str">
        <v>20</v>
      </c>
      <c r="H119" t="str">
        <v>16</v>
      </c>
      <c r="I119" t="str">
        <v>8</v>
      </c>
      <c r="J119" t="str">
        <v>8</v>
      </c>
      <c r="K119" t="str">
        <v>TAX</v>
      </c>
      <c r="L119" t="str">
        <v>1000</v>
      </c>
      <c r="M119" t="str">
        <v>8000</v>
      </c>
      <c r="N119" t="str">
        <v>_default_,0.6;TobaccoUse,0+(0.1*x);AlcoholConsumption,0+(0.2*x);Environment,0.2-(0.1*x);Alcoholism,0.1+(0.1*x)</v>
      </c>
      <c r="O119" t="str">
        <v>1</v>
      </c>
      <c r="P119" t="str">
        <v>0</v>
      </c>
      <c r="Q119" t="str">
        <v>0</v>
      </c>
      <c r="S119" t="str">
        <v>#Effects</v>
      </c>
      <c r="T119" t="str">
        <v>PrivateHealthcare,0+(0.3*x),2</v>
      </c>
      <c r="U119" t="str">
        <v>_MiddleIncome,0+(0.08*x)</v>
      </c>
      <c r="V119" t="str">
        <v>_HighIncome,0+(0.06*x)</v>
      </c>
      <c r="W119" t="str">
        <v>Wealthy,0.02+(0.06*x)</v>
      </c>
      <c r="X119" t="str">
        <v>MiddleIncome,0.04+(0.06*x)</v>
      </c>
      <c r="Y119" t="str">
        <v>Socialist,-0.01-(0.05*x)</v>
      </c>
      <c r="Z119" t="str">
        <v>Poor,-0.01-(0.05*x)</v>
      </c>
      <c r="AA119" t="str">
        <v>Capitalist,0.02+(0.04*x)</v>
      </c>
    </row>
    <row r="120">
      <c r="A120" t="str">
        <v>#</v>
      </c>
      <c r="B120" t="str">
        <v>SchoolTaxCredits</v>
      </c>
      <c r="C120" t="str">
        <v>School Tax Credits</v>
      </c>
      <c r="D120" t="str">
        <v>default</v>
      </c>
      <c r="E120" t="str">
        <v>A system of tax-reductions and credits designed to encourage people to spend their money on private education in order to reduce their tax liability. This boosts private schooling without involving the State running schools or employing teachers but it's effect is limited to those people in society earning enough to be paying tax in the first place.</v>
      </c>
      <c r="G120" t="str">
        <v>19</v>
      </c>
      <c r="H120" t="str">
        <v>15</v>
      </c>
      <c r="I120" t="str">
        <v>8</v>
      </c>
      <c r="J120" t="str">
        <v>8</v>
      </c>
      <c r="K120" t="str">
        <v>TAX</v>
      </c>
      <c r="L120" t="str">
        <v>200</v>
      </c>
      <c r="M120" t="str">
        <v>5000</v>
      </c>
      <c r="O120" t="str">
        <v>1</v>
      </c>
      <c r="P120" t="str">
        <v>0</v>
      </c>
      <c r="Q120" t="str">
        <v>0</v>
      </c>
      <c r="S120" t="str">
        <v>#Effects</v>
      </c>
      <c r="T120" t="str">
        <v>PrivateSchools,0+(0.4*x),2</v>
      </c>
      <c r="U120" t="str">
        <v>_MiddleIncome,0+(0.08*x)</v>
      </c>
      <c r="V120" t="str">
        <v>_HighIncome,0+(0.06*x)</v>
      </c>
      <c r="W120" t="str">
        <v>Wealthy,0.02+(0.06*x)</v>
      </c>
      <c r="X120" t="str">
        <v>MiddleIncome,0.04+(0.06*x)</v>
      </c>
      <c r="Y120" t="str">
        <v>Socialist,-0.01-(0.05*x)</v>
      </c>
      <c r="Z120" t="str">
        <v>Poor,-0.01-(0.05*x)</v>
      </c>
      <c r="AA120" t="str">
        <v>Capitalist,0.02+(0.04*x)</v>
      </c>
    </row>
    <row r="121">
      <c r="A121" t="str">
        <v>#</v>
      </c>
      <c r="B121" t="str">
        <v>FoodStamps</v>
      </c>
      <c r="C121" t="str">
        <v>Food Stamps</v>
      </c>
      <c r="D121" t="str">
        <v>default</v>
      </c>
      <c r="E121" t="str">
        <v>Food stamps is a system where the state will issue vouchers or 'stamps' to those citizens on low or no income, to ensure they are able to afford food. Unlike giving a straight cash benefit, food stamps can only be redeemed for uncooked food, preventing them being used for unhealthy takeaway food. Supporters see food stamps as a valuable way to ensure nobody goes hungry, no matter their income. Critics consider such a scheme patronizing, and no more than papering over the cracks caused by free market failure and low wages.</v>
      </c>
      <c r="G121" t="str">
        <v>4</v>
      </c>
      <c r="H121" t="str">
        <v>24</v>
      </c>
      <c r="I121" t="str">
        <v>4</v>
      </c>
      <c r="J121" t="str">
        <v>10</v>
      </c>
      <c r="K121" t="str">
        <v>WELFARE</v>
      </c>
      <c r="L121" t="str">
        <v>250</v>
      </c>
      <c r="M121" t="str">
        <v>4000</v>
      </c>
      <c r="N121" t="str">
        <v>Poor_perc,0+(1.0*x)</v>
      </c>
      <c r="O121" t="str">
        <v>1</v>
      </c>
      <c r="P121" t="str">
        <v>0</v>
      </c>
      <c r="Q121" t="str">
        <v>0</v>
      </c>
      <c r="S121" t="str">
        <v>#Effects</v>
      </c>
      <c r="T121" t="str">
        <v>Health,0.01+(0.02*x),8</v>
      </c>
      <c r="U121" t="str">
        <v>_LowIncome,0.03+(0.012*x)</v>
      </c>
      <c r="V121" t="str">
        <v>Poor,0.04+(0.15*x)</v>
      </c>
      <c r="W121" t="str">
        <v>PovertyRate,-0.03-(0.12*x)</v>
      </c>
      <c r="X121" t="str">
        <v>Socialist,0.02+0.08*x)</v>
      </c>
      <c r="Y121" t="str">
        <v>Farmers_income,0+(0.03*x)</v>
      </c>
      <c r="Z121" t="str">
        <v>Farmers,0+(0.03*x)</v>
      </c>
      <c r="AA121" t="str">
        <v>Equality,0.02+(0.08*x)</v>
      </c>
    </row>
    <row r="122">
      <c r="A122" t="str">
        <v>#</v>
      </c>
      <c r="B122" t="str">
        <v>FoodStandards</v>
      </c>
      <c r="C122" t="str">
        <v>Food Standards Agency</v>
      </c>
      <c r="D122" t="str">
        <v>default</v>
      </c>
      <c r="E122" t="str">
        <v>A food standards agency is a branch of government dedicated to ensuring the safety and minimum nutritional standards of food supplied within the country. Farmers may regard the agency as an extra layer of bureaucracy and meddling, but public health campaigners see the agency as an essential line of defense between the consumer and unscrupulous food producers looking to cut costs.</v>
      </c>
      <c r="G122" t="str">
        <v>7</v>
      </c>
      <c r="H122" t="str">
        <v>10</v>
      </c>
      <c r="I122" t="str">
        <v>2</v>
      </c>
      <c r="J122" t="str">
        <v>2</v>
      </c>
      <c r="K122" t="str">
        <v>PUBLICSERVICES</v>
      </c>
      <c r="L122" t="str">
        <v>22</v>
      </c>
      <c r="M122" t="str">
        <v>65</v>
      </c>
      <c r="O122" t="str">
        <v>4</v>
      </c>
      <c r="P122" t="str">
        <v>0</v>
      </c>
      <c r="Q122" t="str">
        <v>0</v>
      </c>
      <c r="S122" t="str">
        <v>#Effects</v>
      </c>
      <c r="T122" t="str">
        <v>Farmers,-0.02-(0.04*x)</v>
      </c>
      <c r="U122" t="str">
        <v>Liberal,0.01+(0.04*x)</v>
      </c>
      <c r="V122" t="str">
        <v>Health,0.01+(0.03*x),12</v>
      </c>
      <c r="W122" t="str">
        <v>Obesity,-0.01-(0.02*x),4</v>
      </c>
    </row>
    <row r="123">
      <c r="A123" t="str">
        <v>#</v>
      </c>
      <c r="B123" t="str">
        <v>EnterpriseInvestmentScheme</v>
      </c>
      <c r="C123" t="str">
        <v>Enterprise Investment Scheme</v>
      </c>
      <c r="D123" t="str">
        <v>default</v>
      </c>
      <c r="E123" t="str">
        <v>The Enterprise Investment Scheme is a system which gives tax breaks to wealthy individuals who invest their money in small startup companies which are based in this country. The scheme encourages investment in companies which should eventually grow and stimulate the economy, whilst at the same time giving a popular tax break to people who invest in them. Obviously indirectly, the scheme is being subsidized by those without savings to invest.</v>
      </c>
      <c r="G123" t="str">
        <v>7</v>
      </c>
      <c r="H123" t="str">
        <v>10</v>
      </c>
      <c r="I123" t="str">
        <v>6</v>
      </c>
      <c r="J123" t="str">
        <v>6</v>
      </c>
      <c r="K123" t="str">
        <v>TAX</v>
      </c>
      <c r="L123" t="str">
        <v>120</v>
      </c>
      <c r="M123" t="str">
        <v>2000</v>
      </c>
      <c r="N123" t="str">
        <v>GDP,0.25+(0.75*x)</v>
      </c>
      <c r="O123" t="str">
        <v>1</v>
      </c>
      <c r="P123" t="str">
        <v>0</v>
      </c>
      <c r="Q123" t="str">
        <v>0</v>
      </c>
      <c r="S123" t="str">
        <v>#Effects</v>
      </c>
      <c r="T123" t="str">
        <v>SelfEmployed,0.10+(0.2*x)</v>
      </c>
      <c r="U123" t="str">
        <v>GDP,0.01+(0.05*x),16</v>
      </c>
      <c r="V123" t="str">
        <v>Capitalist,0+(0.05*x)</v>
      </c>
      <c r="W123" t="str">
        <v>_global_socialism,-0.04-(0.06*x),12</v>
      </c>
      <c r="X123" t="str">
        <v>SelfEmployed_freq,0.02+(0.06*x),4</v>
      </c>
      <c r="Y123" t="str">
        <v>SelfEmployed_income,0.01+(0.09*x)</v>
      </c>
      <c r="Z123" t="str">
        <v>_HighIncome,0+(0.12*x)</v>
      </c>
    </row>
    <row r="124">
      <c r="A124" t="str">
        <v>#</v>
      </c>
      <c r="B124" t="str">
        <v>RecreationalDrugsTax</v>
      </c>
      <c r="C124" t="str">
        <v>Recreational Drugs Tax</v>
      </c>
      <c r="D124" t="str">
        <v>default</v>
      </c>
      <c r="E124" t="str">
        <v>In societies that have legalized drugs such as Cannabis and Marijuana, there is a temptation to treat consumption of these drugs as a source of government revenue, given the claims that their consumption should be politely discouraged due to the negative effects on citizens health, in a similar way to governments taxing alcohol or tobacco.</v>
      </c>
      <c r="G124" t="str">
        <v>8</v>
      </c>
      <c r="H124" t="str">
        <v>8</v>
      </c>
      <c r="I124" t="str">
        <v>5</v>
      </c>
      <c r="J124" t="str">
        <v>5</v>
      </c>
      <c r="K124" t="str">
        <v>TAX</v>
      </c>
      <c r="L124" t="str">
        <v>0</v>
      </c>
      <c r="M124" t="str">
        <v>0</v>
      </c>
      <c r="O124" t="str">
        <v>1</v>
      </c>
      <c r="P124" t="str">
        <v>0</v>
      </c>
      <c r="Q124" t="str">
        <v>5200</v>
      </c>
      <c r="R124" t="str">
        <v>LegalDrugConsumption,0+(1.0*x)</v>
      </c>
      <c r="S124" t="str">
        <v>#Effects</v>
      </c>
      <c r="T124" t="str">
        <v>Young,0-(0.08*x)</v>
      </c>
      <c r="U124" t="str">
        <v>Poor,0-(0.05*x)</v>
      </c>
      <c r="V124" t="str">
        <v>PovertyRate,0+(0.06*x)</v>
      </c>
      <c r="W124" t="str">
        <v>LegalDrugConsumption,-0.1*(x^2))</v>
      </c>
    </row>
  </sheetData>
  <ignoredErrors>
    <ignoredError numberStoredAsText="1" sqref="A1:AD124"/>
  </ignoredErrors>
</worksheet>
</file>

<file path=xl/worksheets/sheet2.xml><?xml version="1.0" encoding="utf-8"?>
<worksheet xmlns="http://schemas.openxmlformats.org/spreadsheetml/2006/main" xmlns:r="http://schemas.openxmlformats.org/officeDocument/2006/relationships">
  <dimension ref="A1:FE247"/>
  <sheetViews>
    <sheetView workbookViewId="0"/>
  </sheetViews>
  <sheetData>
    <row r="1">
      <c r="A1" t="str">
        <v>name</v>
      </c>
      <c r="B1" t="str">
        <v>mincost</v>
      </c>
      <c r="C1" t="str">
        <v>maxcost</v>
      </c>
      <c r="D1" t="str">
        <v>cost multiplier</v>
      </c>
      <c r="E1" t="str">
        <v>minincome</v>
      </c>
      <c r="F1" t="str">
        <v>maxincome</v>
      </c>
      <c r="G1" t="str">
        <v>incomemultiplier</v>
      </c>
      <c r="H1" t="str">
        <v>TOTAL COST</v>
      </c>
      <c r="I1" t="str">
        <v>TOTAL INCOME</v>
      </c>
      <c r="J1" t="str">
        <v>POLICIES SLIDER</v>
      </c>
      <c r="K1" t="str">
        <v>POLICY ACTIVE</v>
      </c>
      <c r="L1" t="str">
        <v>skillsshortage</v>
      </c>
      <c r="M1" t="str">
        <v>obesity</v>
      </c>
      <c r="N1" t="str">
        <v>streetgangs</v>
      </c>
      <c r="O1" t="str">
        <v>innercityriots</v>
      </c>
      <c r="P1" t="str">
        <v>organised crime</v>
      </c>
      <c r="Q1" t="str">
        <v>armedrobbery</v>
      </c>
      <c r="R1" t="str">
        <v>classwarfare</v>
      </c>
      <c r="S1" t="str">
        <v>raceriots</v>
      </c>
      <c r="T1" t="str">
        <v>corporateexodus</v>
      </c>
      <c r="U1" t="str">
        <v>antisocialbehaviour</v>
      </c>
      <c r="V1" t="str">
        <v>vigilantemobs</v>
      </c>
      <c r="W1" t="str">
        <v>alcoholism</v>
      </c>
      <c r="X1" t="str">
        <v>uncompetitive economy</v>
      </c>
      <c r="Y1" t="str">
        <v>blackmarket</v>
      </c>
      <c r="Z1" t="str">
        <v>taxevasion</v>
      </c>
      <c r="AA1" t="str">
        <v>technologicaladvantage</v>
      </c>
      <c r="AB1" t="str">
        <v>technologybackwater</v>
      </c>
      <c r="AC1" t="str">
        <v>petrolprotests</v>
      </c>
      <c r="AD1" t="str">
        <v>armedreligiouscommunities</v>
      </c>
      <c r="AE1" t="str">
        <v>braindrain</v>
      </c>
      <c r="AF1" t="str">
        <v>internetcrime</v>
      </c>
      <c r="AG1" t="str">
        <v>cyberwarfare</v>
      </c>
      <c r="AH1" t="str">
        <v>virtualrealitymarketleader</v>
      </c>
      <c r="AI1" t="str">
        <v>generalstrike</v>
      </c>
      <c r="AJ1" t="str">
        <v>teachersstrike</v>
      </c>
      <c r="AK1" t="str">
        <v>doctorsstrike</v>
      </c>
      <c r="AL1" t="str">
        <v>rail strike</v>
      </c>
      <c r="AM1" t="str">
        <v>accurateweatherforecasts</v>
      </c>
      <c r="AN1" t="str">
        <v>homelessness</v>
      </c>
      <c r="AO1" t="str">
        <v>realestatebubble</v>
      </c>
      <c r="AP1" t="str">
        <v>drugaddiction</v>
      </c>
      <c r="AQ1" t="str">
        <v>contagiousdisease</v>
      </c>
      <c r="AR1" t="str">
        <v>hospitalovercrowding</v>
      </c>
      <c r="AS1" t="str">
        <v>teachershortage</v>
      </c>
      <c r="AT1" t="str">
        <v>dronewars</v>
      </c>
      <c r="AU1" t="str">
        <v>foodcrisis</v>
      </c>
      <c r="AV1" t="str">
        <v>asthmaepidemic</v>
      </c>
      <c r="AW1" t="str">
        <v>cyclones</v>
      </c>
      <c r="AX1" t="str">
        <v>watershortage</v>
      </c>
      <c r="AY1" t="str">
        <v>antibiotics-resitantbacteria</v>
      </c>
      <c r="AZ1" t="str">
        <v>pollution</v>
      </c>
      <c r="BA1" t="str">
        <v>rareearthcrisis</v>
      </c>
      <c r="BB1" t="str">
        <v>ludditeriots</v>
      </c>
      <c r="BC1" t="str">
        <v>egalitariansociety</v>
      </c>
      <c r="BD1" t="str">
        <v>extremenationalism</v>
      </c>
      <c r="BE1" t="str">
        <v>ghettos</v>
      </c>
      <c r="BF1" t="str">
        <v>highproductivity</v>
      </c>
      <c r="BG1" t="str">
        <v>extremepoverty</v>
      </c>
      <c r="BH1" t="str">
        <v>gridlock</v>
      </c>
      <c r="BI1" t="str">
        <v>debtcrisis</v>
      </c>
      <c r="BT1" t="str">
        <v>education</v>
      </c>
      <c r="BU1" t="str">
        <v>workerproductivity</v>
      </c>
      <c r="BV1" t="str">
        <v>capitalist</v>
      </c>
      <c r="BW1" t="str">
        <v>unemployment</v>
      </c>
      <c r="BX1" t="str">
        <v>farmers</v>
      </c>
      <c r="BY1" t="str">
        <v>farmers_freq</v>
      </c>
      <c r="BZ1" t="str">
        <v>farmers_income</v>
      </c>
      <c r="CA1" t="str">
        <v>health</v>
      </c>
      <c r="CB1" t="str">
        <v>environmentalist</v>
      </c>
      <c r="CC1" t="str">
        <v>gdp</v>
      </c>
      <c r="CD1" t="str">
        <v>airtravel</v>
      </c>
      <c r="CE1" t="str">
        <v>_middleincome</v>
      </c>
      <c r="CF1" t="str">
        <v>liberal</v>
      </c>
      <c r="CG1" t="str">
        <v>alcoholconsumption</v>
      </c>
      <c r="CH1" t="str">
        <v>violentcrimerate</v>
      </c>
      <c r="CI1" t="str">
        <v>young</v>
      </c>
      <c r="CJ1" t="str">
        <v>poor</v>
      </c>
      <c r="CK1" t="str">
        <v>povertyrate</v>
      </c>
      <c r="CL1" t="str">
        <v>equality</v>
      </c>
      <c r="CM1" t="str">
        <v>crimerate</v>
      </c>
      <c r="CN1" t="str">
        <v>_security_</v>
      </c>
      <c r="CO1" t="str">
        <v>religious</v>
      </c>
      <c r="CP1" t="str">
        <v>tradeunionist</v>
      </c>
      <c r="CQ1" t="str">
        <v>oildemand</v>
      </c>
      <c r="CR1" t="str">
        <v>motorist</v>
      </c>
      <c r="CS1" t="str">
        <v>patriot</v>
      </c>
      <c r="CT1" t="str">
        <v>immigration</v>
      </c>
      <c r="CU1" t="str">
        <v>_terrorism</v>
      </c>
      <c r="CV1" t="str">
        <v>ethnicminorities</v>
      </c>
      <c r="CW1" t="str">
        <v>commuter</v>
      </c>
      <c r="CX1" t="str">
        <v>bususage</v>
      </c>
      <c r="CY1" t="str">
        <v>_lowincome</v>
      </c>
      <c r="CZ1" t="str">
        <v>commuter_income</v>
      </c>
      <c r="DA1" t="str">
        <v>commuter_freq</v>
      </c>
      <c r="DB1" t="str">
        <v>co2emissions</v>
      </c>
      <c r="DC1" t="str">
        <v>energyefficiency</v>
      </c>
      <c r="DD1" t="str">
        <v>_all_</v>
      </c>
      <c r="DE1" t="str">
        <v>environment</v>
      </c>
      <c r="DF1" t="str">
        <v>carusage</v>
      </c>
      <c r="DG1" t="str">
        <v>motorist_income</v>
      </c>
      <c r="DH1" t="str">
        <v>motorist_freq</v>
      </c>
      <c r="DI1" t="str">
        <v>conservatives</v>
      </c>
      <c r="DJ1" t="str">
        <v>parents</v>
      </c>
      <c r="DK1" t="str">
        <v>parents_freq</v>
      </c>
      <c r="DL1" t="str">
        <v>parents_income</v>
      </c>
      <c r="DM1" t="str">
        <v>racialtension</v>
      </c>
      <c r="DN1" t="str">
        <v>patriot_freq</v>
      </c>
      <c r="DO1" t="str">
        <v>_global_liberalism</v>
      </c>
      <c r="DP1" t="str">
        <v>selfemployed</v>
      </c>
      <c r="DQ1" t="str">
        <v>socialist</v>
      </c>
      <c r="DR1" t="str">
        <v>wealthy</v>
      </c>
      <c r="DS1" t="str">
        <v>_highincome</v>
      </c>
      <c r="DT1" t="str">
        <v>_global_socialism</v>
      </c>
      <c r="DU1" t="str">
        <v>selfemployed_income</v>
      </c>
      <c r="DV1" t="str">
        <v>religious_freq</v>
      </c>
      <c r="DW1" t="str">
        <v>religious-0.06-(0.06*x)</v>
      </c>
      <c r="DX1" t="str">
        <v>foreignrelations</v>
      </c>
      <c r="DY1" t="str">
        <v>retired</v>
      </c>
      <c r="DZ1" t="str">
        <v>religious_income</v>
      </c>
      <c r="EA1" t="str">
        <v>retired_income</v>
      </c>
      <c r="EB1" t="str">
        <v>young_income</v>
      </c>
      <c r="EC1" t="str">
        <v>environmentalist_income</v>
      </c>
      <c r="ED1" t="str">
        <v>environmentalist_freq</v>
      </c>
      <c r="EE1" t="str">
        <v>internationaltrade</v>
      </c>
      <c r="EF1" t="str">
        <v>middleincome</v>
      </c>
      <c r="EG1" t="str">
        <v xml:space="preserve"> </v>
      </c>
      <c r="EH1" t="str">
        <v>selfemployed_freq</v>
      </c>
      <c r="EI1" t="str">
        <v>technology</v>
      </c>
      <c r="EJ1" t="str">
        <v>workingweek</v>
      </c>
      <c r="EK1" t="str">
        <v>tradeunionist_freq</v>
      </c>
      <c r="EL1" t="str">
        <v>wages</v>
      </c>
      <c r="EM1" t="str">
        <v>stateemployees</v>
      </c>
      <c r="EN1" t="str">
        <v>stateemployees_freq</v>
      </c>
      <c r="EO1" t="str">
        <v>stateemployees_income</v>
      </c>
      <c r="EP1" t="str">
        <v>legaldrugconsumption</v>
      </c>
      <c r="EQ1" t="str">
        <v>railusage</v>
      </c>
      <c r="ER1" t="str">
        <v>trafficcongestion</v>
      </c>
      <c r="ES1" t="str">
        <v>capitalist_income</v>
      </c>
      <c r="ET1" t="str">
        <v>retired_freq</v>
      </c>
      <c r="EU1" t="str">
        <v>tobaccouse</v>
      </c>
      <c r="EV1" t="str">
        <v>privatehousing</v>
      </c>
      <c r="EW1" t="str">
        <v>privateschools</v>
      </c>
      <c r="EX1" t="str">
        <v>oilsupply</v>
      </c>
      <c r="EY1" t="str">
        <v>tourism</v>
      </c>
      <c r="EZ1" t="str">
        <v>privatehealthcare</v>
      </c>
      <c r="FA1" t="str">
        <v>tradeunionist_income</v>
      </c>
      <c r="FB1" t="str">
        <v>wealthy_income</v>
      </c>
      <c r="FC1" t="str">
        <v>foodprice</v>
      </c>
      <c r="FD1" t="str">
        <v>liberal_income</v>
      </c>
      <c r="FE1" t="str">
        <v>industrialautomation</v>
      </c>
    </row>
    <row r="2">
      <c r="A2" t="str">
        <v>AdultEducationSubsidies</v>
      </c>
      <c r="B2" t="str">
        <v>160</v>
      </c>
      <c r="C2" t="str">
        <v>300</v>
      </c>
      <c r="E2" t="str">
        <v>0</v>
      </c>
      <c r="F2" t="str">
        <v>0</v>
      </c>
      <c r="H2">
        <f>=(B2+(C2-B2)*(D2+J2))*K2</f>
      </c>
      <c r="I2">
        <f>=(E2+(F2-E2)*(G2+J2))*K2</f>
      </c>
      <c r="J2">
        <f>=0</f>
      </c>
      <c r="K2">
        <f>=0</f>
      </c>
      <c r="L2">
        <f>=MIN(1, MAX(-1,(0-(0.2*J2))*K2))</f>
      </c>
      <c r="BT2">
        <f>=MIN(1, MAX(-1,(0.04+(0.04*J2))*K2))</f>
      </c>
      <c r="BU2">
        <f>=MIN(1, MAX(-1,(0.02+(0.02*J2))*K2))</f>
      </c>
    </row>
    <row r="3">
      <c r="A3" t="str">
        <v>AgricultureSubsidies</v>
      </c>
      <c r="B3" t="str">
        <v>120</v>
      </c>
      <c r="C3" t="str">
        <v>2800</v>
      </c>
      <c r="E3" t="str">
        <v>0</v>
      </c>
      <c r="F3" t="str">
        <v>0</v>
      </c>
      <c r="H3">
        <f>=(B3+(C3-B3)*(D3+J3))*K3</f>
      </c>
      <c r="I3">
        <f>=(E3+(F3-E3)*(G3+J3))*K3</f>
      </c>
      <c r="J3">
        <v>0.4</v>
      </c>
      <c r="K3">
        <v>1</v>
      </c>
      <c r="M3">
        <f>=MIN(1, MAX(-1,(0.1+(0.32*J3))*K3))</f>
      </c>
      <c r="BV3">
        <f>=MIN(1, MAX(-1,(0.00-(0.08*J3))*K3))</f>
      </c>
      <c r="BW3">
        <f>=MIN(1, MAX(-1,(0.00-(0.17*J3))*K3))</f>
      </c>
      <c r="BX3">
        <f>=MIN(1, MAX(-1,(0.10+(0.50*J3))*K3))</f>
      </c>
      <c r="BY3">
        <f>=MIN(1, MAX(-1,(0.02+(0.18*J3))*K3))</f>
      </c>
      <c r="BZ3">
        <f>=MIN(1, MAX(-1,(0+(0.35*J3))*K3))</f>
      </c>
      <c r="CA3">
        <f>=MIN(1, MAX(-1,(0-(0.04*J3))*K3))</f>
      </c>
    </row>
    <row r="4">
      <c r="A4" t="str">
        <v>AirlineTax</v>
      </c>
      <c r="B4" t="str">
        <v>0</v>
      </c>
      <c r="C4" t="str">
        <v>0</v>
      </c>
      <c r="E4" t="str">
        <v>115</v>
      </c>
      <c r="F4" t="str">
        <v>7015</v>
      </c>
      <c r="G4">
        <f>=MIN(10, MAX(0,0+(1.0*CD247)))</f>
      </c>
      <c r="H4">
        <f>=(B4+(C4-B4)*(D4+J4))*K4</f>
      </c>
      <c r="I4">
        <f>=(E4+(F4-E4)*(G4+J4))*K4</f>
      </c>
      <c r="J4">
        <f>=0</f>
      </c>
      <c r="K4">
        <f>=0</f>
      </c>
      <c r="BV4">
        <f>=MIN(1, MAX(-1,(0.00-(0.06*J4))*K4))</f>
      </c>
      <c r="CB4">
        <f>=MIN(1, MAX(-1,(0.05+(0.10*J4))*K4))</f>
      </c>
      <c r="CC4">
        <f>=MIN(1, MAX(-1,(0.00-(0.05*J4))*K4))</f>
      </c>
      <c r="CD4">
        <f>=MIN(1, MAX(-1,(0-(0.3*J4))*K4))</f>
      </c>
      <c r="CE4">
        <f>=MIN(1, MAX(-1,(0-(0.02*J4))*K4))</f>
      </c>
    </row>
    <row r="5">
      <c r="A5" t="str">
        <v>AlcoholLaw</v>
      </c>
      <c r="B5" t="str">
        <v>0</v>
      </c>
      <c r="C5" t="str">
        <v>0</v>
      </c>
      <c r="E5" t="str">
        <v>0</v>
      </c>
      <c r="F5" t="str">
        <v>0</v>
      </c>
      <c r="H5">
        <f>=(B5+(C5-B5)*(D5+J5))*K5</f>
      </c>
      <c r="I5">
        <f>=(E5+(F5-E5)*(G5+J5))*K5</f>
      </c>
      <c r="J5">
        <f>=0</f>
      </c>
      <c r="K5">
        <f>=0</f>
      </c>
      <c r="CF5">
        <f>=MIN(1, MAX(-1,(0.20-(0.40*J5))*K5))</f>
      </c>
      <c r="CG5">
        <f>=MIN(1, MAX(-1,(0.5-(1.0*J5))*K5))</f>
      </c>
      <c r="CH5">
        <f>=MIN(1, MAX(-1,(0.05-(0.11*J5))*K5))</f>
      </c>
      <c r="CI5">
        <f>=MIN(1, MAX(-1,(-0.2*(J5^2))*K5))</f>
      </c>
    </row>
    <row r="6">
      <c r="A6" t="str">
        <v>AlcoholTax</v>
      </c>
      <c r="B6" t="str">
        <v>0</v>
      </c>
      <c r="C6" t="str">
        <v>0</v>
      </c>
      <c r="E6" t="str">
        <v>0</v>
      </c>
      <c r="F6" t="str">
        <v>8050</v>
      </c>
      <c r="G6">
        <f>=MIN(10, MAX(0,0+(1.0*CG247)))</f>
      </c>
      <c r="H6">
        <f>=(B6+(C6-B6)*(D6+J6))*K6</f>
      </c>
      <c r="I6">
        <f>=(E6+(F6-E6)*(G6+J6))*K6</f>
      </c>
      <c r="J6">
        <v>0.25</v>
      </c>
      <c r="K6">
        <v>1</v>
      </c>
      <c r="CG6">
        <f>=MIN(1, MAX(-1,(0-(0.4*J6))*K6))</f>
      </c>
      <c r="CJ6">
        <f>=MIN(1, MAX(-1,(0-(0.2*J6))*K6))</f>
      </c>
      <c r="CK6">
        <f>=MIN(1, MAX(-1,(0+(0.2*J6))*K6))</f>
      </c>
      <c r="CL6">
        <f>=MIN(1, MAX(-1,(0-(0.1*J6))*K6))</f>
      </c>
    </row>
    <row r="7">
      <c r="A7" t="str">
        <v>ArmedPolice</v>
      </c>
      <c r="B7" t="str">
        <v>300</v>
      </c>
      <c r="C7" t="str">
        <v>960</v>
      </c>
      <c r="E7" t="str">
        <v>0</v>
      </c>
      <c r="F7" t="str">
        <v>0</v>
      </c>
      <c r="H7">
        <f>=(B7+(C7-B7)*(D7+J7))*K7</f>
      </c>
      <c r="I7">
        <f>=(E7+(F7-E7)*(G7+J7))*K7</f>
      </c>
      <c r="J7">
        <f>=0</f>
      </c>
      <c r="K7">
        <f>=0</f>
      </c>
      <c r="N7">
        <f>=MIN(1, MAX(-1,(-0.1-(0.3*J7))*K7))</f>
      </c>
      <c r="O7">
        <f>=MIN(1, MAX(-1,(-0.3-(0.6*J7))*K7))</f>
      </c>
      <c r="P7">
        <f>=MIN(1, MAX(-1,(0-(0.17*J7))*K7))</f>
      </c>
      <c r="Q7">
        <f>=MIN(1, MAX(-1,(0-(0.6*J7))*K7))</f>
      </c>
      <c r="R7">
        <f>=MIN(1, MAX(-1,(-0.2-(0.14*J7))*K7))</f>
      </c>
      <c r="S7">
        <f>=MIN(1, MAX(-1,(-0.1-(0.1*J7))*K7))</f>
      </c>
      <c r="CF7">
        <f>=MIN(1, MAX(-1,(-0.05-(0.25*J7))*K7))</f>
      </c>
      <c r="CH7">
        <f>=MIN(1, MAX(-1,(0.00-(0.20*J7))*K7))</f>
      </c>
      <c r="CM7">
        <f>=MIN(1, MAX(-1,(-0.10-(0.10*J7))*K7))</f>
      </c>
      <c r="CN7">
        <f>=MIN(1, MAX(-1,((0.025+0.035*J7))*K7))</f>
      </c>
    </row>
    <row r="8">
      <c r="A8" t="str">
        <v>BanSundayShopping</v>
      </c>
      <c r="B8" t="str">
        <v>0</v>
      </c>
      <c r="C8" t="str">
        <v>0</v>
      </c>
      <c r="E8" t="str">
        <v>0</v>
      </c>
      <c r="F8" t="str">
        <v>0</v>
      </c>
      <c r="H8">
        <f>=(B8+(C8-B8)*(D8+J8))*K8</f>
      </c>
      <c r="I8">
        <f>=(E8+(F8-E8)*(G8+J8))*K8</f>
      </c>
      <c r="J8">
        <f>=0</f>
      </c>
      <c r="K8">
        <f>=0</f>
      </c>
      <c r="CC8">
        <f>=MIN(1, MAX(-1,(-0.02+(0*J8))*K8))</f>
      </c>
      <c r="CF8">
        <f>=MIN(1, MAX(-1,(-0.08+(0*J8))*K8))</f>
      </c>
      <c r="CO8">
        <f>=MIN(1, MAX(-1,(0.12+(0*J8))*K8))</f>
      </c>
      <c r="CP8">
        <f>=MIN(1, MAX(-1,(0.06+(0*J8))*K8))</f>
      </c>
    </row>
    <row r="9">
      <c r="A9" t="str">
        <v>BiofuelSubsidies</v>
      </c>
      <c r="B9" t="str">
        <v>5</v>
      </c>
      <c r="C9" t="str">
        <v>700</v>
      </c>
      <c r="D9">
        <f>=MIN(10, MAX(0,0+(1.0*DF247)))</f>
      </c>
      <c r="E9" t="str">
        <v>0</v>
      </c>
      <c r="F9" t="str">
        <v>0</v>
      </c>
      <c r="H9">
        <f>=(B9+(C9-B9)*(D9+J9))*K9</f>
      </c>
      <c r="I9">
        <f>=(E9+(F9-E9)*(G9+J9))*K9</f>
      </c>
      <c r="J9">
        <f>=0</f>
      </c>
      <c r="K9">
        <f>=0</f>
      </c>
      <c r="BX9">
        <f>=MIN(1, MAX(-1,(0.05+(0.10*J9))*K9))</f>
      </c>
      <c r="BY9">
        <f>=MIN(1, MAX(-1,(0.02+(0.05*J9))*K9))</f>
      </c>
      <c r="BZ9">
        <f>=MIN(1, MAX(-1,(0+(0.09*J9))*K9))</f>
      </c>
      <c r="CB9">
        <f>=MIN(1, MAX(-1,(0.02+(0.06*J9))*K9))</f>
      </c>
      <c r="CQ9">
        <f>=MIN(1, MAX(-1,(0-(0.12*J9))*K9))</f>
      </c>
      <c r="CR9">
        <f>=MIN(1, MAX(-1,(0.02+(0.02*J9))*K9))</f>
      </c>
    </row>
    <row r="10">
      <c r="A10" t="str">
        <v>BorderControls</v>
      </c>
      <c r="B10" t="str">
        <v>10</v>
      </c>
      <c r="C10" t="str">
        <v>280</v>
      </c>
      <c r="E10" t="str">
        <v>0</v>
      </c>
      <c r="F10" t="str">
        <v>0</v>
      </c>
      <c r="H10">
        <f>=(B10+(C10-B10)*(D10+J10))*K10</f>
      </c>
      <c r="I10">
        <f>=(E10+(F10-E10)*(G10+J10))*K10</f>
      </c>
      <c r="J10">
        <f>=0</f>
      </c>
      <c r="K10">
        <f>=0</f>
      </c>
      <c r="CF10">
        <f>=MIN(1, MAX(-1,(0-(0.225*J10))*K10))</f>
      </c>
      <c r="CS10">
        <f>=MIN(1, MAX(-1,(0+(0.30*J10))*K10))</f>
      </c>
      <c r="CT10">
        <f>=MIN(1, MAX(-1,(0-(0.8*J10))*K10))</f>
      </c>
      <c r="CU10">
        <f>=MIN(1, MAX(-1,(0-(0.1*J10))*K10))</f>
      </c>
      <c r="CV10">
        <f>=MIN(1, MAX(-1,(0.00-(0.42*J10))*K10))</f>
      </c>
    </row>
    <row r="11">
      <c r="A11" t="str">
        <v>BusLanes</v>
      </c>
      <c r="B11" t="str">
        <v>100</v>
      </c>
      <c r="C11" t="str">
        <v>220</v>
      </c>
      <c r="E11" t="str">
        <v>0</v>
      </c>
      <c r="F11" t="str">
        <v>0</v>
      </c>
      <c r="H11">
        <f>=(B11+(C11-B11)*(D11+J11))*K11</f>
      </c>
      <c r="I11">
        <f>=(E11+(F11-E11)*(G11+J11))*K11</f>
      </c>
      <c r="J11">
        <v>0.5</v>
      </c>
      <c r="K11">
        <v>1</v>
      </c>
      <c r="CR11">
        <f>=MIN(1, MAX(-1,(0.00-(0.25*J11))*K11))</f>
      </c>
      <c r="CW11">
        <f>=MIN(1, MAX(-1,(0.05+(0.17*J11))*K11))</f>
      </c>
      <c r="CX11">
        <f>=MIN(1, MAX(-1,(0.05+(0.2*J11))*K11))</f>
      </c>
    </row>
    <row r="12">
      <c r="A12" t="str">
        <v>BusSubsidies</v>
      </c>
      <c r="B12" t="str">
        <v>125</v>
      </c>
      <c r="C12" t="str">
        <v>1552</v>
      </c>
      <c r="E12" t="str">
        <v>0</v>
      </c>
      <c r="F12" t="str">
        <v>0</v>
      </c>
      <c r="H12">
        <f>=(B12+(C12-B12)*(D12+J12))*K12</f>
      </c>
      <c r="I12">
        <f>=(E12+(F12-E12)*(G12+J12))*K12</f>
      </c>
      <c r="J12">
        <f>=0</f>
      </c>
      <c r="K12">
        <f>=0</f>
      </c>
      <c r="BV12">
        <f>=MIN(1, MAX(-1,(-0-(0.06*J12))*K12))</f>
      </c>
      <c r="BW12">
        <f>=MIN(1, MAX(-1,(0-(0.01*J12))*K12))</f>
      </c>
      <c r="CR12">
        <f>=MIN(1, MAX(-1,(0.00-(0.15*J12))*K12))</f>
      </c>
      <c r="CW12">
        <f>=MIN(1, MAX(-1,(0.10+(0.34*J12))*K12))</f>
      </c>
      <c r="CX12">
        <f>=MIN(1, MAX(-1,(0.00+(0.32*J12))*K12))</f>
      </c>
      <c r="CY12">
        <f>=MIN(1, MAX(-1,(0+(0.07*J12))*K12))</f>
      </c>
      <c r="CZ12">
        <f>=MIN(1, MAX(-1,(0+(0.07*J12))*K12))</f>
      </c>
      <c r="DA12">
        <f>=MIN(1, MAX(-1,(0+(0.12*J12))*K12))</f>
      </c>
    </row>
    <row r="13">
      <c r="A13" t="str">
        <v>CarbonTax</v>
      </c>
      <c r="B13" t="str">
        <v>0</v>
      </c>
      <c r="C13" t="str">
        <v>0</v>
      </c>
      <c r="E13" t="str">
        <v>1150</v>
      </c>
      <c r="F13" t="str">
        <v>31510</v>
      </c>
      <c r="G13">
        <f>=0</f>
      </c>
      <c r="H13">
        <f>=(B13+(C13-B13)*(D13+J13))*K13</f>
      </c>
      <c r="I13">
        <f>=(E13+(F13-E13)*(G13+J13))*K13</f>
      </c>
      <c r="J13">
        <f>=0</f>
      </c>
      <c r="K13">
        <f>=0</f>
      </c>
      <c r="T13">
        <f>=MIN(1, MAX(-1,(0.02+(0.04*J13))*K13))</f>
      </c>
      <c r="BV13">
        <f>=MIN(1, MAX(-1,(0.02-(0.11*J13))*K13))</f>
      </c>
      <c r="CB13">
        <f>=MIN(1, MAX(-1,(0.1+(0.1*J13))*K13))</f>
      </c>
      <c r="CC13">
        <f>=MIN(1, MAX(-1,(-0.25*(J13^2))*K13))</f>
      </c>
      <c r="CD13">
        <f>=MIN(1, MAX(-1,(0-(0.28*J13))*K13))</f>
      </c>
      <c r="DB13">
        <f>=MIN(1, MAX(-1,(0-(0.5*J13))*K13))</f>
      </c>
      <c r="DC13">
        <f>=MIN(1, MAX(-1,(0+(0.25*J13))*K13))</f>
      </c>
      <c r="DD13">
        <f>=MIN(1, MAX(-1,(0-(0.25*J13))*K13))</f>
      </c>
    </row>
    <row r="14">
      <c r="A14" t="str">
        <v>CarEmmissionsLimits</v>
      </c>
      <c r="B14" t="str">
        <v>0</v>
      </c>
      <c r="C14" t="str">
        <v>80</v>
      </c>
      <c r="E14" t="str">
        <v>0</v>
      </c>
      <c r="F14" t="str">
        <v>0</v>
      </c>
      <c r="H14">
        <f>=(B14+(C14-B14)*(D14+J14))*K14</f>
      </c>
      <c r="I14">
        <f>=(E14+(F14-E14)*(G14+J14))*K14</f>
      </c>
      <c r="J14">
        <f>=0</f>
      </c>
      <c r="K14">
        <f>=0</f>
      </c>
      <c r="CB14">
        <f>=MIN(1, MAX(-1,(0.04+(0.05*J14))*K14))</f>
      </c>
      <c r="CR14">
        <f>=MIN(1, MAX(-1,(0-(0.1*J14))*K14))</f>
      </c>
      <c r="DB14">
        <f>=MIN(1, MAX(-1,(-0.02-(0.08*J14))*K14))</f>
      </c>
      <c r="DE14">
        <f>=MIN(1, MAX(-1,(0+(0.23*J14))*K14))</f>
      </c>
      <c r="DF14">
        <f>=MIN(1, MAX(-1,(-0.01-(0.02*J14))*K14))</f>
      </c>
      <c r="DG14">
        <f>=MIN(1, MAX(-1,(0-(0.06*J14))*K14))</f>
      </c>
    </row>
    <row r="15">
      <c r="A15" t="str">
        <v>CarTax</v>
      </c>
      <c r="B15" t="str">
        <v>0</v>
      </c>
      <c r="C15" t="str">
        <v>0</v>
      </c>
      <c r="E15" t="str">
        <v>115</v>
      </c>
      <c r="F15" t="str">
        <v>7435.9</v>
      </c>
      <c r="G15">
        <f>=0</f>
      </c>
      <c r="H15">
        <f>=(B15+(C15-B15)*(D15+J15))*K15</f>
      </c>
      <c r="I15">
        <f>=(E15+(F15-E15)*(G15+J15))*K15</f>
      </c>
      <c r="J15">
        <f>=0</f>
      </c>
      <c r="K15">
        <f>=0</f>
      </c>
      <c r="BX15">
        <f>=MIN(1, MAX(-1,(-0.03-(0.03*J15))*K15))</f>
      </c>
      <c r="CB15">
        <f>=MIN(1, MAX(-1,(0.05+(0.05*J15))*K15))</f>
      </c>
      <c r="CE15">
        <f>=MIN(1, MAX(-1,(0-(0.05*J15))*K15))</f>
      </c>
      <c r="CR15">
        <f>=MIN(1, MAX(-1,(-0.05-(0.15*J15))*K15))</f>
      </c>
      <c r="DF15">
        <f>=MIN(1, MAX(-1,(0.00-(0.14*J15))*K15))</f>
      </c>
      <c r="DG15">
        <f>=MIN(1, MAX(-1,(0-(0.08*J15))*K15))</f>
      </c>
      <c r="DH15">
        <f>=MIN(1, MAX(-1,(-0.1-(0.2*J15))*K15))</f>
      </c>
    </row>
    <row r="16">
      <c r="A16" t="str">
        <v>CCTVCameras</v>
      </c>
      <c r="B16" t="str">
        <v>400</v>
      </c>
      <c r="C16" t="str">
        <v>720</v>
      </c>
      <c r="E16" t="str">
        <v>0</v>
      </c>
      <c r="F16" t="str">
        <v>0</v>
      </c>
      <c r="H16">
        <f>=(B16+(C16-B16)*(D16+J16))*K16</f>
      </c>
      <c r="I16">
        <f>=(E16+(F16-E16)*(G16+J16))*K16</f>
      </c>
      <c r="J16">
        <v>0.8</v>
      </c>
      <c r="K16">
        <v>1</v>
      </c>
      <c r="N16">
        <f>=MIN(1, MAX(-1,(-0.05-(0.05*J16))*K16))</f>
      </c>
      <c r="O16">
        <f>=MIN(1, MAX(-1,(-0.1*(-0.6*J16))*K16))</f>
      </c>
      <c r="Q16">
        <f>=MIN(1, MAX(-1,(0-(0.25*J16))*K16))</f>
      </c>
      <c r="R16">
        <f>=MIN(1, MAX(-1,(-0.1-(0.1*J16))*K16))</f>
      </c>
      <c r="S16">
        <f>=MIN(1, MAX(-1,(0-(0.1*J16))*K16))</f>
      </c>
      <c r="U16">
        <f>=MIN(1, MAX(-1,(0-(0.3*J16))*K16))</f>
      </c>
      <c r="V16">
        <f>=MIN(1, MAX(-1,(-0.1-(0.1*J16))*K16))</f>
      </c>
      <c r="CF16">
        <f>=MIN(1, MAX(-1,(-0.075-(0.135*J16))*K16))</f>
      </c>
      <c r="CH16">
        <f>=MIN(1, MAX(-1,(-0.10-(0.20*J16))*K16))</f>
      </c>
      <c r="CM16">
        <f>=MIN(1, MAX(-1,(-0.16*(J16^0.4))*K16))</f>
      </c>
      <c r="CN16">
        <f>=MIN(1, MAX(-1,((0.025+0.038*J16))*K16))</f>
      </c>
      <c r="DI16">
        <f>=MIN(1, MAX(-1,(0.10+(0.14*J16))*K16))</f>
      </c>
    </row>
    <row r="17">
      <c r="A17" t="str">
        <v>ChildBenefit</v>
      </c>
      <c r="B17" t="str">
        <v>400</v>
      </c>
      <c r="C17" t="str">
        <v>4320</v>
      </c>
      <c r="E17" t="str">
        <v>0</v>
      </c>
      <c r="F17" t="str">
        <v>0</v>
      </c>
      <c r="H17">
        <f>=(B17+(C17-B17)*(D17+J17))*K17</f>
      </c>
      <c r="I17">
        <f>=(E17+(F17-E17)*(G17+J17))*K17</f>
      </c>
      <c r="J17">
        <v>0.7</v>
      </c>
      <c r="K17">
        <v>1</v>
      </c>
      <c r="BV17">
        <f>=MIN(1, MAX(-1,(-0.05-(0.02*J17))*K17))</f>
      </c>
      <c r="CF17">
        <f>=MIN(1, MAX(-1,(0.05+(0.12*J17))*K17))</f>
      </c>
      <c r="CJ17">
        <f>=MIN(1, MAX(-1,(0.05+(0.04*J17))*K17))</f>
      </c>
      <c r="CL17">
        <f>=MIN(1, MAX(-1,(0.05+(0.15*J17))*K17))</f>
      </c>
      <c r="CY17">
        <f>=MIN(1, MAX(-1,(0+(0.07*J17))*K17))</f>
      </c>
      <c r="DJ17">
        <f>=MIN(1, MAX(-1,(0+(0.23*J17))*K17))</f>
      </c>
      <c r="DK17">
        <f>=MIN(1, MAX(-1,(0.025+(0.05*J17))*K17))</f>
      </c>
      <c r="DL17">
        <f>=MIN(1, MAX(-1,(0+(0.05*J17))*K17))</f>
      </c>
    </row>
    <row r="18">
      <c r="A18" t="str">
        <v>ChildcareProvision</v>
      </c>
      <c r="B18" t="str">
        <v>400</v>
      </c>
      <c r="C18" t="str">
        <v>5020</v>
      </c>
      <c r="D18">
        <f>=MIN(10, MAX(0,0.4+(0.6*CC247)))</f>
      </c>
      <c r="E18" t="str">
        <v>0</v>
      </c>
      <c r="F18" t="str">
        <v>0</v>
      </c>
      <c r="H18">
        <f>=(B18+(C18-B18)*(D18+J18))*K18</f>
      </c>
      <c r="I18">
        <f>=(E18+(F18-E18)*(G18+J18))*K18</f>
      </c>
      <c r="J18">
        <f>=0</f>
      </c>
      <c r="K18">
        <f>=0</f>
      </c>
      <c r="BU18">
        <f>=MIN(1, MAX(-1,(0.02+(0.08*J18))*K18))</f>
      </c>
      <c r="BV18">
        <f>=MIN(1, MAX(-1,(-0.03-(0.02*J18))*K18))</f>
      </c>
      <c r="BW18">
        <f>=MIN(1, MAX(-1,(-0.01-(0.11*J18))*K18))</f>
      </c>
      <c r="DJ18">
        <f>=MIN(1, MAX(-1,(0.05+(0.06*J18))*K18))</f>
      </c>
      <c r="DK18">
        <f>=MIN(1, MAX(-1,(0.025+(0.045*J18))*K18))</f>
      </c>
      <c r="DL18">
        <f>=MIN(1, MAX(-1,(0+(0.03*J18))*K18))</f>
      </c>
    </row>
    <row r="19">
      <c r="A19" t="str">
        <v>CitizenshipTests</v>
      </c>
      <c r="B19" t="str">
        <v>10</v>
      </c>
      <c r="C19" t="str">
        <v>50</v>
      </c>
      <c r="D19">
        <f>=MIN(10, MAX(0,0+(1.0*CT247)))</f>
      </c>
      <c r="E19" t="str">
        <v>0</v>
      </c>
      <c r="F19" t="str">
        <v>0</v>
      </c>
      <c r="H19">
        <f>=(B19+(C19-B19)*(D19+J19))*K19</f>
      </c>
      <c r="I19">
        <f>=(E19+(F19-E19)*(G19+J19))*K19</f>
      </c>
      <c r="J19">
        <f>=0</f>
      </c>
      <c r="K19">
        <f>=0</f>
      </c>
      <c r="CF19">
        <f>=MIN(1, MAX(-1,(-0.02-(0.03*J19))*K19))</f>
      </c>
      <c r="CS19">
        <f>=MIN(1, MAX(-1,(0.1+(0.16*J19))*K19))</f>
      </c>
      <c r="CT19">
        <f>=MIN(1, MAX(-1,(-0.05-(0.1*J19))*K19))</f>
      </c>
      <c r="CV19">
        <f>=MIN(1, MAX(-1,(-0.02-(0.03*J19))*K19))</f>
      </c>
      <c r="DM19">
        <f>=MIN(1, MAX(-1,(-0.1-(0.22*J19))*K19))</f>
      </c>
      <c r="DN19">
        <f>=MIN(1, MAX(-1,(0.02+(0.04*J19))*K19))</f>
      </c>
    </row>
    <row r="20">
      <c r="A20" t="str">
        <v>CleanEnergySubsidies</v>
      </c>
      <c r="B20" t="str">
        <v>590</v>
      </c>
      <c r="C20" t="str">
        <v>1560</v>
      </c>
      <c r="D20">
        <f>=MIN(10, MAX(0,0.2+(0.8*CC247)))</f>
      </c>
      <c r="E20" t="str">
        <v>0</v>
      </c>
      <c r="F20" t="str">
        <v>0</v>
      </c>
      <c r="H20">
        <f>=(B20+(C20-B20)*(D20+J20))*K20</f>
      </c>
      <c r="I20">
        <f>=(E20+(F20-E20)*(G20+J20))*K20</f>
      </c>
      <c r="J20">
        <v>0.58</v>
      </c>
      <c r="K20">
        <v>1</v>
      </c>
      <c r="BV20">
        <f>=MIN(1, MAX(-1,(-0.02-(0.05*J20))*K20))</f>
      </c>
      <c r="CB20">
        <f>=MIN(1, MAX(-1,(0.05+(0.11*J20))*K20))</f>
      </c>
      <c r="DB20">
        <f>=MIN(1, MAX(-1,(-0.02-(0.13*J20))*K20))</f>
      </c>
      <c r="DC20">
        <f>=MIN(1, MAX(-1,(0.01+(0.25*J20))*K20))</f>
      </c>
      <c r="DE20">
        <f>=MIN(1, MAX(-1,(0.1+(0.14*J20))*K20))</f>
      </c>
    </row>
    <row r="21">
      <c r="A21" t="str">
        <v>CleanFuelSubsidy</v>
      </c>
      <c r="B21" t="str">
        <v>120</v>
      </c>
      <c r="C21" t="str">
        <v>320</v>
      </c>
      <c r="D21">
        <f>=MIN(10, MAX(0,0+(1.0*DF247)))</f>
      </c>
      <c r="E21" t="str">
        <v>0</v>
      </c>
      <c r="F21" t="str">
        <v>0</v>
      </c>
      <c r="H21">
        <f>=(B21+(C21-B21)*(D21+J21))*K21</f>
      </c>
      <c r="I21">
        <f>=(E21+(F21-E21)*(G21+J21))*K21</f>
      </c>
      <c r="J21">
        <f>=0</f>
      </c>
      <c r="K21">
        <f>=0</f>
      </c>
      <c r="CB21">
        <f>=MIN(1, MAX(-1,(0.04+(0.10*J21))*K21))</f>
      </c>
      <c r="CR21">
        <f>=MIN(1, MAX(-1,(0.02+(0.02*J21))*K21))</f>
      </c>
      <c r="DE21">
        <f>=MIN(1, MAX(-1,(0.00+(0.07*J21))*K21))</f>
      </c>
      <c r="DG21">
        <f>=MIN(1, MAX(-1,(0.02+(0.08*J21))*K21))</f>
      </c>
    </row>
    <row r="22">
      <c r="A22" t="str">
        <v>CommunityPolicing</v>
      </c>
      <c r="B22" t="str">
        <v>100</v>
      </c>
      <c r="C22" t="str">
        <v>639</v>
      </c>
      <c r="E22" t="str">
        <v>0</v>
      </c>
      <c r="F22" t="str">
        <v>0</v>
      </c>
      <c r="H22">
        <f>=(B22+(C22-B22)*(D22+J22))*K22</f>
      </c>
      <c r="I22">
        <f>=(E22+(F22-E22)*(G22+J22))*K22</f>
      </c>
      <c r="J22">
        <v>0.63</v>
      </c>
      <c r="K22">
        <v>1</v>
      </c>
      <c r="N22">
        <f>=MIN(1, MAX(-1,(-0.05-(0.1*J22))*K22))</f>
      </c>
      <c r="U22">
        <f>=MIN(1, MAX(-1,(-0.1-(0.25*J22))*K22))</f>
      </c>
      <c r="W22">
        <f>=MIN(1, MAX(-1,(-0.1-(0.25*J22))*K22))</f>
      </c>
      <c r="BW22">
        <f>=MIN(1, MAX(-1,(0-(0.02*J22))*K22))</f>
      </c>
      <c r="CF22">
        <f>=MIN(1, MAX(-1,(0.05+(0.05*J22))*K22))</f>
      </c>
      <c r="CH22">
        <f>=MIN(1, MAX(-1,(-0.02-(0.03*J22))*K22))</f>
      </c>
      <c r="CM22">
        <f>=MIN(1, MAX(-1,(-0.02-(0.05*J22))*K22))</f>
      </c>
      <c r="DM22">
        <f>=MIN(1, MAX(-1,(0-(0.08*J22))*K22))</f>
      </c>
      <c r="DO22">
        <f>=MIN(1, MAX(-1,(0+(0.1*J22))*K22))</f>
      </c>
    </row>
    <row r="23">
      <c r="A23" t="str">
        <v>ConsumerRights</v>
      </c>
      <c r="B23" t="str">
        <v>5</v>
      </c>
      <c r="C23" t="str">
        <v>8</v>
      </c>
      <c r="E23" t="str">
        <v>0</v>
      </c>
      <c r="F23" t="str">
        <v>0</v>
      </c>
      <c r="H23">
        <f>=(B23+(C23-B23)*(D23+J23))*K23</f>
      </c>
      <c r="I23">
        <f>=(E23+(F23-E23)*(G23+J23))*K23</f>
      </c>
      <c r="J23">
        <f>=0</f>
      </c>
      <c r="K23">
        <f>=0</f>
      </c>
      <c r="BV23">
        <f>=MIN(1, MAX(-1,(0.00-(0.06*J23))*K23))</f>
      </c>
      <c r="CC23">
        <f>=MIN(1, MAX(-1,(-0.04*(J23^4))*K23))</f>
      </c>
      <c r="CF23">
        <f>=MIN(1, MAX(-1,(0.00+(0.15*J23))*K23))</f>
      </c>
      <c r="DP23">
        <f>=MIN(1, MAX(-1,(0.00-(0.10*J23))*K23))</f>
      </c>
    </row>
    <row r="24">
      <c r="A24" t="str">
        <v>CorporationTax</v>
      </c>
      <c r="B24" t="str">
        <v>0</v>
      </c>
      <c r="C24" t="str">
        <v>0</v>
      </c>
      <c r="E24" t="str">
        <v>575</v>
      </c>
      <c r="F24" t="str">
        <v>30638.3</v>
      </c>
      <c r="G24">
        <f>=0</f>
      </c>
      <c r="H24">
        <f>=(B24+(C24-B24)*(D24+J24))*K24</f>
      </c>
      <c r="I24">
        <f>=(E24+(F24-E24)*(G24+J24))*K24</f>
      </c>
      <c r="J24">
        <f>=0</f>
      </c>
      <c r="K24">
        <f>=0</f>
      </c>
      <c r="T24">
        <f>=MIN(1, MAX(-1,(0+(0.9*J24))*K24))</f>
      </c>
      <c r="X24">
        <f>=MIN(1, MAX(-1,(0+(0.3*J24))*K24))</f>
      </c>
      <c r="Y24">
        <f>=MIN(1, MAX(-1,(0+(0.3*J24))*K24))</f>
      </c>
      <c r="Z24">
        <f>=MIN(1, MAX(-1,(0.3*(J24^2))*K24))</f>
      </c>
      <c r="BV24">
        <f>=MIN(1, MAX(-1,(-0.03-(0.23*J24))*K24))</f>
      </c>
      <c r="CC24">
        <f>=MIN(1, MAX(-1,(-0.27*(J24^5))*K24))</f>
      </c>
      <c r="DP24">
        <f>=MIN(1, MAX(-1,(0-(0.12*J24))*K24))</f>
      </c>
      <c r="DQ24">
        <f>=MIN(1, MAX(-1,(0+(0.22*J24))*K24))</f>
      </c>
      <c r="DR24">
        <f>=MIN(1, MAX(-1,(0-(0.2*J24))*K24))</f>
      </c>
      <c r="DS24">
        <f>=MIN(1, MAX(-1,(0-(0.07*J24))*K24))</f>
      </c>
      <c r="DT24">
        <f>=MIN(1, MAX(-1,(0+(0.02*J24))*K24))</f>
      </c>
      <c r="DU24">
        <f>=MIN(1, MAX(-1,(0-(0.1*J24))*K24))</f>
      </c>
    </row>
    <row r="25">
      <c r="A25" t="str">
        <v>Creationism</v>
      </c>
      <c r="B25" t="str">
        <v>0</v>
      </c>
      <c r="C25" t="str">
        <v>0</v>
      </c>
      <c r="E25" t="str">
        <v>0</v>
      </c>
      <c r="F25" t="str">
        <v>0</v>
      </c>
      <c r="H25">
        <f>=(B25+(C25-B25)*(D25+J25))*K25</f>
      </c>
      <c r="I25">
        <f>=(E25+(F25-E25)*(G25+J25))*K25</f>
      </c>
      <c r="J25">
        <v>0.5</v>
      </c>
      <c r="K25">
        <v>1</v>
      </c>
      <c r="AA25">
        <f>=MIN(1, MAX(-1,(0+(0.1*J25))*K25))</f>
      </c>
      <c r="AB25">
        <f>=MIN(1, MAX(-1,(0.22-(0.22*J25))*K25))</f>
      </c>
      <c r="CF25">
        <f>=MIN(1, MAX(-1,(-0.35+(0.6*J25))*K25))</f>
      </c>
      <c r="CO25">
        <f>=MIN(1, MAX(-1,(0.3-(0.6*J25))*K25))</f>
      </c>
      <c r="DO25">
        <f>=MIN(1, MAX(-1,(-0.08+(0.16*J25))*K25))</f>
      </c>
      <c r="DV25">
        <f>=MIN(1, MAX(-1,(0.35-(J25*0.7))*K25))</f>
      </c>
    </row>
    <row r="26">
      <c r="A26" t="str">
        <v>Curfews</v>
      </c>
      <c r="B26" t="str">
        <v>80</v>
      </c>
      <c r="C26" t="str">
        <v>200</v>
      </c>
      <c r="E26" t="str">
        <v>0</v>
      </c>
      <c r="F26" t="str">
        <v>0</v>
      </c>
      <c r="H26">
        <f>=(B26+(C26-B26)*(D26+J26))*K26</f>
      </c>
      <c r="I26">
        <f>=(E26+(F26-E26)*(G26+J26))*K26</f>
      </c>
      <c r="J26">
        <f>=0</f>
      </c>
      <c r="K26">
        <f>=0</f>
      </c>
      <c r="R26">
        <f>=MIN(1, MAX(-1,(-0.1-(0.05*J26))*K26))</f>
      </c>
      <c r="S26">
        <f>=MIN(1, MAX(-1,(-0.1-(0.1*J26))*K26))</f>
      </c>
      <c r="AC26">
        <f>=MIN(1, MAX(-1,(0-(0.4*J26))*K26))</f>
      </c>
      <c r="CC26">
        <f>=MIN(1, MAX(-1,(-0.08*(J26^4))*K26))</f>
      </c>
      <c r="CF26">
        <f>=MIN(1, MAX(-1,(-0.1-(0.25*J26))*K26))</f>
      </c>
      <c r="CH26">
        <f>=MIN(1, MAX(-1,(-0.05-(0.15*J26))*K26))</f>
      </c>
      <c r="CM26">
        <f>=MIN(1, MAX(-1,(-0.05-(0.15*J26))*K26))</f>
      </c>
      <c r="CN26">
        <f>=MIN(1, MAX(-1,(0.12+(0.11*J26))*K26))</f>
      </c>
      <c r="CU26">
        <f>=MIN(1, MAX(-1,(-0.1-(0.3*J26))*K26))</f>
      </c>
      <c r="DD26">
        <f>=MIN(1, MAX(-1,(-0.05-(0.2*J26))*K26))</f>
      </c>
    </row>
    <row r="27">
      <c r="A27" t="str">
        <v>DeathPenalty</v>
      </c>
      <c r="B27" t="str">
        <v>0</v>
      </c>
      <c r="C27" t="str">
        <v>0</v>
      </c>
      <c r="E27" t="str">
        <v>0</v>
      </c>
      <c r="F27" t="str">
        <v>0</v>
      </c>
      <c r="H27">
        <f>=(B27+(C27-B27)*(D27+J27))*K27</f>
      </c>
      <c r="I27">
        <f>=(E27+(F27-E27)*(G27+J27))*K27</f>
      </c>
      <c r="J27">
        <f>=0</f>
      </c>
      <c r="K27">
        <f>=0</f>
      </c>
      <c r="V27">
        <f>=MIN(1, MAX(-1,(-0.1-(0.05*J27))*K27))</f>
      </c>
      <c r="CF27">
        <f>=MIN(1, MAX(-1,(-0.10-(0.05*J27))*K27))</f>
      </c>
      <c r="CH27">
        <f>=MIN(1, MAX(-1,(-0.05-(0.10*J27))*K27))</f>
      </c>
      <c r="CS27">
        <f>=MIN(1, MAX(-1,(0.10+(0.02*J27))*K27))</f>
      </c>
      <c r="DI27">
        <f>=MIN(1, MAX(-1,(0.20+(0.14*J27))*K27))</f>
      </c>
      <c r="DO27">
        <f>=MIN(1, MAX(-1,(-0.04-(0.04*J27))*K27))</f>
      </c>
    </row>
    <row r="28">
      <c r="A28" t="str">
        <v>DetentionWithoutTrial</v>
      </c>
      <c r="B28" t="str">
        <v>2</v>
      </c>
      <c r="C28" t="str">
        <v>2</v>
      </c>
      <c r="E28" t="str">
        <v>0</v>
      </c>
      <c r="F28" t="str">
        <v>0</v>
      </c>
      <c r="H28">
        <f>=(B28+(C28-B28)*(D28+J28))*K28</f>
      </c>
      <c r="I28">
        <f>=(E28+(F28-E28)*(G28+J28))*K28</f>
      </c>
      <c r="J28">
        <f>=0</f>
      </c>
      <c r="K28">
        <f>=0</f>
      </c>
      <c r="AC28">
        <f>=MIN(1, MAX(-1,(-0.1-(0.1*J28))*K28))</f>
      </c>
      <c r="CF28">
        <f>=MIN(1, MAX(-1,(-0.15-(0.1*J28))*K28))</f>
      </c>
      <c r="CN28">
        <f>=MIN(1, MAX(-1,((0.05+0.05*J28))*K28))</f>
      </c>
      <c r="CS28">
        <f>=MIN(1, MAX(-1,(0.1+(0.1*J28))*K28))</f>
      </c>
      <c r="CU28">
        <f>=MIN(1, MAX(-1,(-0.1-(0.1*J28))*K28))</f>
      </c>
      <c r="DX28">
        <f>=MIN(1, MAX(-1,(0-(0.10*J28))*K28))</f>
      </c>
    </row>
    <row r="29">
      <c r="A29" t="str">
        <v>DisabilityBenefit</v>
      </c>
      <c r="B29" t="str">
        <v>50</v>
      </c>
      <c r="C29" t="str">
        <v>420</v>
      </c>
      <c r="E29" t="str">
        <v>0</v>
      </c>
      <c r="F29" t="str">
        <v>0</v>
      </c>
      <c r="H29">
        <f>=(B29+(C29-B29)*(D29+J29))*K29</f>
      </c>
      <c r="I29">
        <f>=(E29+(F29-E29)*(G29+J29))*K29</f>
      </c>
      <c r="J29">
        <f>=0</f>
      </c>
      <c r="K29">
        <f>=0</f>
      </c>
      <c r="BV29">
        <f>=MIN(1, MAX(-1,(-0.02-(0.02*J29))*K29))</f>
      </c>
      <c r="CL29">
        <f>=MIN(1, MAX(-1,(0.04+(0.05*J29))*K29))</f>
      </c>
      <c r="DY29">
        <f>=MIN(1, MAX(-1,(0.02+(0.02*J29))*K29))</f>
      </c>
    </row>
    <row r="30">
      <c r="A30" t="str">
        <v>FaithSchoolSubsidies</v>
      </c>
      <c r="B30" t="str">
        <v>180</v>
      </c>
      <c r="C30" t="str">
        <v>1160</v>
      </c>
      <c r="E30" t="str">
        <v>0</v>
      </c>
      <c r="F30" t="str">
        <v>0</v>
      </c>
      <c r="H30">
        <f>=(B30+(C30-B30)*(D30+J30))*K30</f>
      </c>
      <c r="I30">
        <f>=(E30+(F30-E30)*(G30+J30))*K30</f>
      </c>
      <c r="J30">
        <f>=0</f>
      </c>
      <c r="K30">
        <f>=0</f>
      </c>
      <c r="BT30">
        <f>=MIN(1, MAX(-1,(0.04+(0.04*J30))*K30))</f>
      </c>
      <c r="CO30">
        <f>=MIN(1, MAX(-1,(0.13+(0.10*J30))*K30))</f>
      </c>
      <c r="DM30">
        <f>=MIN(1, MAX(-1,(0.1+(0.17*J30))*K30))</f>
      </c>
      <c r="DV30">
        <f>=MIN(1, MAX(-1,(0.02+(0.35*J30))*K30))</f>
      </c>
      <c r="DZ30">
        <f>=MIN(1, MAX(-1,(0+(0.08*J30))*K30))</f>
      </c>
    </row>
    <row r="31">
      <c r="A31" t="str">
        <v>ForeignAid</v>
      </c>
      <c r="B31" t="str">
        <v>200</v>
      </c>
      <c r="C31" t="str">
        <v>2490</v>
      </c>
      <c r="E31" t="str">
        <v>0</v>
      </c>
      <c r="F31" t="str">
        <v>0</v>
      </c>
      <c r="H31">
        <f>=(B31+(C31-B31)*(D31+J31))*K31</f>
      </c>
      <c r="I31">
        <f>=(E31+(F31-E31)*(G31+J31))*K31</f>
      </c>
      <c r="J31">
        <v>0.4</v>
      </c>
      <c r="K31">
        <v>1</v>
      </c>
      <c r="CF31">
        <f>=MIN(1, MAX(-1,(0+0.10*J31)*K31))</f>
      </c>
      <c r="CS31">
        <f>=MIN(1, MAX(-1,(-0.02-(0.28*J31))*K31))</f>
      </c>
      <c r="CV31">
        <f>=MIN(1, MAX(-1,(0.02+(0.20*J31))*K31))</f>
      </c>
      <c r="DQ31">
        <f>=MIN(1, MAX(-1,(0.02+(0.04*J31))*K31))</f>
      </c>
      <c r="DX31">
        <f>=MIN(1, MAX(-1,(0+(0.6*J31))*K31))</f>
      </c>
    </row>
    <row r="32">
      <c r="A32" t="str">
        <v>FreeBusPasses</v>
      </c>
      <c r="B32" t="str">
        <v>220</v>
      </c>
      <c r="C32" t="str">
        <v>800</v>
      </c>
      <c r="E32" t="str">
        <v>0</v>
      </c>
      <c r="F32" t="str">
        <v>0</v>
      </c>
      <c r="H32">
        <f>=(B32+(C32-B32)*(D32+J32))*K32</f>
      </c>
      <c r="I32">
        <f>=(E32+(F32-E32)*(G32+J32))*K32</f>
      </c>
      <c r="J32">
        <f>=0</f>
      </c>
      <c r="K32">
        <f>=0</f>
      </c>
      <c r="CX32">
        <f>=MIN(1, MAX(-1,(0.05+(0.15*J32))*K32))</f>
      </c>
      <c r="CY32">
        <f>=MIN(1, MAX(-1,(0.01+(0.04*J32))*K32))</f>
      </c>
      <c r="DY32">
        <f>=MIN(1, MAX(-1,(0.01+(0.08*J32))*K32))</f>
      </c>
      <c r="EA32">
        <f>=MIN(1, MAX(-1,(0+(0.05*J32))*K32))</f>
      </c>
    </row>
    <row r="33">
      <c r="A33" t="str">
        <v>FreeEyeTests</v>
      </c>
      <c r="B33" t="str">
        <v>200</v>
      </c>
      <c r="C33" t="str">
        <v>240</v>
      </c>
      <c r="E33" t="str">
        <v>0</v>
      </c>
      <c r="F33" t="str">
        <v>0</v>
      </c>
      <c r="H33">
        <f>=(B33+(C33-B33)*(D33+J33))*K33</f>
      </c>
      <c r="I33">
        <f>=(E33+(F33-E33)*(G33+J33))*K33</f>
      </c>
      <c r="J33">
        <f>=0</f>
      </c>
      <c r="K33">
        <f>=0</f>
      </c>
      <c r="BV33">
        <f>=MIN(1, MAX(-1,(0-(0.05*J33))*K33))</f>
      </c>
      <c r="CA33">
        <f>=MIN(1, MAX(-1,(0.01+(0.02*J33))*K33))</f>
      </c>
      <c r="CJ33">
        <f>=MIN(1, MAX(-1,(0.05+(0.05*J33))*K33))</f>
      </c>
      <c r="CK33">
        <f>=MIN(1, MAX(-1,(-0.03-(0.03*J33))*K33))</f>
      </c>
      <c r="CY33">
        <f>=MIN(1, MAX(-1,(0.05+(0.05*J33))*K33))</f>
      </c>
      <c r="DQ33">
        <f>=MIN(1, MAX(-1,(0.01+(0.03*J33))*K33))</f>
      </c>
      <c r="DR33">
        <f>=MIN(1, MAX(-1,(0.00-(0.10*J33))*K33))</f>
      </c>
      <c r="DY33">
        <f>=MIN(1, MAX(-1,(0.02+(0.04*J33))*K33))</f>
      </c>
    </row>
    <row r="34">
      <c r="A34" t="str">
        <v>FreeSchoolMeals</v>
      </c>
      <c r="B34" t="str">
        <v>210</v>
      </c>
      <c r="C34" t="str">
        <v>320</v>
      </c>
      <c r="E34" t="str">
        <v>0</v>
      </c>
      <c r="F34" t="str">
        <v>0</v>
      </c>
      <c r="H34">
        <f>=(B34+(C34-B34)*(D34+J34))*K34</f>
      </c>
      <c r="I34">
        <f>=(E34+(F34-E34)*(G34+J34))*K34</f>
      </c>
      <c r="J34">
        <f>=0</f>
      </c>
      <c r="K34">
        <f>=0</f>
      </c>
      <c r="M34">
        <f>=MIN(1, MAX(-1,(0-(0.06*J34))*K34))</f>
      </c>
      <c r="CA34">
        <f>=MIN(1, MAX(-1,(0.00+(0.09*J34))*K34))</f>
      </c>
      <c r="CJ34">
        <f>=MIN(1, MAX(-1,(0.00+(0.05*J34))*K34))</f>
      </c>
      <c r="CK34">
        <f>=MIN(1, MAX(-1,(-0.05-(0.11*J34))*K34))</f>
      </c>
      <c r="CY34">
        <f>=MIN(1, MAX(-1,(0+(0.05*J34))*K34))</f>
      </c>
      <c r="DJ34">
        <f>=MIN(1, MAX(-1,(0.01+(0.03*J34))*K34))</f>
      </c>
      <c r="DK34">
        <f>=MIN(1, MAX(-1,(0.01+(0.02*J34))*K34))</f>
      </c>
      <c r="DQ34">
        <f>=MIN(1, MAX(-1,(0.01+(0.03*J34))*K34))</f>
      </c>
    </row>
    <row r="35">
      <c r="A35" t="str">
        <v>Gambling</v>
      </c>
      <c r="B35" t="str">
        <v>0</v>
      </c>
      <c r="C35" t="str">
        <v>0</v>
      </c>
      <c r="E35" t="str">
        <v>0</v>
      </c>
      <c r="F35" t="str">
        <v>0</v>
      </c>
      <c r="H35">
        <f>=(B35+(C35-B35)*(D35+J35))*K35</f>
      </c>
      <c r="I35">
        <f>=(E35+(F35-E35)*(G35+J35))*K35</f>
      </c>
      <c r="J35">
        <f>=0</f>
      </c>
      <c r="K35">
        <f>=0</f>
      </c>
      <c r="P35">
        <f>=MIN(1, MAX(-1,(0+(0.45*J35))*K35))</f>
      </c>
      <c r="BV35">
        <f>=MIN(1, MAX(-1,(0.01+(0.04*J35))*K35))</f>
      </c>
      <c r="BW35">
        <f>=MIN(1, MAX(-1,(0.00-(0.03*J35))*K35))</f>
      </c>
      <c r="CC35">
        <f>=MIN(1, MAX(-1,(0.00+(0.04*J35))*K35))</f>
      </c>
      <c r="CF35">
        <f>=MIN(1, MAX(-1,(0.00+(0.08*J35))*K35))</f>
      </c>
      <c r="CO35">
        <f>=MIN(1, MAX(-1,(0.00-(0.15*J35))*K35))</f>
      </c>
    </row>
    <row r="36">
      <c r="A36" t="str">
        <v>GatedCommunities</v>
      </c>
      <c r="B36" t="str">
        <v>0</v>
      </c>
      <c r="C36" t="str">
        <v>0</v>
      </c>
      <c r="E36" t="str">
        <v>0</v>
      </c>
      <c r="F36" t="str">
        <v>0</v>
      </c>
      <c r="H36">
        <f>=(B36+(C36-B36)*(D36+J36))*K36</f>
      </c>
      <c r="I36">
        <f>=(E36+(F36-E36)*(G36+J36))*K36</f>
      </c>
      <c r="J36">
        <f>=0</f>
      </c>
      <c r="K36">
        <f>=0</f>
      </c>
      <c r="CF36">
        <f>=MIN(1, MAX(-1,(0.00-(0.11*J36))*K36))</f>
      </c>
      <c r="CL36">
        <f>=MIN(1, MAX(-1,(0.00-(0.11*J36))*K36))</f>
      </c>
      <c r="CM36">
        <f>=MIN(1, MAX(-1,(0.00-(0.07*J36))*K36))</f>
      </c>
      <c r="DI36">
        <f>=MIN(1, MAX(-1,(0.00+(0.40*J36))*K36))</f>
      </c>
      <c r="DO36">
        <f>=MIN(1, MAX(-1,(-0.01-(0.09*J36))*K36))</f>
      </c>
      <c r="DR36">
        <f>=MIN(1, MAX(-1,(0.00+(0.42*J36))*K36))</f>
      </c>
    </row>
    <row r="37">
      <c r="A37" t="str">
        <v>GraduateTax</v>
      </c>
      <c r="B37" t="str">
        <v>2</v>
      </c>
      <c r="C37" t="str">
        <v>2</v>
      </c>
      <c r="E37" t="str">
        <v>200</v>
      </c>
      <c r="F37" t="str">
        <v>2600</v>
      </c>
      <c r="H37">
        <f>=(B37+(C37-B37)*(D37+J37))*K37</f>
      </c>
      <c r="I37">
        <f>=(E37+(F37-E37)*(G37+J37))*K37</f>
      </c>
      <c r="J37">
        <f>=0</f>
      </c>
      <c r="K37">
        <f>=0</f>
      </c>
      <c r="BV37">
        <f>=MIN(1, MAX(-1,(0.02+(0.01*J37))*K37))</f>
      </c>
      <c r="CE37">
        <f>=MIN(1, MAX(-1,(0-(0.05*J37))*K37))</f>
      </c>
      <c r="CI37">
        <f>=MIN(1, MAX(-1,(-0.2-(0.1*J37))*K37))</f>
      </c>
      <c r="DQ37">
        <f>=MIN(1, MAX(-1,(-0.05-(0.02*J37))*K37))</f>
      </c>
      <c r="EB37">
        <f>=MIN(1, MAX(-1,(-0.01-(0.13*J37))*K37))</f>
      </c>
    </row>
    <row r="38">
      <c r="A38" t="str">
        <v>HandgunLaws</v>
      </c>
      <c r="B38" t="str">
        <v>0</v>
      </c>
      <c r="C38" t="str">
        <v>4</v>
      </c>
      <c r="E38" t="str">
        <v>0</v>
      </c>
      <c r="F38" t="str">
        <v>0</v>
      </c>
      <c r="H38">
        <f>=(B38+(C38-B38)*(D38+J38))*K38</f>
      </c>
      <c r="I38">
        <f>=(E38+(F38-E38)*(G38+J38))*K38</f>
      </c>
      <c r="J38">
        <v>0.5</v>
      </c>
      <c r="K38">
        <v>1</v>
      </c>
      <c r="Q38">
        <f>=MIN(1, MAX(-1,(0.34-(0.4*J38))*K38))</f>
      </c>
      <c r="AD38">
        <f>=MIN(1, MAX(-1,(0.3-(0.6*J38))*K38))</f>
      </c>
      <c r="CF38">
        <f>=MIN(1, MAX(-1,(0.00-(0.12*J38))*K38))</f>
      </c>
      <c r="CH38">
        <f>=MIN(1, MAX(-1,(0.20-(0.40*J38))*K38))</f>
      </c>
      <c r="CS38">
        <f>=MIN(1, MAX(-1,(0.20-(0.40*J38))*K38))</f>
      </c>
      <c r="DJ38">
        <f>=MIN(1, MAX(-1,(-0.15+(0.30*J38))*K38))</f>
      </c>
      <c r="DO38">
        <f>=MIN(1, MAX(-1,(0-(0.05*J38))*K38))</f>
      </c>
    </row>
    <row r="39">
      <c r="A39" t="str">
        <v>HybridCarsInitiative</v>
      </c>
      <c r="B39" t="str">
        <v>5</v>
      </c>
      <c r="C39" t="str">
        <v>200</v>
      </c>
      <c r="D39">
        <f>=MIN(10, MAX(0,0+(1.0*DF247)))</f>
      </c>
      <c r="E39" t="str">
        <v>0</v>
      </c>
      <c r="F39" t="str">
        <v>0</v>
      </c>
      <c r="H39">
        <f>=(B39+(C39-B39)*(D39+J39))*K39</f>
      </c>
      <c r="I39">
        <f>=(E39+(F39-E39)*(G39+J39))*K39</f>
      </c>
      <c r="J39">
        <f>=0</f>
      </c>
      <c r="K39">
        <f>=0</f>
      </c>
      <c r="CB39">
        <f>=MIN(1, MAX(-1,(0.02+(0.09*J39))*K39))</f>
      </c>
      <c r="CQ39">
        <f>=MIN(1, MAX(-1,(-0.02-(0.12*J39) *DF247)*K39))</f>
      </c>
      <c r="CR39">
        <f>=MIN(1, MAX(-1,(0.02+(0.02*J39))*K39))</f>
      </c>
      <c r="DE39">
        <f>=MIN(1, MAX(-1,(0.02+(0.12*J39)*DF247)*K39))</f>
      </c>
      <c r="DF39">
        <f>=MIN(1, MAX(-1,(0.01+(0.02*J39))*K39))</f>
      </c>
      <c r="DS39">
        <f>=MIN(1, MAX(-1,(0+(0.02*J39))*K39))</f>
      </c>
      <c r="EC39">
        <f>=MIN(1, MAX(-1,(0+(0.05*J39))*K39))</f>
      </c>
      <c r="ED39">
        <f>=MIN(1, MAX(-1,(0+(0.05*J39))*K39))</f>
      </c>
    </row>
    <row r="40">
      <c r="A40" t="str">
        <v>IDCards</v>
      </c>
      <c r="B40" t="str">
        <v>100</v>
      </c>
      <c r="C40" t="str">
        <v>1200</v>
      </c>
      <c r="E40" t="str">
        <v>0</v>
      </c>
      <c r="F40" t="str">
        <v>0</v>
      </c>
      <c r="H40">
        <f>=(B40+(C40-B40)*(D40+J40))*K40</f>
      </c>
      <c r="I40">
        <f>=(E40+(F40-E40)*(G40+J40))*K40</f>
      </c>
      <c r="J40">
        <f>=0</f>
      </c>
      <c r="K40">
        <f>=0</f>
      </c>
      <c r="P40">
        <f>=MIN(1, MAX(-1,(0-(0.1*J40))*K40))</f>
      </c>
      <c r="CF40">
        <f>=MIN(1, MAX(-1,(-0.15-(0.35*J40))*K40))</f>
      </c>
      <c r="CH40">
        <f>=MIN(1, MAX(-1,(0.00-(0.50*J40))*K40))</f>
      </c>
      <c r="CM40">
        <f>=MIN(1, MAX(-1,(0.00-(0.14*J40))*K40))</f>
      </c>
      <c r="CN40">
        <f>=MIN(1, MAX(-1,(0+(0.15*J40))*K40))</f>
      </c>
      <c r="CS40">
        <f>=MIN(1, MAX(-1,(0.11+(0.07*J40))*K40))</f>
      </c>
      <c r="DI40">
        <f>=MIN(1, MAX(-1,(0.10+(0.14*J40))*K40))</f>
      </c>
    </row>
    <row r="41">
      <c r="A41" t="str">
        <v>ImportTarrifs</v>
      </c>
      <c r="B41" t="str">
        <v>0</v>
      </c>
      <c r="C41" t="str">
        <v>0</v>
      </c>
      <c r="E41" t="str">
        <v>69</v>
      </c>
      <c r="F41" t="str">
        <v>154.33</v>
      </c>
      <c r="G41">
        <f>=MIN(10, MAX(0,0))</f>
      </c>
      <c r="H41">
        <f>=(B41+(C41-B41)*(D41+J41))*K41</f>
      </c>
      <c r="I41">
        <f>=(E41+(F41-E41)*(G41+J41))*K41</f>
      </c>
      <c r="J41">
        <f>=0</f>
      </c>
      <c r="K41">
        <f>=0</f>
      </c>
      <c r="X41">
        <f>=MIN(1, MAX(-1,(-0.1-(0.3*J41))*K41))</f>
      </c>
      <c r="BV41">
        <f>=MIN(1, MAX(-1,(0.10-(0.10*J41))*K41))</f>
      </c>
      <c r="BW41">
        <f>=MIN(1, MAX(-1,(0.00-(0.10*J41))*K41))</f>
      </c>
      <c r="CS41">
        <f>=MIN(1, MAX(-1,(0.10+(0.10*J41))*K41))</f>
      </c>
      <c r="DX41">
        <f>=MIN(1, MAX(-1,(0-(0.16*J41))*K41))</f>
      </c>
      <c r="EE41">
        <f>=MIN(1, MAX(-1,(-0.1-(0.35*J41))*K41))</f>
      </c>
    </row>
    <row r="42">
      <c r="A42" t="str">
        <v>IncomeTax</v>
      </c>
      <c r="B42" t="str">
        <v>0</v>
      </c>
      <c r="C42" t="str">
        <v>0</v>
      </c>
      <c r="E42" t="str">
        <v>2300</v>
      </c>
      <c r="F42" t="str">
        <v>123464</v>
      </c>
      <c r="G42">
        <f>=0</f>
      </c>
      <c r="H42">
        <f>=(B42+(C42-B42)*(D42+J42))*K42</f>
      </c>
      <c r="I42">
        <f>=(E42+(F42-E42)*(G42+J42))*K42</f>
      </c>
      <c r="J42">
        <v>0.45</v>
      </c>
      <c r="K42">
        <v>1</v>
      </c>
      <c r="Y42">
        <f>=MIN(1, MAX(-1,(-0.13+(0.72*J42))*K42))</f>
      </c>
      <c r="Z42">
        <f>=MIN(1, MAX(-1,(0.5*(J42^2))*K42))</f>
      </c>
      <c r="AE42">
        <f>=MIN(1, MAX(-1,(2.0*(J42^5))*K42))</f>
      </c>
      <c r="BV42">
        <f>=MIN(1, MAX(-1,(0-(0.33*J42))*K42))</f>
      </c>
      <c r="CE42">
        <f>=MIN(1, MAX(-1,(0-(0.14*J42))*K42))</f>
      </c>
      <c r="CL42">
        <f>=MIN(1, MAX(-1,(0+(0.3*J42))*K42))</f>
      </c>
      <c r="CY42">
        <f>=MIN(1, MAX(-1,(0-(0.10*J42))*K42))</f>
      </c>
      <c r="DQ42">
        <f>=MIN(1, MAX(-1,(0+(0.112*J42))*K42))</f>
      </c>
      <c r="DR42">
        <f>=MIN(1, MAX(-1,(0-(J42^11))*K42))</f>
      </c>
      <c r="DS42">
        <f>=MIN(1, MAX(-1,(0-(0.20*J42))*K42))</f>
      </c>
      <c r="EF42">
        <f>=MIN(1, MAX(-1,(0-(1.07*J42))*K42))</f>
      </c>
    </row>
    <row r="43">
      <c r="A43" t="str">
        <v>FlatTax</v>
      </c>
      <c r="B43" t="str">
        <v>0</v>
      </c>
      <c r="C43" t="str">
        <v>0</v>
      </c>
      <c r="E43" t="str">
        <v>2300</v>
      </c>
      <c r="F43" t="str">
        <v>123464</v>
      </c>
      <c r="G43">
        <f>=0</f>
      </c>
      <c r="H43">
        <f>=(B43+(C43-B43)*(D43+J43))*K43</f>
      </c>
      <c r="I43">
        <f>=(E43+(F43-E43)*(G43+J43))*K43</f>
      </c>
      <c r="J43">
        <f>=0</f>
      </c>
      <c r="K43">
        <f>=0</f>
      </c>
      <c r="Z43">
        <f>=MIN(1, MAX(-1,(0.6*(J43^4))*K43))</f>
      </c>
      <c r="BV43">
        <f>=MIN(1, MAX(-1,(0-(0.12*J43))*K43))</f>
      </c>
      <c r="CE43">
        <f>=MIN(1, MAX(-1,(0-(0.14*J43))*K43))</f>
      </c>
      <c r="CJ43">
        <f>=MIN(1, MAX(-1,(0-(0.85*J43))*K43))</f>
      </c>
      <c r="CL43">
        <f>=MIN(1, MAX(-1,(0-(0.3*J43))*K43))</f>
      </c>
      <c r="CY43">
        <f>=MIN(1, MAX(-1,(0-(0.15*J43))*K43))</f>
      </c>
      <c r="DQ43">
        <f>=MIN(1, MAX(-1,(0-(0.25*J43))*K43))</f>
      </c>
      <c r="DR43">
        <f>=MIN(1, MAX(-1,(-0.2*(J43^11))*K43))</f>
      </c>
      <c r="DS43">
        <f>=MIN(1, MAX(-1,(0-(0.10*J43))*K43))</f>
      </c>
      <c r="EF43">
        <f>=MIN(1, MAX(-1,(0-(0.80*J43))*K43))</f>
      </c>
    </row>
    <row r="44">
      <c r="A44" t="str">
        <v>CapitalGainsTax</v>
      </c>
      <c r="B44" t="str">
        <v>0</v>
      </c>
      <c r="C44" t="str">
        <v>0</v>
      </c>
      <c r="E44" t="str">
        <v>400</v>
      </c>
      <c r="F44" t="str">
        <v>9022</v>
      </c>
      <c r="G44">
        <f>=0</f>
      </c>
      <c r="H44">
        <f>=(B44+(C44-B44)*(D44+J44))*K44</f>
      </c>
      <c r="I44">
        <f>=(E44+(F44-E44)*(G44+J44))*K44</f>
      </c>
      <c r="J44">
        <v>0.2</v>
      </c>
      <c r="K44">
        <v>1</v>
      </c>
      <c r="Z44">
        <f>=MIN(1, MAX(-1,(0.12*(J44^2))*K44))</f>
      </c>
      <c r="BV44">
        <f>=MIN(1, MAX(-1,(0-(0.12*J44))*K44))</f>
      </c>
      <c r="CC44">
        <f>=MIN(1, MAX(-1,(-0.01-(0.02*J44))*K44))</f>
      </c>
      <c r="CL44">
        <f>=MIN(1, MAX(-1,(0+(0.09*J44))*K44))</f>
      </c>
      <c r="DP44">
        <f>=MIN(1, MAX(-1,(0-(0.1*J44))*K44))</f>
      </c>
      <c r="DQ44">
        <f>=MIN(1, MAX(-1,(0+(0.1*J44))*K44))</f>
      </c>
      <c r="DR44">
        <f>=MIN(1, MAX(-1,(0-(0.13*J44))*K44))</f>
      </c>
      <c r="DS44">
        <f>=MIN(1, MAX(-1,(0-(0.10*J44))*K44))</f>
      </c>
      <c r="DT44">
        <f>=MIN(1, MAX(-1,(0.02+(0.04*J44))*K44))</f>
      </c>
      <c r="DU44">
        <f>=MIN(1, MAX(-1,(0-(0.10*J44))*K44))</f>
      </c>
      <c r="EH44">
        <f>=MIN(1, MAX(-1,(0-(0.05*J44))*K44))</f>
      </c>
    </row>
    <row r="45">
      <c r="A45" t="str">
        <v>InheritanceTax</v>
      </c>
      <c r="B45" t="str">
        <v>0</v>
      </c>
      <c r="C45" t="str">
        <v>0</v>
      </c>
      <c r="E45" t="str">
        <v>460</v>
      </c>
      <c r="F45" t="str">
        <v>1683.6</v>
      </c>
      <c r="H45">
        <f>=(B45+(C45-B45)*(D45+J45))*K45</f>
      </c>
      <c r="I45">
        <f>=(E45+(F45-E45)*(G45+J45))*K45</f>
      </c>
      <c r="J45">
        <v>0.3</v>
      </c>
      <c r="K45">
        <v>1</v>
      </c>
      <c r="CL45">
        <f>=MIN(1, MAX(-1,(0.1+(0.3*J45))*K45))</f>
      </c>
      <c r="DI45">
        <f>=MIN(1, MAX(-1,(0-(0.12*J45))*K45))</f>
      </c>
      <c r="DQ45">
        <f>=MIN(1, MAX(-1,(0+(0.2*J45))*K45))</f>
      </c>
      <c r="DR45">
        <f>=MIN(1, MAX(-1,(-0.1-(0.25*J45))*K45))</f>
      </c>
      <c r="DS45">
        <f>=MIN(1, MAX(-1,(0-(0.12*J45))*K45))</f>
      </c>
      <c r="DT45">
        <f>=MIN(1, MAX(-1,(0+(0.1*J45))*K45))</f>
      </c>
      <c r="DY45">
        <f>=MIN(1, MAX(-1,(0-(0.22*J45))*K45))</f>
      </c>
      <c r="EF45">
        <f>=MIN(1, MAX(-1,(0-(0.18*J45))*K45))</f>
      </c>
    </row>
    <row r="46">
      <c r="A46" t="str">
        <v>IntelligenceServices</v>
      </c>
      <c r="B46" t="str">
        <v>900</v>
      </c>
      <c r="C46" t="str">
        <v>1600</v>
      </c>
      <c r="E46" t="str">
        <v>0</v>
      </c>
      <c r="F46" t="str">
        <v>0</v>
      </c>
      <c r="H46">
        <f>=(B46+(C46-B46)*(D46+J46))*K46</f>
      </c>
      <c r="I46">
        <f>=(E46+(F46-E46)*(G46+J46))*K46</f>
      </c>
      <c r="J46">
        <v>0.5</v>
      </c>
      <c r="K46">
        <v>1</v>
      </c>
      <c r="P46">
        <f>=MIN(1, MAX(-1,(0-(0.3*J46))*K46))</f>
      </c>
      <c r="AF46">
        <f>=MIN(1, MAX(-1,(-0.3*(J46^3))*K46))</f>
      </c>
      <c r="AG46">
        <f>=MIN(1, MAX(-1,(-0.32*(J46^4))*K46))</f>
      </c>
      <c r="CF46">
        <f>=MIN(1, MAX(-1,(0-(0.18*J46))*K46))</f>
      </c>
      <c r="CM46">
        <f>=MIN(1, MAX(-1,(0-(0.08*J46))*K46))</f>
      </c>
      <c r="CN46">
        <f>=MIN(1, MAX(-1,(0+(0.4*J46))*K46))</f>
      </c>
      <c r="CS46">
        <f>=MIN(1, MAX(-1,(0+(0.05*J46))*K46))</f>
      </c>
      <c r="CU46">
        <f>=MIN(1, MAX(-1,(0.2-(0.3*J46))*K46))</f>
      </c>
    </row>
    <row r="47">
      <c r="A47" t="str">
        <v>InternetCensorship</v>
      </c>
      <c r="B47" t="str">
        <v>250</v>
      </c>
      <c r="C47" t="str">
        <v>400</v>
      </c>
      <c r="E47" t="str">
        <v>0</v>
      </c>
      <c r="F47" t="str">
        <v>0</v>
      </c>
      <c r="H47">
        <f>=(B47+(C47-B47)*(D47+J47))*K47</f>
      </c>
      <c r="I47">
        <f>=(E47+(F47-E47)*(G47+J47))*K47</f>
      </c>
      <c r="J47">
        <f>=0</f>
      </c>
      <c r="K47">
        <f>=0</f>
      </c>
      <c r="AF47">
        <f>=MIN(1, MAX(-1,(-0.1-(0.3*J47))*K47))</f>
      </c>
      <c r="AG47">
        <f>=MIN(1, MAX(-1,(0-(0.22*J47))*K47))</f>
      </c>
      <c r="AH47">
        <f>=MIN(1, MAX(-1,(0-(0.22*J47))*K47))</f>
      </c>
      <c r="CF47">
        <f>=MIN(1, MAX(-1,(-0.25-(0.25*J47))*K47))</f>
      </c>
      <c r="CI47">
        <f>=MIN(1, MAX(-1,(-0.08-(0.25*J47))*K47))</f>
      </c>
      <c r="DI47">
        <f>=MIN(1, MAX(-1,(0.10+(0.15*J47))*K47))</f>
      </c>
      <c r="EI47">
        <f>=MIN(1, MAX(-1,(0.00-(0.12*J47))*K47))</f>
      </c>
    </row>
    <row r="48">
      <c r="A48" t="str">
        <v>InternetTax</v>
      </c>
      <c r="B48" t="str">
        <v>0</v>
      </c>
      <c r="C48" t="str">
        <v>0</v>
      </c>
      <c r="E48" t="str">
        <v>115</v>
      </c>
      <c r="F48" t="str">
        <v>7015</v>
      </c>
      <c r="G48">
        <f>=MIN(10, MAX(0,0.2+(0.8*CC247)))</f>
      </c>
      <c r="H48">
        <f>=(B48+(C48-B48)*(D48+J48))*K48</f>
      </c>
      <c r="I48">
        <f>=(E48+(F48-E48)*(G48+J48))*K48</f>
      </c>
      <c r="J48">
        <f>=0</f>
      </c>
      <c r="K48">
        <f>=0</f>
      </c>
      <c r="AF48">
        <f>=MIN(1, MAX(-1,(-0.05-(0.25*J48))*K48))</f>
      </c>
      <c r="CC48">
        <f>=MIN(1, MAX(-1,(0.00-(0.05*J48))*K48))</f>
      </c>
      <c r="CE48">
        <f>=MIN(1, MAX(-1,(0-(0.02*J48))*K48))</f>
      </c>
      <c r="EI48">
        <f>=MIN(1, MAX(-1,(-0.10-(0.23*J48))*K48))</f>
      </c>
    </row>
    <row r="49">
      <c r="A49" t="str">
        <v>JuryTrial</v>
      </c>
      <c r="B49" t="str">
        <v>105</v>
      </c>
      <c r="C49" t="str">
        <v>322</v>
      </c>
      <c r="E49" t="str">
        <v>0</v>
      </c>
      <c r="F49" t="str">
        <v>0</v>
      </c>
      <c r="H49">
        <f>=(B49+(C49-B49)*(D49+J49))*K49</f>
      </c>
      <c r="I49">
        <f>=(E49+(F49-E49)*(G49+J49))*K49</f>
      </c>
      <c r="J49">
        <v>0.5</v>
      </c>
      <c r="K49">
        <v>1</v>
      </c>
      <c r="CF49">
        <f>=MIN(1, MAX(-1,(0+(0.15*J49))*K49))</f>
      </c>
    </row>
    <row r="50">
      <c r="A50" t="str">
        <v>LabourLaws</v>
      </c>
      <c r="B50" t="str">
        <v>100</v>
      </c>
      <c r="C50" t="str">
        <v>160</v>
      </c>
      <c r="E50" t="str">
        <v>0</v>
      </c>
      <c r="F50" t="str">
        <v>0</v>
      </c>
      <c r="H50">
        <f>=(B50+(C50-B50)*(D50+J50))*K50</f>
      </c>
      <c r="I50">
        <f>=(E50+(F50-E50)*(G50+J50))*K50</f>
      </c>
      <c r="J50">
        <f>=0</f>
      </c>
      <c r="K50">
        <f>=0</f>
      </c>
      <c r="T50">
        <f>=MIN(1, MAX(-1,(-0.3+(0.6*J50))*K50))</f>
      </c>
      <c r="AI50">
        <f>=MIN(1, MAX(-1,(-0.2+(0.4*J50))*K50))</f>
      </c>
      <c r="AJ50">
        <f>=MIN(1, MAX(-1,(-0.2+(0.4*J50))*K50))</f>
      </c>
      <c r="AK50">
        <f>=MIN(1, MAX(-1,(-0.2+(0.4*J50))*K50))</f>
      </c>
      <c r="AL50">
        <f>=MIN(1, MAX(-1,(-0.3+(0.3*J50))*K50))</f>
      </c>
      <c r="BU50">
        <f>=MIN(1, MAX(-1,(0.05-(0.10*J50))*K50))</f>
      </c>
      <c r="BV50">
        <f>=MIN(1, MAX(-1,(0.05-(0.1*J50))*K50))</f>
      </c>
      <c r="CP50">
        <f>=MIN(1, MAX(-1,(-0.14+(0.28*J50))*K50))</f>
      </c>
      <c r="DQ50">
        <f>=MIN(1, MAX(-1,(-0.05+(0.1*J50))*K50))</f>
      </c>
      <c r="DT50">
        <f>=MIN(1, MAX(-1,(-0.10+(0.20*J50))*K50))</f>
      </c>
      <c r="EJ50">
        <f>=MIN(1, MAX(-1,(0.37-(0.56*J50))*K50))</f>
      </c>
      <c r="EK50">
        <f>=MIN(1, MAX(-1,(-0.10+(0.20*J50))*K50))</f>
      </c>
      <c r="EL50">
        <f>=MIN(1, MAX(-1,(-0.12+0.24*J50)*K50))</f>
      </c>
    </row>
    <row r="51">
      <c r="A51" t="str">
        <v>LegalAid</v>
      </c>
      <c r="B51" t="str">
        <v>10</v>
      </c>
      <c r="C51" t="str">
        <v>400</v>
      </c>
      <c r="E51" t="str">
        <v>0</v>
      </c>
      <c r="F51" t="str">
        <v>0</v>
      </c>
      <c r="H51">
        <f>=(B51+(C51-B51)*(D51+J51))*K51</f>
      </c>
      <c r="I51">
        <f>=(E51+(F51-E51)*(G51+J51))*K51</f>
      </c>
      <c r="J51">
        <v>0.5</v>
      </c>
      <c r="K51">
        <v>1</v>
      </c>
      <c r="CF51">
        <f>=MIN(1, MAX(-1,(0.05+(0.05*J51))*K51))</f>
      </c>
      <c r="CJ51">
        <f>=MIN(1, MAX(-1,(0.025+(0.05*J51))*K51))</f>
      </c>
      <c r="CL51">
        <f>=MIN(1, MAX(-1,(0.02+(0.04*J51))*K51))</f>
      </c>
      <c r="CY51">
        <f>=MIN(1, MAX(-1,(0+(0.04*J51))*K51))</f>
      </c>
      <c r="DQ51">
        <f>=MIN(1, MAX(-1,(0.01+(0.02*J51))*K51))</f>
      </c>
    </row>
    <row r="52">
      <c r="A52" t="str">
        <v>LegaliseProstitution</v>
      </c>
      <c r="B52" t="str">
        <v>0</v>
      </c>
      <c r="C52" t="str">
        <v>0</v>
      </c>
      <c r="E52" t="str">
        <v>0</v>
      </c>
      <c r="F52" t="str">
        <v>0</v>
      </c>
      <c r="H52">
        <f>=(B52+(C52-B52)*(D52+J52))*K52</f>
      </c>
      <c r="I52">
        <f>=(E52+(F52-E52)*(G52+J52))*K52</f>
      </c>
      <c r="J52">
        <f>=0</f>
      </c>
      <c r="K52">
        <f>=0</f>
      </c>
      <c r="P52">
        <f>=MIN(1, MAX(-1,(-0.05-(0.1*J52))*K52))</f>
      </c>
      <c r="CC52">
        <f>=MIN(1, MAX(-1,(0.03+(0.02*J52))*K52))</f>
      </c>
      <c r="CF52">
        <f>=MIN(1, MAX(-1,(0.05+(0.03*J52))*K52))</f>
      </c>
      <c r="CO52">
        <f>=MIN(1, MAX(-1,(-0.33-(0.07*J52))*K52))</f>
      </c>
      <c r="DI52">
        <f>=MIN(1, MAX(-1,(-0.30-(0.10*J52))*K52))</f>
      </c>
      <c r="DJ52">
        <f>=MIN(1, MAX(-1,(-0.08-(0.02*J52))*K52))</f>
      </c>
    </row>
    <row r="53">
      <c r="A53" t="str">
        <v>LuxuryGoodsTax</v>
      </c>
      <c r="B53" t="str">
        <v>0</v>
      </c>
      <c r="C53" t="str">
        <v>0</v>
      </c>
      <c r="E53" t="str">
        <v>115</v>
      </c>
      <c r="F53" t="str">
        <v>8137.4</v>
      </c>
      <c r="G53">
        <f>=0</f>
      </c>
      <c r="H53">
        <f>=(B53+(C53-B53)*(D53+J53))*K53</f>
      </c>
      <c r="I53">
        <f>=(E53+(F53-E53)*(G53+J53))*K53</f>
      </c>
      <c r="J53">
        <f>=0</f>
      </c>
      <c r="K53">
        <f>=0</f>
      </c>
      <c r="AE53">
        <f>=MIN(1, MAX(-1,(0.3+(0.4*J53))*K53))</f>
      </c>
      <c r="BV53">
        <f>=MIN(1, MAX(-1,(0-(0.08*J53))*K53))</f>
      </c>
      <c r="CL53">
        <f>=MIN(1, MAX(-1,(0.05+(0.2*J53))*K53))</f>
      </c>
      <c r="DQ53">
        <f>=MIN(1, MAX(-1,(0+(0.4*J53))*K53))</f>
      </c>
      <c r="DR53">
        <f>=MIN(1, MAX(-1,(0-(0.25*J53))*K53))</f>
      </c>
      <c r="DS53">
        <f>=MIN(1, MAX(-1,(0-(0.18*J53))*K53))</f>
      </c>
    </row>
    <row r="54">
      <c r="A54" t="str">
        <v>MarriedTaxAllowance</v>
      </c>
      <c r="B54" t="str">
        <v>100</v>
      </c>
      <c r="C54" t="str">
        <v>5200</v>
      </c>
      <c r="D54">
        <f>=MIN(10, MAX(0,0.25+(0.75*CC247)))</f>
      </c>
      <c r="E54" t="str">
        <v>0</v>
      </c>
      <c r="F54" t="str">
        <v>0</v>
      </c>
      <c r="H54">
        <f>=(B54+(C54-B54)*(D54+J54))*K54</f>
      </c>
      <c r="I54">
        <f>=(E54+(F54-E54)*(G54+J54))*K54</f>
      </c>
      <c r="J54">
        <f>=0</f>
      </c>
      <c r="K54">
        <f>=0</f>
      </c>
      <c r="CO54">
        <f>=MIN(1, MAX(-1,(0.1+(0.2*J54))*K54))</f>
      </c>
      <c r="DI54">
        <f>=MIN(1, MAX(-1,(0.07+(0.10*J54))*K54))</f>
      </c>
      <c r="DJ54">
        <f>=MIN(1, MAX(-1,(0.02+(0.03*J54))*K54))</f>
      </c>
      <c r="DO54">
        <f>=MIN(1, MAX(-1,(-0.04-(0.04*J54))*K54))</f>
      </c>
    </row>
    <row r="55">
      <c r="A55" t="str">
        <v>MaternityLeave</v>
      </c>
      <c r="B55" t="str">
        <v>0</v>
      </c>
      <c r="C55" t="str">
        <v>0</v>
      </c>
      <c r="E55" t="str">
        <v>0</v>
      </c>
      <c r="F55" t="str">
        <v>0</v>
      </c>
      <c r="H55">
        <f>=(B55+(C55-B55)*(D55+J55))*K55</f>
      </c>
      <c r="I55">
        <f>=(E55+(F55-E55)*(G55+J55))*K55</f>
      </c>
      <c r="J55">
        <f>=0</f>
      </c>
      <c r="K55">
        <f>=0</f>
      </c>
      <c r="T55">
        <f>=MIN(1, MAX(-1,(0.02+(0.03*J55))*K55))</f>
      </c>
      <c r="BU55">
        <f>=MIN(1, MAX(-1,(-0.05-(0.07*J55))*K55))</f>
      </c>
      <c r="CP55">
        <f>=MIN(1, MAX(-1,(0.06+(0.05*J55))*K55))</f>
      </c>
      <c r="DJ55">
        <f>=MIN(1, MAX(-1,(0.07+(0.15*J55))*K55))</f>
      </c>
      <c r="DK55">
        <f>=MIN(1, MAX(-1,(0.025+(0.04*J55))*K55))</f>
      </c>
      <c r="DL55">
        <f>=MIN(1, MAX(-1,(0+(0.1*J55))*K55))</f>
      </c>
    </row>
    <row r="56">
      <c r="A56" t="str">
        <v>MicrogenerationGrants</v>
      </c>
      <c r="B56" t="str">
        <v>100</v>
      </c>
      <c r="C56" t="str">
        <v>1100</v>
      </c>
      <c r="D56">
        <f>=MIN(10, MAX(0,0.25+(0.75*CC247)))</f>
      </c>
      <c r="E56" t="str">
        <v>0</v>
      </c>
      <c r="F56" t="str">
        <v>0</v>
      </c>
      <c r="H56">
        <f>=(B56+(C56-B56)*(D56+J56))*K56</f>
      </c>
      <c r="I56">
        <f>=(E56+(F56-E56)*(G56+J56))*K56</f>
      </c>
      <c r="J56">
        <f>=0</f>
      </c>
      <c r="K56">
        <f>=0</f>
      </c>
      <c r="CB56">
        <f>=MIN(1, MAX(-1,(0.03+(0.06*J56))*K56))</f>
      </c>
      <c r="DB56">
        <f>=MIN(1, MAX(-1,(-0.02-(0.05*J56))*K56))</f>
      </c>
      <c r="DC56">
        <f>=MIN(1, MAX(-1,(0.01+(0.11*J56))*K56))</f>
      </c>
      <c r="DE56">
        <f>=MIN(1, MAX(-1,(0.02+(0.04*J56))*K56))</f>
      </c>
      <c r="EC56">
        <f>=MIN(1, MAX(-1,(0.02+(0.05*J56))*K56))</f>
      </c>
      <c r="ED56">
        <f>=MIN(1, MAX(-1,(0.02+(0.06*J56))*K56))</f>
      </c>
    </row>
    <row r="57">
      <c r="A57" t="str">
        <v>MilitarySpending</v>
      </c>
      <c r="B57" t="str">
        <v>1000</v>
      </c>
      <c r="C57" t="str">
        <v>10030</v>
      </c>
      <c r="D57">
        <f>=MIN(10, MAX(0,1.0+-0.1+(0.2*EL247)))</f>
      </c>
      <c r="E57" t="str">
        <v>0</v>
      </c>
      <c r="F57" t="str">
        <v>0</v>
      </c>
      <c r="H57">
        <f>=(B57+(C57-B57)*(D57+J57))*K57</f>
      </c>
      <c r="I57">
        <f>=(E57+(F57-E57)*(G57+J57))*K57</f>
      </c>
      <c r="J57">
        <f>=0</f>
      </c>
      <c r="K57">
        <f>=0</f>
      </c>
      <c r="AG57">
        <f>=MIN(1, MAX(-1,(-0.1*(J57^8))*K57))</f>
      </c>
      <c r="AH57">
        <f>=MIN(1, MAX(-1,(0.1+(0.23*J57))*K57))</f>
      </c>
      <c r="AM57">
        <f>=MIN(1, MAX(-1,(0.1*(J57^3))*K57))</f>
      </c>
      <c r="BW57">
        <f>=MIN(1, MAX(-1,(0.00-(0.23*J57))*K57))</f>
      </c>
      <c r="CF57">
        <f>=MIN(1, MAX(-1,(-0.10*(J57^4))*K57))</f>
      </c>
      <c r="CS57">
        <f>=MIN(1, MAX(-1,(-0.35+(0.62*J57))*K57))</f>
      </c>
      <c r="CU57">
        <f>=MIN(1, MAX(-1,(0-(0.2*J57))*K57))</f>
      </c>
      <c r="EM57">
        <f>=MIN(1, MAX(-1,(0.00+(0.23*J57))*K57))</f>
      </c>
      <c r="EN57">
        <f>=MIN(1, MAX(-1,(-0.05+(0.16*J57))*K57))</f>
      </c>
      <c r="EO57">
        <f>=MIN(1, MAX(-1,(-0.3+(0.09*J57))*K57))</f>
      </c>
    </row>
    <row r="58">
      <c r="A58" t="str">
        <v>Monorail</v>
      </c>
      <c r="B58" t="str">
        <v>2100</v>
      </c>
      <c r="C58" t="str">
        <v>2320</v>
      </c>
      <c r="E58" t="str">
        <v>0</v>
      </c>
      <c r="F58" t="str">
        <v>0</v>
      </c>
      <c r="H58">
        <f>=(B58+(C58-B58)*(D58+J58))*K58</f>
      </c>
      <c r="I58">
        <f>=(E58+(F58-E58)*(G58+J58))*K58</f>
      </c>
      <c r="J58">
        <f>=0</f>
      </c>
      <c r="K58">
        <f>=0</f>
      </c>
      <c r="BW58">
        <f>=MIN(1, MAX(-1,(0-(0.05*J58))*K58))</f>
      </c>
      <c r="CW58">
        <f>=MIN(1, MAX(-1,(0.12+(0.15*J58))*K58))</f>
      </c>
      <c r="DF58">
        <f>=MIN(1, MAX(-1,(-0.06-(0.10*J58))*K58))</f>
      </c>
    </row>
    <row r="59">
      <c r="A59" t="str">
        <v>MortgageTaxRelief</v>
      </c>
      <c r="B59" t="str">
        <v>200</v>
      </c>
      <c r="C59" t="str">
        <v>920</v>
      </c>
      <c r="D59">
        <f>=MIN(10, MAX(0,0.25+(0.75*CC247)))</f>
      </c>
      <c r="E59" t="str">
        <v>0</v>
      </c>
      <c r="F59" t="str">
        <v>0</v>
      </c>
      <c r="H59">
        <f>=(B59+(C59-B59)*(D59+J59))*K59</f>
      </c>
      <c r="I59">
        <f>=(E59+(F59-E59)*(G59+J59))*K59</f>
      </c>
      <c r="J59">
        <f>=0</f>
      </c>
      <c r="K59">
        <f>=0</f>
      </c>
      <c r="AN59">
        <f>=MIN(1, MAX(-1,(-0.04-(0.04*J59))*K59))</f>
      </c>
      <c r="AO59">
        <f>=MIN(1, MAX(-1,(0-(0.12*J59))*K59))</f>
      </c>
      <c r="CE59">
        <f>=MIN(1, MAX(-1,(0+(0.09*J59))*K59))</f>
      </c>
      <c r="CJ59">
        <f>=MIN(1, MAX(-1,(-0.07-(0.06*J59))*K59))</f>
      </c>
      <c r="DQ59">
        <f>=MIN(1, MAX(-1,(-0.06-(0.07*J59))*K59))</f>
      </c>
      <c r="EF59">
        <f>=MIN(1, MAX(-1,(0.1+(0.18*J59))*K59))</f>
      </c>
    </row>
    <row r="60">
      <c r="A60" t="str">
        <v>Narcotics</v>
      </c>
      <c r="B60" t="str">
        <v>0</v>
      </c>
      <c r="C60" t="str">
        <v>0</v>
      </c>
      <c r="E60" t="str">
        <v>0</v>
      </c>
      <c r="F60" t="str">
        <v>0</v>
      </c>
      <c r="H60">
        <f>=(B60+(C60-B60)*(D60+J60))*K60</f>
      </c>
      <c r="I60">
        <f>=(E60+(F60-E60)*(G60+J60))*K60</f>
      </c>
      <c r="J60">
        <v>0</v>
      </c>
      <c r="K60">
        <v>1</v>
      </c>
      <c r="P60">
        <f>=MIN(1, MAX(-1,(0-(0.15*J60))*K60))</f>
      </c>
      <c r="AP60">
        <f>=MIN(1, MAX(-1,(-0.2+(0.6*J60))*K60))</f>
      </c>
      <c r="CF60">
        <f>=MIN(1, MAX(-1,(-0.05+(0.2*J60))*K60))</f>
      </c>
      <c r="CM60">
        <f>=MIN(1, MAX(-1,(0.00+(0.20*J60))*K60))</f>
      </c>
      <c r="DI60">
        <f>=MIN(1, MAX(-1,(0.05-(0.2*J60))*K60))</f>
      </c>
      <c r="DJ60">
        <f>=MIN(1, MAX(-1,(0.00-(0.15*J60))*K60))</f>
      </c>
      <c r="EP60">
        <f>=MIN(1, MAX(-1,(0.8*(CC247+0.2)*J60)*K60))</f>
      </c>
    </row>
    <row r="61">
      <c r="A61" t="str">
        <v>NationalService</v>
      </c>
      <c r="B61" t="str">
        <v>100</v>
      </c>
      <c r="C61" t="str">
        <v>1000</v>
      </c>
      <c r="E61" t="str">
        <v>0</v>
      </c>
      <c r="F61" t="str">
        <v>0</v>
      </c>
      <c r="H61">
        <f>=(B61+(C61-B61)*(D61+J61))*K61</f>
      </c>
      <c r="I61">
        <f>=(E61+(F61-E61)*(G61+J61))*K61</f>
      </c>
      <c r="J61">
        <f>=0</f>
      </c>
      <c r="K61">
        <f>=0</f>
      </c>
      <c r="CF61">
        <f>=MIN(1, MAX(-1,(-0.10-(0.02*J61))*K61))</f>
      </c>
      <c r="CI61">
        <f>=MIN(1, MAX(-1,(-0.20-(0.02*J61))*K61))</f>
      </c>
      <c r="CS61">
        <f>=MIN(1, MAX(-1,(0.15+(0.03*J61))*K61))</f>
      </c>
      <c r="DI61">
        <f>=MIN(1, MAX(-1,(0.20+(0.24*J61))*K61))</f>
      </c>
      <c r="DN61">
        <f>=MIN(1, MAX(-1,(0.10+(0.06*J61))*K61))</f>
      </c>
    </row>
    <row r="62">
      <c r="A62" t="str">
        <v>OrganDonation</v>
      </c>
      <c r="B62" t="str">
        <v>8</v>
      </c>
      <c r="C62" t="str">
        <v>10</v>
      </c>
      <c r="E62" t="str">
        <v>0</v>
      </c>
      <c r="F62" t="str">
        <v>0</v>
      </c>
      <c r="H62">
        <f>=(B62+(C62-B62)*(D62+J62))*K62</f>
      </c>
      <c r="I62">
        <f>=(E62+(F62-E62)*(G62+J62))*K62</f>
      </c>
      <c r="J62">
        <f>=0</f>
      </c>
      <c r="K62">
        <f>=0</f>
      </c>
      <c r="CA62">
        <f>=MIN(1, MAX(-1,(0.05+(0.06*J62))*K62))</f>
      </c>
      <c r="CO62">
        <f>=MIN(1, MAX(-1,(-0.08-(0.025*J62))*K62))</f>
      </c>
    </row>
    <row r="63">
      <c r="A63" t="str">
        <v>OrganicSubsidy</v>
      </c>
      <c r="B63" t="str">
        <v>190</v>
      </c>
      <c r="C63" t="str">
        <v>800</v>
      </c>
      <c r="E63" t="str">
        <v>0</v>
      </c>
      <c r="F63" t="str">
        <v>0</v>
      </c>
      <c r="H63">
        <f>=(B63+(C63-B63)*(D63+J63))*K63</f>
      </c>
      <c r="I63">
        <f>=(E63+(F63-E63)*(G63+J63))*K63</f>
      </c>
      <c r="J63">
        <f>=0</f>
      </c>
      <c r="K63">
        <f>=0</f>
      </c>
      <c r="M63">
        <f>=MIN(1, MAX(-1,(-0.05-(0.072*J63))*K63))</f>
      </c>
      <c r="BV63">
        <f>=MIN(1, MAX(-1,(-0.05-(0.02*J63))*K63))</f>
      </c>
      <c r="BX63">
        <f>=MIN(1, MAX(-1,(0.10+(0.18*J63))*K63))</f>
      </c>
      <c r="BY63">
        <f>=MIN(1, MAX(-1,(0.05+(0.09*J63))*K63))</f>
      </c>
      <c r="BZ63">
        <f>=MIN(1, MAX(-1,(0+(0.10*J63))*K63))</f>
      </c>
      <c r="CA63">
        <f>=MIN(1, MAX(-1,(0.02+(0.06*J63))*K63))</f>
      </c>
      <c r="CB63">
        <f>=MIN(1, MAX(-1,(0.11+(0.09*J63))*K63))</f>
      </c>
      <c r="EC63">
        <f>=MIN(1, MAX(-1,(0+(0.05*J63))*K63))</f>
      </c>
    </row>
    <row r="64">
      <c r="A64" t="str">
        <v>PetrolTax</v>
      </c>
      <c r="B64" t="str">
        <v>0</v>
      </c>
      <c r="C64" t="str">
        <v>0</v>
      </c>
      <c r="E64" t="str">
        <v>1150</v>
      </c>
      <c r="F64" t="str">
        <v>21045</v>
      </c>
      <c r="G64">
        <f>=MIN(10, MAX(0,0+(1.0*DF247)))</f>
      </c>
      <c r="H64">
        <f>=(B64+(C64-B64)*(D64+J64))*K64</f>
      </c>
      <c r="I64">
        <f>=(E64+(F64-E64)*(G64+J64))*K64</f>
      </c>
      <c r="J64">
        <v>0.3</v>
      </c>
      <c r="K64">
        <v>1</v>
      </c>
      <c r="AC64">
        <f>=MIN(1, MAX(-1,(0+(0.8*J64))*K64))</f>
      </c>
      <c r="CB64">
        <f>=MIN(1, MAX(-1,(0.00+(0.20*J64))*K64))</f>
      </c>
      <c r="CC64">
        <f>=MIN(1, MAX(-1,(-0.13*(J64^7))*K64))</f>
      </c>
      <c r="CR64">
        <f>=MIN(1, MAX(-1,(0.00-(J64^5))*K64))</f>
      </c>
      <c r="DF64">
        <f>=MIN(1, MAX(-1,(0.00-(0.40*J64))*K64))</f>
      </c>
      <c r="DG64">
        <f>=MIN(1, MAX(-1,(0-(0.15*J64))*K64))</f>
      </c>
      <c r="DH64">
        <f>=MIN(1, MAX(-1,(0-(0.16*J64))*K64))</f>
      </c>
    </row>
    <row r="65">
      <c r="A65" t="str">
        <v>PhoneTapping</v>
      </c>
      <c r="B65" t="str">
        <v>10</v>
      </c>
      <c r="C65" t="str">
        <v>40</v>
      </c>
      <c r="E65" t="str">
        <v>0</v>
      </c>
      <c r="F65" t="str">
        <v>0</v>
      </c>
      <c r="H65">
        <f>=(B65+(C65-B65)*(D65+J65))*K65</f>
      </c>
      <c r="I65">
        <f>=(E65+(F65-E65)*(G65+J65))*K65</f>
      </c>
      <c r="J65">
        <f>=0</f>
      </c>
      <c r="K65">
        <f>=0</f>
      </c>
      <c r="P65">
        <f>=MIN(1, MAX(-1,(0-(0.24*J65))*K65))</f>
      </c>
      <c r="CF65">
        <f>=MIN(1, MAX(-1,(-0.1-(0.25*J65))*K65))</f>
      </c>
      <c r="CM65">
        <f>=MIN(1, MAX(-1,(-0.05-(0.10*J65))*K65))</f>
      </c>
      <c r="CN65">
        <f>=MIN(1, MAX(-1,((0.075+0.1*J65))*K65))</f>
      </c>
      <c r="CU65">
        <f>=MIN(1, MAX(-1,(-0.05-(0.15*J65))*K65))</f>
      </c>
    </row>
    <row r="66">
      <c r="A66" t="str">
        <v>PlasticBagTax</v>
      </c>
      <c r="B66" t="str">
        <v>6</v>
      </c>
      <c r="C66" t="str">
        <v>7</v>
      </c>
      <c r="E66" t="str">
        <v>5.75</v>
      </c>
      <c r="F66" t="str">
        <v>70.15</v>
      </c>
      <c r="H66">
        <f>=(B66+(C66-B66)*(D66+J66))*K66</f>
      </c>
      <c r="I66">
        <f>=(E66+(F66-E66)*(G66+J66))*K66</f>
      </c>
      <c r="J66">
        <f>=0</f>
      </c>
      <c r="K66">
        <f>=0</f>
      </c>
      <c r="BV66">
        <f>=MIN(1, MAX(-1,(-0.02-(0.02*J66))*K66))</f>
      </c>
      <c r="CB66">
        <f>=MIN(1, MAX(-1,(0.02+(0.03*J66))*K66))</f>
      </c>
    </row>
    <row r="67">
      <c r="A67" t="str">
        <v>PoliceForce</v>
      </c>
      <c r="B67" t="str">
        <v>300</v>
      </c>
      <c r="C67" t="str">
        <v>2320</v>
      </c>
      <c r="D67">
        <f>=MIN(10, MAX(0,1.0+-0.1+(0.2*EL247)))</f>
      </c>
      <c r="E67" t="str">
        <v>0</v>
      </c>
      <c r="F67" t="str">
        <v>0</v>
      </c>
      <c r="H67">
        <f>=(B67+(C67-B67)*(D67+J67))*K67</f>
      </c>
      <c r="I67">
        <f>=(E67+(F67-E67)*(G67+J67))*K67</f>
      </c>
      <c r="J67">
        <f>=0</f>
      </c>
      <c r="K67">
        <f>=0</f>
      </c>
      <c r="N67">
        <f>=MIN(1, MAX(-1,(0-(0.17*J67))*K67))</f>
      </c>
      <c r="R67">
        <f>=MIN(1, MAX(-1,(0-(0.12*J67))*K67))</f>
      </c>
      <c r="U67">
        <f>=MIN(1, MAX(-1,(0-(0.6*J67))*K67))</f>
      </c>
      <c r="V67">
        <f>=MIN(1, MAX(-1,(0-(0.6*J67))*K67))</f>
      </c>
      <c r="W67">
        <f>=MIN(1, MAX(-1,(0-(0.15*J67))*K67))</f>
      </c>
      <c r="AP67">
        <f>=MIN(1, MAX(-1,(0-(0.27*J67))*K67))</f>
      </c>
      <c r="BW67">
        <f>=MIN(1, MAX(-1,(0-(0.03*J67))*K67))</f>
      </c>
      <c r="CH67">
        <f>=MIN(1, MAX(-1,(-0.52*(J67^0.6))*K67))</f>
      </c>
      <c r="CM67">
        <f>=MIN(1, MAX(-1,(-0.35*(J67^0.6))*K67))</f>
      </c>
      <c r="DI67">
        <f>=MIN(1, MAX(-1,(-0.2+(0.48*J67))*K67))</f>
      </c>
      <c r="EM67">
        <f>=MIN(1, MAX(-1,(-0.15+(0.37*J67))*K67))</f>
      </c>
      <c r="EN67">
        <f>=MIN(1, MAX(-1,(-0.05+(0.1*J67))*K67))</f>
      </c>
      <c r="EO67">
        <f>=MIN(1, MAX(-1,(-0.3+(0.09*J67))*K67))</f>
      </c>
    </row>
    <row r="68">
      <c r="A68" t="str">
        <v>PollutionControls</v>
      </c>
      <c r="B68" t="str">
        <v>10</v>
      </c>
      <c r="C68" t="str">
        <v>24</v>
      </c>
      <c r="E68" t="str">
        <v>0</v>
      </c>
      <c r="F68" t="str">
        <v>0</v>
      </c>
      <c r="H68">
        <f>=(B68+(C68-B68)*(D68+J68))*K68</f>
      </c>
      <c r="I68">
        <f>=(E68+(F68-E68)*(G68+J68))*K68</f>
      </c>
      <c r="J68">
        <v>0.5</v>
      </c>
      <c r="K68">
        <v>1</v>
      </c>
      <c r="BV68">
        <f>=MIN(1, MAX(-1,(-0.02-(0.08*J68))*K68))</f>
      </c>
      <c r="CB68">
        <f>=MIN(1, MAX(-1,(0.05+(0.06*J68))*K68))</f>
      </c>
      <c r="CC68">
        <f>=MIN(1, MAX(-1,(0-(0.05*J68))*K68))</f>
      </c>
      <c r="DB68">
        <f>=MIN(1, MAX(-1,(-0.05-(0.14*J68))*K68))</f>
      </c>
      <c r="DE68">
        <f>=MIN(1, MAX(-1,(0.1+(0.2*J68))*K68))</f>
      </c>
    </row>
    <row r="69">
      <c r="A69" t="str">
        <v>PrisonerTagging</v>
      </c>
      <c r="B69" t="str">
        <v>16</v>
      </c>
      <c r="C69" t="str">
        <v>32</v>
      </c>
      <c r="E69" t="str">
        <v>0</v>
      </c>
      <c r="F69" t="str">
        <v>0</v>
      </c>
      <c r="H69">
        <f>=(B69+(C69-B69)*(D69+J69))*K69</f>
      </c>
      <c r="I69">
        <f>=(E69+(F69-E69)*(G69+J69))*K69</f>
      </c>
      <c r="J69">
        <f>=0</f>
      </c>
      <c r="K69">
        <f>=0</f>
      </c>
      <c r="CF69">
        <f>=MIN(1, MAX(-1,(-0.10-(0.12*J69))*K69))</f>
      </c>
      <c r="CH69">
        <f>=MIN(1, MAX(-1,(-0.05-(0.09*J69))*K69))</f>
      </c>
      <c r="CM69">
        <f>=MIN(1, MAX(-1,(-0.05-(0.08*J69))*K69))</f>
      </c>
    </row>
    <row r="70">
      <c r="A70" t="str">
        <v>Prisons</v>
      </c>
      <c r="B70" t="str">
        <v>100</v>
      </c>
      <c r="C70" t="str">
        <v>1920</v>
      </c>
      <c r="D70">
        <f>=MIN(10, MAX(0,0.1+(0.9*CM247)))</f>
      </c>
      <c r="E70" t="str">
        <v>0</v>
      </c>
      <c r="F70" t="str">
        <v>0</v>
      </c>
      <c r="H70">
        <f>=(B70+(C70-B70)*(D70+J70))*K70</f>
      </c>
      <c r="I70">
        <f>=(E70+(F70-E70)*(G70+J70))*K70</f>
      </c>
      <c r="J70">
        <f>=0</f>
      </c>
      <c r="K70">
        <f>=0</f>
      </c>
      <c r="BW70">
        <f>=MIN(1, MAX(-1,(0-(0.02*J70))*K70))</f>
      </c>
      <c r="CF70">
        <f>=MIN(1, MAX(-1,(0.12*(J70^4))*K70))</f>
      </c>
      <c r="CM70">
        <f>=MIN(1, MAX(-1,(0.00-(0.07*J70))*K70))</f>
      </c>
      <c r="DI70">
        <f>=MIN(1, MAX(-1,(0.00+(0.12*J70))*K70))</f>
      </c>
      <c r="EM70">
        <f>=MIN(1, MAX(-1,(0+(0.15*J70))*K70))</f>
      </c>
      <c r="EN70">
        <f>=MIN(1, MAX(-1,(-0.05+(0.1*J70))*K70))</f>
      </c>
    </row>
    <row r="71">
      <c r="A71" t="str">
        <v>PropertyTax</v>
      </c>
      <c r="B71" t="str">
        <v>0</v>
      </c>
      <c r="C71" t="str">
        <v>0</v>
      </c>
      <c r="E71" t="str">
        <v>1150</v>
      </c>
      <c r="F71" t="str">
        <v>12650</v>
      </c>
      <c r="G71">
        <f>=MIN(10, MAX(0,0.5+(0.5*CC247)))</f>
      </c>
      <c r="H71">
        <f>=(B71+(C71-B71)*(D71+J71))*K71</f>
      </c>
      <c r="I71">
        <f>=(E71+(F71-E71)*(G71+J71))*K71</f>
      </c>
      <c r="J71">
        <v>0.4</v>
      </c>
      <c r="K71">
        <v>1</v>
      </c>
      <c r="AN71">
        <f>=MIN(1, MAX(-1,(0+(0.04*J71))*K71))</f>
      </c>
      <c r="BV71">
        <f>=MIN(1, MAX(-1,(0-(0.15*J71))*K71))</f>
      </c>
      <c r="CE71">
        <f>=MIN(1, MAX(-1,(0-(0.1*J71))*K71))</f>
      </c>
      <c r="CL71">
        <f>=MIN(1, MAX(-1,(0+(0.15*J71))*K71))</f>
      </c>
      <c r="DQ71">
        <f>=MIN(1, MAX(-1,(0+(0.12*J71))*K71))</f>
      </c>
      <c r="DR71">
        <f>=MIN(1, MAX(-1,(0-(J71^11))*K71))</f>
      </c>
      <c r="DS71">
        <f>=MIN(1, MAX(-1,(0-(0.14*J71))*K71))</f>
      </c>
      <c r="DY71">
        <f>=MIN(1, MAX(-1,(0-(0.28*J71))*K71))</f>
      </c>
      <c r="EF71">
        <f>=MIN(1, MAX(-1,(0-(0.32*J71))*K71))</f>
      </c>
    </row>
    <row r="72">
      <c r="A72" t="str">
        <v>PublicLibraries</v>
      </c>
      <c r="B72" t="str">
        <v>50</v>
      </c>
      <c r="C72" t="str">
        <v>800</v>
      </c>
      <c r="E72" t="str">
        <v>0</v>
      </c>
      <c r="F72" t="str">
        <v>0</v>
      </c>
      <c r="H72">
        <f>=(B72+(C72-B72)*(D72+J72))*K72</f>
      </c>
      <c r="I72">
        <f>=(E72+(F72-E72)*(G72+J72))*K72</f>
      </c>
      <c r="J72">
        <f>=0</f>
      </c>
      <c r="K72">
        <f>=0</f>
      </c>
      <c r="BT72">
        <f>=MIN(1, MAX(-1,(0.02+(0.05*J72))*K72))</f>
      </c>
      <c r="CL72">
        <f>=MIN(1, MAX(-1,(0.02+(0.02*J72))*K72))</f>
      </c>
      <c r="DY72">
        <f>=MIN(1, MAX(-1,(0.03+(0.03*J72))*K72))</f>
      </c>
    </row>
    <row r="73">
      <c r="A73" t="str">
        <v>RacialProfiling</v>
      </c>
      <c r="B73" t="str">
        <v>0</v>
      </c>
      <c r="C73" t="str">
        <v>0</v>
      </c>
      <c r="E73" t="str">
        <v>0</v>
      </c>
      <c r="F73" t="str">
        <v>0</v>
      </c>
      <c r="H73">
        <f>=(B73+(C73-B73)*(D73+J73))*K73</f>
      </c>
      <c r="I73">
        <f>=(E73+(F73-E73)*(G73+J73))*K73</f>
      </c>
      <c r="J73">
        <f>=0</f>
      </c>
      <c r="K73">
        <f>=0</f>
      </c>
      <c r="CF73">
        <f>=MIN(1, MAX(-1,(-0.06-(0.06*J73))*K73))</f>
      </c>
      <c r="CH73">
        <f>=MIN(1, MAX(-1,(0-(0.09*J73))*K73))</f>
      </c>
      <c r="CM73">
        <f>=MIN(1, MAX(-1,(0-(0.09*J73))*K73))</f>
      </c>
      <c r="CU73">
        <f>=MIN(1, MAX(-1,(-0.04-(-0.05*J73))*K73))</f>
      </c>
      <c r="DM73">
        <f>=MIN(1, MAX(-1,(0.2+(0.1*J73))*K73))</f>
      </c>
    </row>
    <row r="74">
      <c r="A74" t="str">
        <v>RaceDiscriminationAct</v>
      </c>
      <c r="B74" t="str">
        <v>5</v>
      </c>
      <c r="C74" t="str">
        <v>9</v>
      </c>
      <c r="E74" t="str">
        <v>0</v>
      </c>
      <c r="F74" t="str">
        <v>0</v>
      </c>
      <c r="H74">
        <f>=(B74+(C74-B74)*(D74+J74))*K74</f>
      </c>
      <c r="I74">
        <f>=(E74+(F74-E74)*(G74+J74))*K74</f>
      </c>
      <c r="J74">
        <v>0.8</v>
      </c>
      <c r="K74">
        <v>1</v>
      </c>
      <c r="CF74">
        <f>=MIN(1, MAX(-1,(0.1+(0.03*J74))*K74))</f>
      </c>
      <c r="CV74">
        <f>=MIN(1, MAX(-1,(0.2+(0.1*J74))*K74))</f>
      </c>
      <c r="DI74">
        <f>=MIN(1, MAX(-1,(-0.05*(J74^4))*K74))</f>
      </c>
      <c r="DM74">
        <f>=MIN(1, MAX(-1,(0-(0.14*J74))*K74))</f>
      </c>
      <c r="DO74">
        <f>=MIN(1, MAX(-1,(0+(0.12*J74))*K74))</f>
      </c>
    </row>
    <row r="75">
      <c r="A75" t="str">
        <v>RailSubsidies</v>
      </c>
      <c r="B75" t="str">
        <v>500</v>
      </c>
      <c r="C75" t="str">
        <v>4800</v>
      </c>
      <c r="E75" t="str">
        <v>0</v>
      </c>
      <c r="F75" t="str">
        <v>0</v>
      </c>
      <c r="H75">
        <f>=(B75+(C75-B75)*(D75+J75))*K75</f>
      </c>
      <c r="I75">
        <f>=(E75+(F75-E75)*(G75+J75))*K75</f>
      </c>
      <c r="J75">
        <v>0.63</v>
      </c>
      <c r="K75">
        <v>1</v>
      </c>
      <c r="AL75">
        <f>=MIN(1, MAX(-1,(0-(1.0*J75))*K75))</f>
      </c>
      <c r="BW75">
        <f>=MIN(1, MAX(-1,(0-(0.09*J75))*K75))</f>
      </c>
      <c r="CE75">
        <f>=MIN(1, MAX(-1,(0+(0.02*J75))*K75))</f>
      </c>
      <c r="CR75">
        <f>=MIN(1, MAX(-1,(0.00-(0.20*J75))*K75))</f>
      </c>
      <c r="CW75">
        <f>=MIN(1, MAX(-1,(0.10+(0.25*J75))*K75))</f>
      </c>
      <c r="CY75">
        <f>=MIN(1, MAX(-1,(0+(0.06*J75))*K75))</f>
      </c>
      <c r="CZ75">
        <f>=MIN(1, MAX(-1,(0+(0.1*J75))*K75))</f>
      </c>
      <c r="DA75">
        <f>=MIN(1, MAX(-1,(0+(0.12*J75))*K75))</f>
      </c>
      <c r="EQ75">
        <f>=MIN(1, MAX(-1,(0.00+(0.35*J75))*K75))</f>
      </c>
    </row>
    <row r="76">
      <c r="A76" t="str">
        <v>Recycling</v>
      </c>
      <c r="B76" t="str">
        <v>40</v>
      </c>
      <c r="C76" t="str">
        <v>400</v>
      </c>
      <c r="E76" t="str">
        <v>0</v>
      </c>
      <c r="F76" t="str">
        <v>0</v>
      </c>
      <c r="H76">
        <f>=(B76+(C76-B76)*(D76+J76))*K76</f>
      </c>
      <c r="I76">
        <f>=(E76+(F76-E76)*(G76+J76))*K76</f>
      </c>
      <c r="J76">
        <v>0.23</v>
      </c>
      <c r="K76">
        <v>1</v>
      </c>
      <c r="CB76">
        <f>=MIN(1, MAX(-1,(0.04+(0.09*J76))*K76))</f>
      </c>
      <c r="DE76">
        <f>=MIN(1, MAX(-1,(0.01+(0.04*J76))*K76))</f>
      </c>
      <c r="ED76">
        <f>=MIN(1, MAX(-1,(0.02+(0.08*J76))*K76))</f>
      </c>
    </row>
    <row r="77">
      <c r="A77" t="str">
        <v>RoadBuilding</v>
      </c>
      <c r="B77" t="str">
        <v>100</v>
      </c>
      <c r="C77" t="str">
        <v>5100</v>
      </c>
      <c r="E77" t="str">
        <v>0</v>
      </c>
      <c r="F77" t="str">
        <v>0</v>
      </c>
      <c r="G77">
        <f>=MIN(10, MAX(0,0))</f>
      </c>
      <c r="H77">
        <f>=(B77+(C77-B77)*(D77+J77))*K77</f>
      </c>
      <c r="I77">
        <f>=(E77+(F77-E77)*(G77+J77))*K77</f>
      </c>
      <c r="J77">
        <f>=0</f>
      </c>
      <c r="K77">
        <f>=0</f>
      </c>
      <c r="BW77">
        <f>=MIN(1, MAX(-1,(0-(0.05*J77))*K77))</f>
      </c>
      <c r="CB77">
        <f>=MIN(1, MAX(-1,(0.16-(0.40*J77))*K77))</f>
      </c>
      <c r="CR77">
        <f>=MIN(1, MAX(-1,(-0.25+(0.55*J77))*K77))</f>
      </c>
      <c r="DF77">
        <f>=MIN(1, MAX(-1,(0.20+(0.29*J77))*K77))</f>
      </c>
      <c r="ER77">
        <f>=MIN(1, MAX(-1,(0-(0.3*J77))*K77))</f>
      </c>
    </row>
    <row r="78">
      <c r="A78" t="str">
        <v>RuralDevelopmentGrants</v>
      </c>
      <c r="B78" t="str">
        <v>100</v>
      </c>
      <c r="C78" t="str">
        <v>400</v>
      </c>
      <c r="E78" t="str">
        <v>0</v>
      </c>
      <c r="F78" t="str">
        <v>0</v>
      </c>
      <c r="H78">
        <f>=(B78+(C78-B78)*(D78+J78))*K78</f>
      </c>
      <c r="I78">
        <f>=(E78+(F78-E78)*(G78+J78))*K78</f>
      </c>
      <c r="J78">
        <f>=0</f>
      </c>
      <c r="K78">
        <f>=0</f>
      </c>
      <c r="BW78">
        <f>=MIN(1, MAX(-1,(0.00-(0.15*J78))*K78))</f>
      </c>
      <c r="BX78">
        <f>=MIN(1, MAX(-1,(0.10+(0.30*J78))*K78))</f>
      </c>
      <c r="BY78">
        <f>=MIN(1, MAX(-1,(0.02+(0.06*J78))*K78))</f>
      </c>
      <c r="CC78">
        <f>=MIN(1, MAX(-1,(0.00+(0.06*J78))*K78))</f>
      </c>
      <c r="CL78">
        <f>=MIN(1, MAX(-1,(0.00+(0.14*J78))*K78))</f>
      </c>
      <c r="CY78">
        <f>=MIN(1, MAX(-1,(0.02+(0.13*J78))*K78))</f>
      </c>
    </row>
    <row r="79">
      <c r="A79" t="str">
        <v>SalesTax</v>
      </c>
      <c r="B79" t="str">
        <v>0</v>
      </c>
      <c r="C79" t="str">
        <v>0</v>
      </c>
      <c r="E79" t="str">
        <v>575</v>
      </c>
      <c r="F79" t="str">
        <v>61732</v>
      </c>
      <c r="G79">
        <f>=0</f>
      </c>
      <c r="H79">
        <f>=(B79+(C79-B79)*(D79+J79))*K79</f>
      </c>
      <c r="I79">
        <f>=(E79+(F79-E79)*(G79+J79))*K79</f>
      </c>
      <c r="J79">
        <v>0.44</v>
      </c>
      <c r="K79">
        <v>1</v>
      </c>
      <c r="Y79">
        <f>=MIN(1, MAX(-1,(0+(0.34*J79))*K79))</f>
      </c>
      <c r="Z79">
        <f>=MIN(1, MAX(-1,(0.22*(J79^2))*K79))</f>
      </c>
      <c r="BV79">
        <f>=MIN(1, MAX(-1,(0.00-(0.15*J79))*K79))</f>
      </c>
      <c r="CE79">
        <f>=MIN(1, MAX(-1,(0-(0.06*J79))*K79))</f>
      </c>
      <c r="CK79">
        <f>=MIN(1, MAX(-1,(0.00+(0.20*J79))*K79))</f>
      </c>
      <c r="CL79">
        <f>=MIN(1, MAX(-1,(-0.02-(0.32*J79))*K79))</f>
      </c>
      <c r="CY79">
        <f>=MIN(1, MAX(-1,(0-(0.12*J79))*K79))</f>
      </c>
      <c r="DP79">
        <f>=MIN(1, MAX(-1,(0.00-(0.21*J79))*K79))</f>
      </c>
    </row>
    <row r="80">
      <c r="A80" t="str">
        <v>SateliteRoadPricing</v>
      </c>
      <c r="B80" t="str">
        <v>2500</v>
      </c>
      <c r="C80" t="str">
        <v>2000</v>
      </c>
      <c r="E80" t="str">
        <v>0</v>
      </c>
      <c r="F80" t="str">
        <v>7015</v>
      </c>
      <c r="G80">
        <f>=MIN(10, MAX(0,0+(1.0*DF247)))</f>
      </c>
      <c r="H80">
        <f>=(B80+(C80-B80)*(D80+J80))*K80</f>
      </c>
      <c r="I80">
        <f>=(E80+(F80-E80)*(G80+J80))*K80</f>
      </c>
      <c r="J80">
        <f>=0</f>
      </c>
      <c r="K80">
        <f>=0</f>
      </c>
      <c r="BV80">
        <f>=MIN(1, MAX(-1,(0.05+(0.02*J80))*K80))</f>
      </c>
      <c r="CB80">
        <f>=MIN(1, MAX(-1,(0.06+(0.1*J80))*K80))</f>
      </c>
      <c r="CR80">
        <f>=MIN(1, MAX(-1,(-0.08-(0.06*J80))*K80))</f>
      </c>
      <c r="DF80">
        <f>=MIN(1, MAX(-1,(-0.25*(J80^4))*K80))</f>
      </c>
      <c r="DG80">
        <f>=MIN(1, MAX(-1,(-0.04-(0.1*J80))*K80))</f>
      </c>
    </row>
    <row r="81">
      <c r="A81" t="str">
        <v>SchoolBuses</v>
      </c>
      <c r="B81" t="str">
        <v>250</v>
      </c>
      <c r="C81" t="str">
        <v>520</v>
      </c>
      <c r="E81" t="str">
        <v>0</v>
      </c>
      <c r="F81" t="str">
        <v>0</v>
      </c>
      <c r="H81">
        <f>=(B81+(C81-B81)*(D81+J81))*K81</f>
      </c>
      <c r="I81">
        <f>=(E81+(F81-E81)*(G81+J81))*K81</f>
      </c>
      <c r="J81">
        <f>=0</f>
      </c>
      <c r="K81">
        <f>=0</f>
      </c>
      <c r="CX81">
        <f>=MIN(1, MAX(-1,(0.05+(0.15*J81))*K81))</f>
      </c>
      <c r="DJ81">
        <f>=MIN(1, MAX(-1,(0.07+(0.07*J81))*K81))</f>
      </c>
    </row>
    <row r="82">
      <c r="A82" t="str">
        <v>SchoolPrayers</v>
      </c>
      <c r="B82" t="str">
        <v>0</v>
      </c>
      <c r="C82" t="str">
        <v>0</v>
      </c>
      <c r="E82" t="str">
        <v>0</v>
      </c>
      <c r="F82" t="str">
        <v>0</v>
      </c>
      <c r="H82">
        <f>=(B82+(C82-B82)*(D82+J82))*K82</f>
      </c>
      <c r="I82">
        <f>=(E82+(F82-E82)*(G82+J82))*K82</f>
      </c>
      <c r="J82">
        <f>=0</f>
      </c>
      <c r="K82">
        <f>=0</f>
      </c>
      <c r="CF82">
        <f>=MIN(1, MAX(-1,(-0.05-(0.05*J82))*K82))</f>
      </c>
      <c r="CO82">
        <f>=MIN(1, MAX(-1,(0.05+(0.15*J82))*K82))</f>
      </c>
      <c r="DM82">
        <f>=MIN(1, MAX(-1,(0.1+(0.11*J82))*K82))</f>
      </c>
      <c r="DV82">
        <f>=MIN(1, MAX(-1,(0.04+(0.25*J82))*K82))</f>
      </c>
    </row>
    <row r="83">
      <c r="A83" t="str">
        <v>ScienceFunding</v>
      </c>
      <c r="B83" t="str">
        <v>85</v>
      </c>
      <c r="C83" t="str">
        <v>4000</v>
      </c>
      <c r="E83" t="str">
        <v>0</v>
      </c>
      <c r="F83" t="str">
        <v>0</v>
      </c>
      <c r="H83">
        <f>=(B83+(C83-B83)*(D83+J83))*K83</f>
      </c>
      <c r="I83">
        <f>=(E83+(F83-E83)*(G83+J83))*K83</f>
      </c>
      <c r="J83">
        <v>0.3</v>
      </c>
      <c r="K83">
        <v>1</v>
      </c>
      <c r="AB83">
        <f>=MIN(1, MAX(-1,(0-(0.34*J83))*K83))</f>
      </c>
      <c r="AQ83">
        <f>=MIN(1, MAX(-1,(0-(0.2*J83))*K83))</f>
      </c>
      <c r="BW83">
        <f>=MIN(1, MAX(-1,(0-(0.03*J83))*K83))</f>
      </c>
      <c r="CC83">
        <f>=MIN(1, MAX(-1,(0+(0.08*J83))*K83))</f>
      </c>
      <c r="DC83">
        <f>=MIN(1, MAX(-1,(-0.1+(0.2*J83))*K83))</f>
      </c>
      <c r="EI83">
        <f>=MIN(1, MAX(-1,(-0.10+(0.21*J83))*K83))</f>
      </c>
      <c r="EM83">
        <f>=MIN(1, MAX(-1,(-0.15+(0.3*J83))*K83))</f>
      </c>
      <c r="EN83">
        <f>=MIN(1, MAX(-1,(-0.05+(0.1*J83))*K83))</f>
      </c>
    </row>
    <row r="84">
      <c r="A84" t="str">
        <v>SmallBusinessGrants</v>
      </c>
      <c r="B84" t="str">
        <v>100</v>
      </c>
      <c r="C84" t="str">
        <v>5000</v>
      </c>
      <c r="D84">
        <f>=MIN(10, MAX(0,0.25+(0.75*CC247)))</f>
      </c>
      <c r="E84" t="str">
        <v>0</v>
      </c>
      <c r="F84" t="str">
        <v>0</v>
      </c>
      <c r="H84">
        <f>=(B84+(C84-B84)*(D84+J84))*K84</f>
      </c>
      <c r="I84">
        <f>=(E84+(F84-E84)*(G84+J84))*K84</f>
      </c>
      <c r="J84">
        <f>=0</f>
      </c>
      <c r="K84">
        <f>=0</f>
      </c>
      <c r="BV84">
        <f>=MIN(1, MAX(-1,(0+(0.09*J84))*K84))</f>
      </c>
      <c r="CC84">
        <f>=MIN(1, MAX(-1,(0.01+(0.05*J84))*K84))</f>
      </c>
      <c r="DP84">
        <f>=MIN(1, MAX(-1,(0.10+(0.25*J84))*K84))</f>
      </c>
      <c r="DT84">
        <f>=MIN(1, MAX(-1,(-0.04-(0.1*J84))*K84))</f>
      </c>
      <c r="DU84">
        <f>=MIN(1, MAX(-1,(0.01+(0.15*J84))*K84))</f>
      </c>
      <c r="EH84">
        <f>=MIN(1, MAX(-1,(0.02+(0.06*J84))*K84))</f>
      </c>
      <c r="EK84">
        <f>=MIN(1, MAX(-1,(-0.02-(0.04*J84))*K84))</f>
      </c>
      <c r="ES84">
        <f>=MIN(1, MAX(-1,(0+(0.05*J84))*K84))</f>
      </c>
    </row>
    <row r="85">
      <c r="A85" t="str">
        <v>SpaceProgram</v>
      </c>
      <c r="B85" t="str">
        <v>1000</v>
      </c>
      <c r="C85" t="str">
        <v>3900</v>
      </c>
      <c r="E85" t="str">
        <v>0</v>
      </c>
      <c r="F85" t="str">
        <v>0</v>
      </c>
      <c r="H85">
        <f>=(B85+(C85-B85)*(D85+J85))*K85</f>
      </c>
      <c r="I85">
        <f>=(E85+(F85-E85)*(G85+J85))*K85</f>
      </c>
      <c r="J85">
        <f>=0</f>
      </c>
      <c r="K85">
        <f>=0</f>
      </c>
      <c r="AA85">
        <f>=MIN(1, MAX(-1,(0+(0.13*J85))*K85))</f>
      </c>
      <c r="AB85">
        <f>=MIN(1, MAX(-1,(0-(0.13*J85))*K85))</f>
      </c>
      <c r="AM85">
        <f>=MIN(1, MAX(-1,(0+(0.4*J85))*K85))</f>
      </c>
      <c r="BW85">
        <f>=MIN(1, MAX(-1,(-0.02-(0.05*J85))*K85))</f>
      </c>
      <c r="CS85">
        <f>=MIN(1, MAX(-1,(0.05+(0.15*J85))*K85))</f>
      </c>
      <c r="DN85">
        <f>=MIN(1, MAX(-1,(0.05+(0.15*J85))*K85))</f>
      </c>
      <c r="DV85">
        <f>=MIN(1, MAX(-1,(-0.02-(0.06*J85))*K85))</f>
      </c>
      <c r="EI85">
        <f>=MIN(1, MAX(-1,(0+(0.12*J85))*K85))</f>
      </c>
      <c r="EM85">
        <f>=MIN(1, MAX(-1,(0.035+(0.075*J85))*K85))</f>
      </c>
    </row>
    <row r="86">
      <c r="A86" t="str">
        <v>SpeedCameras</v>
      </c>
      <c r="B86" t="str">
        <v>1</v>
      </c>
      <c r="C86" t="str">
        <v>8</v>
      </c>
      <c r="E86" t="str">
        <v>11.5</v>
      </c>
      <c r="F86" t="str">
        <v>210.45</v>
      </c>
      <c r="H86">
        <f>=(B86+(C86-B86)*(D86+J86))*K86</f>
      </c>
      <c r="I86">
        <f>=(E86+(F86-E86)*(G86+J86))*K86</f>
      </c>
      <c r="J86">
        <f>=0</f>
      </c>
      <c r="K86">
        <f>=0</f>
      </c>
      <c r="CA86">
        <f>=MIN(1, MAX(-1,(0.01+(0.015*J86))*K86))</f>
      </c>
      <c r="CR86">
        <f>=MIN(1, MAX(-1,(-0.02-(0.08*J86))*K86))</f>
      </c>
      <c r="DG86">
        <f>=MIN(1, MAX(-1,(0.00-(0.15*J86))*K86))</f>
      </c>
      <c r="DJ86">
        <f>=MIN(1, MAX(-1,(0.01+(0.03*J86))*K86))</f>
      </c>
    </row>
    <row r="87">
      <c r="A87" t="str">
        <v>StateHealthService</v>
      </c>
      <c r="B87" t="str">
        <v>3000</v>
      </c>
      <c r="C87" t="str">
        <v>12000</v>
      </c>
      <c r="D87">
        <f>=0</f>
      </c>
      <c r="E87" t="str">
        <v>0</v>
      </c>
      <c r="F87" t="str">
        <v>0</v>
      </c>
      <c r="H87">
        <f>=(B87+(C87-B87)*(D87+J87))*K87</f>
      </c>
      <c r="I87">
        <f>=(E87+(F87-E87)*(G87+J87))*K87</f>
      </c>
      <c r="J87">
        <v>0.68</v>
      </c>
      <c r="K87">
        <v>1</v>
      </c>
      <c r="M87">
        <f>=MIN(1, MAX(-1,(-0.2*(J87^6))*K87))</f>
      </c>
      <c r="AK87">
        <f>=MIN(1, MAX(-1,(-0.65*(J87^7))*K87))</f>
      </c>
      <c r="AP87">
        <f>=MIN(1, MAX(-1,(0-(0.10*J87))*K87))</f>
      </c>
      <c r="AQ87">
        <f>=MIN(1, MAX(-1,(0-(0.4*J87))*K87))</f>
      </c>
      <c r="AR87">
        <f>=MIN(1, MAX(-1,(-0.05-(0.55*J87))*K87))</f>
      </c>
      <c r="BV87">
        <f>=MIN(1, MAX(-1,(-0.02-(0.10*J87))*K87))</f>
      </c>
      <c r="BW87">
        <f>=MIN(1, MAX(-1,(0-(0.19*J87))*K87))</f>
      </c>
      <c r="CA87">
        <f>=MIN(1, MAX(-1,(0.25*(J87^0.6)+0.05)*K87))</f>
      </c>
      <c r="CJ87">
        <f>=MIN(1, MAX(-1,(0.05+(0.15*J87))*K87))</f>
      </c>
      <c r="DQ87">
        <f>=MIN(1, MAX(-1,(0.05+(0.11*J87))*K87))</f>
      </c>
      <c r="DR87">
        <f>=MIN(1, MAX(-1,(0.00-(0.10*J87))*K87))</f>
      </c>
      <c r="DT87">
        <f>=MIN(1, MAX(-1,(0+(0.052*J87))*K87))</f>
      </c>
      <c r="DY87">
        <f>=MIN(1, MAX(-1,(0.00+(0.16*J87))*K87))</f>
      </c>
      <c r="EM87">
        <f>=MIN(1, MAX(-1,(0.00+(0.22*J87))*K87))</f>
      </c>
      <c r="EN87">
        <f>=MIN(1, MAX(-1,(0+(0.1*J87))*K87))</f>
      </c>
      <c r="EO87">
        <f>=MIN(1, MAX(-1,(0+(0.09*J87))*K87))</f>
      </c>
    </row>
    <row r="88">
      <c r="A88" t="str">
        <v>StateHousing</v>
      </c>
      <c r="B88" t="str">
        <v>1000</v>
      </c>
      <c r="C88" t="str">
        <v>8400</v>
      </c>
      <c r="E88" t="str">
        <v>0</v>
      </c>
      <c r="F88" t="str">
        <v>0</v>
      </c>
      <c r="H88">
        <f>=(B88+(C88-B88)*(D88+J88))*K88</f>
      </c>
      <c r="I88">
        <f>=(E88+(F88-E88)*(G88+J88))*K88</f>
      </c>
      <c r="J88">
        <v>0.5</v>
      </c>
      <c r="K88">
        <v>1</v>
      </c>
      <c r="AN88">
        <f>=MIN(1, MAX(-1,(0-(0.4*J88))*K88))</f>
      </c>
      <c r="AO88">
        <f>=MIN(1, MAX(-1,(0-(0.3*J88))*K88))</f>
      </c>
      <c r="BV88">
        <f>=MIN(1, MAX(-1,(-0.02-(0.1*J88))*K88))</f>
      </c>
      <c r="CJ88">
        <f>=MIN(1, MAX(-1,(0.05+(0.05*J88))*K88))</f>
      </c>
      <c r="CK88">
        <f>=MIN(1, MAX(-1,(0-(0.17*J88))*K88))</f>
      </c>
      <c r="CL88">
        <f>=MIN(1, MAX(-1,(0.03+(0.21*J88))*K88))</f>
      </c>
      <c r="CY88">
        <f>=MIN(1, MAX(-1,(0+(0.17*J88))*K88))</f>
      </c>
      <c r="DQ88">
        <f>=MIN(1, MAX(-1,(0+(0.20*J88))*K88))</f>
      </c>
      <c r="DT88">
        <f>=MIN(1, MAX(-1,(0.015+(0.02*J88))*K88))</f>
      </c>
    </row>
    <row r="89">
      <c r="A89" t="str">
        <v>StatePensions</v>
      </c>
      <c r="B89" t="str">
        <v>2500</v>
      </c>
      <c r="C89" t="str">
        <v>14000</v>
      </c>
      <c r="D89">
        <f>=MIN(10, MAX(0,1.0+0.2*(CA247^6)))</f>
      </c>
      <c r="E89" t="str">
        <v>0</v>
      </c>
      <c r="F89" t="str">
        <v>0</v>
      </c>
      <c r="H89">
        <f>=(B89+(C89-B89)*(D89+J89))*K89</f>
      </c>
      <c r="I89">
        <f>=(E89+(F89-E89)*(G89+J89))*K89</f>
      </c>
      <c r="J89">
        <v>0.6</v>
      </c>
      <c r="K89">
        <v>1</v>
      </c>
      <c r="BV89">
        <f>=MIN(1, MAX(-1,(-0.02-(0.1*J89))*K89))</f>
      </c>
      <c r="CJ89">
        <f>=MIN(1, MAX(-1,(0.07+(0.12*J89))*K89))</f>
      </c>
      <c r="CK89">
        <f>=MIN(1, MAX(-1,(0-(0.2*J89))*K89))</f>
      </c>
      <c r="DT89">
        <f>=MIN(1, MAX(-1,(0.02+(0.02*J89))*K89))</f>
      </c>
      <c r="DY89">
        <f>=MIN(1, MAX(-1,(0.2+(0.55*J89))*K89))</f>
      </c>
      <c r="EA89">
        <f>=MIN(1, MAX(-1,(0.1+(0.2*J89))*K89))</f>
      </c>
      <c r="ET89">
        <f>=MIN(1, MAX(-1,(0+(0.09*J89))*K89))</f>
      </c>
    </row>
    <row r="90">
      <c r="A90" t="str">
        <v>StateSchools</v>
      </c>
      <c r="B90" t="str">
        <v>1000</v>
      </c>
      <c r="C90" t="str">
        <v>10200</v>
      </c>
      <c r="D90">
        <f>=MIN(10, MAX(0,1.0+-0.1+(0.2*EL247)))</f>
      </c>
      <c r="E90" t="str">
        <v>0</v>
      </c>
      <c r="F90" t="str">
        <v>0</v>
      </c>
      <c r="H90">
        <f>=(B90+(C90-B90)*(D90+J90))*K90</f>
      </c>
      <c r="I90">
        <f>=(E90+(F90-E90)*(G90+J90))*K90</f>
      </c>
      <c r="J90">
        <v>0.36</v>
      </c>
      <c r="K90">
        <v>1</v>
      </c>
      <c r="AJ90">
        <f>=MIN(1, MAX(-1,(0-(0.66*J90))*K90))</f>
      </c>
      <c r="AS90">
        <f>=MIN(1, MAX(-1,(0-(0.51*J90))*K90))</f>
      </c>
      <c r="BT90">
        <f>=MIN(1, MAX(-1,(0.3*(J90^0.6)+ 0.07)*K90))</f>
      </c>
      <c r="BW90">
        <f>=MIN(1, MAX(-1,(0-(0.19*J90))*K90))</f>
      </c>
      <c r="CJ90">
        <f>=MIN(1, MAX(-1,(0.04+(0.11*J90))*K90))</f>
      </c>
      <c r="CK90">
        <f>=MIN(1, MAX(-1,(-0.08-(0.10*J90))*K90))</f>
      </c>
      <c r="DK90">
        <f>=MIN(1, MAX(-1,(0+(0.025*J90))*K90))</f>
      </c>
      <c r="DQ90">
        <f>=MIN(1, MAX(-1,(0.00+(0.20*J90))*K90))</f>
      </c>
      <c r="DT90">
        <f>=MIN(1, MAX(-1,(0+(0.03*J90))*K90))</f>
      </c>
      <c r="EM90">
        <f>=MIN(1, MAX(-1,(0.00+(0.14*J90))*K90))</f>
      </c>
      <c r="EN90">
        <f>=MIN(1, MAX(-1,(0+(0.1*J90))*K90))</f>
      </c>
      <c r="EO90">
        <f>=MIN(1, MAX(-1,(0+(0.09*J90))*K90))</f>
      </c>
    </row>
    <row r="91">
      <c r="A91" t="str">
        <v>StemCells</v>
      </c>
      <c r="B91" t="str">
        <v>20</v>
      </c>
      <c r="C91" t="str">
        <v>160</v>
      </c>
      <c r="E91" t="str">
        <v>0</v>
      </c>
      <c r="F91" t="str">
        <v>0</v>
      </c>
      <c r="H91">
        <f>=(B91+(C91-B91)*(D91+J91))*K91</f>
      </c>
      <c r="I91">
        <f>=(E91+(F91-E91)*(G91+J91))*K91</f>
      </c>
      <c r="J91">
        <f>=0</f>
      </c>
      <c r="K91">
        <f>=0</f>
      </c>
      <c r="AB91">
        <f>=MIN(1, MAX(-1,(0-(0.12*J91))*K91))</f>
      </c>
      <c r="CA91">
        <f>=MIN(1, MAX(-1,(0.01+(0.02*J91))*K91))</f>
      </c>
      <c r="CC91">
        <f>=MIN(1, MAX(-1,(0.03+(0.035*J91))*K91))</f>
      </c>
      <c r="CO91">
        <f>=MIN(1, MAX(-1,(-0.17-(0.1*J91))*K91))</f>
      </c>
      <c r="DI91">
        <f>=MIN(1, MAX(-1,(-0.02-(0.04*J91))*K91))</f>
      </c>
      <c r="EI91">
        <f>=MIN(1, MAX(-1,(0.02+(0.04*J91))*K91))</f>
      </c>
    </row>
    <row r="92">
      <c r="A92" t="str">
        <v>TaxShelters</v>
      </c>
      <c r="B92" t="str">
        <v>100</v>
      </c>
      <c r="C92" t="str">
        <v>400</v>
      </c>
      <c r="E92" t="str">
        <v>0</v>
      </c>
      <c r="F92" t="str">
        <v>0</v>
      </c>
      <c r="H92">
        <f>=(B92+(C92-B92)*(D92+J92))*K92</f>
      </c>
      <c r="I92">
        <f>=(E92+(F92-E92)*(G92+J92))*K92</f>
      </c>
      <c r="J92">
        <f>=0</f>
      </c>
      <c r="K92">
        <f>=0</f>
      </c>
      <c r="T92">
        <f>=MIN(1, MAX(-1,(-0.05-(0.15*J92))*K92))</f>
      </c>
      <c r="AA92">
        <f>=MIN(1, MAX(-1,(0.04+(0.2*J92))*K92))</f>
      </c>
      <c r="AB92">
        <f>=MIN(1, MAX(-1,(0-(0.12*J92))*K92))</f>
      </c>
      <c r="AE92">
        <f>=MIN(1, MAX(-1,(-0.2-(0.3*J92))*K92))</f>
      </c>
      <c r="BV92">
        <f>=MIN(1, MAX(-1,(0+(0.14*J92))*K92))</f>
      </c>
      <c r="CC92">
        <f>=MIN(1, MAX(-1,(0+(0.06*J92))*K92))</f>
      </c>
      <c r="CL92">
        <f>=MIN(1, MAX(-1,(-0.10-(0.30*J92))*K92))</f>
      </c>
      <c r="DQ92">
        <f>=MIN(1, MAX(-1,(-0.20-(0.40*J92))*K92))</f>
      </c>
      <c r="DR92">
        <f>=MIN(1, MAX(-1,(0.20+(0.30*J92))*K92))</f>
      </c>
      <c r="DS92">
        <f>=MIN(1, MAX(-1,(0+(0.10*J92))*K92))</f>
      </c>
      <c r="DX92">
        <f>=MIN(1, MAX(-1,(-0.08*(J92^3))*K92))</f>
      </c>
    </row>
    <row r="93">
      <c r="A93" t="str">
        <v>TechnologyColleges</v>
      </c>
      <c r="B93" t="str">
        <v>185</v>
      </c>
      <c r="C93" t="str">
        <v>670</v>
      </c>
      <c r="E93" t="str">
        <v>0</v>
      </c>
      <c r="F93" t="str">
        <v>0</v>
      </c>
      <c r="H93">
        <f>=(B93+(C93-B93)*(D93+J93))*K93</f>
      </c>
      <c r="I93">
        <f>=(E93+(F93-E93)*(G93+J93))*K93</f>
      </c>
      <c r="J93">
        <f>=0</f>
      </c>
      <c r="K93">
        <f>=0</f>
      </c>
      <c r="BT93">
        <f>=MIN(1, MAX(-1,(0.025+(0.06*J93))*K93))</f>
      </c>
      <c r="CL93">
        <f>=MIN(1, MAX(-1,(-0.02-(0.025*J93))*K93))</f>
      </c>
      <c r="DQ93">
        <f>=MIN(1, MAX(-1,(-0.02-(0.06*J93))*K93))</f>
      </c>
      <c r="EI93">
        <f>=MIN(1, MAX(-1,(0.05+(0.15*J93))*K93))</f>
      </c>
      <c r="EM93">
        <f>=MIN(1, MAX(-1,(0.00+(0.05*J93))*K93))</f>
      </c>
      <c r="EN93">
        <f>=MIN(1, MAX(-1,(0+(0.04*J93))*K93))</f>
      </c>
    </row>
    <row r="94">
      <c r="A94" t="str">
        <v>TechnologyGrants</v>
      </c>
      <c r="B94" t="str">
        <v>450</v>
      </c>
      <c r="C94" t="str">
        <v>4600</v>
      </c>
      <c r="D94">
        <f>=MIN(10, MAX(0,0.25+(0.75*CC247)))</f>
      </c>
      <c r="E94" t="str">
        <v>0</v>
      </c>
      <c r="F94" t="str">
        <v>0</v>
      </c>
      <c r="H94">
        <f>=(B94+(C94-B94)*(D94+J94))*K94</f>
      </c>
      <c r="I94">
        <f>=(E94+(F94-E94)*(G94+J94))*K94</f>
      </c>
      <c r="J94">
        <f>=0</f>
      </c>
      <c r="K94">
        <f>=0</f>
      </c>
      <c r="BU94">
        <f>=MIN(1, MAX(-1,(0.00+(0.07*J94))*K94))</f>
      </c>
      <c r="BV94">
        <f>=MIN(1, MAX(-1,(0.03+(0.08*J94))*K94))</f>
      </c>
      <c r="BW94">
        <f>=MIN(1, MAX(-1,(0.00-(0.05*J94))*K94))</f>
      </c>
      <c r="CC94">
        <f>=MIN(1, MAX(-1,(0.0+(0.02*J94))*K94))</f>
      </c>
      <c r="DV94">
        <f>=MIN(1, MAX(-1,(-0.08-(0.12*J94))*K94))</f>
      </c>
      <c r="EI94">
        <f>=MIN(1, MAX(-1,(0.05+(0.12*J94))*K94))</f>
      </c>
    </row>
    <row r="95">
      <c r="A95" t="str">
        <v>TelecommutingInitiative</v>
      </c>
      <c r="B95" t="str">
        <v>110</v>
      </c>
      <c r="C95" t="str">
        <v>900</v>
      </c>
      <c r="D95">
        <f>=MIN(10, MAX(0,0.4+(0.6*CC247)))</f>
      </c>
      <c r="E95" t="str">
        <v>0</v>
      </c>
      <c r="F95" t="str">
        <v>0</v>
      </c>
      <c r="H95">
        <f>=(B95+(C95-B95)*(D95+J95))*K95</f>
      </c>
      <c r="I95">
        <f>=(E95+(F95-E95)*(G95+J95))*K95</f>
      </c>
      <c r="J95">
        <f>=0</f>
      </c>
      <c r="K95">
        <f>=0</f>
      </c>
      <c r="CP95">
        <f>=MIN(1, MAX(-1,(0.05+(0.05*J95))*K95))</f>
      </c>
      <c r="CW95">
        <f>=MIN(1, MAX(-1,(0.05+(0.15*J95))*K95))</f>
      </c>
      <c r="DA95">
        <f>=MIN(1, MAX(-1,(-0.05-(0.1*J95))*K95))</f>
      </c>
      <c r="DF95">
        <f>=MIN(1, MAX(-1,(-0.05-(0.1*J95))*K95))</f>
      </c>
      <c r="DJ95">
        <f>=MIN(1, MAX(-1,(0.07+(0.07*J95))*K95))</f>
      </c>
    </row>
    <row r="96">
      <c r="A96" t="str">
        <v>TobaccoTax</v>
      </c>
      <c r="B96" t="str">
        <v>0</v>
      </c>
      <c r="C96" t="str">
        <v>0</v>
      </c>
      <c r="E96" t="str">
        <v>115</v>
      </c>
      <c r="F96" t="str">
        <v>8418</v>
      </c>
      <c r="G96">
        <f>=MIN(10, MAX(0,0+(1.0*EU247)))</f>
      </c>
      <c r="H96">
        <f>=(B96+(C96-B96)*(D96+J96))*K96</f>
      </c>
      <c r="I96">
        <f>=(E96+(F96-E96)*(G96+J96))*K96</f>
      </c>
      <c r="J96">
        <v>0.2</v>
      </c>
      <c r="K96">
        <v>1</v>
      </c>
      <c r="CK96">
        <f>=MIN(1, MAX(-1,(0.23*(EU247*J96))*K96))</f>
      </c>
      <c r="CL96">
        <f>=MIN(1, MAX(-1,(-0.1*(EU247*J96))*K96))</f>
      </c>
      <c r="DD96">
        <f>=MIN(1, MAX(-1,(-0.4*(EU247*J96))*K96))</f>
      </c>
      <c r="EU96">
        <f>=MIN(1, MAX(-1,(0-(0.8*J96))*K96))</f>
      </c>
    </row>
    <row r="97">
      <c r="A97" t="str">
        <v>TollRoads</v>
      </c>
      <c r="B97" t="str">
        <v>0</v>
      </c>
      <c r="C97" t="str">
        <v>0</v>
      </c>
      <c r="E97" t="str">
        <v>11.5</v>
      </c>
      <c r="F97" t="str">
        <v>140.3</v>
      </c>
      <c r="G97">
        <f>=MIN(10, MAX(0,0+(1.0*DF247)))</f>
      </c>
      <c r="H97">
        <f>=(B97+(C97-B97)*(D97+J97))*K97</f>
      </c>
      <c r="I97">
        <f>=(E97+(F97-E97)*(G97+J97))*K97</f>
      </c>
      <c r="J97">
        <f>=0</f>
      </c>
      <c r="K97">
        <f>=0</f>
      </c>
      <c r="BV97">
        <f>=MIN(1, MAX(-1,(0.15+(0.11*J97))*K97))</f>
      </c>
      <c r="CL97">
        <f>=MIN(1, MAX(-1,(0-(0.02*J97))*K97))</f>
      </c>
      <c r="CR97">
        <f>=MIN(1, MAX(-1,(0.00-(0.25*J97))*K97))</f>
      </c>
      <c r="CW97">
        <f>=MIN(1, MAX(-1,(0.10+(0.05*J97))*K97))</f>
      </c>
      <c r="DF97">
        <f>=MIN(1, MAX(-1,(0.00-(0.05*J97))*K97))</f>
      </c>
      <c r="DG97">
        <f>=MIN(1, MAX(-1,(-0.04-(0.08*J97))*K97))</f>
      </c>
      <c r="ER97">
        <f>=MIN(1, MAX(-1,(0-(0.12*J97))*K97))</f>
      </c>
    </row>
    <row r="98">
      <c r="A98" t="str">
        <v>UnemployedBenefit</v>
      </c>
      <c r="B98" t="str">
        <v>500</v>
      </c>
      <c r="C98" t="str">
        <v>5440</v>
      </c>
      <c r="D98">
        <f>=MIN(10, MAX(0,0+(1.0*BW247)))</f>
      </c>
      <c r="E98" t="str">
        <v>0</v>
      </c>
      <c r="F98" t="str">
        <v>0</v>
      </c>
      <c r="H98">
        <f>=(B98+(C98-B98)*(D98+J98))*K98</f>
      </c>
      <c r="I98">
        <f>=(E98+(F98-E98)*(G98+J98))*K98</f>
      </c>
      <c r="J98">
        <v>0.21</v>
      </c>
      <c r="K98">
        <v>1</v>
      </c>
      <c r="Y98">
        <f>=MIN(1, MAX(-1,(0-(0.2*J98))*K98))</f>
      </c>
      <c r="AN98">
        <f>=MIN(1, MAX(-1,(0-(0.3*J98))*K98))</f>
      </c>
      <c r="BV98">
        <f>=MIN(1, MAX(-1,(-0.01-(0.08*J98))*K98))</f>
      </c>
      <c r="BW98">
        <f>=MIN(1, MAX(-1,(0+(0.1*J98))*K98))</f>
      </c>
      <c r="CJ98">
        <f>=MIN(1, MAX(-1,(0.1+(0.3*J98))*K98))</f>
      </c>
      <c r="CK98">
        <f>=MIN(1, MAX(-1,(0-(0.12*J98))*K98))</f>
      </c>
      <c r="CY98">
        <f>=MIN(1, MAX(-1,(0+(0.15*J98))*K98))</f>
      </c>
      <c r="DQ98">
        <f>=MIN(1, MAX(-1,(0+(0.15*J98))*K98))</f>
      </c>
    </row>
    <row r="99">
      <c r="A99" t="str">
        <v>UniversityGrants</v>
      </c>
      <c r="B99" t="str">
        <v>200</v>
      </c>
      <c r="C99" t="str">
        <v>2600</v>
      </c>
      <c r="E99" t="str">
        <v>0</v>
      </c>
      <c r="F99" t="str">
        <v>0</v>
      </c>
      <c r="H99">
        <f>=(B99+(C99-B99)*(D99+J99))*K99</f>
      </c>
      <c r="I99">
        <f>=(E99+(F99-E99)*(G99+J99))*K99</f>
      </c>
      <c r="J99">
        <f>=0</f>
      </c>
      <c r="K99">
        <f>=0</f>
      </c>
      <c r="L99">
        <f>=MIN(1, MAX(-1,(0-(0.2*J99))*K99))</f>
      </c>
      <c r="AJ99">
        <f>=MIN(1, MAX(-1,(0-(0.14*J99))*K99))</f>
      </c>
      <c r="AS99">
        <f>=MIN(1, MAX(-1,(0+(0.05*J99))*K99))</f>
      </c>
      <c r="BT99">
        <f>=MIN(1, MAX(-1,(0.00+(0.25*J99))*K99))</f>
      </c>
      <c r="CE99">
        <f>=MIN(1, MAX(-1,(0+(0.06*J99))*K99))</f>
      </c>
      <c r="CI99">
        <f>=MIN(1, MAX(-1,(0.04+(0.17*J99))*K99))</f>
      </c>
      <c r="CY99">
        <f>=MIN(1, MAX(-1,(0+(0.06*J99))*K99))</f>
      </c>
      <c r="DJ99">
        <f>=MIN(1, MAX(-1,(0.02+(0.02*J99))*K99))</f>
      </c>
      <c r="EB99">
        <f>=MIN(1, MAX(-1,(0.08+(0.12*J99))*K99))</f>
      </c>
      <c r="EM99">
        <f>=MIN(1, MAX(-1,(0.00+(0.18*J99))*K99))</f>
      </c>
    </row>
    <row r="100">
      <c r="A100" t="str">
        <v>WelfareFraudDept</v>
      </c>
      <c r="B100" t="str">
        <v>120</v>
      </c>
      <c r="C100" t="str">
        <v>155</v>
      </c>
      <c r="E100" t="str">
        <v>115</v>
      </c>
      <c r="F100" t="str">
        <v>800</v>
      </c>
      <c r="G100">
        <f>=0</f>
      </c>
      <c r="H100">
        <f>=(B100+(C100-B100)*(D100+J100))*K100</f>
      </c>
      <c r="I100">
        <f>=(E100+(F100-E100)*(G100+J100))*K100</f>
      </c>
      <c r="J100">
        <f>=0</f>
      </c>
      <c r="K100">
        <f>=0</f>
      </c>
      <c r="CJ100">
        <f>=MIN(1, MAX(-1,(-0.03-(0.06*J100))*K100))</f>
      </c>
      <c r="DI100">
        <f>=MIN(1, MAX(-1,(0.05+(0.07*J100))*K100))</f>
      </c>
      <c r="EF100">
        <f>=MIN(1, MAX(-1,(0.03+(0.06*J100))*K100))</f>
      </c>
    </row>
    <row r="101">
      <c r="A101" t="str">
        <v>WinterFuelSubsidy</v>
      </c>
      <c r="B101" t="str">
        <v>500</v>
      </c>
      <c r="C101" t="str">
        <v>2000</v>
      </c>
      <c r="D101">
        <f>=0</f>
      </c>
      <c r="E101" t="str">
        <v>0</v>
      </c>
      <c r="F101" t="str">
        <v>0</v>
      </c>
      <c r="H101">
        <f>=(B101+(C101-B101)*(D101+J101))*K101</f>
      </c>
      <c r="I101">
        <f>=(E101+(F101-E101)*(G101+J101))*K101</f>
      </c>
      <c r="J101">
        <f>=0</f>
      </c>
      <c r="K101">
        <f>=0</f>
      </c>
      <c r="CA101">
        <f>=MIN(1, MAX(-1,(0.02+(0.02*J101))*K101))</f>
      </c>
      <c r="CB101">
        <f>=MIN(1, MAX(-1,(-0.02-(0.03*J101))*K101))</f>
      </c>
      <c r="CK101">
        <f>=MIN(1, MAX(-1,(-0.02-(0.06*J101))*K101))</f>
      </c>
      <c r="DC101">
        <f>=MIN(1, MAX(-1,(0-(0.08*J101))*K101))</f>
      </c>
      <c r="DY101">
        <f>=MIN(1, MAX(-1,(0.2+(0.2*J101))*K101))</f>
      </c>
      <c r="ET101">
        <f>=MIN(1, MAX(-1,(0+(0.04*J101))*K101))</f>
      </c>
    </row>
    <row r="102">
      <c r="A102" t="str">
        <v>WorkSafetyLaw</v>
      </c>
      <c r="B102" t="str">
        <v>10</v>
      </c>
      <c r="C102" t="str">
        <v>55</v>
      </c>
      <c r="E102" t="str">
        <v>0</v>
      </c>
      <c r="F102" t="str">
        <v>0</v>
      </c>
      <c r="H102">
        <f>=(B102+(C102-B102)*(D102+J102))*K102</f>
      </c>
      <c r="I102">
        <f>=(E102+(F102-E102)*(G102+J102))*K102</f>
      </c>
      <c r="J102">
        <f>=0</f>
      </c>
      <c r="K102">
        <f>=0</f>
      </c>
      <c r="T102">
        <f>=MIN(1, MAX(-1,(0.1+(0.1*J102))*K102))</f>
      </c>
      <c r="BU102">
        <f>=MIN(1, MAX(-1,(-0.01-(0.02*J102))*K102))</f>
      </c>
      <c r="CA102">
        <f>=MIN(1, MAX(-1,(0.01+(0.02*J102))*K102))</f>
      </c>
      <c r="CP102">
        <f>=MIN(1, MAX(-1,(0.04+(0.06*J102))*K102))</f>
      </c>
      <c r="DP102">
        <f>=MIN(1, MAX(-1,(-0.05-(0.08*J102))*K102))</f>
      </c>
      <c r="EH102">
        <f>=MIN(1, MAX(-1,(-0.02-(0.08*J102))*K102))</f>
      </c>
      <c r="EK102">
        <f>=MIN(1, MAX(-1,(0.02+(0.02*J102))*K102))</f>
      </c>
    </row>
    <row r="103">
      <c r="A103" t="str">
        <v>YouthClubSubsidies</v>
      </c>
      <c r="B103" t="str">
        <v>12</v>
      </c>
      <c r="C103" t="str">
        <v>220</v>
      </c>
      <c r="E103" t="str">
        <v>0</v>
      </c>
      <c r="F103" t="str">
        <v>0</v>
      </c>
      <c r="H103">
        <f>=(B103+(C103-B103)*(D103+J103))*K103</f>
      </c>
      <c r="I103">
        <f>=(E103+(F103-E103)*(G103+J103))*K103</f>
      </c>
      <c r="J103">
        <f>=0</f>
      </c>
      <c r="K103">
        <f>=0</f>
      </c>
      <c r="CI103">
        <f>=MIN(1, MAX(-1,(0.03+(0.08*J103))*K103))</f>
      </c>
      <c r="CM103">
        <f>=MIN(1, MAX(-1,(-0.03-(0.03*J103))*K103))</f>
      </c>
      <c r="DJ103">
        <f>=MIN(1, MAX(-1,(0.06+(0.05*J103))*K103))</f>
      </c>
      <c r="DQ103">
        <f>=MIN(1, MAX(-1,(0.04+(0.02*J103))*K103))</f>
      </c>
      <c r="EB103">
        <f>=MIN(1, MAX(-1,(0.02+(0.06*J103))*K103))</f>
      </c>
    </row>
    <row r="104">
      <c r="A104" t="str">
        <v>AbortionLaw</v>
      </c>
      <c r="B104" t="str">
        <v>0</v>
      </c>
      <c r="C104" t="str">
        <v>0</v>
      </c>
      <c r="E104" t="str">
        <v>0</v>
      </c>
      <c r="F104" t="str">
        <v>0</v>
      </c>
      <c r="H104">
        <f>=(B104+(C104-B104)*(D104+J104))*K104</f>
      </c>
      <c r="I104">
        <f>=(E104+(F104-E104)*(G104+J104))*K104</f>
      </c>
      <c r="J104">
        <f>=0</f>
      </c>
      <c r="K104">
        <f>=0</f>
      </c>
      <c r="CF104">
        <f>=MIN(1, MAX(-1,(0.2+(J104-1)^5)*K104))</f>
      </c>
      <c r="CO104">
        <f>=MIN(1, MAX(-1,(0.2-(J104^5))*K104))</f>
      </c>
      <c r="DI104">
        <f>=MIN(1, MAX(-1,(0.2-(0.4*J104))*K104))</f>
      </c>
    </row>
    <row r="105">
      <c r="A105" t="str">
        <v>RentControls</v>
      </c>
      <c r="B105" t="str">
        <v>10</v>
      </c>
      <c r="C105" t="str">
        <v>12</v>
      </c>
      <c r="E105" t="str">
        <v>0</v>
      </c>
      <c r="F105" t="str">
        <v>0</v>
      </c>
      <c r="H105">
        <f>=(B105+(C105-B105)*(D105+J105))*K105</f>
      </c>
      <c r="I105">
        <f>=(E105+(F105-E105)*(G105+J105))*K105</f>
      </c>
      <c r="J105">
        <f>=0</f>
      </c>
      <c r="K105">
        <f>=0</f>
      </c>
      <c r="AO105">
        <f>=MIN(1, MAX(-1,(0.0-(0.17*J105))*K105))</f>
      </c>
      <c r="BV105">
        <f>=MIN(1, MAX(-1,(-0.1-(0.2*J105))*K105))</f>
      </c>
      <c r="CK105">
        <f>=MIN(1, MAX(-1,(-0.03-(0.03*J105))*K105))</f>
      </c>
      <c r="CY105">
        <f>=MIN(1, MAX(-1,(0.03+(0.04*J105))*K105))</f>
      </c>
      <c r="DQ105">
        <f>=MIN(1, MAX(-1,(0.04+(0.04*J105))*K105))</f>
      </c>
      <c r="ES105">
        <f>=MIN(1, MAX(-1,(-0.09-(0.04*J105))*K105))</f>
      </c>
      <c r="EV105">
        <f>=MIN(1, MAX(-1,(-0.1-(0.15*J105))*K105))</f>
      </c>
    </row>
    <row r="106">
      <c r="A106" t="str">
        <v>SchoolVouchers</v>
      </c>
      <c r="B106" t="str">
        <v>320</v>
      </c>
      <c r="C106" t="str">
        <v>8000</v>
      </c>
      <c r="D106">
        <f>=MIN(10, MAX(0,0+(1.0*EW247)))</f>
      </c>
      <c r="E106" t="str">
        <v>0</v>
      </c>
      <c r="F106" t="str">
        <v>0</v>
      </c>
      <c r="H106">
        <f>=(B106+(C106-B106)*(D106+J106))*K106</f>
      </c>
      <c r="I106">
        <f>=(E106+(F106-E106)*(G106+J106))*K106</f>
      </c>
      <c r="J106">
        <f>=0</f>
      </c>
      <c r="K106">
        <f>=0</f>
      </c>
      <c r="CL106">
        <f>=MIN(1, MAX(-1,(0+(0.05*J106))*K106))</f>
      </c>
      <c r="CY106">
        <f>=MIN(1, MAX(-1,(0+(0.13*J106))*K106))</f>
      </c>
      <c r="DT106">
        <f>=MIN(1, MAX(-1,(-0.01-(0.12*J106))*K106))</f>
      </c>
      <c r="EW106">
        <f>=MIN(1, MAX(-1,(0+(0.6*J106))*K106))</f>
      </c>
    </row>
    <row r="107">
      <c r="A107" t="str">
        <v>OilDrillingSubsidy</v>
      </c>
      <c r="B107" t="str">
        <v>200</v>
      </c>
      <c r="C107" t="str">
        <v>32100</v>
      </c>
      <c r="D107">
        <f>=MIN(10, MAX(0,0.75+(0.25*CC247)))</f>
      </c>
      <c r="E107" t="str">
        <v>0</v>
      </c>
      <c r="F107" t="str">
        <v>0</v>
      </c>
      <c r="H107">
        <f>=(B107+(C107-B107)*(D107+J107))*K107</f>
      </c>
      <c r="I107">
        <f>=(E107+(F107-E107)*(G107+J107))*K107</f>
      </c>
      <c r="J107">
        <f>=0</f>
      </c>
      <c r="K107">
        <f>=0</f>
      </c>
      <c r="CB107">
        <f>=MIN(1, MAX(-1,(-0.1-(0.25*J107))*K107))</f>
      </c>
      <c r="CC107">
        <f>=MIN(1, MAX(-1,(0+(0.02*J107))*K107))</f>
      </c>
      <c r="EX107">
        <f>=MIN(1, MAX(-1,(0.06+(0.1*J107))*K107))</f>
      </c>
    </row>
    <row r="108">
      <c r="A108" t="str">
        <v>MansionTax</v>
      </c>
      <c r="B108" t="str">
        <v>32</v>
      </c>
      <c r="C108" t="str">
        <v>34</v>
      </c>
      <c r="E108" t="str">
        <v>500</v>
      </c>
      <c r="F108" t="str">
        <v>4000</v>
      </c>
      <c r="G108">
        <f>=0</f>
      </c>
      <c r="H108">
        <f>=(B108+(C108-B108)*(D108+J108))*K108</f>
      </c>
      <c r="I108">
        <f>=(E108+(F108-E108)*(G108+J108))*K108</f>
      </c>
      <c r="J108">
        <f>=0</f>
      </c>
      <c r="K108">
        <f>=0</f>
      </c>
      <c r="AE108">
        <f>=MIN(1, MAX(-1,(0.1+(0.1*J108))*K108))</f>
      </c>
      <c r="AO108">
        <f>=MIN(1, MAX(-1,(0-(0.25*J108))*K108))</f>
      </c>
      <c r="CL108">
        <f>=MIN(1, MAX(-1,(0.28*(J108^5))*K108))</f>
      </c>
      <c r="DQ108">
        <f>=MIN(1, MAX(-1,(0.08+(0.10*J108))*K108))</f>
      </c>
      <c r="DR108">
        <f>=MIN(1, MAX(-1,(-0.1-(0.15*J108))*K108))</f>
      </c>
      <c r="DY108">
        <f>=MIN(1, MAX(-1,(-0.8*(J108^8))*K108))</f>
      </c>
    </row>
    <row r="109">
      <c r="A109" t="str">
        <v>FuelEfficiency</v>
      </c>
      <c r="B109" t="str">
        <v>20</v>
      </c>
      <c r="C109" t="str">
        <v>22</v>
      </c>
      <c r="E109" t="str">
        <v>0</v>
      </c>
      <c r="F109" t="str">
        <v>0</v>
      </c>
      <c r="H109">
        <f>=(B109+(C109-B109)*(D109+J109))*K109</f>
      </c>
      <c r="I109">
        <f>=(E109+(F109-E109)*(G109+J109))*K109</f>
      </c>
      <c r="J109">
        <f>=0</f>
      </c>
      <c r="K109">
        <f>=0</f>
      </c>
      <c r="BV109">
        <f>=MIN(1, MAX(-1,(-0.01-(0.02*J109))*K109))</f>
      </c>
      <c r="CB109">
        <f>=MIN(1, MAX(-1,(0.04+(0.04*J109))*K109))</f>
      </c>
      <c r="CQ109">
        <f>=MIN(1, MAX(-1,(-0.04-(0.10*J109))*K109))</f>
      </c>
      <c r="DB109">
        <f>=MIN(1, MAX(-1,(0-(0.1*J109))*K109))</f>
      </c>
      <c r="DF109">
        <f>=MIN(1, MAX(-1,(0.02+(0.06*J109))*K109))</f>
      </c>
      <c r="DG109">
        <f>=MIN(1, MAX(-1,(0.02+(0.08*J109))*K109))</f>
      </c>
    </row>
    <row r="110">
      <c r="A110" t="str">
        <v>ForeignInvestorTaxBreaks</v>
      </c>
      <c r="B110" t="str">
        <v>600</v>
      </c>
      <c r="C110" t="str">
        <v>6000</v>
      </c>
      <c r="D110">
        <f>=MIN(10, MAX(0,0.75+(0.25*CC247)))</f>
      </c>
      <c r="E110" t="str">
        <v>0</v>
      </c>
      <c r="F110" t="str">
        <v>0</v>
      </c>
      <c r="H110">
        <f>=(B110+(C110-B110)*(D110+J110))*K110</f>
      </c>
      <c r="I110">
        <f>=(E110+(F110-E110)*(G110+J110))*K110</f>
      </c>
      <c r="J110">
        <f>=0</f>
      </c>
      <c r="K110">
        <f>=0</f>
      </c>
      <c r="CC110">
        <f>=MIN(1, MAX(-1,(0.03+(0.05*J110))*K110))</f>
      </c>
      <c r="CS110">
        <f>=MIN(1, MAX(-1,(-0.1-(0.14*J110))*K110))</f>
      </c>
    </row>
    <row r="111">
      <c r="A111" t="str">
        <v>RoboticsResearch</v>
      </c>
      <c r="B111" t="str">
        <v>100</v>
      </c>
      <c r="C111" t="str">
        <v>2100</v>
      </c>
      <c r="E111" t="str">
        <v>0</v>
      </c>
      <c r="F111" t="str">
        <v>0</v>
      </c>
      <c r="H111">
        <f>=(B111+(C111-B111)*(D111+J111))*K111</f>
      </c>
      <c r="I111">
        <f>=(E111+(F111-E111)*(G111+J111))*K111</f>
      </c>
      <c r="J111">
        <f>=0</f>
      </c>
      <c r="K111">
        <f>=0</f>
      </c>
      <c r="BU111">
        <f>=MIN(1, MAX(-1,(0.02+(0.1*J111))*K111))</f>
      </c>
      <c r="BW111">
        <f>=MIN(1, MAX(-1,(0+(0.19*J111))*K111))</f>
      </c>
      <c r="CP111">
        <f>=MIN(1, MAX(-1,(-0.06-(0.1*J111))*K111))</f>
      </c>
      <c r="EI111">
        <f>=MIN(1, MAX(-1,(0.01+(0.06*J111))*K111))</f>
      </c>
    </row>
    <row r="112">
      <c r="A112" t="str">
        <v>PrivatePrisons</v>
      </c>
      <c r="B112" t="str">
        <v>80</v>
      </c>
      <c r="C112" t="str">
        <v>1520</v>
      </c>
      <c r="D112">
        <f>=MIN(10, MAX(0,0.1+(0.9*CM247)))</f>
      </c>
      <c r="E112" t="str">
        <v>0</v>
      </c>
      <c r="F112" t="str">
        <v>0</v>
      </c>
      <c r="H112">
        <f>=(B112+(C112-B112)*(D112+J112))*K112</f>
      </c>
      <c r="I112">
        <f>=(E112+(F112-E112)*(G112+J112))*K112</f>
      </c>
      <c r="J112">
        <f>=0</f>
      </c>
      <c r="K112">
        <f>=0</f>
      </c>
      <c r="BV112">
        <f>=MIN(1, MAX(-1,(0+(0.11*J112))*K112))</f>
      </c>
      <c r="BW112">
        <f>=MIN(1, MAX(-1,(0-(0.02*J112))*K112))</f>
      </c>
      <c r="CF112">
        <f>=MIN(1, MAX(-1,(-0.05+(J112^2)*0.11)*K112))</f>
      </c>
      <c r="CM112">
        <f>=MIN(1, MAX(-1,(0.00-(0.07*J112))*K112))</f>
      </c>
      <c r="CP112">
        <f>=MIN(1, MAX(-1,(-0.06-(0.06*J112))*K112))</f>
      </c>
      <c r="DI112">
        <f>=MIN(1, MAX(-1,(0.00+(0.12*J112))*K112))</f>
      </c>
    </row>
    <row r="113">
      <c r="A113" t="str">
        <v>JunkFoodTax</v>
      </c>
      <c r="B113" t="str">
        <v>4</v>
      </c>
      <c r="C113" t="str">
        <v>5</v>
      </c>
      <c r="E113" t="str">
        <v>23</v>
      </c>
      <c r="F113" t="str">
        <v>102</v>
      </c>
      <c r="H113">
        <f>=(B113+(C113-B113)*(D113+J113))*K113</f>
      </c>
      <c r="I113">
        <f>=(E113+(F113-E113)*(G113+J113))*K113</f>
      </c>
      <c r="J113">
        <f>=0</f>
      </c>
      <c r="K113">
        <f>=0</f>
      </c>
      <c r="M113">
        <f>=MIN(1, MAX(-1,(-0.16-(0.15*J113))*K113))</f>
      </c>
      <c r="CA113">
        <f>=MIN(1, MAX(-1,(0.03+(0.06*J113))*K113))</f>
      </c>
      <c r="CI113">
        <f>=MIN(1, MAX(-1,(-0.02-(0.04*J113))*K113))</f>
      </c>
      <c r="CK113">
        <f>=MIN(1, MAX(-1,(0.02+(0.02*J113))*K113))</f>
      </c>
      <c r="CY113">
        <f>=MIN(1, MAX(-1,(-0.02-(0.03*J113))*K113))</f>
      </c>
    </row>
    <row r="114">
      <c r="A114" t="str">
        <v>HealthFoodSubsidies</v>
      </c>
      <c r="B114" t="str">
        <v>12</v>
      </c>
      <c r="C114" t="str">
        <v>90</v>
      </c>
      <c r="D114">
        <f>=MIN(10, MAX(0,0.75+(0.25*CA247)))</f>
      </c>
      <c r="E114" t="str">
        <v>0</v>
      </c>
      <c r="F114" t="str">
        <v>0</v>
      </c>
      <c r="H114">
        <f>=(B114+(C114-B114)*(D114+J114))*K114</f>
      </c>
      <c r="I114">
        <f>=(E114+(F114-E114)*(G114+J114))*K114</f>
      </c>
      <c r="J114">
        <f>=0</f>
      </c>
      <c r="K114">
        <f>=0</f>
      </c>
      <c r="M114">
        <f>=MIN(1, MAX(-1,(-0.12-(0.14*J114))*K114))</f>
      </c>
      <c r="CA114">
        <f>=MIN(1, MAX(-1,(0.03+(0.06*J114))*K114))</f>
      </c>
      <c r="CY114">
        <f>=MIN(1, MAX(-1,(0.02+(0.02*J114))*K114))</f>
      </c>
    </row>
    <row r="115">
      <c r="A115" t="str">
        <v>Tasers</v>
      </c>
      <c r="B115" t="str">
        <v>200</v>
      </c>
      <c r="C115" t="str">
        <v>400</v>
      </c>
      <c r="E115" t="str">
        <v>0</v>
      </c>
      <c r="F115" t="str">
        <v>0</v>
      </c>
      <c r="H115">
        <f>=(B115+(C115-B115)*(D115+J115))*K115</f>
      </c>
      <c r="I115">
        <f>=(E115+(F115-E115)*(G115+J115))*K115</f>
      </c>
      <c r="J115">
        <f>=0</f>
      </c>
      <c r="K115">
        <f>=0</f>
      </c>
      <c r="Q115">
        <f>=MIN(1, MAX(-1,(-0.1-(0.1*J115))*K115))</f>
      </c>
      <c r="S115">
        <f>=MIN(1, MAX(-1,(-0.05-(0.05*J115))*K115))</f>
      </c>
      <c r="CF115">
        <f>=MIN(1, MAX(-1,(-0.08-(0.08*J115))*K115))</f>
      </c>
      <c r="CH115">
        <f>=MIN(1, MAX(-1,(-0.10-(0.05*J115))*K115))</f>
      </c>
      <c r="CM115">
        <f>=MIN(1, MAX(-1,(-0.05-(0.05*J115))*K115))</f>
      </c>
      <c r="CN115">
        <f>=MIN(1, MAX(-1,(0.015+(0.02*J115))*K115))</f>
      </c>
    </row>
    <row r="116">
      <c r="A116" t="str">
        <v>PoliceDrones</v>
      </c>
      <c r="B116" t="str">
        <v>500</v>
      </c>
      <c r="C116" t="str">
        <v>1400</v>
      </c>
      <c r="E116" t="str">
        <v>0</v>
      </c>
      <c r="F116" t="str">
        <v>0</v>
      </c>
      <c r="H116">
        <f>=(B116+(C116-B116)*(D116+J116))*K116</f>
      </c>
      <c r="I116">
        <f>=(E116+(F116-E116)*(G116+J116))*K116</f>
      </c>
      <c r="J116">
        <f>=0</f>
      </c>
      <c r="K116">
        <f>=0</f>
      </c>
      <c r="N116">
        <f>=MIN(1, MAX(-1,(-0.1-(0.1*J116))*K116))</f>
      </c>
      <c r="P116">
        <f>=MIN(1, MAX(-1,(-0.1-(0.05*J116))*K116))</f>
      </c>
      <c r="R116">
        <f>=MIN(1, MAX(-1,(-0.1-(0.05*J116))*K116))</f>
      </c>
      <c r="S116">
        <f>=MIN(1, MAX(-1,(-0.1-(0.05*J116))*K116))</f>
      </c>
      <c r="AT116">
        <f>=MIN(1, MAX(-1,(0+(0.4*J116))*K116))</f>
      </c>
      <c r="CF116">
        <f>=MIN(1, MAX(-1,(-0.1-(0.1*J116))*K116))</f>
      </c>
      <c r="CH116">
        <f>=MIN(1, MAX(-1,(-0.02-(0.05*J116))*K116))</f>
      </c>
      <c r="CM116">
        <f>=MIN(1, MAX(-1,(-0.08-(0.05*J116))*K116))</f>
      </c>
      <c r="CN116">
        <f>=MIN(1, MAX(-1,(0.03+(0.03*J116))*K116))</f>
      </c>
      <c r="CU116">
        <f>=MIN(1, MAX(-1,(-0.1-(0.03*J116))*K116))</f>
      </c>
    </row>
    <row r="117">
      <c r="A117" t="str">
        <v>ArtsSubsidies</v>
      </c>
      <c r="B117" t="str">
        <v>50</v>
      </c>
      <c r="C117" t="str">
        <v>575</v>
      </c>
      <c r="E117" t="str">
        <v>0</v>
      </c>
      <c r="F117" t="str">
        <v>0</v>
      </c>
      <c r="H117">
        <f>=(B117+(C117-B117)*(D117+J117))*K117</f>
      </c>
      <c r="I117">
        <f>=(E117+(F117-E117)*(G117+J117))*K117</f>
      </c>
      <c r="J117">
        <f>=0</f>
      </c>
      <c r="K117">
        <f>=0</f>
      </c>
      <c r="BT117">
        <f>=MIN(1, MAX(-1,(0+(0.03*J117))*K117))</f>
      </c>
      <c r="BV117">
        <f>=MIN(1, MAX(-1,(-0.01-(0.03*J117))*K117))</f>
      </c>
      <c r="BW117">
        <f>=MIN(1, MAX(-1,(0-(0.01*J117))*K117))</f>
      </c>
      <c r="CF117">
        <f>=MIN(1, MAX(-1,(0.01+(0.08*J117))*K117))</f>
      </c>
      <c r="DO117">
        <f>=MIN(1, MAX(-1,(-0.01+(0.06*J117))*K117))</f>
      </c>
      <c r="DX117">
        <f>=MIN(1, MAX(-1,(0+(0.07*J117))*K117))</f>
      </c>
      <c r="EY117">
        <f>=MIN(1, MAX(-1,(0+(0.10*J117))*K117))</f>
      </c>
    </row>
    <row r="118">
      <c r="A118" t="str">
        <v>HealthcareVouchers</v>
      </c>
      <c r="B118" t="str">
        <v>2000</v>
      </c>
      <c r="C118" t="str">
        <v>15000</v>
      </c>
      <c r="D118">
        <f>=0</f>
      </c>
      <c r="E118" t="str">
        <v>0</v>
      </c>
      <c r="F118" t="str">
        <v>0</v>
      </c>
      <c r="H118">
        <f>=(B118+(C118-B118)*(D118+J118))*K118</f>
      </c>
      <c r="I118">
        <f>=(E118+(F118-E118)*(G118+J118))*K118</f>
      </c>
      <c r="J118">
        <f>=0</f>
      </c>
      <c r="K118">
        <f>=0</f>
      </c>
      <c r="CE118">
        <f>=MIN(1, MAX(-1,(0+(0.08*J118))*K118))</f>
      </c>
      <c r="CL118">
        <f>=MIN(1, MAX(-1,(0+(0.1*J118))*K118))</f>
      </c>
      <c r="CY118">
        <f>=MIN(1, MAX(-1,(0+(0.17*J118))*K118))</f>
      </c>
      <c r="DT118">
        <f>=MIN(1, MAX(-1,(-0.01-(0.12*J118))*K118))</f>
      </c>
      <c r="EZ118">
        <f>=MIN(1, MAX(-1,(0+(0.6*J118))*K118))</f>
      </c>
    </row>
    <row r="119">
      <c r="A119" t="str">
        <v>HealthTaxCredits</v>
      </c>
      <c r="B119" t="str">
        <v>1000</v>
      </c>
      <c r="C119" t="str">
        <v>8000</v>
      </c>
      <c r="D119">
        <f>=0</f>
      </c>
      <c r="E119" t="str">
        <v>0</v>
      </c>
      <c r="F119" t="str">
        <v>0</v>
      </c>
      <c r="H119">
        <f>=(B119+(C119-B119)*(D119+J119))*K119</f>
      </c>
      <c r="I119">
        <f>=(E119+(F119-E119)*(G119+J119))*K119</f>
      </c>
      <c r="J119">
        <f>=0</f>
      </c>
      <c r="K119">
        <f>=0</f>
      </c>
      <c r="BV119">
        <f>=MIN(1, MAX(-1,(0.02+(0.04*J119))*K119))</f>
      </c>
      <c r="CE119">
        <f>=MIN(1, MAX(-1,(0+(0.08*J119))*K119))</f>
      </c>
      <c r="CJ119">
        <f>=MIN(1, MAX(-1,(-0.01-(0.05*J119))*K119))</f>
      </c>
      <c r="DQ119">
        <f>=MIN(1, MAX(-1,(-0.01-(0.05*J119))*K119))</f>
      </c>
      <c r="DR119">
        <f>=MIN(1, MAX(-1,(0.02+(0.06*J119))*K119))</f>
      </c>
      <c r="DS119">
        <f>=MIN(1, MAX(-1,(0+(0.06*J119))*K119))</f>
      </c>
      <c r="EF119">
        <f>=MIN(1, MAX(-1,(0.04+(0.06*J119))*K119))</f>
      </c>
      <c r="EZ119">
        <f>=MIN(1, MAX(-1,(0+(0.3*J119))*K119))</f>
      </c>
    </row>
    <row r="120">
      <c r="A120" t="str">
        <v>SchoolTaxCredits</v>
      </c>
      <c r="B120" t="str">
        <v>200</v>
      </c>
      <c r="C120" t="str">
        <v>5000</v>
      </c>
      <c r="E120" t="str">
        <v>0</v>
      </c>
      <c r="F120" t="str">
        <v>0</v>
      </c>
      <c r="H120">
        <f>=(B120+(C120-B120)*(D120+J120))*K120</f>
      </c>
      <c r="I120">
        <f>=(E120+(F120-E120)*(G120+J120))*K120</f>
      </c>
      <c r="J120">
        <f>=0</f>
      </c>
      <c r="K120">
        <f>=0</f>
      </c>
      <c r="BV120">
        <f>=MIN(1, MAX(-1,(0.02+(0.04*J120))*K120))</f>
      </c>
      <c r="CE120">
        <f>=MIN(1, MAX(-1,(0+(0.08*J120))*K120))</f>
      </c>
      <c r="CJ120">
        <f>=MIN(1, MAX(-1,(-0.01-(0.05*J120))*K120))</f>
      </c>
      <c r="DQ120">
        <f>=MIN(1, MAX(-1,(-0.01-(0.05*J120))*K120))</f>
      </c>
      <c r="DR120">
        <f>=MIN(1, MAX(-1,(0.02+(0.06*J120))*K120))</f>
      </c>
      <c r="DS120">
        <f>=MIN(1, MAX(-1,(0+(0.06*J120))*K120))</f>
      </c>
      <c r="EF120">
        <f>=MIN(1, MAX(-1,(0.04+(0.06*J120))*K120))</f>
      </c>
      <c r="EW120">
        <f>=MIN(1, MAX(-1,(0+(0.4*J120))*K120))</f>
      </c>
    </row>
    <row r="121">
      <c r="A121" t="str">
        <v>FoodStamps</v>
      </c>
      <c r="B121" t="str">
        <v>250</v>
      </c>
      <c r="C121" t="str">
        <v>4000</v>
      </c>
      <c r="D121">
        <f>=0</f>
      </c>
      <c r="E121" t="str">
        <v>0</v>
      </c>
      <c r="F121" t="str">
        <v>0</v>
      </c>
      <c r="H121">
        <f>=(B121+(C121-B121)*(D121+J121))*K121</f>
      </c>
      <c r="I121">
        <f>=(E121+(F121-E121)*(G121+J121))*K121</f>
      </c>
      <c r="J121">
        <f>=0</f>
      </c>
      <c r="K121">
        <f>=0</f>
      </c>
      <c r="AU121">
        <f>=MIN(1, MAX(-1,(0.0-(0.1*J121))*K121))</f>
      </c>
      <c r="BX121">
        <f>=MIN(1, MAX(-1,(0+(0.03*J121))*K121))</f>
      </c>
      <c r="BZ121">
        <f>=MIN(1, MAX(-1,(0+(0.03*J121))*K121))</f>
      </c>
      <c r="CA121">
        <f>=MIN(1, MAX(-1,(0.01+(0.02*J121))*K121))</f>
      </c>
      <c r="CJ121">
        <f>=MIN(1, MAX(-1,(0.04+(0.15*J121))*K121))</f>
      </c>
      <c r="CK121">
        <f>=MIN(1, MAX(-1,(-0.03-(0.12*J121))*K121))</f>
      </c>
      <c r="CL121">
        <f>=MIN(1, MAX(-1,(0.02+(0.08*J121))*K121))</f>
      </c>
      <c r="CY121">
        <f>=MIN(1, MAX(-1,(0.03+(0.012*J121))*K121))</f>
      </c>
      <c r="DQ121">
        <f>=MIN(1, MAX(-1,(0.02+0.08*J121)*K121))</f>
      </c>
    </row>
    <row r="122">
      <c r="A122" t="str">
        <v>FoodStandards</v>
      </c>
      <c r="B122" t="str">
        <v>22</v>
      </c>
      <c r="C122" t="str">
        <v>65</v>
      </c>
      <c r="E122" t="str">
        <v>0</v>
      </c>
      <c r="F122" t="str">
        <v>0</v>
      </c>
      <c r="H122">
        <f>=(B122+(C122-B122)*(D122+J122))*K122</f>
      </c>
      <c r="I122">
        <f>=(E122+(F122-E122)*(G122+J122))*K122</f>
      </c>
      <c r="J122">
        <v>0.6</v>
      </c>
      <c r="K122">
        <v>1</v>
      </c>
      <c r="M122">
        <f>=MIN(1, MAX(-1,(-0.01-(0.02*J122))*K122))</f>
      </c>
      <c r="AQ122">
        <f>=MIN(1, MAX(-1,(0-(0.1*J122))*K122))</f>
      </c>
      <c r="BX122">
        <f>=MIN(1, MAX(-1,(-0.02-(0.04*J122))*K122))</f>
      </c>
      <c r="CA122">
        <f>=MIN(1, MAX(-1,(0.01+(0.03*J122))*K122))</f>
      </c>
      <c r="CF122">
        <f>=MIN(1, MAX(-1,(0.01+(0.04*J122))*K122))</f>
      </c>
    </row>
    <row r="123">
      <c r="A123" t="str">
        <v>EnterpriseInvestmentScheme</v>
      </c>
      <c r="B123" t="str">
        <v>120</v>
      </c>
      <c r="C123" t="str">
        <v>2000</v>
      </c>
      <c r="D123">
        <f>=MIN(10, MAX(0,0.25+(0.75*CC247)))</f>
      </c>
      <c r="E123" t="str">
        <v>0</v>
      </c>
      <c r="F123" t="str">
        <v>0</v>
      </c>
      <c r="H123">
        <f>=(B123+(C123-B123)*(D123+J123))*K123</f>
      </c>
      <c r="I123">
        <f>=(E123+(F123-E123)*(G123+J123))*K123</f>
      </c>
      <c r="J123">
        <f>=0</f>
      </c>
      <c r="K123">
        <f>=0</f>
      </c>
      <c r="BV123">
        <f>=MIN(1, MAX(-1,(0+(0.05*J123))*K123))</f>
      </c>
      <c r="CC123">
        <f>=MIN(1, MAX(-1,(0.01+(0.05*J123))*K123))</f>
      </c>
      <c r="DP123">
        <f>=MIN(1, MAX(-1,(0.10+(0.2*J123))*K123))</f>
      </c>
      <c r="DS123">
        <f>=MIN(1, MAX(-1,(0+(0.12*J123))*K123))</f>
      </c>
      <c r="DT123">
        <f>=MIN(1, MAX(-1,(-0.04-(0.06*J123))*K123))</f>
      </c>
      <c r="DU123">
        <f>=MIN(1, MAX(-1,(0.01+(0.09*J123))*K123))</f>
      </c>
      <c r="EH123">
        <f>=MIN(1, MAX(-1,(0.02+(0.06*J123))*K123))</f>
      </c>
    </row>
    <row r="124">
      <c r="A124" t="str">
        <v>RecreationalDrugsTax</v>
      </c>
      <c r="B124" t="str">
        <v>0</v>
      </c>
      <c r="C124" t="str">
        <v>0</v>
      </c>
      <c r="E124" t="str">
        <v>0</v>
      </c>
      <c r="F124" t="str">
        <v>5200</v>
      </c>
      <c r="G124">
        <f>=MIN(10, MAX(0,0+(1.0*EP247)))</f>
      </c>
      <c r="H124">
        <f>=(B124+(C124-B124)*(D124+J124))*K124</f>
      </c>
      <c r="I124">
        <f>=(E124+(F124-E124)*(G124+J124))*K124</f>
      </c>
      <c r="J124">
        <f>=0</f>
      </c>
      <c r="K124">
        <f>=0</f>
      </c>
      <c r="CI124">
        <f>=MIN(1, MAX(-1,(0-(0.08*J124))*K124))</f>
      </c>
      <c r="CJ124">
        <f>=MIN(1, MAX(-1,(0-(0.05*J124))*K124))</f>
      </c>
      <c r="CK124">
        <f>=MIN(1, MAX(-1,(0+(0.06*J124))*K124))</f>
      </c>
      <c r="EP124">
        <f>=MIN(1, MAX(-1,(-0.1*(J124^2))*K124))</f>
      </c>
    </row>
    <row r="125">
      <c r="A125" t="str">
        <v>HealthyEatingCampaign</v>
      </c>
      <c r="B125" t="str">
        <v>30</v>
      </c>
      <c r="C125" t="str">
        <v>90</v>
      </c>
      <c r="E125" t="str">
        <v>0</v>
      </c>
      <c r="F125" t="str">
        <v>0</v>
      </c>
      <c r="H125">
        <f>=(B125+(C125-B125)*(D125+J125))*K125</f>
      </c>
      <c r="I125">
        <f>=(E125+(F125-E125)*(G125+J125))*K125</f>
      </c>
      <c r="J125">
        <f>=0</f>
      </c>
      <c r="K125">
        <f>=0</f>
      </c>
      <c r="M125">
        <f>=MIN(1, MAX(-1,(0.00-(0.04*J125))*K125))</f>
      </c>
      <c r="CA125">
        <f>=MIN(1, MAX(-1,(0.01+(0.04*J125))*K125))</f>
      </c>
    </row>
    <row r="126">
      <c r="A126" t="str">
        <v>CyclingCampaign</v>
      </c>
      <c r="B126" t="str">
        <v>25</v>
      </c>
      <c r="C126" t="str">
        <v>80</v>
      </c>
      <c r="E126" t="str">
        <v>0</v>
      </c>
      <c r="F126" t="str">
        <v>0</v>
      </c>
      <c r="H126">
        <f>=(B126+(C126-B126)*(D126+J126))*K126</f>
      </c>
      <c r="I126">
        <f>=(E126+(F126-E126)*(G126+J126))*K126</f>
      </c>
      <c r="J126">
        <f>=0</f>
      </c>
      <c r="K126">
        <f>=0</f>
      </c>
      <c r="CA126">
        <f>=MIN(1, MAX(-1,(0.02+(0.02*J126))*K126))</f>
      </c>
      <c r="CX126">
        <f>=MIN(1, MAX(-1,(0-(0.03*J126))*K126))</f>
      </c>
      <c r="DF126">
        <f>=MIN(1, MAX(-1,(0-(0.03*J126))*K126))</f>
      </c>
      <c r="EQ126">
        <f>=MIN(1, MAX(-1,(0-(0.03*J126))*K126))</f>
      </c>
    </row>
    <row r="127">
      <c r="A127" t="str">
        <v>CarPoolingCampaign</v>
      </c>
      <c r="B127" t="str">
        <v>20</v>
      </c>
      <c r="C127" t="str">
        <v>60</v>
      </c>
      <c r="E127" t="str">
        <v>0</v>
      </c>
      <c r="F127" t="str">
        <v>0</v>
      </c>
      <c r="H127">
        <f>=(B127+(C127-B127)*(D127+J127))*K127</f>
      </c>
      <c r="I127">
        <f>=(E127+(F127-E127)*(G127+J127))*K127</f>
      </c>
      <c r="J127">
        <f>=0</f>
      </c>
      <c r="K127">
        <f>=0</f>
      </c>
      <c r="DF127">
        <f>=MIN(1, MAX(-1,(-0.01-(0.03*J127))*K127))</f>
      </c>
    </row>
    <row r="128">
      <c r="A128" t="str">
        <v>KeepTheCountryTidyCampaign</v>
      </c>
      <c r="B128" t="str">
        <v>30</v>
      </c>
      <c r="C128" t="str">
        <v>90</v>
      </c>
      <c r="E128" t="str">
        <v>0</v>
      </c>
      <c r="F128" t="str">
        <v>0</v>
      </c>
      <c r="H128">
        <f>=(B128+(C128-B128)*(D128+J128))*K128</f>
      </c>
      <c r="I128">
        <f>=(E128+(F128-E128)*(G128+J128))*K128</f>
      </c>
      <c r="J128">
        <f>=0</f>
      </c>
      <c r="K128">
        <f>=0</f>
      </c>
      <c r="CB128">
        <f>=MIN(1, MAX(-1,(0.04+(0.02*J128))*K128))</f>
      </c>
      <c r="DE128">
        <f>=MIN(1, MAX(-1,(0+(0.04*J128))*K128))</f>
      </c>
      <c r="ED128">
        <f>=MIN(1, MAX(-1,(0+(0.05*J128))*K128))</f>
      </c>
    </row>
    <row r="129">
      <c r="A129" t="str">
        <v>TourismAdCampaign</v>
      </c>
      <c r="B129" t="str">
        <v>40</v>
      </c>
      <c r="C129" t="str">
        <v>110</v>
      </c>
      <c r="E129" t="str">
        <v>0</v>
      </c>
      <c r="F129" t="str">
        <v>0</v>
      </c>
      <c r="H129">
        <f>=(B129+(C129-B129)*(D129+J129))*K129</f>
      </c>
      <c r="I129">
        <f>=(E129+(F129-E129)*(G129+J129))*K129</f>
      </c>
      <c r="J129">
        <f>=0</f>
      </c>
      <c r="K129">
        <f>=0</f>
      </c>
      <c r="DX129">
        <f>=MIN(1, MAX(-1,(0+(0.04*J129))*K129))</f>
      </c>
      <c r="EY129">
        <f>=MIN(1, MAX(-1,(0+(0.08*J129))*K129))</f>
      </c>
    </row>
    <row r="130">
      <c r="A130" t="str">
        <v>AlcoholAwarenessCampaign</v>
      </c>
      <c r="B130" t="str">
        <v>25</v>
      </c>
      <c r="C130" t="str">
        <v>80</v>
      </c>
      <c r="E130" t="str">
        <v>0</v>
      </c>
      <c r="F130" t="str">
        <v>0</v>
      </c>
      <c r="H130">
        <f>=(B130+(C130-B130)*(D130+J130))*K130</f>
      </c>
      <c r="I130">
        <f>=(E130+(F130-E130)*(G130+J130))*K130</f>
      </c>
      <c r="J130">
        <f>=0</f>
      </c>
      <c r="K130">
        <f>=0</f>
      </c>
      <c r="CG130">
        <f>=MIN(1, MAX(-1,(0-(0.1*J130))*K130))</f>
      </c>
    </row>
    <row r="131">
      <c r="A131" t="str">
        <v>BusinessStartupCampaign</v>
      </c>
      <c r="B131" t="str">
        <v>20</v>
      </c>
      <c r="C131" t="str">
        <v>75</v>
      </c>
      <c r="E131" t="str">
        <v>0</v>
      </c>
      <c r="F131" t="str">
        <v>0</v>
      </c>
      <c r="H131">
        <f>=(B131+(C131-B131)*(D131+J131))*K131</f>
      </c>
      <c r="I131">
        <f>=(E131+(F131-E131)*(G131+J131))*K131</f>
      </c>
      <c r="J131">
        <f>=0</f>
      </c>
      <c r="K131">
        <f>=0</f>
      </c>
      <c r="BV131">
        <f>=MIN(1, MAX(-1,(0+(0.03*J131))*K131))</f>
      </c>
      <c r="DP131">
        <f>=MIN(1, MAX(-1,(0.1+(0.03*J131))*K131))</f>
      </c>
      <c r="DT131">
        <f>=MIN(1, MAX(-1,(0-(0.05*J131))*K131))</f>
      </c>
      <c r="EH131">
        <f>=MIN(1, MAX(-1,(0+(0.12*J131))*K131))</f>
      </c>
    </row>
    <row r="132">
      <c r="A132" t="str">
        <v>YouthPoliticsCouncil</v>
      </c>
      <c r="B132" t="str">
        <v>40</v>
      </c>
      <c r="C132" t="str">
        <v>120</v>
      </c>
      <c r="E132" t="str">
        <v>0</v>
      </c>
      <c r="F132" t="str">
        <v>0</v>
      </c>
      <c r="H132">
        <f>=(B132+(C132-B132)*(D132+J132))*K132</f>
      </c>
      <c r="I132">
        <f>=(E132+(F132-E132)*(G132+J132))*K132</f>
      </c>
      <c r="J132">
        <f>=0</f>
      </c>
      <c r="K132">
        <f>=0</f>
      </c>
      <c r="CI132">
        <f>=MIN(1, MAX(-1,(0.01+(0.04*J132))*K132))</f>
      </c>
    </row>
    <row r="133">
      <c r="A133" t="str">
        <v>NationalArmedForcesWeek</v>
      </c>
      <c r="B133" t="str">
        <v>40</v>
      </c>
      <c r="C133" t="str">
        <v>120</v>
      </c>
      <c r="E133" t="str">
        <v>0</v>
      </c>
      <c r="F133" t="str">
        <v>0</v>
      </c>
      <c r="H133">
        <f>=(B133+(C133-B133)*(D133+J133))*K133</f>
      </c>
      <c r="I133">
        <f>=(E133+(F133-E133)*(G133+J133))*K133</f>
      </c>
      <c r="J133">
        <f>=0</f>
      </c>
      <c r="K133">
        <f>=0</f>
      </c>
      <c r="CS133">
        <f>=MIN(1, MAX(-1,(0.02+(0.03*J133))*K133))</f>
      </c>
      <c r="DN133">
        <f>=MIN(1, MAX(-1,(0+(0.1*J133))*K133))</f>
      </c>
    </row>
    <row r="134">
      <c r="A134" t="str">
        <v>FreeParentingClasses</v>
      </c>
      <c r="B134" t="str">
        <v>40</v>
      </c>
      <c r="C134" t="str">
        <v>225</v>
      </c>
      <c r="E134" t="str">
        <v>0</v>
      </c>
      <c r="F134" t="str">
        <v>0</v>
      </c>
      <c r="H134">
        <f>=(B134+(C134-B134)*(D134+J134))*K134</f>
      </c>
      <c r="I134">
        <f>=(E134+(F134-E134)*(G134+J134))*K134</f>
      </c>
      <c r="J134">
        <f>=0</f>
      </c>
      <c r="K134">
        <f>=0</f>
      </c>
      <c r="DJ134">
        <f>=MIN(1, MAX(-1,(0.05+(0.04*J134))*K134))</f>
      </c>
      <c r="DK134">
        <f>=MIN(1, MAX(-1,(0+(0.03*J134))*K134))</f>
      </c>
    </row>
    <row r="135">
      <c r="A135" t="str">
        <v>NationalBusinessCouncil</v>
      </c>
      <c r="B135" t="str">
        <v>40</v>
      </c>
      <c r="C135" t="str">
        <v>160</v>
      </c>
      <c r="E135" t="str">
        <v>0</v>
      </c>
      <c r="F135" t="str">
        <v>0</v>
      </c>
      <c r="H135">
        <f>=(B135+(C135-B135)*(D135+J135))*K135</f>
      </c>
      <c r="I135">
        <f>=(E135+(F135-E135)*(G135+J135))*K135</f>
      </c>
      <c r="J135">
        <f>=0</f>
      </c>
      <c r="K135">
        <f>=0</f>
      </c>
      <c r="BV135">
        <f>=MIN(1, MAX(-1,(0.02+(0.04*J135))*K135))</f>
      </c>
      <c r="CC135">
        <f>=MIN(1, MAX(-1,(0.01+(0.02*J135))*K135))</f>
      </c>
      <c r="DT135">
        <f>=MIN(1, MAX(-1,(0-(0.03*J135))*K135))</f>
      </c>
    </row>
    <row r="136">
      <c r="A136" t="str">
        <v>SocialJusticeFoundation</v>
      </c>
      <c r="B136" t="str">
        <v>30</v>
      </c>
      <c r="C136" t="str">
        <v>100</v>
      </c>
      <c r="E136" t="str">
        <v>0</v>
      </c>
      <c r="F136" t="str">
        <v>0</v>
      </c>
      <c r="H136">
        <f>=(B136+(C136-B136)*(D136+J136))*K136</f>
      </c>
      <c r="I136">
        <f>=(E136+(F136-E136)*(G136+J136))*K136</f>
      </c>
      <c r="J136">
        <f>=0</f>
      </c>
      <c r="K136">
        <f>=0</f>
      </c>
      <c r="DO136">
        <f>=MIN(1, MAX(-1,(0.01+(0.02*J136))*K136))</f>
      </c>
    </row>
    <row r="137">
      <c r="A137" t="str">
        <v>SmartMeterProgram</v>
      </c>
      <c r="B137" t="str">
        <v>20</v>
      </c>
      <c r="C137" t="str">
        <v>240</v>
      </c>
      <c r="E137" t="str">
        <v>0</v>
      </c>
      <c r="F137" t="str">
        <v>0</v>
      </c>
      <c r="H137">
        <f>=(B137+(C137-B137)*(D137+J137))*K137</f>
      </c>
      <c r="I137">
        <f>=(E137+(F137-E137)*(G137+J137))*K137</f>
      </c>
      <c r="J137">
        <f>=0</f>
      </c>
      <c r="K137">
        <f>=0</f>
      </c>
      <c r="CB137">
        <f>=MIN(1, MAX(-1,(0.02+(0.02*J137))*K137))</f>
      </c>
      <c r="DC137">
        <f>=MIN(1, MAX(-1,(0+(0.07*J137))*K137))</f>
      </c>
      <c r="ED137">
        <f>=MIN(1, MAX(-1,(0+(0.05*J137))*K137))</f>
      </c>
    </row>
    <row r="138">
      <c r="A138" t="str">
        <v>NeedleExchangeProgram</v>
      </c>
      <c r="B138" t="str">
        <v>20</v>
      </c>
      <c r="C138" t="str">
        <v>120</v>
      </c>
      <c r="E138" t="str">
        <v>0</v>
      </c>
      <c r="F138" t="str">
        <v>0</v>
      </c>
      <c r="H138">
        <f>=(B138+(C138-B138)*(D138+J138))*K138</f>
      </c>
      <c r="I138">
        <f>=(E138+(F138-E138)*(G138+J138))*K138</f>
      </c>
      <c r="J138">
        <f>=0</f>
      </c>
      <c r="K138">
        <f>=0</f>
      </c>
      <c r="CA138">
        <f>=MIN(1, MAX(-1,(0+(0.04*J138))*K138))</f>
      </c>
      <c r="CF138">
        <f>=MIN(1, MAX(-1,(0.02+(0.02*J138))*K138))</f>
      </c>
      <c r="DI138">
        <f>=MIN(1, MAX(-1,(0-(0.03*J138))*K138))</f>
      </c>
    </row>
    <row r="139">
      <c r="A139" t="str">
        <v>StampOutRacismWeek</v>
      </c>
      <c r="B139" t="str">
        <v>20</v>
      </c>
      <c r="C139" t="str">
        <v>80</v>
      </c>
      <c r="E139" t="str">
        <v>0</v>
      </c>
      <c r="F139" t="str">
        <v>0</v>
      </c>
      <c r="H139">
        <f>=(B139+(C139-B139)*(D139+J139))*K139</f>
      </c>
      <c r="I139">
        <f>=(E139+(F139-E139)*(G139+J139))*K139</f>
      </c>
      <c r="J139">
        <f>=0</f>
      </c>
      <c r="K139">
        <f>=0</f>
      </c>
      <c r="DM139">
        <f>=MIN(1, MAX(-1,(0-(0.03*J139))*K139))</f>
      </c>
      <c r="DO139">
        <f>=MIN(1, MAX(-1,(0+(0.04*J139))*K139))</f>
      </c>
    </row>
    <row r="140">
      <c r="A140" t="str">
        <v>CompulsoryFoodLabelling</v>
      </c>
      <c r="B140" t="str">
        <v>30</v>
      </c>
      <c r="C140" t="str">
        <v>120</v>
      </c>
      <c r="E140" t="str">
        <v>0</v>
      </c>
      <c r="F140" t="str">
        <v>0</v>
      </c>
      <c r="H140">
        <f>=(B140+(C140-B140)*(D140+J140))*K140</f>
      </c>
      <c r="I140">
        <f>=(E140+(F140-E140)*(G140+J140))*K140</f>
      </c>
      <c r="J140">
        <f>=0</f>
      </c>
      <c r="K140">
        <f>=0</f>
      </c>
      <c r="M140">
        <f>=MIN(1, MAX(-1,(-0.02-(0.03*J140))*K140))</f>
      </c>
      <c r="BV140">
        <f>=MIN(1, MAX(-1,(0-(0.02*J140))*K140))</f>
      </c>
      <c r="CA140">
        <f>=MIN(1, MAX(-1,(0.02+(0.03*J140))*K140))</f>
      </c>
      <c r="CC140">
        <f>=MIN(1, MAX(-1,(0-(0.01*J140))*K140))</f>
      </c>
    </row>
    <row r="141">
      <c r="A141" t="str">
        <v>TradeCouncil</v>
      </c>
      <c r="B141" t="str">
        <v>30</v>
      </c>
      <c r="C141" t="str">
        <v>110</v>
      </c>
      <c r="E141" t="str">
        <v>0</v>
      </c>
      <c r="F141" t="str">
        <v>0</v>
      </c>
      <c r="H141">
        <f>=(B141+(C141-B141)*(D141+J141))*K141</f>
      </c>
      <c r="I141">
        <f>=(E141+(F141-E141)*(G141+J141))*K141</f>
      </c>
      <c r="J141">
        <f>=0</f>
      </c>
      <c r="K141">
        <f>=0</f>
      </c>
      <c r="DX141">
        <f>=MIN(1, MAX(-1,(0+(0.04*J141))*K141))</f>
      </c>
      <c r="EE141">
        <f>=MIN(1, MAX(-1,(0.01+(0.03*J141))*K141))</f>
      </c>
    </row>
    <row r="142">
      <c r="A142" t="str">
        <v>CompulsoryForeignLanguageClasses</v>
      </c>
      <c r="B142" t="str">
        <v>30</v>
      </c>
      <c r="C142" t="str">
        <v>60</v>
      </c>
      <c r="E142" t="str">
        <v>0</v>
      </c>
      <c r="F142" t="str">
        <v>0</v>
      </c>
      <c r="H142">
        <f>=(B142+(C142-B142)*(D142+J142))*K142</f>
      </c>
      <c r="I142">
        <f>=(E142+(F142-E142)*(G142+J142))*K142</f>
      </c>
      <c r="J142">
        <f>=0</f>
      </c>
      <c r="K142">
        <f>=0</f>
      </c>
      <c r="DM142">
        <f>=MIN(1, MAX(-1,(0-(0.015*J142))*K142))</f>
      </c>
      <c r="DX142">
        <f>=MIN(1, MAX(-1,(0.01+(0.02*J142))*K142))</f>
      </c>
      <c r="EE142">
        <f>=MIN(1, MAX(-1,(0.01+(0.02*J142))*K142))</f>
      </c>
    </row>
    <row r="143">
      <c r="A143" t="str">
        <v>LaborDayBankHoliday</v>
      </c>
      <c r="B143" t="str">
        <v>0</v>
      </c>
      <c r="C143" t="str">
        <v>0</v>
      </c>
      <c r="E143" t="str">
        <v>0</v>
      </c>
      <c r="F143" t="str">
        <v>0</v>
      </c>
      <c r="H143">
        <f>=(B143+(C143-B143)*(D143+J143))*K143</f>
      </c>
      <c r="I143">
        <f>=(E143+(F143-E143)*(G143+J143))*K143</f>
      </c>
      <c r="J143">
        <f>=0</f>
      </c>
      <c r="K143">
        <f>=0</f>
      </c>
      <c r="CC143">
        <f>=MIN(1, MAX(-1,(-0-(0.02*J143))*K143))</f>
      </c>
      <c r="DQ143">
        <f>=MIN(1, MAX(-1,(0.02+(0.03*J143))*K143))</f>
      </c>
      <c r="DT143">
        <f>=MIN(1, MAX(-1,(0.02+(0.02*J143))*K143))</f>
      </c>
    </row>
    <row r="144">
      <c r="A144" t="str">
        <v>CityFarms</v>
      </c>
      <c r="B144" t="str">
        <v>30</v>
      </c>
      <c r="C144" t="str">
        <v>110</v>
      </c>
      <c r="E144" t="str">
        <v>0</v>
      </c>
      <c r="F144" t="str">
        <v>0</v>
      </c>
      <c r="H144">
        <f>=(B144+(C144-B144)*(D144+J144))*K144</f>
      </c>
      <c r="I144">
        <f>=(E144+(F144-E144)*(G144+J144))*K144</f>
      </c>
      <c r="J144">
        <f>=0</f>
      </c>
      <c r="K144">
        <f>=0</f>
      </c>
      <c r="BX144">
        <f>=MIN(1, MAX(-1,(0.02+(0.04*J144))*K144))</f>
      </c>
      <c r="BY144">
        <f>=MIN(1, MAX(-1,(0+(0.04*J144))*K144))</f>
      </c>
    </row>
    <row r="145">
      <c r="A145" t="str">
        <v>EcoHomeRegulations</v>
      </c>
      <c r="B145" t="str">
        <v>30</v>
      </c>
      <c r="C145" t="str">
        <v>120</v>
      </c>
      <c r="E145" t="str">
        <v>0</v>
      </c>
      <c r="F145" t="str">
        <v>0</v>
      </c>
      <c r="H145">
        <f>=(B145+(C145-B145)*(D145+J145))*K145</f>
      </c>
      <c r="I145">
        <f>=(E145+(F145-E145)*(G145+J145))*K145</f>
      </c>
      <c r="J145">
        <f>=0</f>
      </c>
      <c r="K145">
        <f>=0</f>
      </c>
      <c r="BV145">
        <f>=MIN(1, MAX(-1,(0-(0.04*J145))*K145))</f>
      </c>
      <c r="CB145">
        <f>=MIN(1, MAX(-1,(0+(0.04*J145))*K145))</f>
      </c>
      <c r="DB145">
        <f>=MIN(1, MAX(-1,(0-(0.04*J145))*K145))</f>
      </c>
      <c r="ED145">
        <f>=MIN(1, MAX(-1,(0+(0.04*J145))*K145))</f>
      </c>
    </row>
    <row r="146">
      <c r="A146" t="str">
        <v>YoungEntrepreneurScheme</v>
      </c>
      <c r="B146" t="str">
        <v>20</v>
      </c>
      <c r="C146" t="str">
        <v>80</v>
      </c>
      <c r="E146" t="str">
        <v>0</v>
      </c>
      <c r="F146" t="str">
        <v>0</v>
      </c>
      <c r="H146">
        <f>=(B146+(C146-B146)*(D146+J146))*K146</f>
      </c>
      <c r="I146">
        <f>=(E146+(F146-E146)*(G146+J146))*K146</f>
      </c>
      <c r="J146">
        <f>=0</f>
      </c>
      <c r="K146">
        <f>=0</f>
      </c>
      <c r="BV146">
        <f>=MIN(1, MAX(-1,(0.03+(0.03*J146))*K146))</f>
      </c>
      <c r="CI146">
        <f>=MIN(1, MAX(-1,(0+(0.04*J146))*K146))</f>
      </c>
      <c r="DT146">
        <f>=MIN(1, MAX(-1,(0-(0.07*J146))*K146))</f>
      </c>
    </row>
    <row r="147">
      <c r="A147" t="str">
        <v>DiplomaticService</v>
      </c>
      <c r="B147" t="str">
        <v>40</v>
      </c>
      <c r="C147" t="str">
        <v>160</v>
      </c>
      <c r="E147" t="str">
        <v>0</v>
      </c>
      <c r="F147" t="str">
        <v>0</v>
      </c>
      <c r="H147">
        <f>=(B147+(C147-B147)*(D147+J147))*K147</f>
      </c>
      <c r="I147">
        <f>=(E147+(F147-E147)*(G147+J147))*K147</f>
      </c>
      <c r="J147">
        <f>=0</f>
      </c>
      <c r="K147">
        <f>=0</f>
      </c>
      <c r="DX147">
        <f>=MIN(1, MAX(-1,(0+(0.07*J147))*K147))</f>
      </c>
    </row>
    <row r="148">
      <c r="A148" t="str">
        <v>WitnessProtectionProgram</v>
      </c>
      <c r="B148" t="str">
        <v>40</v>
      </c>
      <c r="C148" t="str">
        <v>160</v>
      </c>
      <c r="E148" t="str">
        <v>0</v>
      </c>
      <c r="F148" t="str">
        <v>0</v>
      </c>
      <c r="H148">
        <f>=(B148+(C148-B148)*(D148+J148))*K148</f>
      </c>
      <c r="I148">
        <f>=(E148+(F148-E148)*(G148+J148))*K148</f>
      </c>
      <c r="J148">
        <f>=0</f>
      </c>
      <c r="K148">
        <f>=0</f>
      </c>
      <c r="P148">
        <f>=MIN(1, MAX(-1,(0-(0.1*J148))*K148))</f>
      </c>
      <c r="CH148">
        <f>=MIN(1, MAX(-1,(0-(0.1*J148))*K148))</f>
      </c>
    </row>
    <row r="149">
      <c r="A149" t="str">
        <v>CompulsorySchoolSports</v>
      </c>
      <c r="B149" t="str">
        <v>25</v>
      </c>
      <c r="C149" t="str">
        <v>100</v>
      </c>
      <c r="E149" t="str">
        <v>0</v>
      </c>
      <c r="F149" t="str">
        <v>0</v>
      </c>
      <c r="H149">
        <f>=(B149+(C149-B149)*(D149+J149))*K149</f>
      </c>
      <c r="I149">
        <f>=(E149+(F149-E149)*(G149+J149))*K149</f>
      </c>
      <c r="J149">
        <f>=0</f>
      </c>
      <c r="K149">
        <f>=0</f>
      </c>
      <c r="M149">
        <f>=MIN(1, MAX(-1,(0-(0.05*J149))*K149))</f>
      </c>
      <c r="CA149">
        <f>=MIN(1, MAX(-1,(0.02+(0.025*J149))*K149))</f>
      </c>
    </row>
    <row r="150">
      <c r="A150" t="str">
        <v>BicycleSubsidies</v>
      </c>
      <c r="B150" t="str">
        <v>30</v>
      </c>
      <c r="C150" t="str">
        <v>220</v>
      </c>
      <c r="E150" t="str">
        <v>0</v>
      </c>
      <c r="F150" t="str">
        <v>0</v>
      </c>
      <c r="H150">
        <f>=(B150+(C150-B150)*(D150+J150))*K150</f>
      </c>
      <c r="I150">
        <f>=(E150+(F150-E150)*(G150+J150))*K150</f>
      </c>
      <c r="J150">
        <f>=0</f>
      </c>
      <c r="K150">
        <f>=0</f>
      </c>
      <c r="CA150">
        <f>=MIN(1, MAX(-1,(0.02+(0.02*J150))*K150))</f>
      </c>
      <c r="CX150">
        <f>=MIN(1, MAX(-1,(0-(0.03*J150))*K150))</f>
      </c>
      <c r="DF150">
        <f>=MIN(1, MAX(-1,(0-(0.03*J150))*K150))</f>
      </c>
      <c r="EQ150">
        <f>=MIN(1, MAX(-1,(0-(0.03*J150))*K150))</f>
      </c>
    </row>
    <row r="151">
      <c r="A151" t="str">
        <v>GovernmentSubsidiesForUnions</v>
      </c>
      <c r="B151" t="str">
        <v>60</v>
      </c>
      <c r="C151" t="str">
        <v>350</v>
      </c>
      <c r="E151" t="str">
        <v>0</v>
      </c>
      <c r="F151" t="str">
        <v>0</v>
      </c>
      <c r="H151">
        <f>=(B151+(C151-B151)*(D151+J151))*K151</f>
      </c>
      <c r="I151">
        <f>=(E151+(F151-E151)*(G151+J151))*K151</f>
      </c>
      <c r="J151">
        <f>=0</f>
      </c>
      <c r="K151">
        <f>=0</f>
      </c>
      <c r="BV151">
        <f>=MIN(1, MAX(-1,(0-(0.12*J151))*K151))</f>
      </c>
      <c r="CP151">
        <f>=MIN(1, MAX(-1,(0+(0.25*J151))*K151))</f>
      </c>
      <c r="DT151">
        <f>=MIN(1, MAX(-1,(0.024+(0.058*J151))*K151))</f>
      </c>
      <c r="EK151">
        <f>=MIN(1, MAX(-1,(0+(0.12*J151))*K151))</f>
      </c>
      <c r="EL151">
        <f>=MIN(1, MAX(-1,(0+(0.04*J151))*K151))</f>
      </c>
      <c r="FA151">
        <f>=MIN(1, MAX(-1,(0+(0.09*J151))*K151))</f>
      </c>
    </row>
    <row r="152">
      <c r="A152" t="str">
        <v>SecretCourts</v>
      </c>
      <c r="B152" t="str">
        <v>30</v>
      </c>
      <c r="C152" t="str">
        <v>100</v>
      </c>
      <c r="E152" t="str">
        <v>0</v>
      </c>
      <c r="F152" t="str">
        <v>0</v>
      </c>
      <c r="H152">
        <f>=(B152+(C152-B152)*(D152+J152))*K152</f>
      </c>
      <c r="I152">
        <f>=(E152+(F152-E152)*(G152+J152))*K152</f>
      </c>
      <c r="J152">
        <f>=0</f>
      </c>
      <c r="K152">
        <f>=0</f>
      </c>
      <c r="P152">
        <f>=MIN(1, MAX(-1,(-0.12*(J152^4))*K152))</f>
      </c>
      <c r="CF152">
        <f>=MIN(1, MAX(-1,(-0.1+(J152^2)*-0.25)*K152))</f>
      </c>
      <c r="CM152">
        <f>=MIN(1, MAX(-1,(-0.02+(J152^0.7)*-0.07)*K152))</f>
      </c>
      <c r="CU152">
        <f>=MIN(1, MAX(-1,(-0.03+(J152^2)*-0.14)*K152))</f>
      </c>
      <c r="DX152">
        <f>=MIN(1, MAX(-1,(-0.05+(J152^2)*-0.11)*K152))</f>
      </c>
    </row>
    <row r="153">
      <c r="A153" t="str">
        <v>GeneralMediaCensorship</v>
      </c>
      <c r="B153" t="str">
        <v>50</v>
      </c>
      <c r="C153" t="str">
        <v>210</v>
      </c>
      <c r="E153" t="str">
        <v>0</v>
      </c>
      <c r="F153" t="str">
        <v>0</v>
      </c>
      <c r="H153">
        <f>=(B153+(C153-B153)*(D153+J153))*K153</f>
      </c>
      <c r="I153">
        <f>=(E153+(F153-E153)*(G153+J153))*K153</f>
      </c>
      <c r="J153">
        <f>=0</f>
      </c>
      <c r="K153">
        <f>=0</f>
      </c>
      <c r="CF153">
        <f>=MIN(1, MAX(-1,(-0.23*(J153^2))*K153))</f>
      </c>
      <c r="CU153">
        <f>=MIN(1, MAX(-1,(0-(J153*0.07))*K153))</f>
      </c>
      <c r="DI153">
        <f>=MIN(1, MAX(-1,(0+(0.09*J153))*K153))</f>
      </c>
    </row>
    <row r="154">
      <c r="A154" t="str">
        <v>TortureUsageBySecretServices</v>
      </c>
      <c r="B154" t="str">
        <v>30</v>
      </c>
      <c r="C154" t="str">
        <v>100</v>
      </c>
      <c r="E154" t="str">
        <v>0</v>
      </c>
      <c r="F154" t="str">
        <v>0</v>
      </c>
      <c r="H154">
        <f>=(B154+(C154-B154)*(D154+J154))*K154</f>
      </c>
      <c r="I154">
        <f>=(E154+(F154-E154)*(G154+J154))*K154</f>
      </c>
      <c r="J154">
        <f>=0</f>
      </c>
      <c r="K154">
        <f>=0</f>
      </c>
      <c r="P154">
        <f>=MIN(1, MAX(-1,(-0.01+(J154^4)*-0.12)*K154))</f>
      </c>
      <c r="CF154">
        <f>=MIN(1, MAX(-1,(-0.10+(J154^2)*-0.2)*K154))</f>
      </c>
      <c r="CH154">
        <f>=MIN(1, MAX(-1,(-0.11*(J154^4))*K154))</f>
      </c>
      <c r="CS154">
        <f>=MIN(1, MAX(-1,(0.02+(J154^0.5)*0.06)*K154))</f>
      </c>
      <c r="CU154">
        <f>=MIN(1, MAX(-1,(-0.02+(J154^2)*-0.10)*K154))</f>
      </c>
      <c r="DI154">
        <f>=MIN(1, MAX(-1,(0.03+(J154^0.5)*0.03)*K154))</f>
      </c>
      <c r="DX154">
        <f>=MIN(1, MAX(-1,(-0.02+(J154^2)*-0.09)*K154))</f>
      </c>
    </row>
    <row r="155">
      <c r="A155" t="str">
        <v>CapCEOPayMultiplier</v>
      </c>
      <c r="B155" t="str">
        <v>0</v>
      </c>
      <c r="C155" t="str">
        <v>0</v>
      </c>
      <c r="E155" t="str">
        <v>0</v>
      </c>
      <c r="F155" t="str">
        <v>0</v>
      </c>
      <c r="H155">
        <f>=(B155+(C155-B155)*(D155+J155))*K155</f>
      </c>
      <c r="I155">
        <f>=(E155+(F155-E155)*(G155+J155))*K155</f>
      </c>
      <c r="J155">
        <f>=0</f>
      </c>
      <c r="K155">
        <f>=0</f>
      </c>
      <c r="T155">
        <f>=MIN(1, MAX(-1,(+0.29*(J155^3))*K155))</f>
      </c>
      <c r="X155">
        <f>=MIN(1, MAX(-1,(0.14*(J155^2))*K155))</f>
      </c>
      <c r="AE155">
        <f>=MIN(1, MAX(-1,(0.29*(J155+0.1)^3)*K155))</f>
      </c>
      <c r="BV155">
        <f>=MIN(1, MAX(-1,(-0.18*(J155+0.25)^3)*K155))</f>
      </c>
      <c r="CL155">
        <f>=MIN(1, MAX(-1,(0.15*(J155+0.2)^4)*K155))</f>
      </c>
      <c r="DQ155">
        <f>=MIN(1, MAX(-1,(0.15*(J155+0.39)^3)*K155))</f>
      </c>
      <c r="DR155">
        <f>=MIN(1, MAX(-1,(-0.32*(J155^3))*K155))</f>
      </c>
      <c r="DT155">
        <f>=MIN(1, MAX(-1,(0.05*(J155+0.23)^4)*K155))</f>
      </c>
      <c r="FB155">
        <f>=MIN(1, MAX(-1,(-0.21*(J155+0.32)^4)*K155))</f>
      </c>
    </row>
    <row r="156">
      <c r="A156" t="str">
        <v>BanSecondHomeOwnership</v>
      </c>
      <c r="B156" t="str">
        <v>5</v>
      </c>
      <c r="C156" t="str">
        <v>12</v>
      </c>
      <c r="E156" t="str">
        <v>0</v>
      </c>
      <c r="F156" t="str">
        <v>0</v>
      </c>
      <c r="H156">
        <f>=(B156+(C156-B156)*(D156+J156))*K156</f>
      </c>
      <c r="I156">
        <f>=(E156+(F156-E156)*(G156+J156))*K156</f>
      </c>
      <c r="J156">
        <f>=0</f>
      </c>
      <c r="K156">
        <f>=0</f>
      </c>
      <c r="AN156">
        <f>=MIN(1, MAX(-1,(-0.17*(J156^0.5))*K156))</f>
      </c>
      <c r="BV156">
        <f>=MIN(1, MAX(-1,(-0.11*(J156^0.5))*K156))</f>
      </c>
      <c r="CJ156">
        <f>=MIN(1, MAX(-1,(0.08*(J156^0.9))*K156))</f>
      </c>
      <c r="CK156">
        <f>=MIN(1, MAX(-1,(0-(J156*0.06))*K156))</f>
      </c>
      <c r="CL156">
        <f>=MIN(1, MAX(-1,(0.08*(J156^2))*K156))</f>
      </c>
      <c r="DQ156">
        <f>=MIN(1, MAX(-1,(0.07*(J156^0.5))*K156))</f>
      </c>
      <c r="DR156">
        <f>=MIN(1, MAX(-1,(-0.21*(J156^0.5))*K156))</f>
      </c>
    </row>
    <row r="157">
      <c r="A157" t="str">
        <v>Banprivateeducation</v>
      </c>
      <c r="B157" t="str">
        <v>0</v>
      </c>
      <c r="C157" t="str">
        <v>0</v>
      </c>
      <c r="E157" t="str">
        <v>0</v>
      </c>
      <c r="F157" t="str">
        <v>0</v>
      </c>
      <c r="H157">
        <f>=(B157+(C157-B157)*(D157+J157))*K157</f>
      </c>
      <c r="I157">
        <f>=(E157+(F157-E157)*(G157+J157))*K157</f>
      </c>
      <c r="J157">
        <f>=0</f>
      </c>
      <c r="K157">
        <f>=0</f>
      </c>
      <c r="R157">
        <f>=MIN(1, MAX(-1,(0-(0.10*J157))*K157))</f>
      </c>
      <c r="BV157">
        <f>=MIN(1, MAX(-1,(-0.05-(0.12*J157))*K157))</f>
      </c>
      <c r="CL157">
        <f>=MIN(1, MAX(-1,(0.08*(J157^0.5))*K157))</f>
      </c>
      <c r="DQ157">
        <f>=MIN(1, MAX(-1,(0.06*(J157^0.5))*K157))</f>
      </c>
      <c r="DR157">
        <f>=MIN(1, MAX(-1,(-0.04-(0.11*J157))*K157))</f>
      </c>
      <c r="DT157">
        <f>=MIN(1, MAX(-1,(0.06*(J157^0.5))*K157))</f>
      </c>
      <c r="EW157">
        <f>=MIN(1, MAX(-1,(-0.1+(J157^0.5)*-1.5)*K157))</f>
      </c>
    </row>
    <row r="158">
      <c r="A158" t="str">
        <v>Banprivatehealthcare</v>
      </c>
      <c r="B158" t="str">
        <v>0</v>
      </c>
      <c r="C158" t="str">
        <v>0</v>
      </c>
      <c r="E158" t="str">
        <v>0</v>
      </c>
      <c r="F158" t="str">
        <v>0</v>
      </c>
      <c r="H158">
        <f>=(B158+(C158-B158)*(D158+J158))*K158</f>
      </c>
      <c r="I158">
        <f>=(E158+(F158-E158)*(G158+J158))*K158</f>
      </c>
      <c r="J158">
        <f>=0</f>
      </c>
      <c r="K158">
        <f>=0</f>
      </c>
      <c r="BV158">
        <f>=MIN(1, MAX(-1,(-0.11*(J158^0.5))*K158))</f>
      </c>
      <c r="CL158">
        <f>=MIN(1, MAX(-1,(0.08*(J158^0.5))*K158))</f>
      </c>
      <c r="DQ158">
        <f>=MIN(1, MAX(-1,(0.07*(J158^0.5))*K158))</f>
      </c>
      <c r="DR158">
        <f>=MIN(1, MAX(-1,(-0.05-(0.13*J158))*K158))</f>
      </c>
      <c r="DT158">
        <f>=MIN(1, MAX(-1,(0.06*(J158^0.5))*K158))</f>
      </c>
      <c r="EZ158">
        <f>=MIN(1, MAX(-1,(-0.1+(J158^0.5)*-1.5)*K158))</f>
      </c>
    </row>
    <row r="159">
      <c r="A159" t="str">
        <v>Tradeunionbansatcompanies</v>
      </c>
      <c r="B159" t="str">
        <v>0</v>
      </c>
      <c r="C159" t="str">
        <v>0</v>
      </c>
      <c r="E159" t="str">
        <v>0</v>
      </c>
      <c r="F159" t="str">
        <v>0</v>
      </c>
      <c r="H159">
        <f>=(B159+(C159-B159)*(D159+J159))*K159</f>
      </c>
      <c r="I159">
        <f>=(E159+(F159-E159)*(G159+J159))*K159</f>
      </c>
      <c r="J159">
        <f>=0</f>
      </c>
      <c r="K159">
        <f>=0</f>
      </c>
      <c r="BU159">
        <f>=MIN(1, MAX(-1,(0.01+(0.07*J159))*K159))</f>
      </c>
      <c r="BV159">
        <f>=MIN(1, MAX(-1,(0.02+(0.07*J159))*K159))</f>
      </c>
      <c r="CP159">
        <f>=MIN(1, MAX(-1,(-0.04-(0.32*J159))*K159))</f>
      </c>
      <c r="DT159">
        <f>=MIN(1, MAX(-1,(0+(J159*-0.10))*K159))</f>
      </c>
      <c r="EJ159">
        <f>=MIN(1, MAX(-1,(0.12*(J159^2))*K159))</f>
      </c>
      <c r="EK159">
        <f>=MIN(1, MAX(-1,(-0.1-(J159*0.98)^2)*K159))</f>
      </c>
      <c r="EL159">
        <f>=MIN(1, MAX(-1,(0-(0.07*J159))*K159))</f>
      </c>
    </row>
    <row r="160">
      <c r="A160" t="str">
        <v xml:space="preserve">Compulsoryworkfortheunemployed </v>
      </c>
      <c r="B160" t="str">
        <v>25</v>
      </c>
      <c r="C160" t="str">
        <v>110</v>
      </c>
      <c r="E160" t="str">
        <v>0</v>
      </c>
      <c r="F160" t="str">
        <v>0</v>
      </c>
      <c r="H160">
        <f>=(B160+(C160-B160)*(D160+J160))*K160</f>
      </c>
      <c r="I160">
        <f>=(E160+(F160-E160)*(G160+J160))*K160</f>
      </c>
      <c r="J160">
        <f>=0</f>
      </c>
      <c r="K160">
        <f>=0</f>
      </c>
      <c r="BV160">
        <f>=MIN(1, MAX(-1,(0.03+(J160*0.06))*K160))</f>
      </c>
      <c r="BW160">
        <f>=MIN(1, MAX(-1,(0-(0.05*J160))*K160))</f>
      </c>
      <c r="CC160">
        <f>=MIN(1, MAX(-1,(0.03*(J160^0.5))*K160))</f>
      </c>
      <c r="CJ160">
        <f>=MIN(1, MAX(-1,(-0.12*(J160^BW247))*K160))</f>
      </c>
      <c r="DQ160">
        <f>=MIN(1, MAX(-1,(-0.12*(J160^0.5))*K160))</f>
      </c>
      <c r="EF160">
        <f>=MIN(1, MAX(-1,(0.02+(J160*0.05))*K160))</f>
      </c>
    </row>
    <row r="161">
      <c r="A161" t="str">
        <v>Punitivewealthtax</v>
      </c>
      <c r="B161" t="str">
        <v>0</v>
      </c>
      <c r="C161" t="str">
        <v>0</v>
      </c>
      <c r="E161" t="str">
        <v>120</v>
      </c>
      <c r="F161" t="str">
        <v>6800</v>
      </c>
      <c r="G161">
        <f>=0</f>
      </c>
      <c r="H161">
        <f>=(B161+(C161-B161)*(D161+J161))*K161</f>
      </c>
      <c r="I161">
        <f>=(E161+(F161-E161)*(G161+J161))*K161</f>
      </c>
      <c r="J161">
        <f>=0</f>
      </c>
      <c r="K161">
        <f>=0</f>
      </c>
      <c r="T161">
        <f>=MIN(1, MAX(-1,(0+(0.2*J161))*K161))</f>
      </c>
      <c r="AE161">
        <f>=MIN(1, MAX(-1,(0.15*(J161^2))*K161))</f>
      </c>
      <c r="BV161">
        <f>=MIN(1, MAX(-1,(-0.09*(J161^2))*K161))</f>
      </c>
      <c r="DQ161">
        <f>=MIN(1, MAX(-1,(0.18*(J161^2))*K161))</f>
      </c>
      <c r="DR161">
        <f>=MIN(1, MAX(-1,(-0.02-(J161*0.81)^2)*K161))</f>
      </c>
      <c r="DT161">
        <f>=MIN(1, MAX(-1,(0.065*(J161^2))*K161))</f>
      </c>
      <c r="FB161">
        <f>=MIN(1, MAX(-1,(0-(J161*0.55))*K161))</f>
      </c>
    </row>
    <row r="162">
      <c r="A162" t="str">
        <v>Publictaxreturns</v>
      </c>
      <c r="B162" t="str">
        <v>0</v>
      </c>
      <c r="C162" t="str">
        <v>0</v>
      </c>
      <c r="E162" t="str">
        <v>0</v>
      </c>
      <c r="F162" t="str">
        <v>0</v>
      </c>
      <c r="H162">
        <f>=(B162+(C162-B162)*(D162+J162))*K162</f>
      </c>
      <c r="I162">
        <f>=(E162+(F162-E162)*(G162+J162))*K162</f>
      </c>
      <c r="J162">
        <f>=0</f>
      </c>
      <c r="K162">
        <f>=0</f>
      </c>
      <c r="Y162">
        <f>=MIN(1, MAX(-1,(-0.1-(0.10*J162))*K162))</f>
      </c>
      <c r="Z162">
        <f>=MIN(1, MAX(-1,(-0.05-(0.15*J162))*K162))</f>
      </c>
      <c r="CF162">
        <f>=MIN(1, MAX(-1,(-0.04-(0.02*J162))*K162))</f>
      </c>
      <c r="CL162">
        <f>=MIN(1, MAX(-1,(0.03*(J162^0.5))*K162))</f>
      </c>
      <c r="DQ162">
        <f>=MIN(1, MAX(-1,(0.02+(0.02*J162))*K162))</f>
      </c>
      <c r="DR162">
        <f>=MIN(1, MAX(-1,(-0.08*(J162^2))*K162))</f>
      </c>
    </row>
    <row r="163">
      <c r="A163" t="str">
        <v>Compulsorylanguagelessons</v>
      </c>
      <c r="B163" t="str">
        <v>80</v>
      </c>
      <c r="C163" t="str">
        <v>205</v>
      </c>
      <c r="E163" t="str">
        <v>0</v>
      </c>
      <c r="F163" t="str">
        <v>0</v>
      </c>
      <c r="H163">
        <f>=(B163+(C163-B163)*(D163+J163))*K163</f>
      </c>
      <c r="I163">
        <f>=(E163+(F163-E163)*(G163+J163))*K163</f>
      </c>
      <c r="J163">
        <f>=0</f>
      </c>
      <c r="K163">
        <f>=0</f>
      </c>
      <c r="BT163">
        <f>=MIN(1, MAX(-1,(0.02+(J163*0.03))*K163))</f>
      </c>
      <c r="CS163">
        <f>=MIN(1, MAX(-1,(-0.08*(J163^2))*K163))</f>
      </c>
      <c r="CT163">
        <f>=MIN(1, MAX(-1,(0.01+(J163*0.08))*K163))</f>
      </c>
      <c r="DM163">
        <f>=MIN(1, MAX(-1,(-0.05-(J163*0.10))*K163))</f>
      </c>
      <c r="DX163">
        <f>=MIN(1, MAX(-1,(0.045+(J163*0.10))*K163))</f>
      </c>
      <c r="EE163">
        <f>=MIN(1, MAX(-1,(0.02+(J163*0.08))*K163))</f>
      </c>
    </row>
    <row r="164">
      <c r="A164" t="str">
        <v>Banforeignchurchservice</v>
      </c>
      <c r="B164" t="str">
        <v>0</v>
      </c>
      <c r="C164" t="str">
        <v>0</v>
      </c>
      <c r="E164" t="str">
        <v>0</v>
      </c>
      <c r="F164" t="str">
        <v>0</v>
      </c>
      <c r="H164">
        <f>=(B164+(C164-B164)*(D164+J164))*K164</f>
      </c>
      <c r="I164">
        <f>=(E164+(F164-E164)*(G164+J164))*K164</f>
      </c>
      <c r="J164">
        <f>=0</f>
      </c>
      <c r="K164">
        <f>=0</f>
      </c>
      <c r="CF164">
        <f>=MIN(1, MAX(-1,(-0.04-(J164*0.11))*K164))</f>
      </c>
      <c r="CO164">
        <f>=MIN(1, MAX(-1,(0.04+(J164*0.20))*K164))</f>
      </c>
      <c r="CT164">
        <f>=MIN(1, MAX(-1,(-0.03-(J164*0.7))*K164))</f>
      </c>
      <c r="CV164">
        <f>=MIN(1, MAX(-1,(-0.07-(J164*0.43))*K164))</f>
      </c>
      <c r="DM164">
        <f>=MIN(1, MAX(-1,(0.05+(J164*0.25))*K164))</f>
      </c>
    </row>
    <row r="165">
      <c r="A165" t="str">
        <v>Diversityquotasforcompanies</v>
      </c>
      <c r="B165" t="str">
        <v>5</v>
      </c>
      <c r="C165" t="str">
        <v>10</v>
      </c>
      <c r="E165" t="str">
        <v>0</v>
      </c>
      <c r="F165" t="str">
        <v>0</v>
      </c>
      <c r="H165">
        <f>=(B165+(C165-B165)*(D165+J165))*K165</f>
      </c>
      <c r="I165">
        <f>=(E165+(F165-E165)*(G165+J165))*K165</f>
      </c>
      <c r="J165">
        <f>=0</f>
      </c>
      <c r="K165">
        <f>=0</f>
      </c>
      <c r="BV165">
        <f>=MIN(1, MAX(-1,(-0.04-(J165*0.04))*K165))</f>
      </c>
      <c r="CF165">
        <f>=MIN(1, MAX(-1,(0.05+(0.08*J165))*K165))</f>
      </c>
      <c r="CL165">
        <f>=MIN(1, MAX(-1,(0.05+(J165*0.05))*K165))</f>
      </c>
      <c r="CV165">
        <f>=MIN(1, MAX(-1,(0.1+(J165*0.15))*K165))</f>
      </c>
      <c r="DM165">
        <f>=MIN(1, MAX(-1,(-0.075-(J165*0.11))*K165))</f>
      </c>
      <c r="DP165">
        <f>=MIN(1, MAX(-1,(-0.06-(J165*0.04))*K165))</f>
      </c>
    </row>
    <row r="166">
      <c r="A166" t="str">
        <v>Newcarsubsidies</v>
      </c>
      <c r="B166" t="str">
        <v>60</v>
      </c>
      <c r="C166" t="str">
        <v>800</v>
      </c>
      <c r="E166" t="str">
        <v>0</v>
      </c>
      <c r="F166" t="str">
        <v>0</v>
      </c>
      <c r="H166">
        <f>=(B166+(C166-B166)*(D166+J166))*K166</f>
      </c>
      <c r="I166">
        <f>=(E166+(F166-E166)*(G166+J166))*K166</f>
      </c>
      <c r="J166">
        <f>=0</f>
      </c>
      <c r="K166">
        <f>=0</f>
      </c>
      <c r="AV166">
        <f>=MIN(1, MAX(-1,(-0.02-(0.02*J166))*K166))</f>
      </c>
      <c r="CC166">
        <f>=MIN(1, MAX(-1,(0.01+(0.01*J166))*K166))</f>
      </c>
      <c r="CQ166">
        <f>=MIN(1, MAX(-1,(-0.02-(J166*0.03))*K166))</f>
      </c>
      <c r="CR166">
        <f>=MIN(1, MAX(-1,(0.05+(J166*0.13))*K166))</f>
      </c>
      <c r="DB166">
        <f>=MIN(1, MAX(-1,(-0.02-(0.02*J166))*K166))</f>
      </c>
      <c r="DE166">
        <f>=MIN(1, MAX(-1,(0.02+(0.02*J166))*K166))</f>
      </c>
      <c r="DF166">
        <f>=MIN(1, MAX(-1,(0.02+(J166*0.02))*K166))</f>
      </c>
      <c r="DG166">
        <f>=MIN(1, MAX(-1,(0.05+(J166*0.08))*K166))</f>
      </c>
    </row>
    <row r="167">
      <c r="A167" t="str">
        <v>Flagsoneverystreetcorner</v>
      </c>
      <c r="B167" t="str">
        <v>10</v>
      </c>
      <c r="C167" t="str">
        <v>80</v>
      </c>
      <c r="E167" t="str">
        <v>0</v>
      </c>
      <c r="F167" t="str">
        <v>0</v>
      </c>
      <c r="H167">
        <f>=(B167+(C167-B167)*(D167+J167))*K167</f>
      </c>
      <c r="I167">
        <f>=(E167+(F167-E167)*(G167+J167))*K167</f>
      </c>
      <c r="J167">
        <f>=0</f>
      </c>
      <c r="K167">
        <f>=0</f>
      </c>
      <c r="CS167">
        <f>=MIN(1, MAX(-1,(0.03+(J167*0.21))*K167))</f>
      </c>
      <c r="CV167">
        <f>=MIN(1, MAX(-1,(-0.01-(0.02*J167))*K167))</f>
      </c>
      <c r="DM167">
        <f>=MIN(1, MAX(-1,(0.01+(0.03*J167))*K167))</f>
      </c>
      <c r="DN167">
        <f>=MIN(1, MAX(-1,(0.17*(J167^2)+0.1)*K167))</f>
      </c>
      <c r="DX167">
        <f>=MIN(1, MAX(-1,(0-(J167*0.04)^2)*K167))</f>
      </c>
    </row>
    <row r="168">
      <c r="A168" t="str">
        <v>Nationalanthematstartofnews</v>
      </c>
      <c r="B168" t="str">
        <v>0</v>
      </c>
      <c r="C168" t="str">
        <v>0</v>
      </c>
      <c r="E168" t="str">
        <v>0</v>
      </c>
      <c r="F168" t="str">
        <v>0</v>
      </c>
      <c r="H168">
        <f>=(B168+(C168-B168)*(D168+J168))*K168</f>
      </c>
      <c r="I168">
        <f>=(E168+(F168-E168)*(G168+J168))*K168</f>
      </c>
      <c r="J168">
        <f>=0</f>
      </c>
      <c r="K168">
        <f>=0</f>
      </c>
      <c r="CS168">
        <f>=MIN(1, MAX(-1,(0.08+(J168*0.04))*K168))</f>
      </c>
      <c r="DN168">
        <f>=MIN(1, MAX(-1,(0.06+(J168*0.14))*K168))</f>
      </c>
      <c r="DX168">
        <f>=MIN(1, MAX(-1,(-0.015-(J168*0.015))*K168))</f>
      </c>
    </row>
    <row r="169">
      <c r="A169" t="str">
        <v>Nationalanthemsinschool</v>
      </c>
      <c r="B169" t="str">
        <v>0</v>
      </c>
      <c r="C169" t="str">
        <v>0</v>
      </c>
      <c r="E169" t="str">
        <v>0</v>
      </c>
      <c r="F169" t="str">
        <v>0</v>
      </c>
      <c r="H169">
        <f>=(B169+(C169-B169)*(D169+J169))*K169</f>
      </c>
      <c r="I169">
        <f>=(E169+(F169-E169)*(G169+J169))*K169</f>
      </c>
      <c r="J169">
        <f>=0</f>
      </c>
      <c r="K169">
        <f>=0</f>
      </c>
      <c r="CI169">
        <f>=MIN(1, MAX(-1,(-0.02-(J169*0.05))*K169))</f>
      </c>
      <c r="CS169">
        <f>=MIN(1, MAX(-1,(0.02+(J169*0.06))*K169))</f>
      </c>
      <c r="DN169">
        <f>=MIN(1, MAX(-1,(0.02+(J169*0.08))*K169))</f>
      </c>
    </row>
    <row r="170">
      <c r="A170" t="str">
        <v>Compulsorychurchattendance</v>
      </c>
      <c r="B170" t="str">
        <v>0</v>
      </c>
      <c r="C170" t="str">
        <v>0</v>
      </c>
      <c r="E170" t="str">
        <v>0</v>
      </c>
      <c r="F170" t="str">
        <v>0</v>
      </c>
      <c r="H170">
        <f>=(B170+(C170-B170)*(D170+J170))*K170</f>
      </c>
      <c r="I170">
        <f>=(E170+(F170-E170)*(G170+J170))*K170</f>
      </c>
      <c r="J170">
        <f>=0</f>
      </c>
      <c r="K170">
        <f>=0</f>
      </c>
      <c r="CF170">
        <f>=MIN(1, MAX(-1,(-0.08-(J170*0.12))*K170))</f>
      </c>
      <c r="CO170">
        <f>=MIN(1, MAX(-1,(0.04+(J170*0.16))*K170))</f>
      </c>
      <c r="CV170">
        <f>=MIN(1, MAX(-1,(-0.02-(J170*0.18))*K170))</f>
      </c>
      <c r="DV170">
        <f>=MIN(1, MAX(-1,(0.04+(J170*0.20))*K170))</f>
      </c>
    </row>
    <row r="171">
      <c r="A171" t="str">
        <v>Forcepoliticalmilitaryreligiousoath</v>
      </c>
      <c r="B171" t="str">
        <v>0</v>
      </c>
      <c r="C171" t="str">
        <v>0</v>
      </c>
      <c r="E171" t="str">
        <v>0</v>
      </c>
      <c r="F171" t="str">
        <v>0</v>
      </c>
      <c r="H171">
        <f>=(B171+(C171-B171)*(D171+J171))*K171</f>
      </c>
      <c r="I171">
        <f>=(E171+(F171-E171)*(G171+J171))*K171</f>
      </c>
      <c r="J171">
        <f>=0</f>
      </c>
      <c r="K171">
        <f>=0</f>
      </c>
      <c r="CF171">
        <f>=MIN(1, MAX(-1,(-0.06-(J171^6)*0.54)*K171))</f>
      </c>
      <c r="CO171">
        <f>=MIN(1, MAX(-1,(0.06+(J171*0.11))*K171))</f>
      </c>
      <c r="DM171">
        <f>=MIN(1, MAX(-1,(0.05+(J171^2)*0.15)*K171))</f>
      </c>
      <c r="DV171">
        <f>=MIN(1, MAX(-1,(0.02+(J171^2)*0.21)*K171))</f>
      </c>
      <c r="DX171">
        <f>=MIN(1, MAX(-1,(-0.02-(J171^2)*0.08)*K171))</f>
      </c>
    </row>
    <row r="172">
      <c r="A172" t="str">
        <v>Publicreligiousbroadcasts</v>
      </c>
      <c r="B172" t="str">
        <v>20</v>
      </c>
      <c r="C172" t="str">
        <v>110</v>
      </c>
      <c r="E172" t="str">
        <v>0</v>
      </c>
      <c r="F172" t="str">
        <v>0</v>
      </c>
      <c r="H172">
        <f>=(B172+(C172-B172)*(D172+J172))*K172</f>
      </c>
      <c r="I172">
        <f>=(E172+(F172-E172)*(G172+J172))*K172</f>
      </c>
      <c r="J172">
        <f>=0</f>
      </c>
      <c r="K172">
        <f>=0</f>
      </c>
      <c r="CF172">
        <f>=MIN(1, MAX(-1,(-0.08-(J172*0.19))*K172))</f>
      </c>
      <c r="CO172">
        <f>=MIN(1, MAX(-1,(0.06+(J172*0.12))*K172))</f>
      </c>
      <c r="DM172">
        <f>=MIN(1, MAX(-1,(0.05+(J172^2)*0.15)*K172))</f>
      </c>
      <c r="DV172">
        <f>=MIN(1, MAX(-1,(0.03+(J172*0.1))*K172))</f>
      </c>
    </row>
    <row r="173">
      <c r="A173" t="str">
        <v>Bandivorce</v>
      </c>
      <c r="B173" t="str">
        <v>0</v>
      </c>
      <c r="C173" t="str">
        <v>0</v>
      </c>
      <c r="E173" t="str">
        <v>0</v>
      </c>
      <c r="F173" t="str">
        <v>0</v>
      </c>
      <c r="H173">
        <f>=(B173+(C173-B173)*(D173+J173))*K173</f>
      </c>
      <c r="I173">
        <f>=(E173+(F173-E173)*(G173+J173))*K173</f>
      </c>
      <c r="J173">
        <f>=0</f>
      </c>
      <c r="K173">
        <f>=0</f>
      </c>
      <c r="CF173">
        <f>=MIN(1, MAX(-1,(-0.06-(J173*0.1))*K173))</f>
      </c>
      <c r="CO173">
        <f>=MIN(1, MAX(-1,(0.08+(J173*0.12))*K173))</f>
      </c>
      <c r="DI173">
        <f>=MIN(1, MAX(-1,(0.06+(J173*0.05))*K173))</f>
      </c>
      <c r="DV173">
        <f>=MIN(1, MAX(-1,(-0.01-(J173*0.02))*K173))</f>
      </c>
    </row>
    <row r="174">
      <c r="A174" t="str">
        <v>Banhomosexuality</v>
      </c>
      <c r="B174" t="str">
        <v>0</v>
      </c>
      <c r="C174" t="str">
        <v>0</v>
      </c>
      <c r="E174" t="str">
        <v>0</v>
      </c>
      <c r="F174" t="str">
        <v>0</v>
      </c>
      <c r="H174">
        <f>=(B174+(C174-B174)*(D174+J174))*K174</f>
      </c>
      <c r="I174">
        <f>=(E174+(F174-E174)*(G174+J174))*K174</f>
      </c>
      <c r="J174">
        <f>=0</f>
      </c>
      <c r="K174">
        <f>=0</f>
      </c>
      <c r="CF174">
        <f>=MIN(1, MAX(-1,(-0.14-(J174^2)*0.28)*K174))</f>
      </c>
      <c r="CM174">
        <f>=MIN(1, MAX(-1,(0+(J174^4)*0.03)*K174))</f>
      </c>
      <c r="CO174">
        <f>=MIN(1, MAX(-1,(0.08+(J174*0.07))*K174))</f>
      </c>
      <c r="DI174">
        <f>=MIN(1, MAX(-1,(0.04+(J174*0.04))*K174))</f>
      </c>
      <c r="DV174">
        <f>=MIN(1, MAX(-1,(-0.02-(J174*0.04))*K174))</f>
      </c>
    </row>
    <row r="175">
      <c r="A175" t="str">
        <v>Banlowmpgcars</v>
      </c>
      <c r="B175" t="str">
        <v>4</v>
      </c>
      <c r="C175" t="str">
        <v>8</v>
      </c>
      <c r="E175" t="str">
        <v>0</v>
      </c>
      <c r="F175" t="str">
        <v>0</v>
      </c>
      <c r="H175">
        <f>=(B175+(C175-B175)*(D175+J175))*K175</f>
      </c>
      <c r="I175">
        <f>=(E175+(F175-E175)*(G175+J175))*K175</f>
      </c>
      <c r="J175">
        <f>=0</f>
      </c>
      <c r="K175">
        <f>=0</f>
      </c>
      <c r="CB175">
        <f>=MIN(1, MAX(-1,(0.05+(J175^2)*0.16)*K175))</f>
      </c>
      <c r="CQ175">
        <f>=MIN(1, MAX(-1,(-0.025-(0.05*J175))*K175))</f>
      </c>
      <c r="CR175">
        <f>=MIN(1, MAX(-1,(-0.05-(J175^2)*0.14)*K175))</f>
      </c>
      <c r="DB175">
        <f>=MIN(1, MAX(-1,(-0.02-(J175^2)*0.08)*K175))</f>
      </c>
      <c r="DE175">
        <f>=MIN(1, MAX(-1,(0.03+(J175^2)*0.11)*K175))</f>
      </c>
      <c r="DF175">
        <f>=MIN(1, MAX(-1,(-0.05-(J175^2)*0.1)*K175))</f>
      </c>
    </row>
    <row r="176">
      <c r="A176" t="str">
        <v>Mandatorymicrogeneration</v>
      </c>
      <c r="B176" t="str">
        <v>2</v>
      </c>
      <c r="C176" t="str">
        <v>4</v>
      </c>
      <c r="E176" t="str">
        <v>0</v>
      </c>
      <c r="F176" t="str">
        <v>0</v>
      </c>
      <c r="H176">
        <f>=(B176+(C176-B176)*(D176+J176))*K176</f>
      </c>
      <c r="I176">
        <f>=(E176+(F176-E176)*(G176+J176))*K176</f>
      </c>
      <c r="J176">
        <f>=0</f>
      </c>
      <c r="K176">
        <f>=0</f>
      </c>
      <c r="BV176">
        <f>=MIN(1, MAX(-1,(-0.05-(0.09*J176))*K176))</f>
      </c>
      <c r="CB176">
        <f>=MIN(1, MAX(-1,(0.06+(J176*0.13))*K176))</f>
      </c>
      <c r="CQ176">
        <f>=MIN(1, MAX(-1,(-0.02-(J176*0.08))*K176))</f>
      </c>
      <c r="DB176">
        <f>=MIN(1, MAX(-1,(-0.03-(J176*0.11))*K176))</f>
      </c>
      <c r="DE176">
        <f>=MIN(1, MAX(-1,(0.02+(0.04*J176))*K176))</f>
      </c>
      <c r="ED176">
        <f>=MIN(1, MAX(-1,(0.08+(J176*0.12))*K176))</f>
      </c>
    </row>
    <row r="177">
      <c r="A177" t="str">
        <v>Punitivetaxonsuperstores</v>
      </c>
      <c r="B177" t="str">
        <v>0</v>
      </c>
      <c r="C177" t="str">
        <v>0</v>
      </c>
      <c r="E177" t="str">
        <v>400</v>
      </c>
      <c r="F177" t="str">
        <v>5000</v>
      </c>
      <c r="G177">
        <f>=MIN(10, MAX(0,0.5+(0.5*CC247)+0))</f>
      </c>
      <c r="H177">
        <f>=(B177+(C177-B177)*(D177+J177))*K177</f>
      </c>
      <c r="I177">
        <f>=(E177+(F177-E177)*(G177+J177))*K177</f>
      </c>
      <c r="J177">
        <f>=0</f>
      </c>
      <c r="K177">
        <f>=0</f>
      </c>
      <c r="BV177">
        <f>=MIN(1, MAX(-1,(-0.04-(J177*0.09))*K177))</f>
      </c>
      <c r="CB177">
        <f>=MIN(1, MAX(-1,(0.03+(0.04*J177))*K177))</f>
      </c>
      <c r="CC177">
        <f>=MIN(1, MAX(-1,(-0.01-(J177*0.01))*K177))</f>
      </c>
      <c r="DF177">
        <f>=MIN(1, MAX(-1,(-0.03-(J177*0.03))*K177))</f>
      </c>
      <c r="DP177">
        <f>=MIN(1, MAX(-1,(0.06+(J177*0.12))*K177))</f>
      </c>
      <c r="DQ177">
        <f>=MIN(1, MAX(-1,(0.03+(0.06*J177))*K177))</f>
      </c>
      <c r="EH177">
        <f>=MIN(1, MAX(-1,(0.04+(J177*0.08))*K177))</f>
      </c>
    </row>
    <row r="178">
      <c r="A178" t="str">
        <v>Limitorbancarsincities</v>
      </c>
      <c r="B178" t="str">
        <v>12</v>
      </c>
      <c r="C178" t="str">
        <v>26</v>
      </c>
      <c r="E178" t="str">
        <v>0</v>
      </c>
      <c r="F178" t="str">
        <v>0</v>
      </c>
      <c r="H178">
        <f>=(B178+(C178-B178)*(D178+J178))*K178</f>
      </c>
      <c r="I178">
        <f>=(E178+(F178-E178)*(G178+J178))*K178</f>
      </c>
      <c r="J178">
        <f>=0</f>
      </c>
      <c r="K178">
        <f>=0</f>
      </c>
      <c r="CB178">
        <f>=MIN(1, MAX(-1,(0.03+(J178^2)*0.12)*K178))</f>
      </c>
      <c r="CR178">
        <f>=MIN(1, MAX(-1,(-0.1-(J178^2)*0.25)*K178))</f>
      </c>
      <c r="DE178">
        <f>=MIN(1, MAX(-1,(0.05+(J178^2)*0.12)*K178))</f>
      </c>
      <c r="DF178">
        <f>=MIN(1, MAX(-1,(-0.05-(J178^2)*0.31)*K178))</f>
      </c>
      <c r="DH178">
        <f>=MIN(1, MAX(-1,(-0.04-(J178^2)*0.22)*K178))</f>
      </c>
    </row>
    <row r="179">
      <c r="A179" t="str">
        <v>Closeairportscompletely</v>
      </c>
      <c r="B179" t="str">
        <v>0</v>
      </c>
      <c r="C179" t="str">
        <v>0</v>
      </c>
      <c r="E179" t="str">
        <v>0</v>
      </c>
      <c r="F179" t="str">
        <v>0</v>
      </c>
      <c r="H179">
        <f>=(B179+(C179-B179)*(D179+J179))*K179</f>
      </c>
      <c r="I179">
        <f>=(E179+(F179-E179)*(G179+J179))*K179</f>
      </c>
      <c r="J179">
        <f>=0</f>
      </c>
      <c r="K179">
        <f>=0</f>
      </c>
      <c r="CB179">
        <f>=MIN(1, MAX(-1,(0.08+(J179^2)*0.2)*K179))</f>
      </c>
      <c r="CC179">
        <f>=MIN(1, MAX(-1,(-0.03-(J179^2)*0.06)*K179))</f>
      </c>
      <c r="CD179">
        <f>=MIN(1, MAX(-1,(-0.6-(J179^2)*0.8)*K179))</f>
      </c>
      <c r="CT179">
        <f>=MIN(1, MAX(-1,(-0.1-(J179^2)*0.21)*K179))</f>
      </c>
      <c r="DE179">
        <f>=MIN(1, MAX(-1,(0.02+(J179^2)*0.04)*K179))</f>
      </c>
      <c r="DX179">
        <f>=MIN(1, MAX(-1,(-0.04-(J179^2)*0.04)*K179))</f>
      </c>
      <c r="EE179">
        <f>=MIN(1, MAX(-1,(-0.1-(J179^2)*0.24)*K179))</f>
      </c>
      <c r="EY179">
        <f>=MIN(1, MAX(-1,(-0.1-(J179^2)*0.25)*K179))</f>
      </c>
    </row>
    <row r="180">
      <c r="A180" t="str">
        <v>HumanCloningResearchGrants</v>
      </c>
      <c r="B180" t="str">
        <v>450</v>
      </c>
      <c r="C180" t="str">
        <v>5700</v>
      </c>
      <c r="E180" t="str">
        <v>0</v>
      </c>
      <c r="F180" t="str">
        <v>0</v>
      </c>
      <c r="H180">
        <f>=(B180+(C180-B180)*(D180+J180))*K180</f>
      </c>
      <c r="I180">
        <f>=(E180+(F180-E180)*(G180+J180))*K180</f>
      </c>
      <c r="J180">
        <f>=0</f>
      </c>
      <c r="K180">
        <f>=0</f>
      </c>
      <c r="CA180">
        <f>=MIN(1, MAX(-1,(-0.01-(0.02*J180))*K180))</f>
      </c>
      <c r="CO180">
        <f>=MIN(1, MAX(-1,(-0.12-0.62*(J180^2.2))*K180))</f>
      </c>
      <c r="DI180">
        <f>=MIN(1, MAX(-1,(-0.12-(0.14*J180))*K180))</f>
      </c>
      <c r="DR180">
        <f>=MIN(1, MAX(-1,(0.1+(0.13*J180))*K180))</f>
      </c>
      <c r="EI180">
        <f>=MIN(1, MAX(-1,(0.02+(0.04*J180))*K180))</f>
      </c>
    </row>
    <row r="181">
      <c r="A181" t="str">
        <v>DroneStrikeAct</v>
      </c>
      <c r="B181" t="str">
        <v>100</v>
      </c>
      <c r="C181" t="str">
        <v>2000</v>
      </c>
      <c r="E181" t="str">
        <v>0</v>
      </c>
      <c r="F181" t="str">
        <v>0</v>
      </c>
      <c r="H181">
        <f>=(B181+(C181-B181)*(D181+J181))*K181</f>
      </c>
      <c r="I181">
        <f>=(E181+(F181-E181)*(G181+J181))*K181</f>
      </c>
      <c r="J181">
        <f>=0</f>
      </c>
      <c r="K181">
        <f>=0</f>
      </c>
      <c r="AT181">
        <f>=MIN(1, MAX(-1,(0.2+(0.2*J181))*K181))</f>
      </c>
      <c r="CF181">
        <f>=MIN(1, MAX(-1,(-0.15-(0.15*J181))*K181))</f>
      </c>
      <c r="CS181">
        <f>=MIN(1, MAX(-1,(0+(0.25*J181))*K181))</f>
      </c>
      <c r="CU181">
        <f>=MIN(1, MAX(-1,(0-(0.2*J181))*K181))</f>
      </c>
      <c r="DI181">
        <f>=MIN(1, MAX(-1,(0.08+(0.1*J181))*K181))</f>
      </c>
      <c r="DX181">
        <f>=MIN(1, MAX(-1,(-0.08-(0.12*J181))*K181))</f>
      </c>
    </row>
    <row r="182">
      <c r="A182" t="str">
        <v>ElectricCarsInitiative</v>
      </c>
      <c r="B182" t="str">
        <v>1000</v>
      </c>
      <c r="C182" t="str">
        <v>3000</v>
      </c>
      <c r="D182">
        <f>=MIN(10, MAX(0,0.2+0+(0.8*DF247)))</f>
      </c>
      <c r="E182" t="str">
        <v>0</v>
      </c>
      <c r="F182" t="str">
        <v>0</v>
      </c>
      <c r="H182">
        <f>=(B182+(C182-B182)*(D182+J182))*K182</f>
      </c>
      <c r="I182">
        <f>=(E182+(F182-E182)*(G182+J182))*K182</f>
      </c>
      <c r="J182">
        <f>=0</f>
      </c>
      <c r="K182">
        <f>=0</f>
      </c>
      <c r="CQ182">
        <f>=MIN(1, MAX(-1,(-0.04-(0.2*J182) *DF247)*K182))</f>
      </c>
      <c r="CR182">
        <f>=MIN(1, MAX(-1,(0.01+(0.03*J182))*K182))</f>
      </c>
      <c r="DB182">
        <f>=MIN(1, MAX(-1,(0-(0.08*J182))*K182))</f>
      </c>
      <c r="DE182">
        <f>=MIN(1, MAX(-1,(0.03+(0.14*J182)*DF247)*K182))</f>
      </c>
      <c r="EC182">
        <f>=MIN(1, MAX(-1,(0+(0.05*J182))*K182))</f>
      </c>
      <c r="ED182">
        <f>=MIN(1, MAX(-1,(0+(0.05*J182))*K182))</f>
      </c>
    </row>
    <row r="183">
      <c r="A183" t="str">
        <v>ClimateChangeAdaptionFund</v>
      </c>
      <c r="B183" t="str">
        <v>4500</v>
      </c>
      <c r="C183" t="str">
        <v>16000</v>
      </c>
      <c r="D183">
        <f>=MIN(10, MAX(0,0.75+(0.25*CC247)))</f>
      </c>
      <c r="E183" t="str">
        <v>0</v>
      </c>
      <c r="F183" t="str">
        <v>0</v>
      </c>
      <c r="H183">
        <f>=(B183+(C183-B183)*(D183+J183))*K183</f>
      </c>
      <c r="I183">
        <f>=(E183+(F183-E183)*(G183+J183))*K183</f>
      </c>
      <c r="J183">
        <f>=0</f>
      </c>
      <c r="K183">
        <f>=0</f>
      </c>
      <c r="AW183">
        <f>=MIN(1, MAX(-1,(0-(0.2*J183))*K183))</f>
      </c>
      <c r="AX183">
        <f>=MIN(1, MAX(-1,(0-(0.2*J183))*K183))</f>
      </c>
      <c r="BW183">
        <f>=MIN(1, MAX(-1,(0.0-(0.1*J183))*K183))</f>
      </c>
      <c r="BX183">
        <f>=MIN(1, MAX(-1,(0.1+(0.09*J183))*K183))</f>
      </c>
      <c r="BZ183">
        <f>=MIN(1, MAX(-1,(0.08+(0.05*J183))*K183))</f>
      </c>
      <c r="CB183">
        <f>=MIN(1, MAX(-1,(0.04+(0.04*J183))*K183))</f>
      </c>
      <c r="ED183">
        <f>=MIN(1, MAX(-1,(0+(0.04*J183))*K183))</f>
      </c>
    </row>
    <row r="184">
      <c r="A184" t="str">
        <v>OneChildPolicy</v>
      </c>
      <c r="B184" t="str">
        <v>0</v>
      </c>
      <c r="C184" t="str">
        <v>0</v>
      </c>
      <c r="E184" t="str">
        <v>0</v>
      </c>
      <c r="F184" t="str">
        <v>50</v>
      </c>
      <c r="H184">
        <f>=(B184+(C184-B184)*(D184+J184))*K184</f>
      </c>
      <c r="I184">
        <f>=(E184+(F184-E184)*(G184+J184))*K184</f>
      </c>
      <c r="J184">
        <f>=0</f>
      </c>
      <c r="K184">
        <f>=0</f>
      </c>
      <c r="BW184">
        <f>=MIN(1, MAX(-1,(0.0-(0.13*J184))*K184))</f>
      </c>
      <c r="CF184">
        <f>=MIN(1, MAX(-1,(-0.15*(J184^0.6))*K184))</f>
      </c>
      <c r="CO184">
        <f>=MIN(1, MAX(-1,(-0.2*(J184^0.8))*K184))</f>
      </c>
      <c r="DJ184">
        <f>=MIN(1, MAX(-1,(-0.25-(0.2*J184))*K184))</f>
      </c>
      <c r="DK184">
        <f>=MIN(1, MAX(-1,(0.0-(0.25*J184))*K184))</f>
      </c>
      <c r="EL184">
        <f>=MIN(1, MAX(-1,(0+(0.15*J184))*K184))</f>
      </c>
      <c r="FC184">
        <f>=MIN(1, MAX(-1,(0-(0.12*J184))*K184))</f>
      </c>
    </row>
    <row r="185">
      <c r="A185" t="str">
        <v>MarsProgram</v>
      </c>
      <c r="B185" t="str">
        <v>4000</v>
      </c>
      <c r="C185" t="str">
        <v>12200</v>
      </c>
      <c r="D185">
        <f>=MIN(10, MAX(0,1.0+-0.15*(EI247^1.5)))</f>
      </c>
      <c r="E185" t="str">
        <v>0</v>
      </c>
      <c r="F185" t="str">
        <v>0</v>
      </c>
      <c r="H185">
        <f>=(B185+(C185-B185)*(D185+J185))*K185</f>
      </c>
      <c r="I185">
        <f>=(E185+(F185-E185)*(G185+J185))*K185</f>
      </c>
      <c r="J185">
        <f>=0</f>
      </c>
      <c r="K185">
        <f>=0</f>
      </c>
      <c r="BW185">
        <f>=MIN(1, MAX(-1,(-0.04-(0.12*J185))*K185))</f>
      </c>
      <c r="CS185">
        <f>=MIN(1, MAX(-1,(0.05+(0.20*J185))*K185))</f>
      </c>
      <c r="DN185">
        <f>=MIN(1, MAX(-1,(0.05+(0.15*J185))*K185))</f>
      </c>
      <c r="DV185">
        <f>=MIN(1, MAX(-1,(-0.02-(0.06*J185))*K185))</f>
      </c>
      <c r="EI185">
        <f>=MIN(1, MAX(-1,(0+(0.16*J185))*K185))</f>
      </c>
      <c r="EM185">
        <f>=MIN(1, MAX(-1,(0.035+(0.075*J185))*K185))</f>
      </c>
    </row>
    <row r="186">
      <c r="A186" t="str">
        <v>AntibioticsBan</v>
      </c>
      <c r="B186" t="str">
        <v>20</v>
      </c>
      <c r="C186" t="str">
        <v>50</v>
      </c>
      <c r="D186">
        <f>=MIN(10, MAX(0,0.25+(0.75*BX247)))</f>
      </c>
      <c r="E186" t="str">
        <v>0</v>
      </c>
      <c r="F186" t="str">
        <v>0</v>
      </c>
      <c r="H186">
        <f>=(B186+(C186-B186)*(D186+J186))*K186</f>
      </c>
      <c r="I186">
        <f>=(E186+(F186-E186)*(G186+J186))*K186</f>
      </c>
      <c r="J186">
        <f>=0</f>
      </c>
      <c r="K186">
        <f>=0</f>
      </c>
      <c r="AY186">
        <f>=MIN(1, MAX(-1,(-0.2-(0.4*J186))*K186))</f>
      </c>
      <c r="BV186">
        <f>=MIN(1, MAX(-1,(-0.03-(0.015*J186))*K186))</f>
      </c>
      <c r="BX186">
        <f>=MIN(1, MAX(-1,(-0.2*(J186^1.6))*K186))</f>
      </c>
      <c r="BY186">
        <f>=MIN(1, MAX(-1,(-0.02-(0.05*J186))*K186))</f>
      </c>
      <c r="BZ186">
        <f>=MIN(1, MAX(-1,(-0.1-(0.17*J186))*K186))</f>
      </c>
      <c r="CA186">
        <f>=MIN(1, MAX(-1,(0.04+(0.07*J186))*K186))</f>
      </c>
      <c r="CB186">
        <f>=MIN(1, MAX(-1,(0.09+(0.07*J186))*K186))</f>
      </c>
      <c r="FC186">
        <f>=MIN(1, MAX(-1,(0.05+(0.10*J186))*K186))</f>
      </c>
    </row>
    <row r="187">
      <c r="A187" t="str">
        <v>MandatoryMicrochipImplant</v>
      </c>
      <c r="B187" t="str">
        <v>200</v>
      </c>
      <c r="C187" t="str">
        <v>1900</v>
      </c>
      <c r="E187" t="str">
        <v>0</v>
      </c>
      <c r="F187" t="str">
        <v>0</v>
      </c>
      <c r="H187">
        <f>=(B187+(C187-B187)*(D187+J187))*K187</f>
      </c>
      <c r="I187">
        <f>=(E187+(F187-E187)*(G187+J187))*K187</f>
      </c>
      <c r="J187">
        <f>=0</f>
      </c>
      <c r="K187">
        <f>=0</f>
      </c>
      <c r="CF187">
        <f>=MIN(1, MAX(-1,(-0.17-(0.22*J187))*K187))</f>
      </c>
      <c r="CH187">
        <f>=MIN(1, MAX(-1,(0.00-(0.4*J187))*K187))</f>
      </c>
      <c r="CM187">
        <f>=MIN(1, MAX(-1,(0.00-(0.15*J187))*K187))</f>
      </c>
      <c r="CN187">
        <f>=MIN(1, MAX(-1,(0+(0.15*J187))*K187))</f>
      </c>
      <c r="CO187">
        <f>=MIN(1, MAX(-1,(-0.05-(0.03*J187))*K187))</f>
      </c>
      <c r="CS187">
        <f>=MIN(1, MAX(-1,(0.11+(0.07*J187))*K187))</f>
      </c>
      <c r="DI187">
        <f>=MIN(1, MAX(-1,(0.15+(0.07*J187))*K187))</f>
      </c>
    </row>
    <row r="188">
      <c r="A188" t="str">
        <v>HomeFabricationGrants</v>
      </c>
      <c r="B188" t="str">
        <v>50</v>
      </c>
      <c r="C188" t="str">
        <v>600</v>
      </c>
      <c r="D188">
        <f>=MIN(10, MAX(0,0.5+(0.5*CC247)+0.0-(0.2*EI247)+0.0-(0.1*FE247)))</f>
      </c>
      <c r="E188" t="str">
        <v>0</v>
      </c>
      <c r="F188" t="str">
        <v>0</v>
      </c>
      <c r="H188">
        <f>=(B188+(C188-B188)*(D188+J188))*K188</f>
      </c>
      <c r="I188">
        <f>=(E188+(F188-E188)*(G188+J188))*K188</f>
      </c>
      <c r="J188">
        <f>=0</f>
      </c>
      <c r="K188">
        <f>=0</f>
      </c>
      <c r="BV188">
        <f>=MIN(1, MAX(-1,(0-(0.05*J188))*K188))</f>
      </c>
      <c r="CE188">
        <f>=MIN(1, MAX(-1,(0.0+(0.09*J188))*K188))</f>
      </c>
      <c r="CY188">
        <f>=MIN(1, MAX(-1,(0+(0.07*J188))*K188))</f>
      </c>
      <c r="DX188">
        <f>=MIN(1, MAX(-1,(0-(0.05*J188))*K188))</f>
      </c>
      <c r="EE188">
        <f>=MIN(1, MAX(-1,(-0.05-(0.08*J188))*K188))</f>
      </c>
      <c r="EF188">
        <f>=MIN(1, MAX(-1,(0+(0.08*J188))*K188))</f>
      </c>
      <c r="EH188">
        <f>=MIN(1, MAX(-1,(0.13*(J188^0.5))*K188))</f>
      </c>
    </row>
    <row r="189">
      <c r="A189" t="str">
        <v>RareEarthRefinement</v>
      </c>
      <c r="B189" t="str">
        <v>500</v>
      </c>
      <c r="C189" t="str">
        <v>14700</v>
      </c>
      <c r="D189">
        <f>=MIN(10, MAX(0,0.75+(0.25*CC247)+0.0-(0.25*EI247)))</f>
      </c>
      <c r="E189" t="str">
        <v>0</v>
      </c>
      <c r="F189" t="str">
        <v>0</v>
      </c>
      <c r="H189">
        <f>=(B189+(C189-B189)*(D189+J189))*K189</f>
      </c>
      <c r="I189">
        <f>=(E189+(F189-E189)*(G189+J189))*K189</f>
      </c>
      <c r="J189">
        <f>=0</f>
      </c>
      <c r="K189">
        <f>=0</f>
      </c>
      <c r="AZ189">
        <f>=MIN(1, MAX(-1,(0+(0.2*J189))*K189))</f>
      </c>
      <c r="BA189">
        <f>=MIN(1, MAX(-1,(-0.1-(0.2*J189))*K189))</f>
      </c>
      <c r="BU189">
        <f>=MIN(1, MAX(-1,(0.1+(0.05*J189))*K189))</f>
      </c>
      <c r="BV189">
        <f>=MIN(1, MAX(-1,(0.1+(0.1*J189))*K189))</f>
      </c>
      <c r="CB189">
        <f>=MIN(1, MAX(-1,(-0.15*(J189^1.3))*K189))</f>
      </c>
      <c r="CS189">
        <f>=MIN(1, MAX(-1,(0.05+(0.01*J189))*K189))</f>
      </c>
      <c r="EI189">
        <f>=MIN(1, MAX(-1,(0+(0.02*J189))*K189))</f>
      </c>
    </row>
    <row r="190">
      <c r="A190" t="str">
        <v>DriverlessCarLaws</v>
      </c>
      <c r="B190" t="str">
        <v>10</v>
      </c>
      <c r="C190" t="str">
        <v>200</v>
      </c>
      <c r="D190">
        <f>=MIN(10, MAX(0,0.25+(0.25*CC247)+0+(0.5*DF247)))</f>
      </c>
      <c r="E190" t="str">
        <v>0</v>
      </c>
      <c r="F190" t="str">
        <v>0</v>
      </c>
      <c r="H190">
        <f>=(B190+(C190-B190)*(D190+J190))*K190</f>
      </c>
      <c r="I190">
        <f>=(E190+(F190-E190)*(G190+J190))*K190</f>
      </c>
      <c r="J190">
        <f>=0</f>
      </c>
      <c r="K190">
        <f>=0</f>
      </c>
      <c r="BW190">
        <f>=MIN(1, MAX(-1,(0.02+(0.04*J190))*K190))</f>
      </c>
      <c r="CR190">
        <f>=MIN(1, MAX(-1,(0.02+(0.05*J190))*K190))</f>
      </c>
      <c r="CW190">
        <f>=MIN(1, MAX(-1,(0.1+(0.1*J190))*K190))</f>
      </c>
      <c r="CX190">
        <f>=MIN(1, MAX(-1,(-0.1-(0.15*J190))*K190))</f>
      </c>
      <c r="DA190">
        <f>=MIN(1, MAX(-1,(0.1+(0.1*J190))*K190))</f>
      </c>
      <c r="EI190">
        <f>=MIN(1, MAX(-1,(0.02+(0.03*J190))*K190))</f>
      </c>
      <c r="EQ190">
        <f>=MIN(1, MAX(-1,(-0.1-(0.15*J190))*K190))</f>
      </c>
      <c r="ER190">
        <f>=MIN(1, MAX(-1,(-0.1-(0.2*J190))*K190))</f>
      </c>
    </row>
    <row r="191">
      <c r="A191" t="str">
        <v>SyntheticMeatResearchGrants</v>
      </c>
      <c r="B191" t="str">
        <v>90</v>
      </c>
      <c r="C191" t="str">
        <v>1300</v>
      </c>
      <c r="D191">
        <f>=0</f>
      </c>
      <c r="E191" t="str">
        <v>0</v>
      </c>
      <c r="F191" t="str">
        <v>0</v>
      </c>
      <c r="H191">
        <f>=(B191+(C191-B191)*(D191+J191))*K191</f>
      </c>
      <c r="I191">
        <f>=(E191+(F191-E191)*(G191+J191))*K191</f>
      </c>
      <c r="J191">
        <f>=0</f>
      </c>
      <c r="K191">
        <f>=0</f>
      </c>
      <c r="BX191">
        <f>=MIN(1, MAX(-1,(-0.15-(0.15*J191))*K191))</f>
      </c>
      <c r="BY191">
        <f>=MIN(1, MAX(-1,(-0.05-(0.13*J191))*K191))</f>
      </c>
      <c r="BZ191">
        <f>=MIN(1, MAX(-1,(-0.0-(0.12*J191))*K191))</f>
      </c>
      <c r="CB191">
        <f>=MIN(1, MAX(-1,(-0.05-(0.05*J191))*K191))</f>
      </c>
      <c r="CY191">
        <f>=MIN(1, MAX(-1,(0.08+(0.05*J191))*K191))</f>
      </c>
      <c r="FC191">
        <f>=MIN(1, MAX(-1,( -0.1-(0.08*J191))*K191))</f>
      </c>
    </row>
    <row r="192">
      <c r="A192" t="str">
        <v>InternetCurrencyTaxation</v>
      </c>
      <c r="B192" t="str">
        <v>0</v>
      </c>
      <c r="C192" t="str">
        <v>0</v>
      </c>
      <c r="E192" t="str">
        <v>150</v>
      </c>
      <c r="F192" t="str">
        <v>7400</v>
      </c>
      <c r="G192">
        <f>=0</f>
      </c>
      <c r="H192">
        <f>=(B192+(C192-B192)*(D192+J192))*K192</f>
      </c>
      <c r="I192">
        <f>=(E192+(F192-E192)*(G192+J192))*K192</f>
      </c>
      <c r="J192">
        <f>=0</f>
      </c>
      <c r="K192">
        <f>=0</f>
      </c>
      <c r="BV192">
        <f>=MIN(1, MAX(-1,(0-(0.05*J192))*K192))</f>
      </c>
      <c r="CF192">
        <f>=MIN(1, MAX(-1,(-0.1-(J192^5))*K192))</f>
      </c>
      <c r="DP192">
        <f>=MIN(1, MAX(-1,(-0.03-(0.04*J192))*K192))</f>
      </c>
      <c r="DU192">
        <f>=MIN(1, MAX(-1,(-0.05-(0.07*J192))*K192))</f>
      </c>
      <c r="FD192">
        <f>=MIN(1, MAX(-1,( -0.05-(0.03*J192))*K192))</f>
      </c>
    </row>
    <row r="193">
      <c r="A193" t="str">
        <v>AntiGravityResearchGrants</v>
      </c>
      <c r="B193" t="str">
        <v>240</v>
      </c>
      <c r="C193" t="str">
        <v>3200</v>
      </c>
      <c r="E193" t="str">
        <v>0</v>
      </c>
      <c r="F193" t="str">
        <v>0</v>
      </c>
      <c r="H193">
        <f>=(B193+(C193-B193)*(D193+J193))*K193</f>
      </c>
      <c r="I193">
        <f>=(E193+(F193-E193)*(G193+J193))*K193</f>
      </c>
      <c r="J193">
        <f>=0</f>
      </c>
      <c r="K193">
        <f>=0</f>
      </c>
      <c r="BU193">
        <f>=MIN(1, MAX(-1,(0.03+(0.05*J193))*K193))</f>
      </c>
      <c r="BW193">
        <f>=MIN(1, MAX(-1,(0.00-(0.02*J193))*K193))</f>
      </c>
      <c r="EI193">
        <f>=MIN(1, MAX(-1,(0.02+(0.05*J193))*K193))</f>
      </c>
      <c r="ER193">
        <f>=MIN(1, MAX(-1,(0-(0.17*J193))*K193))</f>
      </c>
    </row>
    <row r="194">
      <c r="A194" t="str">
        <v>VerticalFarmSubsidies</v>
      </c>
      <c r="B194" t="str">
        <v>400</v>
      </c>
      <c r="C194" t="str">
        <v>1800</v>
      </c>
      <c r="E194" t="str">
        <v>0</v>
      </c>
      <c r="F194" t="str">
        <v>0</v>
      </c>
      <c r="H194">
        <f>=(B194+(C194-B194)*(D194+J194))*K194</f>
      </c>
      <c r="I194">
        <f>=(E194+(F194-E194)*(G194+J194))*K194</f>
      </c>
      <c r="J194">
        <f>=0</f>
      </c>
      <c r="K194">
        <f>=0</f>
      </c>
      <c r="BV194">
        <f>=MIN(1, MAX(-1,(-0.02-(0.02*J194))*K194))</f>
      </c>
      <c r="BW194">
        <f>=MIN(1, MAX(-1,(0.00-(0.09*J194))*K194))</f>
      </c>
      <c r="BX194">
        <f>=MIN(1, MAX(-1,(0.05+(0.21*J194))*K194))</f>
      </c>
      <c r="BY194">
        <f>=MIN(1, MAX(-1,(0.02+(0.12*J194))*K194))</f>
      </c>
      <c r="BZ194">
        <f>=MIN(1, MAX(-1,(0+(0.15*J194))*K194))</f>
      </c>
      <c r="ER194">
        <f>=MIN(1, MAX(-1,(0-(0.04*J194))*K194))</f>
      </c>
      <c r="FC194">
        <f>=MIN(1, MAX(-1,(-0.1-(0.08*J194))*K194))</f>
      </c>
    </row>
    <row r="195">
      <c r="A195" t="str">
        <v>ElectronicDirectDemocracy</v>
      </c>
      <c r="B195" t="str">
        <v>30</v>
      </c>
      <c r="C195" t="str">
        <v>200</v>
      </c>
      <c r="D195">
        <f>=MIN(10, MAX(0,0.5+(0.5*CC247)))</f>
      </c>
      <c r="E195" t="str">
        <v>0</v>
      </c>
      <c r="F195" t="str">
        <v>0</v>
      </c>
      <c r="H195">
        <f>=(B195+(C195-B195)*(D195+J195))*K195</f>
      </c>
      <c r="I195">
        <f>=(E195+(F195-E195)*(G195+J195))*K195</f>
      </c>
      <c r="J195">
        <f>=0</f>
      </c>
      <c r="K195">
        <f>=0</f>
      </c>
      <c r="CF195">
        <f>=MIN(1, MAX(-1,(0.1+(0.05*J195))*K195))</f>
      </c>
      <c r="CI195">
        <f>=MIN(1, MAX(-1,(0.05+(0.05*J195))*K195))</f>
      </c>
      <c r="DD195">
        <f>=MIN(1, MAX(-1,(0.0+(0.03*J195))*K195))</f>
      </c>
      <c r="DY195">
        <f>=MIN(1, MAX(-1,(-0.05-(0.05*J195))*K195))</f>
      </c>
      <c r="EM195">
        <f>=MIN(1, MAX(-1,(-0.025-(0.045*J195))*K195))</f>
      </c>
      <c r="EN195">
        <f>=MIN(1, MAX(-1,(0.0-(0.035*J195))*K195))</f>
      </c>
    </row>
    <row r="196">
      <c r="A196" t="str">
        <v>GreenElectronicsInitiative</v>
      </c>
      <c r="B196" t="str">
        <v>80</v>
      </c>
      <c r="C196" t="str">
        <v>240</v>
      </c>
      <c r="D196">
        <f>=MIN(10, MAX(0,0.5+0.5*(EI247^2)))</f>
      </c>
      <c r="E196" t="str">
        <v>0</v>
      </c>
      <c r="F196" t="str">
        <v>0</v>
      </c>
      <c r="H196">
        <f>=(B196+(C196-B196)*(D196+J196))*K196</f>
      </c>
      <c r="I196">
        <f>=(E196+(F196-E196)*(G196+J196))*K196</f>
      </c>
      <c r="J196">
        <f>=0</f>
      </c>
      <c r="K196">
        <f>=0</f>
      </c>
      <c r="AZ196">
        <f>=MIN(1, MAX(-1,(0-(0.05*J196))*K196))</f>
      </c>
      <c r="BA196">
        <f>=MIN(1, MAX(-1,(-0.1-(0.17*J196))*K196))</f>
      </c>
      <c r="BV196">
        <f>=MIN(1, MAX(-1,(0-(0.05*J196))*K196))</f>
      </c>
      <c r="CB196">
        <f>=MIN(1, MAX(-1,(0.025+(0.012*J196))*K196))</f>
      </c>
      <c r="DB196">
        <f>=MIN(1, MAX(-1,(-0.08*(J196^0.6))*K196))</f>
      </c>
      <c r="DC196">
        <f>=MIN(1, MAX(-1,(0.+(0.08*J196))*K196))</f>
      </c>
    </row>
    <row r="197">
      <c r="A197" t="str">
        <v>InternationalFusionResearchProject</v>
      </c>
      <c r="B197" t="str">
        <v>4300</v>
      </c>
      <c r="C197" t="str">
        <v>8700</v>
      </c>
      <c r="D197">
        <f>=MIN(10, MAX(0,1.0+-0.1*(EI247^5)+0-(0.15*DX247)))</f>
      </c>
      <c r="E197" t="str">
        <v>0</v>
      </c>
      <c r="F197" t="str">
        <v>0</v>
      </c>
      <c r="H197">
        <f>=(B197+(C197-B197)*(D197+J197))*K197</f>
      </c>
      <c r="I197">
        <f>=(E197+(F197-E197)*(G197+J197))*K197</f>
      </c>
      <c r="J197">
        <f>=0</f>
      </c>
      <c r="K197">
        <f>=0</f>
      </c>
      <c r="BW197">
        <f>=MIN(1, MAX(-1,(-0.02-(0.10*J197))*K197))</f>
      </c>
      <c r="CB197">
        <f>=MIN(1, MAX(-1,(-0.12-(0.1*J197))*K197))</f>
      </c>
      <c r="CQ197">
        <f>=MIN(1, MAX(-1,(-0.24*(J197^2))*K197))</f>
      </c>
      <c r="DC197">
        <f>=MIN(1, MAX(-1,(0.0+(0.04*J197))*K197))</f>
      </c>
      <c r="DX197">
        <f>=MIN(1, MAX(-1,(0.05+(0.1*J197))*K197))</f>
      </c>
      <c r="EI197">
        <f>=MIN(1, MAX(-1,(0.03+(0.06*J197))*K197))</f>
      </c>
    </row>
    <row r="198">
      <c r="A198" t="str">
        <v>FarmlandAcquisitionProgram</v>
      </c>
      <c r="B198" t="str">
        <v>2400</v>
      </c>
      <c r="C198" t="str">
        <v>6600</v>
      </c>
      <c r="D198">
        <f>=MIN(10, MAX(0,1.0+0-(0.15*DX247)))</f>
      </c>
      <c r="E198" t="str">
        <v>0</v>
      </c>
      <c r="F198" t="str">
        <v>0</v>
      </c>
      <c r="H198">
        <f>=(B198+(C198-B198)*(D198+J198))*K198</f>
      </c>
      <c r="I198">
        <f>=(E198+(F198-E198)*(G198+J198))*K198</f>
      </c>
      <c r="J198">
        <f>=0</f>
      </c>
      <c r="K198">
        <f>=0</f>
      </c>
      <c r="BX198">
        <f>=MIN(1, MAX(-1,(-0.1-(0.18*J198))*K198))</f>
      </c>
      <c r="BY198">
        <f>=MIN(1, MAX(-1,(-0.07-(0.12*J198))*K198))</f>
      </c>
      <c r="BZ198">
        <f>=MIN(1, MAX(-1,(-0.05-(0.14*J198))*K198))</f>
      </c>
      <c r="CB198">
        <f>=MIN(1, MAX(-1,(-0.07-(0.08*J198))*K198))</f>
      </c>
      <c r="CF198">
        <f>=MIN(1, MAX(-1,(-0.05-(0.05*J198))*K198))</f>
      </c>
      <c r="CS198">
        <f>=MIN(1, MAX(-1,(0.03+(0.07*J198))*K198))</f>
      </c>
      <c r="FC198">
        <f>=MIN(1, MAX(-1,(0.0-(0.21*J198))*K198))</f>
      </c>
    </row>
    <row r="199">
      <c r="A199" t="str">
        <v>LimitAutomatedTrading</v>
      </c>
      <c r="B199" t="str">
        <v>0</v>
      </c>
      <c r="C199" t="str">
        <v>0</v>
      </c>
      <c r="E199" t="str">
        <v>0</v>
      </c>
      <c r="F199" t="str">
        <v>0</v>
      </c>
      <c r="H199">
        <f>=(B199+(C199-B199)*(D199+J199))*K199</f>
      </c>
      <c r="I199">
        <f>=(E199+(F199-E199)*(G199+J199))*K199</f>
      </c>
      <c r="J199">
        <f>=0</f>
      </c>
      <c r="K199">
        <f>=0</f>
      </c>
      <c r="BV199">
        <f>=MIN(1, MAX(-1,(-0.23*(J199^1.22))*K199))</f>
      </c>
      <c r="CC199">
        <f>=MIN(1, MAX(-1,(0.0-(0.03*J199))*K199))</f>
      </c>
      <c r="CF199">
        <f>=MIN(1, MAX(-1,(0.0-(0.05*J199))*K199))</f>
      </c>
      <c r="DP199">
        <f>=MIN(1, MAX(-1,(0.0+(0.11*J199))*K199))</f>
      </c>
      <c r="DR199">
        <f>=MIN(1, MAX(-1,(0.0-(0.1*J199))*K199))</f>
      </c>
      <c r="ES199">
        <f>=MIN(1, MAX(-1,(-0.07*(J199^0.67))*K199))</f>
      </c>
    </row>
    <row r="200">
      <c r="A200" t="str">
        <v>AutomationTax</v>
      </c>
      <c r="B200" t="str">
        <v>0</v>
      </c>
      <c r="C200" t="str">
        <v>0</v>
      </c>
      <c r="E200" t="str">
        <v>150</v>
      </c>
      <c r="F200" t="str">
        <v>7400</v>
      </c>
      <c r="G200">
        <f>=0</f>
      </c>
      <c r="H200">
        <f>=(B200+(C200-B200)*(D200+J200))*K200</f>
      </c>
      <c r="I200">
        <f>=(E200+(F200-E200)*(G200+J200))*K200</f>
      </c>
      <c r="J200">
        <f>=0</f>
      </c>
      <c r="K200">
        <f>=0</f>
      </c>
      <c r="T200">
        <f>=MIN(1, MAX(-1,(0.05+(0.1*J200))*K200))</f>
      </c>
      <c r="AE200">
        <f>=MIN(1, MAX(-1,(0.02+(0.08*J200))*K200))</f>
      </c>
      <c r="BV200">
        <f>=MIN(1, MAX(-1,(0-(0.07*J200))*K200))</f>
      </c>
      <c r="CP200">
        <f>=MIN(1, MAX(-1,(0.0+(0.07*J200))*K200))</f>
      </c>
      <c r="EI200">
        <f>=MIN(1, MAX(-1,(-0.03-(0.06*J200))*K200))</f>
      </c>
      <c r="ES200">
        <f>=MIN(1, MAX(-1,(0-(0.03*J200))*K200))</f>
      </c>
      <c r="FE200">
        <f>=MIN(1, MAX(-1,(-0.05-(0.15*J200))*K200))</f>
      </c>
    </row>
    <row r="201">
      <c r="A201" t="str">
        <v>_default_</v>
      </c>
      <c r="B201">
        <v>0</v>
      </c>
      <c r="C201">
        <v>0</v>
      </c>
      <c r="D201">
        <v>0</v>
      </c>
      <c r="E201">
        <v>0</v>
      </c>
      <c r="F201">
        <v>0</v>
      </c>
      <c r="G201">
        <v>0</v>
      </c>
      <c r="H201">
        <f>=(B201+(C201-B201)*(D201+J201))*K201</f>
      </c>
      <c r="I201">
        <f>=(E201+(F201-E201)*(G201+J201))*K201</f>
      </c>
      <c r="J201">
        <f>=0</f>
      </c>
      <c r="K201">
        <f>=1</f>
      </c>
      <c r="L201">
        <f>=MIN(1, MAX(-1,(0.75)*K201))</f>
      </c>
      <c r="M201">
        <f>=MIN(1, MAX(-1,(0.3)*K201))</f>
      </c>
      <c r="P201">
        <f>=MIN(1, MAX(-1,(0.75)*K201))</f>
      </c>
      <c r="U201">
        <f>=0</f>
      </c>
      <c r="V201">
        <f>=MIN(1, MAX(-1,(0.3)*K201))</f>
      </c>
      <c r="W201">
        <f>=MIN(1, MAX(-1,(0.4)*K201))</f>
      </c>
      <c r="X201">
        <f>=MIN(1, MAX(-1,(0.8)*K201))</f>
      </c>
      <c r="Z201">
        <f>=MIN(1, MAX(-1,(0.3)*K201))</f>
      </c>
      <c r="AA201">
        <f>=MIN(1, MAX(-1,(0)*K201))</f>
      </c>
      <c r="AB201">
        <f>=MIN(1, MAX(-1,(1.0)*K201))</f>
      </c>
      <c r="AH201">
        <f>=MIN(1, MAX(-1,(0.1)*K201))</f>
      </c>
      <c r="AJ201">
        <f>=MIN(1, MAX(-1,(0.88)*K201))</f>
      </c>
      <c r="AK201">
        <f>=MIN(1, MAX(-1,(0.7)*K201))</f>
      </c>
      <c r="AL201">
        <f>=MIN(1, MAX(-1,(1.0)*K201))</f>
      </c>
      <c r="AN201">
        <f>=MIN(1, MAX(-1,(0.1)*K201))</f>
      </c>
      <c r="AO201">
        <f>=MIN(1, MAX(-1,(0.2)*K201))</f>
      </c>
      <c r="AP201">
        <f>=MIN(1, MAX(-1,(0.6)*K201))</f>
      </c>
      <c r="AQ201">
        <f>=MIN(1, MAX(-1,(0.6)*K201))</f>
      </c>
      <c r="AR201">
        <f>=MIN(1, MAX(-1,(0.6)*K201))</f>
      </c>
      <c r="AS201">
        <f>=MIN(1, MAX(-1,(1.0)*K201))</f>
      </c>
      <c r="AT201">
        <f>=MIN(1, MAX(-1,(0.1)*K201))</f>
      </c>
      <c r="AV201">
        <f>=MIN(1, MAX(-1,(0.8)*K201))</f>
      </c>
      <c r="AX201">
        <f>=MIN(1, MAX(-1,(0.5)*K201))</f>
      </c>
      <c r="AY201">
        <f>=MIN(1, MAX(-1,(0.1)*K201))</f>
      </c>
      <c r="BA201">
        <f>=MIN(1, MAX(-1,(0.1)*K201))</f>
      </c>
      <c r="BB201">
        <f>=MIN(1, MAX(-1,(0.3)*K201))</f>
      </c>
    </row>
    <row r="202">
      <c r="A202" t="str">
        <v>education</v>
      </c>
      <c r="B202">
        <v>0</v>
      </c>
      <c r="C202">
        <v>0</v>
      </c>
      <c r="D202">
        <v>0</v>
      </c>
      <c r="E202">
        <v>0</v>
      </c>
      <c r="F202">
        <v>0</v>
      </c>
      <c r="G202">
        <v>0</v>
      </c>
      <c r="H202">
        <f>=(B202+(C202-B202)*(D202+J202))*K202</f>
      </c>
      <c r="I202">
        <f>=(E202+(F202-E202)*(G202+J202))*K202</f>
      </c>
      <c r="J202">
        <f>=0</f>
      </c>
      <c r="K202">
        <f>=1</f>
      </c>
      <c r="L202">
        <f>=MIN(1, MAX(-1,(0-(0.4*BT247))*K202))</f>
      </c>
      <c r="BB202">
        <f>=MIN(1, MAX(-1,(0-(0.1*BT247))*K202))</f>
      </c>
      <c r="BC202">
        <f>=MIN(1, MAX(-1,(0+(0.25*BT247))*K202))</f>
      </c>
      <c r="BD202">
        <f>=MIN(1, MAX(-1,(0-(0.4*BT247))*K202))</f>
      </c>
    </row>
    <row r="203">
      <c r="A203" t="str">
        <v>immigration</v>
      </c>
      <c r="B203">
        <v>0</v>
      </c>
      <c r="C203">
        <v>0</v>
      </c>
      <c r="D203">
        <v>0</v>
      </c>
      <c r="E203">
        <v>0</v>
      </c>
      <c r="F203">
        <v>0</v>
      </c>
      <c r="G203">
        <v>0</v>
      </c>
      <c r="H203">
        <f>=(B203+(C203-B203)*(D203+J203))*K203</f>
      </c>
      <c r="I203">
        <f>=(E203+(F203-E203)*(G203+J203))*K203</f>
      </c>
      <c r="J203">
        <f>=0</f>
      </c>
      <c r="K203">
        <f>=1</f>
      </c>
      <c r="L203">
        <f>=MIN(1, MAX(-1,(0-(0.2*CT247))*K203))</f>
      </c>
      <c r="AN203">
        <f>=MIN(1, MAX(-1,(0+(0.06*CT247))*K203))</f>
      </c>
      <c r="AO203">
        <f>=MIN(1, MAX(-1,(0+(0.2*CT247))*K203))</f>
      </c>
      <c r="AR203">
        <f>=MIN(1, MAX(-1,(0+(0.2*CT247))*K203))</f>
      </c>
      <c r="AS203">
        <f>=MIN(1, MAX(-1,(0-(0.49*CT247))*K203))</f>
      </c>
      <c r="BE203">
        <f>=MIN(1, MAX(-1,(0+(0.25*CT247))*K203))</f>
      </c>
    </row>
    <row r="204">
      <c r="A204" t="str">
        <v>technology</v>
      </c>
      <c r="B204">
        <v>0</v>
      </c>
      <c r="C204">
        <v>0</v>
      </c>
      <c r="D204">
        <v>0</v>
      </c>
      <c r="E204">
        <v>0</v>
      </c>
      <c r="F204">
        <v>0</v>
      </c>
      <c r="G204">
        <v>0</v>
      </c>
      <c r="H204">
        <f>=(B204+(C204-B204)*(D204+J204))*K204</f>
      </c>
      <c r="I204">
        <f>=(E204+(F204-E204)*(G204+J204))*K204</f>
      </c>
      <c r="J204">
        <f>=0</f>
      </c>
      <c r="K204">
        <f>=1</f>
      </c>
      <c r="L204">
        <f>=MIN(1, MAX(-1,(0.25*(EI247^2))*K204))</f>
      </c>
      <c r="AA204">
        <f>=MIN(1, MAX(-1,(0+(0.7*EI247))*K204))</f>
      </c>
      <c r="AB204">
        <f>=MIN(1, MAX(-1,(0-(0.7*EI247))*K204))</f>
      </c>
      <c r="AF204">
        <f>=MIN(1, MAX(-1,(0.85*(EI247^2))*K204))</f>
      </c>
      <c r="AG204">
        <f>=MIN(1, MAX(-1,(-0.3+(0.65*EI247))*K204))</f>
      </c>
      <c r="AH204">
        <f>=MIN(1, MAX(-1,(0+(0.12*EI247))*K204))</f>
      </c>
      <c r="AM204">
        <f>=MIN(1, MAX(-1,(0+(0.12*EI247))*K204))</f>
      </c>
      <c r="AY204">
        <f>=MIN(1, MAX(-1,(0+(0.2*EI247))*K204))</f>
      </c>
      <c r="BA204">
        <f>=MIN(1, MAX(-1,(0.8*(EI247^3.7))*K204))</f>
      </c>
      <c r="BB204">
        <f>=MIN(1, MAX(-1,(0+(0.15*EI247))*K204))</f>
      </c>
    </row>
    <row r="205">
      <c r="A205" t="str">
        <v>environment</v>
      </c>
      <c r="B205">
        <v>0</v>
      </c>
      <c r="C205">
        <v>0</v>
      </c>
      <c r="D205">
        <v>0</v>
      </c>
      <c r="E205">
        <v>0</v>
      </c>
      <c r="F205">
        <v>0</v>
      </c>
      <c r="G205">
        <v>0</v>
      </c>
      <c r="H205">
        <f>=(B205+(C205-B205)*(D205+J205))*K205</f>
      </c>
      <c r="I205">
        <f>=(E205+(F205-E205)*(G205+J205))*K205</f>
      </c>
      <c r="J205">
        <f>=0</f>
      </c>
      <c r="K205">
        <f>=1</f>
      </c>
      <c r="AQ205">
        <f>=MIN(1, MAX(-1,(0-(0.2*DE247))*K205))</f>
      </c>
      <c r="AV205">
        <f>=MIN(1, MAX(-1,(0-(0.6*DE247))*K205))</f>
      </c>
      <c r="AX205">
        <f>=MIN(1, MAX(-1,(0.0-(0.4*DE247))*K205))</f>
      </c>
      <c r="AY205">
        <f>=MIN(1, MAX(-1,(0-(0.2*DE247))*K205))</f>
      </c>
      <c r="AZ205">
        <f>=MIN(1, MAX(-1,(1.0-(1.0*DE247))*K205))</f>
      </c>
    </row>
    <row r="206">
      <c r="A206" t="str">
        <v>workerproductivity</v>
      </c>
      <c r="B206">
        <v>0</v>
      </c>
      <c r="C206">
        <v>0</v>
      </c>
      <c r="D206">
        <v>0</v>
      </c>
      <c r="E206">
        <v>0</v>
      </c>
      <c r="F206">
        <v>0</v>
      </c>
      <c r="G206">
        <v>0</v>
      </c>
      <c r="H206">
        <f>=(B206+(C206-B206)*(D206+J206))*K206</f>
      </c>
      <c r="I206">
        <f>=(E206+(F206-E206)*(G206+J206))*K206</f>
      </c>
      <c r="J206">
        <f>=0</f>
      </c>
      <c r="K206">
        <f>=1</f>
      </c>
      <c r="X206">
        <f>=MIN(1, MAX(-1,(0-(0.7*BU247))*K206))</f>
      </c>
      <c r="BF206">
        <f>=MIN(1, MAX(-1,(0.95*(BU247^2))*K206))</f>
      </c>
    </row>
    <row r="207">
      <c r="A207" t="str">
        <v>povertyrate</v>
      </c>
      <c r="B207">
        <v>0</v>
      </c>
      <c r="C207">
        <v>0</v>
      </c>
      <c r="D207">
        <v>0</v>
      </c>
      <c r="E207">
        <v>0</v>
      </c>
      <c r="F207">
        <v>0</v>
      </c>
      <c r="G207">
        <v>0</v>
      </c>
      <c r="H207">
        <f>=(B207+(C207-B207)*(D207+J207))*K207</f>
      </c>
      <c r="I207">
        <f>=(E207+(F207-E207)*(G207+J207))*K207</f>
      </c>
      <c r="J207">
        <f>=0</f>
      </c>
      <c r="K207">
        <f>=1</f>
      </c>
      <c r="N207">
        <f>=MIN(1, MAX(-1,(0+(0.84*CK247))*K207))</f>
      </c>
      <c r="O207">
        <f>=MIN(1, MAX(-1,(0+(1.0*CK247))*K207))</f>
      </c>
      <c r="R207">
        <f>=MIN(1, MAX(-1,(0+(0.25*CK247))*K207))</f>
      </c>
      <c r="W207">
        <f>=MIN(1, MAX(-1,(0+(0.2*CK247))*K207))</f>
      </c>
      <c r="AC207">
        <f>=MIN(1, MAX(-1,(0+(0.1*CK247))*K207))</f>
      </c>
      <c r="AI207">
        <f>=MIN(1, MAX(-1,(-0.2+(0.7*CK247))*K207))</f>
      </c>
      <c r="AN207">
        <f>=MIN(1, MAX(-1,(0+(0.9*CK247))*K207))</f>
      </c>
      <c r="AP207">
        <f>=MIN(1, MAX(-1,(0.12-(0.12*CK247))*K207))</f>
      </c>
      <c r="AQ207">
        <f>=MIN(1, MAX(-1,(0+(0.5*CK247))*K207))</f>
      </c>
      <c r="BD207">
        <f>=MIN(1, MAX(-1,(0+(0.6*CK247))*K207))</f>
      </c>
      <c r="BG207">
        <f>=MIN(1, MAX(-1,(0+(CK247^6))*K207))</f>
      </c>
    </row>
    <row r="208">
      <c r="A208" t="str">
        <v>unemployment</v>
      </c>
      <c r="B208">
        <v>0</v>
      </c>
      <c r="C208">
        <v>0</v>
      </c>
      <c r="D208">
        <v>0</v>
      </c>
      <c r="E208">
        <v>0</v>
      </c>
      <c r="F208">
        <v>0</v>
      </c>
      <c r="G208">
        <v>0</v>
      </c>
      <c r="H208">
        <f>=(B208+(C208-B208)*(D208+J208))*K208</f>
      </c>
      <c r="I208">
        <f>=(E208+(F208-E208)*(G208+J208))*K208</f>
      </c>
      <c r="J208">
        <f>=0</f>
      </c>
      <c r="K208">
        <f>=1</f>
      </c>
      <c r="N208">
        <f>=MIN(1, MAX(-1,(0.1+(0.6*BW247))*K208))</f>
      </c>
      <c r="O208">
        <f>=MIN(1, MAX(-1,(0+(0.25*BW247))*K208))</f>
      </c>
      <c r="S208">
        <f>=MIN(1, MAX(-1,(0+(0.25*BW247))*K208))</f>
      </c>
      <c r="U208">
        <f>=MIN(1, MAX(-1,(0+(0.1*BW247))*K208))</f>
      </c>
      <c r="W208">
        <f>=MIN(1, MAX(-1,(0+(0.22*BW247))*K208))</f>
      </c>
      <c r="AI208">
        <f>=MIN(1, MAX(-1,(0-(BW247^7))*K208))</f>
      </c>
      <c r="AJ208">
        <f>=MIN(1, MAX(-1,(0-(BW247^2))*K208))</f>
      </c>
      <c r="AK208">
        <f>=MIN(1, MAX(-1,(0-(BW247^4))*K208))</f>
      </c>
      <c r="AL208">
        <f>=MIN(1, MAX(-1,(0-(BW247^7))*K208))</f>
      </c>
      <c r="AN208">
        <f>=MIN(1, MAX(-1,(0+(0.9*BW247))*K208))</f>
      </c>
      <c r="AP208">
        <f>=MIN(1, MAX(-1,(0+(0.13*BW247))*K208))</f>
      </c>
      <c r="AS208">
        <f>=MIN(1, MAX(-1,(0-(0.1*BW247))*K208))</f>
      </c>
      <c r="BB208">
        <f>=MIN(1, MAX(-1,(0.0+(0.3*BW247))*K208))</f>
      </c>
      <c r="BD208">
        <f>=MIN(1, MAX(-1,(0+(0.5*BW247))*K208))</f>
      </c>
    </row>
    <row r="209">
      <c r="A209" t="str">
        <v>homelessness</v>
      </c>
      <c r="B209">
        <v>0</v>
      </c>
      <c r="C209">
        <v>0</v>
      </c>
      <c r="D209">
        <v>0</v>
      </c>
      <c r="E209">
        <v>0</v>
      </c>
      <c r="F209">
        <v>0</v>
      </c>
      <c r="G209">
        <v>0</v>
      </c>
      <c r="H209">
        <f>=(B209+(C209-B209)*(D209+J209))*K209</f>
      </c>
      <c r="I209">
        <f>=(E209+(F209-E209)*(G209+J209))*K209</f>
      </c>
      <c r="J209">
        <f>=0</f>
      </c>
      <c r="K209">
        <f>=0</f>
      </c>
      <c r="N209">
        <f>=0</f>
      </c>
    </row>
    <row r="210">
      <c r="A210" t="str">
        <v>alcoholconsumption</v>
      </c>
      <c r="B210">
        <v>0</v>
      </c>
      <c r="C210">
        <v>0</v>
      </c>
      <c r="D210">
        <v>0</v>
      </c>
      <c r="E210">
        <v>0</v>
      </c>
      <c r="F210">
        <v>0</v>
      </c>
      <c r="G210">
        <v>0</v>
      </c>
      <c r="H210">
        <f>=(B210+(C210-B210)*(D210+J210))*K210</f>
      </c>
      <c r="I210">
        <f>=(E210+(F210-E210)*(G210+J210))*K210</f>
      </c>
      <c r="J210">
        <f>=0</f>
      </c>
      <c r="K210">
        <f>=1</f>
      </c>
      <c r="U210">
        <f>=MIN(1, MAX(-1,(0+(0.2*CG247))*K210))</f>
      </c>
      <c r="W210">
        <f>=MIN(1, MAX(-1,(0+(0.9*CG247))*K210))</f>
      </c>
    </row>
    <row r="211">
      <c r="A211" t="str">
        <v>religious_perc</v>
      </c>
      <c r="B211">
        <v>0</v>
      </c>
      <c r="C211">
        <v>0</v>
      </c>
      <c r="D211">
        <v>0</v>
      </c>
      <c r="E211">
        <v>0</v>
      </c>
      <c r="F211">
        <v>0</v>
      </c>
      <c r="G211">
        <v>0</v>
      </c>
      <c r="H211">
        <f>=(B211+(C211-B211)*(D211+J211))*K211</f>
      </c>
      <c r="I211">
        <f>=(E211+(F211-E211)*(G211+J211))*K211</f>
      </c>
      <c r="J211">
        <f>=0</f>
      </c>
      <c r="K211">
        <f>=1</f>
      </c>
      <c r="U211">
        <f>=0</f>
      </c>
    </row>
    <row r="212">
      <c r="A212" t="str">
        <v>_lowincome</v>
      </c>
      <c r="B212">
        <v>0</v>
      </c>
      <c r="C212">
        <v>0</v>
      </c>
      <c r="D212">
        <v>0</v>
      </c>
      <c r="E212">
        <v>0</v>
      </c>
      <c r="F212">
        <v>0</v>
      </c>
      <c r="G212">
        <v>0</v>
      </c>
      <c r="H212">
        <f>=(B212+(C212-B212)*(D212+J212))*K212</f>
      </c>
      <c r="I212">
        <f>=(E212+(F212-E212)*(G212+J212))*K212</f>
      </c>
      <c r="J212">
        <f>=0</f>
      </c>
      <c r="K212">
        <f>=1</f>
      </c>
      <c r="AI212">
        <f>=MIN(1, MAX(-1,(0.3-(0.6*CY247))*K212))</f>
      </c>
      <c r="AL212">
        <f>=MIN(1, MAX(-1,(0-(0.2*CY247))*K212))</f>
      </c>
    </row>
    <row r="213">
      <c r="A213" t="str">
        <v>tradeunionist_perc</v>
      </c>
      <c r="B213">
        <v>0</v>
      </c>
      <c r="C213">
        <v>0</v>
      </c>
      <c r="D213">
        <v>0</v>
      </c>
      <c r="E213">
        <v>0</v>
      </c>
      <c r="F213">
        <v>0</v>
      </c>
      <c r="G213">
        <v>0</v>
      </c>
      <c r="H213">
        <f>=(B213+(C213-B213)*(D213+J213))*K213</f>
      </c>
      <c r="I213">
        <f>=(E213+(F213-E213)*(G213+J213))*K213</f>
      </c>
      <c r="J213">
        <f>=0</f>
      </c>
      <c r="K213">
        <f>=1</f>
      </c>
      <c r="AI213">
        <f>=0</f>
      </c>
      <c r="AJ213">
        <f>=0</f>
      </c>
      <c r="AK213">
        <f>=0</f>
      </c>
      <c r="BB213">
        <f>=0</f>
      </c>
    </row>
    <row r="214">
      <c r="A214" t="str">
        <v>socialist_perc</v>
      </c>
      <c r="B214">
        <v>0</v>
      </c>
      <c r="C214">
        <v>0</v>
      </c>
      <c r="D214">
        <v>0</v>
      </c>
      <c r="E214">
        <v>0</v>
      </c>
      <c r="F214">
        <v>0</v>
      </c>
      <c r="G214">
        <v>0</v>
      </c>
      <c r="H214">
        <f>=(B214+(C214-B214)*(D214+J214))*K214</f>
      </c>
      <c r="I214">
        <f>=(E214+(F214-E214)*(G214+J214))*K214</f>
      </c>
      <c r="J214">
        <f>=0</f>
      </c>
      <c r="K214">
        <f>=1</f>
      </c>
      <c r="AI214">
        <f>=0</f>
      </c>
    </row>
    <row r="215">
      <c r="A215" t="str">
        <v>crimerate</v>
      </c>
      <c r="B215">
        <v>0</v>
      </c>
      <c r="C215">
        <v>0</v>
      </c>
      <c r="D215">
        <v>0</v>
      </c>
      <c r="E215">
        <v>0</v>
      </c>
      <c r="F215">
        <v>0</v>
      </c>
      <c r="G215">
        <v>0</v>
      </c>
      <c r="H215">
        <f>=(B215+(C215-B215)*(D215+J215))*K215</f>
      </c>
      <c r="I215">
        <f>=(E215+(F215-E215)*(G215+J215))*K215</f>
      </c>
      <c r="J215">
        <f>=0</f>
      </c>
      <c r="K215">
        <f>=1</f>
      </c>
      <c r="O215">
        <f>=MIN(1, MAX(-1,(0+(0.15*CM247))*K215))</f>
      </c>
      <c r="V215">
        <f>=MIN(1, MAX(-1,(0+(1.0*CM247))*K215))</f>
      </c>
      <c r="AD215">
        <f>=MIN(1, MAX(-1,(0+(0.4*CM247))*K215))</f>
      </c>
      <c r="AF215">
        <f>=MIN(1, MAX(-1,(0+(CM247*0.25))*K215))</f>
      </c>
    </row>
    <row r="216">
      <c r="A216" t="str">
        <v>racialtension</v>
      </c>
      <c r="B216">
        <v>0</v>
      </c>
      <c r="C216">
        <v>0</v>
      </c>
      <c r="D216">
        <v>0</v>
      </c>
      <c r="E216">
        <v>0</v>
      </c>
      <c r="F216">
        <v>0</v>
      </c>
      <c r="G216">
        <v>0</v>
      </c>
      <c r="H216">
        <f>=(B216+(C216-B216)*(D216+J216))*K216</f>
      </c>
      <c r="I216">
        <f>=(E216+(F216-E216)*(G216+J216))*K216</f>
      </c>
      <c r="J216">
        <f>=0</f>
      </c>
      <c r="K216">
        <f>=1</f>
      </c>
      <c r="S216">
        <f>=MIN(1, MAX(-1,(0+(DM247^3))*K216))</f>
      </c>
      <c r="V216">
        <f>=MIN(1, MAX(-1,(0+(0.1*DM247))*K216))</f>
      </c>
      <c r="BC216">
        <f>=MIN(1, MAX(-1,(0.4-(0.8*DM247))*K216))</f>
      </c>
      <c r="BE216">
        <f>=MIN(1, MAX(-1,(0+(DM247^3))*K216))</f>
      </c>
    </row>
    <row r="217">
      <c r="A217" t="str">
        <v>violentcrimerate</v>
      </c>
      <c r="B217">
        <v>0</v>
      </c>
      <c r="C217">
        <v>0</v>
      </c>
      <c r="D217">
        <v>0</v>
      </c>
      <c r="E217">
        <v>0</v>
      </c>
      <c r="F217">
        <v>0</v>
      </c>
      <c r="G217">
        <v>0</v>
      </c>
      <c r="H217">
        <f>=(B217+(C217-B217)*(D217+J217))*K217</f>
      </c>
      <c r="I217">
        <f>=(E217+(F217-E217)*(G217+J217))*K217</f>
      </c>
      <c r="J217">
        <f>=0</f>
      </c>
      <c r="K217">
        <f>=1</f>
      </c>
      <c r="Q217">
        <f>=MIN(1, MAX(-1,(0+(0.84*CH247))*K217))</f>
      </c>
      <c r="S217">
        <f>=MIN(1, MAX(-1,(0+(0.2*CH247))*K217))</f>
      </c>
      <c r="AR217">
        <f>=MIN(1, MAX(-1,(0+(0.2*CH247))*K217))</f>
      </c>
    </row>
    <row r="218">
      <c r="A218" t="str">
        <v>equality</v>
      </c>
      <c r="B218">
        <v>0</v>
      </c>
      <c r="C218">
        <v>0</v>
      </c>
      <c r="D218">
        <v>0</v>
      </c>
      <c r="E218">
        <v>0</v>
      </c>
      <c r="F218">
        <v>0</v>
      </c>
      <c r="G218">
        <v>0</v>
      </c>
      <c r="H218">
        <f>=(B218+(C218-B218)*(D218+J218))*K218</f>
      </c>
      <c r="I218">
        <f>=(E218+(F218-E218)*(G218+J218))*K218</f>
      </c>
      <c r="J218">
        <f>=0</f>
      </c>
      <c r="K218">
        <f>=1</f>
      </c>
      <c r="Q218">
        <f>=MIN(1, MAX(-1,(0+(1-CL247)^8)*K218))</f>
      </c>
      <c r="R218">
        <f>=MIN(1, MAX(-1,(0.9-(1.2*CL247))*K218))</f>
      </c>
      <c r="BC218">
        <f>=MIN(1, MAX(-1,(-0.2+(CL247^4))*K218))</f>
      </c>
    </row>
    <row r="219">
      <c r="A219" t="str">
        <v>privatehealthcare</v>
      </c>
      <c r="B219">
        <v>0</v>
      </c>
      <c r="C219">
        <v>0</v>
      </c>
      <c r="D219">
        <v>0</v>
      </c>
      <c r="E219">
        <v>0</v>
      </c>
      <c r="F219">
        <v>0</v>
      </c>
      <c r="G219">
        <v>0</v>
      </c>
      <c r="H219">
        <f>=(B219+(C219-B219)*(D219+J219))*K219</f>
      </c>
      <c r="I219">
        <f>=(E219+(F219-E219)*(G219+J219))*K219</f>
      </c>
      <c r="J219">
        <f>=0</f>
      </c>
      <c r="K219">
        <f>=1</f>
      </c>
      <c r="M219">
        <f>=MIN(1, MAX(-1,(-0.2*(EZ247^6))*K219))</f>
      </c>
      <c r="AK219">
        <f>=MIN(1, MAX(-1,(-0.65*(EZ247^7))*K219))</f>
      </c>
      <c r="AP219">
        <f>=MIN(1, MAX(-1,(0-(0.10*EZ247))*K219))</f>
      </c>
      <c r="AQ219">
        <f>=MIN(1, MAX(-1,(0-(0.4*EZ247))*K219))</f>
      </c>
      <c r="AR219">
        <f>=MIN(1, MAX(-1,(0-(0.30*EZ247))*K219))</f>
      </c>
    </row>
    <row r="220">
      <c r="A220" t="str">
        <v>pollution</v>
      </c>
      <c r="B220">
        <v>0</v>
      </c>
      <c r="C220">
        <v>0</v>
      </c>
      <c r="D220">
        <v>0</v>
      </c>
      <c r="E220">
        <v>0</v>
      </c>
      <c r="F220">
        <v>0</v>
      </c>
      <c r="G220">
        <v>0</v>
      </c>
      <c r="H220">
        <f>=(B220+(C220-B220)*(D220+J220))*K220</f>
      </c>
      <c r="I220">
        <f>=(E220+(F220-E220)*(G220+J220))*K220</f>
      </c>
      <c r="J220">
        <f>=0</f>
      </c>
      <c r="K220">
        <f>=0</f>
      </c>
      <c r="AQ220">
        <f>=0</f>
      </c>
    </row>
    <row r="221">
      <c r="A221" t="str">
        <v>_prereq_</v>
      </c>
      <c r="B221">
        <v>0</v>
      </c>
      <c r="C221">
        <v>0</v>
      </c>
      <c r="D221">
        <v>0</v>
      </c>
      <c r="E221">
        <v>0</v>
      </c>
      <c r="F221">
        <v>0</v>
      </c>
      <c r="G221">
        <v>0</v>
      </c>
      <c r="H221">
        <f>=(B221+(C221-B221)*(D221+J221))*K221</f>
      </c>
      <c r="I221">
        <f>=(E221+(F221-E221)*(G221+J221))*K221</f>
      </c>
      <c r="J221">
        <f>=0</f>
      </c>
      <c r="K221">
        <f>=1</f>
      </c>
      <c r="AJ221">
        <f>=0</f>
      </c>
      <c r="AK221">
        <f>=0</f>
      </c>
      <c r="AL221">
        <f>=0</f>
      </c>
      <c r="AM221">
        <f>=0</f>
      </c>
      <c r="AS221">
        <f>=0</f>
      </c>
      <c r="AT221">
        <f>=0</f>
      </c>
      <c r="BB221">
        <f>=0</f>
      </c>
    </row>
    <row r="222">
      <c r="A222" t="str">
        <v>privateschools</v>
      </c>
      <c r="B222">
        <v>0</v>
      </c>
      <c r="C222">
        <v>0</v>
      </c>
      <c r="D222">
        <v>0</v>
      </c>
      <c r="E222">
        <v>0</v>
      </c>
      <c r="F222">
        <v>0</v>
      </c>
      <c r="G222">
        <v>0</v>
      </c>
      <c r="H222">
        <f>=(B222+(C222-B222)*(D222+J222))*K222</f>
      </c>
      <c r="I222">
        <f>=(E222+(F222-E222)*(G222+J222))*K222</f>
      </c>
      <c r="J222">
        <f>=0</f>
      </c>
      <c r="K222">
        <f>=1</f>
      </c>
      <c r="AJ222">
        <f>=MIN(1, MAX(-1,(0-(0.73*EW247))*K222))</f>
      </c>
      <c r="AS222">
        <f>=MIN(1, MAX(-1,(0-(0.51*EW247))*K222))</f>
      </c>
    </row>
    <row r="223">
      <c r="A223" t="str">
        <v>wages</v>
      </c>
      <c r="B223">
        <v>0</v>
      </c>
      <c r="C223">
        <v>0</v>
      </c>
      <c r="D223">
        <v>0</v>
      </c>
      <c r="E223">
        <v>0</v>
      </c>
      <c r="F223">
        <v>0</v>
      </c>
      <c r="G223">
        <v>0</v>
      </c>
      <c r="H223">
        <f>=(B223+(C223-B223)*(D223+J223))*K223</f>
      </c>
      <c r="I223">
        <f>=(E223+(F223-E223)*(G223+J223))*K223</f>
      </c>
      <c r="J223">
        <f>=0</f>
      </c>
      <c r="K223">
        <f>=1</f>
      </c>
      <c r="AJ223">
        <f>=MIN(1, MAX(-1,(0.1-(0.1*EL247))*K223))</f>
      </c>
      <c r="AK223">
        <f>=MIN(1, MAX(-1,(0.1-(0.1*EL247))*K223))</f>
      </c>
      <c r="BB223">
        <f>=MIN(1, MAX(-1,(0-(0.2*EL247))*K223))</f>
      </c>
    </row>
    <row r="224">
      <c r="A224" t="str">
        <v>carusage</v>
      </c>
      <c r="B224">
        <v>0</v>
      </c>
      <c r="C224">
        <v>0</v>
      </c>
      <c r="D224">
        <v>0</v>
      </c>
      <c r="E224">
        <v>0</v>
      </c>
      <c r="F224">
        <v>0</v>
      </c>
      <c r="G224">
        <v>0</v>
      </c>
      <c r="H224">
        <f>=(B224+(C224-B224)*(D224+J224))*K224</f>
      </c>
      <c r="I224">
        <f>=(E224+(F224-E224)*(G224+J224))*K224</f>
      </c>
      <c r="J224">
        <f>=0</f>
      </c>
      <c r="K224">
        <f>=1</f>
      </c>
      <c r="AV224">
        <f>=MIN(1, MAX(-1,(0 + (0.2*DF247))*K224))</f>
      </c>
    </row>
    <row r="225">
      <c r="A225" t="str">
        <v>health</v>
      </c>
      <c r="B225">
        <v>0</v>
      </c>
      <c r="C225">
        <v>0</v>
      </c>
      <c r="D225">
        <v>0</v>
      </c>
      <c r="E225">
        <v>0</v>
      </c>
      <c r="F225">
        <v>0</v>
      </c>
      <c r="G225">
        <v>0</v>
      </c>
      <c r="H225">
        <f>=(B225+(C225-B225)*(D225+J225))*K225</f>
      </c>
      <c r="I225">
        <f>=(E225+(F225-E225)*(G225+J225))*K225</f>
      </c>
      <c r="J225">
        <f>=0</f>
      </c>
      <c r="K225">
        <f>=1</f>
      </c>
      <c r="AR225">
        <f>=MIN(1, MAX(-1,(0+(0.12*CA247))*K225))</f>
      </c>
    </row>
    <row r="226">
      <c r="A226" t="str">
        <v>oilprice</v>
      </c>
      <c r="B226">
        <v>0</v>
      </c>
      <c r="C226">
        <v>0</v>
      </c>
      <c r="D226">
        <v>0</v>
      </c>
      <c r="E226">
        <v>0</v>
      </c>
      <c r="F226">
        <v>0</v>
      </c>
      <c r="G226">
        <v>0</v>
      </c>
      <c r="H226">
        <f>=(B226+(C226-B226)*(D226+J226))*K226</f>
      </c>
      <c r="I226">
        <f>=(E226+(F226-E226)*(G226+J226))*K226</f>
      </c>
      <c r="J226">
        <f>=0</f>
      </c>
      <c r="K226">
        <f>=1</f>
      </c>
      <c r="AC226">
        <f>=0</f>
      </c>
    </row>
    <row r="227">
      <c r="A227" t="str">
        <v>privatehousing</v>
      </c>
      <c r="B227">
        <v>0</v>
      </c>
      <c r="C227">
        <v>0</v>
      </c>
      <c r="D227">
        <v>0</v>
      </c>
      <c r="E227">
        <v>0</v>
      </c>
      <c r="F227">
        <v>0</v>
      </c>
      <c r="G227">
        <v>0</v>
      </c>
      <c r="H227">
        <f>=(B227+(C227-B227)*(D227+J227))*K227</f>
      </c>
      <c r="I227">
        <f>=(E227+(F227-E227)*(G227+J227))*K227</f>
      </c>
      <c r="J227">
        <f>=0</f>
      </c>
      <c r="K227">
        <f>=1</f>
      </c>
      <c r="AN227">
        <f>=MIN(1, MAX(-1,(0-(0.4*EV247))*K227))</f>
      </c>
    </row>
    <row r="228">
      <c r="A228" t="str">
        <v>trafficcongestion</v>
      </c>
      <c r="B228">
        <v>0</v>
      </c>
      <c r="C228">
        <v>0</v>
      </c>
      <c r="D228">
        <v>0</v>
      </c>
      <c r="E228">
        <v>0</v>
      </c>
      <c r="F228">
        <v>0</v>
      </c>
      <c r="G228">
        <v>0</v>
      </c>
      <c r="H228">
        <f>=(B228+(C228-B228)*(D228+J228))*K228</f>
      </c>
      <c r="I228">
        <f>=(E228+(F228-E228)*(G228+J228))*K228</f>
      </c>
      <c r="J228">
        <f>=0</f>
      </c>
      <c r="K228">
        <f>=1</f>
      </c>
      <c r="BH228">
        <f>=MIN(1, MAX(-1,(0+(ER247^4))*K228))</f>
      </c>
    </row>
    <row r="229">
      <c r="A229" t="str">
        <v>organised crime</v>
      </c>
      <c r="B229">
        <v>0</v>
      </c>
      <c r="C229">
        <v>0</v>
      </c>
      <c r="D229">
        <v>0</v>
      </c>
      <c r="E229">
        <v>0</v>
      </c>
      <c r="F229">
        <v>0</v>
      </c>
      <c r="G229">
        <v>0</v>
      </c>
      <c r="H229">
        <f>=(B229+(C229-B229)*(D229+J229))*K229</f>
      </c>
      <c r="I229">
        <f>=(E229+(F229-E229)*(G229+J229))*K229</f>
      </c>
      <c r="J229">
        <f>=0</f>
      </c>
      <c r="K229">
        <f>=0</f>
      </c>
      <c r="AF229">
        <f>=0</f>
      </c>
    </row>
    <row r="230">
      <c r="A230" t="str">
        <v>_global_interest_rates_</v>
      </c>
      <c r="B230">
        <v>0</v>
      </c>
      <c r="C230">
        <v>0</v>
      </c>
      <c r="D230">
        <v>0</v>
      </c>
      <c r="E230">
        <v>0</v>
      </c>
      <c r="F230">
        <v>0</v>
      </c>
      <c r="G230">
        <v>0</v>
      </c>
      <c r="H230">
        <f>=(B230+(C230-B230)*(D230+J230))*K230</f>
      </c>
      <c r="I230">
        <f>=(E230+(F230-E230)*(G230+J230))*K230</f>
      </c>
      <c r="J230">
        <f>=0</f>
      </c>
      <c r="K230">
        <f>=1</f>
      </c>
      <c r="BI230">
        <f>=0</f>
      </c>
    </row>
    <row r="231">
      <c r="A231" t="str">
        <v>_effectivedebt_</v>
      </c>
      <c r="B231">
        <v>0</v>
      </c>
      <c r="C231">
        <v>0</v>
      </c>
      <c r="D231">
        <v>0</v>
      </c>
      <c r="E231">
        <v>0</v>
      </c>
      <c r="F231">
        <v>0</v>
      </c>
      <c r="G231">
        <v>0</v>
      </c>
      <c r="H231">
        <f>=(B231+(C231-B231)*(D231+J231))*K231</f>
      </c>
      <c r="I231">
        <f>=(E231+(F231-E231)*(G231+J231))*K231</f>
      </c>
      <c r="J231">
        <f>=0</f>
      </c>
      <c r="K231">
        <f>=1</f>
      </c>
      <c r="BI231">
        <f>=0</f>
      </c>
    </row>
    <row r="232">
      <c r="A232" t="str">
        <v>vigilantemobs</v>
      </c>
      <c r="B232">
        <v>0</v>
      </c>
      <c r="C232">
        <v>0</v>
      </c>
      <c r="D232">
        <v>0</v>
      </c>
      <c r="E232">
        <v>0</v>
      </c>
      <c r="F232">
        <v>0</v>
      </c>
      <c r="G232">
        <v>0</v>
      </c>
      <c r="H232">
        <f>=(B232+(C232-B232)*(D232+J232))*K232</f>
      </c>
      <c r="I232">
        <f>=(E232+(F232-E232)*(G232+J232))*K232</f>
      </c>
      <c r="J232">
        <f>=0</f>
      </c>
      <c r="K232">
        <f>=0</f>
      </c>
      <c r="BE232">
        <f>=0</f>
      </c>
    </row>
    <row r="233">
      <c r="A233" t="str">
        <v>streetgangs</v>
      </c>
      <c r="B233">
        <v>0</v>
      </c>
      <c r="C233">
        <v>0</v>
      </c>
      <c r="D233">
        <v>0</v>
      </c>
      <c r="E233">
        <v>0</v>
      </c>
      <c r="F233">
        <v>0</v>
      </c>
      <c r="G233">
        <v>0</v>
      </c>
      <c r="H233">
        <f>=(B233+(C233-B233)*(D233+J233))*K233</f>
      </c>
      <c r="I233">
        <f>=(E233+(F233-E233)*(G233+J233))*K233</f>
      </c>
      <c r="J233">
        <f>=0</f>
      </c>
      <c r="K233">
        <f>=0</f>
      </c>
      <c r="BE233">
        <f>=0</f>
      </c>
    </row>
    <row r="234">
      <c r="A234" t="str">
        <v>gdp</v>
      </c>
      <c r="B234">
        <v>0</v>
      </c>
      <c r="C234">
        <v>0</v>
      </c>
      <c r="D234">
        <v>0</v>
      </c>
      <c r="E234">
        <v>0</v>
      </c>
      <c r="F234">
        <v>0</v>
      </c>
      <c r="G234">
        <v>0</v>
      </c>
      <c r="H234">
        <f>=(B234+(C234-B234)*(D234+J234))*K234</f>
      </c>
      <c r="I234">
        <f>=(E234+(F234-E234)*(G234+J234))*K234</f>
      </c>
      <c r="J234">
        <f>=0</f>
      </c>
      <c r="K234">
        <f>=1</f>
      </c>
      <c r="M234">
        <f>=MIN(1, MAX(-1,(0+(0.45*CC247))*K234))</f>
      </c>
      <c r="AG234">
        <f>=MIN(1, MAX(-1,(-0.3+(1.0*CC247))*K234))</f>
      </c>
      <c r="AO234">
        <f>=MIN(1, MAX(-1,(0+(0.3*CC247))*K234))</f>
      </c>
    </row>
    <row r="235">
      <c r="A235" t="str">
        <v>foreignrelations</v>
      </c>
      <c r="B235">
        <v>0</v>
      </c>
      <c r="C235">
        <v>0</v>
      </c>
      <c r="D235">
        <v>0</v>
      </c>
      <c r="E235">
        <v>0</v>
      </c>
      <c r="F235">
        <v>0</v>
      </c>
      <c r="G235">
        <v>0</v>
      </c>
      <c r="H235">
        <f>=(B235+(C235-B235)*(D235+J235))*K235</f>
      </c>
      <c r="I235">
        <f>=(E235+(F235-E235)*(G235+J235))*K235</f>
      </c>
      <c r="J235">
        <f>=0</f>
      </c>
      <c r="K235">
        <f>=1</f>
      </c>
      <c r="AG235">
        <f>=MIN(1, MAX(-1,(0.27-(DX247*0.75))*K235))</f>
      </c>
      <c r="BA235">
        <f>=MIN(1, MAX(-1,(-0.2*(DX247^0.4))*K235))</f>
      </c>
    </row>
    <row r="236">
      <c r="A236" t="str">
        <v>religious</v>
      </c>
      <c r="B236">
        <v>0</v>
      </c>
      <c r="C236">
        <v>0</v>
      </c>
      <c r="D236">
        <v>0</v>
      </c>
      <c r="E236">
        <v>0</v>
      </c>
      <c r="F236">
        <v>0</v>
      </c>
      <c r="G236">
        <v>0</v>
      </c>
      <c r="H236">
        <f>=(B236+(C236-B236)*(D236+J236))*K236</f>
      </c>
      <c r="I236">
        <f>=(E236+(F236-E236)*(G236+J236))*K236</f>
      </c>
      <c r="J236">
        <f>=0</f>
      </c>
      <c r="K236">
        <f>=1</f>
      </c>
      <c r="AD236">
        <f>=0</f>
      </c>
    </row>
    <row r="237">
      <c r="A237" t="str">
        <v>patriot_perc</v>
      </c>
      <c r="B237">
        <v>0</v>
      </c>
      <c r="C237">
        <v>0</v>
      </c>
      <c r="D237">
        <v>0</v>
      </c>
      <c r="E237">
        <v>0</v>
      </c>
      <c r="F237">
        <v>0</v>
      </c>
      <c r="G237">
        <v>0</v>
      </c>
      <c r="H237">
        <f>=(B237+(C237-B237)*(D237+J237))*K237</f>
      </c>
      <c r="I237">
        <f>=(E237+(F237-E237)*(G237+J237))*K237</f>
      </c>
      <c r="J237">
        <f>=0</f>
      </c>
      <c r="K237">
        <f>=1</f>
      </c>
      <c r="BD237">
        <f>=0</f>
      </c>
    </row>
    <row r="238">
      <c r="A238" t="str">
        <v>averagetemperature</v>
      </c>
      <c r="B238">
        <v>0</v>
      </c>
      <c r="C238">
        <v>0</v>
      </c>
      <c r="D238">
        <v>0</v>
      </c>
      <c r="E238">
        <v>0</v>
      </c>
      <c r="F238">
        <v>0</v>
      </c>
      <c r="G238">
        <v>0</v>
      </c>
      <c r="H238">
        <f>=(B238+(C238-B238)*(D238+J238))*K238</f>
      </c>
      <c r="I238">
        <f>=(E238+(F238-E238)*(G238+J238))*K238</f>
      </c>
      <c r="J238">
        <f>=0</f>
      </c>
      <c r="K238">
        <f>=1</f>
      </c>
      <c r="AW238">
        <f>=0</f>
      </c>
      <c r="AX238">
        <f>=0</f>
      </c>
    </row>
    <row r="239">
      <c r="A239" t="str">
        <v>foodprice</v>
      </c>
      <c r="B239">
        <v>0</v>
      </c>
      <c r="C239">
        <v>0</v>
      </c>
      <c r="D239">
        <v>0</v>
      </c>
      <c r="E239">
        <v>0</v>
      </c>
      <c r="F239">
        <v>0</v>
      </c>
      <c r="G239">
        <v>0</v>
      </c>
      <c r="H239">
        <f>=(B239+(C239-B239)*(D239+J239))*K239</f>
      </c>
      <c r="I239">
        <f>=(E239+(F239-E239)*(G239+J239))*K239</f>
      </c>
      <c r="J239">
        <f>=0</f>
      </c>
      <c r="K239">
        <f>=1</f>
      </c>
      <c r="AU239">
        <f>=MIN(1, MAX(-1,(0.0+(1.0*FC247))*K239))</f>
      </c>
    </row>
    <row r="240">
      <c r="A240" t="str">
        <v>liberal_perc</v>
      </c>
      <c r="B240">
        <v>0</v>
      </c>
      <c r="C240">
        <v>0</v>
      </c>
      <c r="D240">
        <v>0</v>
      </c>
      <c r="E240">
        <v>0</v>
      </c>
      <c r="F240">
        <v>0</v>
      </c>
      <c r="G240">
        <v>0</v>
      </c>
      <c r="H240">
        <f>=(B240+(C240-B240)*(D240+J240))*K240</f>
      </c>
      <c r="I240">
        <f>=(E240+(F240-E240)*(G240+J240))*K240</f>
      </c>
      <c r="J240">
        <f>=0</f>
      </c>
      <c r="K240">
        <f>=1</f>
      </c>
      <c r="AT240">
        <f>=0</f>
      </c>
    </row>
    <row r="241">
      <c r="A241" t="str">
        <v>_year</v>
      </c>
      <c r="B241">
        <v>0</v>
      </c>
      <c r="C241">
        <v>0</v>
      </c>
      <c r="D241">
        <v>0</v>
      </c>
      <c r="E241">
        <v>0</v>
      </c>
      <c r="F241">
        <v>0</v>
      </c>
      <c r="G241">
        <v>0</v>
      </c>
      <c r="H241">
        <f>=(B241+(C241-B241)*(D241+J241))*K241</f>
      </c>
      <c r="I241">
        <f>=(E241+(F241-E241)*(G241+J241))*K241</f>
      </c>
      <c r="J241">
        <f>=0</f>
      </c>
      <c r="K241">
        <f>=1</f>
      </c>
      <c r="AM241">
        <f>=0</f>
      </c>
      <c r="AO241">
        <f>=0</f>
      </c>
      <c r="AX241">
        <f>=0</f>
      </c>
      <c r="AY241">
        <f>=0</f>
      </c>
      <c r="BA241">
        <f>=0</f>
      </c>
    </row>
    <row r="242">
      <c r="A242" t="str">
        <v>capitalist_perc</v>
      </c>
      <c r="B242">
        <v>0</v>
      </c>
      <c r="C242">
        <v>0</v>
      </c>
      <c r="D242">
        <v>0</v>
      </c>
      <c r="E242">
        <v>0</v>
      </c>
      <c r="F242">
        <v>0</v>
      </c>
      <c r="G242">
        <v>0</v>
      </c>
      <c r="H242">
        <f>=(B242+(C242-B242)*(D242+J242))*K242</f>
      </c>
      <c r="I242">
        <f>=(E242+(F242-E242)*(G242+J242))*K242</f>
      </c>
      <c r="J242">
        <f>=0</f>
      </c>
      <c r="K242">
        <f>=1</f>
      </c>
      <c r="AO242">
        <f>=0</f>
      </c>
    </row>
    <row r="243">
      <c r="A243" t="str">
        <v>industrialautomation</v>
      </c>
      <c r="B243">
        <v>0</v>
      </c>
      <c r="C243">
        <v>0</v>
      </c>
      <c r="D243">
        <v>0</v>
      </c>
      <c r="E243">
        <v>0</v>
      </c>
      <c r="F243">
        <v>0</v>
      </c>
      <c r="G243">
        <v>0</v>
      </c>
      <c r="H243">
        <f>=(B243+(C243-B243)*(D243+J243))*K243</f>
      </c>
      <c r="I243">
        <f>=(E243+(F243-E243)*(G243+J243))*K243</f>
      </c>
      <c r="J243">
        <f>=0</f>
      </c>
      <c r="K243">
        <f>=1</f>
      </c>
      <c r="BB243">
        <f>=MIN(1, MAX(-1,(0.0+(0.6*FE247))*K243))</f>
      </c>
    </row>
    <row r="244">
      <c r="A244" t="str">
        <v>_lifespan</v>
      </c>
      <c r="B244">
        <v>0</v>
      </c>
      <c r="C244">
        <v>0</v>
      </c>
      <c r="D244">
        <v>0</v>
      </c>
      <c r="E244">
        <v>0</v>
      </c>
      <c r="F244">
        <v>0</v>
      </c>
      <c r="G244">
        <v>0</v>
      </c>
      <c r="H244">
        <f>=(B244+(C244-B244)*(D244+J244))*K244</f>
      </c>
      <c r="I244">
        <f>=(E244+(F244-E244)*(G244+J244))*K244</f>
      </c>
      <c r="J244">
        <f>=0</f>
      </c>
      <c r="K244">
        <f>=1</f>
      </c>
      <c r="AY244">
        <f>=0</f>
      </c>
    </row>
    <row r="245">
      <c r="A245" t="str">
        <v>_winning_</v>
      </c>
      <c r="B245">
        <v>0</v>
      </c>
      <c r="C245">
        <v>0</v>
      </c>
      <c r="D245">
        <v>0</v>
      </c>
      <c r="E245">
        <v>0</v>
      </c>
      <c r="F245">
        <v>0</v>
      </c>
      <c r="G245">
        <v>0</v>
      </c>
      <c r="H245">
        <f>=(B245+(C245-B245)*(D245+J245))*K245</f>
      </c>
      <c r="I245">
        <f>=(E245+(F245-E245)*(G245+J245))*K245</f>
      </c>
      <c r="J245">
        <f>=0</f>
      </c>
      <c r="K245">
        <f>=1</f>
      </c>
      <c r="AX245">
        <f>=0</f>
      </c>
    </row>
    <row r="246">
      <c r="A246" t="str">
        <v>farmers_perc</v>
      </c>
      <c r="B246">
        <v>0</v>
      </c>
      <c r="C246">
        <v>0</v>
      </c>
      <c r="D246">
        <v>0</v>
      </c>
      <c r="E246">
        <v>0</v>
      </c>
      <c r="F246">
        <v>0</v>
      </c>
      <c r="G246">
        <v>0</v>
      </c>
      <c r="H246">
        <f>=(B246+(C246-B246)*(D246+J246))*K246</f>
      </c>
      <c r="I246">
        <f>=(E246+(F246-E246)*(G246+J246))*K246</f>
      </c>
      <c r="J246">
        <f>=0</f>
      </c>
      <c r="K246">
        <f>=1</f>
      </c>
      <c r="AX246">
        <f>=0</f>
      </c>
    </row>
    <row r="247">
      <c r="A247">
        <f>=MIN(1, MAX(-1,SUM(A2:A246)))</f>
      </c>
      <c r="B247">
        <f>=MIN(1, MAX(-1,SUM(B2:B246)))</f>
      </c>
      <c r="C247">
        <f>=MIN(1, MAX(-1,SUM(C2:C246)))</f>
      </c>
      <c r="D247">
        <f>=MIN(1, MAX(-1,SUM(D2:D246)))</f>
      </c>
      <c r="E247">
        <f>=MIN(1, MAX(-1,SUM(E2:E246)))</f>
      </c>
      <c r="F247">
        <f>=MIN(1, MAX(-1,SUM(F2:F246)))</f>
      </c>
      <c r="G247">
        <f>=MIN(1, MAX(-1,SUM(G2:G246)))</f>
      </c>
      <c r="H247">
        <f>=SUM(H2:H246)</f>
      </c>
      <c r="I247">
        <f>=SUM(I2:I246)</f>
      </c>
      <c r="J247">
        <f>=MIN(1, MAX(-1,SUM(J2:J246)))</f>
      </c>
      <c r="K247">
        <f>=1</f>
      </c>
      <c r="L247">
        <f>=MIN(1, MAX(-1,SUM(L2:L246)))</f>
      </c>
      <c r="M247">
        <f>=MIN(1, MAX(-1,SUM(M2:M246)))</f>
      </c>
      <c r="N247">
        <f>=MIN(1, MAX(-1,SUM(N2:N246)))</f>
      </c>
      <c r="O247">
        <f>=MIN(1, MAX(-1,SUM(O2:O246)))</f>
      </c>
      <c r="P247">
        <f>=MIN(1, MAX(-1,SUM(P2:P246)))</f>
      </c>
      <c r="Q247">
        <f>=MIN(1, MAX(-1,SUM(Q2:Q246)))</f>
      </c>
      <c r="R247">
        <f>=MIN(1, MAX(-1,SUM(R2:R246)))</f>
      </c>
      <c r="S247">
        <f>=MIN(1, MAX(-1,SUM(S2:S246)))</f>
      </c>
      <c r="T247">
        <f>=MIN(1, MAX(-1,SUM(T2:T246)))</f>
      </c>
      <c r="U247">
        <f>=MIN(1, MAX(-1,SUM(U2:U246)))</f>
      </c>
      <c r="V247">
        <f>=MIN(1, MAX(-1,SUM(V2:V246)))</f>
      </c>
      <c r="W247">
        <f>=MIN(1, MAX(-1,SUM(W2:W246)))</f>
      </c>
      <c r="X247">
        <f>=MIN(1, MAX(-1,SUM(X2:X246)))</f>
      </c>
      <c r="Y247">
        <f>=MIN(1, MAX(-1,SUM(Y2:Y246)))</f>
      </c>
      <c r="Z247">
        <f>=MIN(1, MAX(-1,SUM(Z2:Z246)))</f>
      </c>
      <c r="AA247">
        <f>=MIN(1, MAX(-1,SUM(AA2:AA246)))</f>
      </c>
      <c r="AB247">
        <f>=MIN(1, MAX(-1,SUM(AB2:AB246)))</f>
      </c>
      <c r="AC247">
        <f>=MIN(1, MAX(-1,SUM(AC2:AC246)))</f>
      </c>
      <c r="AD247">
        <f>=MIN(1, MAX(-1,SUM(AD2:AD246)))</f>
      </c>
      <c r="AE247">
        <f>=MIN(1, MAX(-1,SUM(AE2:AE246)))</f>
      </c>
      <c r="AF247">
        <f>=MIN(1, MAX(-1,SUM(AF2:AF246)))</f>
      </c>
      <c r="AG247">
        <f>=MIN(1, MAX(-1,SUM(AG2:AG246)))</f>
      </c>
      <c r="AH247">
        <f>=MIN(1, MAX(-1,SUM(AH2:AH246)))</f>
      </c>
      <c r="AI247">
        <f>=MIN(1, MAX(-1,SUM(AI2:AI246)))</f>
      </c>
      <c r="AJ247">
        <f>=MIN(1, MAX(-1,SUM(AJ2:AJ246)))</f>
      </c>
      <c r="AK247">
        <f>=MIN(1, MAX(-1,SUM(AK2:AK246)))</f>
      </c>
      <c r="AL247">
        <f>=MIN(1, MAX(-1,SUM(AL2:AL246)))</f>
      </c>
      <c r="AM247">
        <f>=MIN(1, MAX(-1,SUM(AM2:AM246)))</f>
      </c>
      <c r="AN247">
        <f>=MIN(1, MAX(-1,SUM(AN2:AN246)))</f>
      </c>
      <c r="AO247">
        <f>=MIN(1, MAX(-1,SUM(AO2:AO246)))</f>
      </c>
      <c r="AP247">
        <f>=MIN(1, MAX(-1,SUM(AP2:AP246)))</f>
      </c>
      <c r="AQ247">
        <f>=MIN(1, MAX(-1,SUM(AQ2:AQ246)))</f>
      </c>
      <c r="AR247">
        <f>=MIN(1, MAX(-1,SUM(AR2:AR246)))</f>
      </c>
      <c r="AS247">
        <f>=MIN(1, MAX(-1,SUM(AS2:AS246)))</f>
      </c>
      <c r="AT247">
        <f>=MIN(1, MAX(-1,SUM(AT2:AT246)))</f>
      </c>
      <c r="AU247">
        <f>=MIN(1, MAX(-1,SUM(AU2:AU246)))</f>
      </c>
      <c r="AV247">
        <f>=MIN(1, MAX(-1,SUM(AV2:AV246)))</f>
      </c>
      <c r="AW247">
        <f>=MIN(1, MAX(-1,SUM(AW2:AW246)))</f>
      </c>
      <c r="AX247">
        <f>=MIN(1, MAX(-1,SUM(AX2:AX246)))</f>
      </c>
      <c r="AY247">
        <f>=MIN(1, MAX(-1,SUM(AY2:AY246)))</f>
      </c>
      <c r="AZ247">
        <f>=MIN(1, MAX(-1,SUM(AZ2:AZ246)))</f>
      </c>
      <c r="BA247">
        <f>=MIN(1, MAX(-1,SUM(BA2:BA246)))</f>
      </c>
      <c r="BB247">
        <f>=MIN(1, MAX(-1,SUM(BB2:BB246)))</f>
      </c>
      <c r="BC247">
        <f>=MIN(1, MAX(-1,SUM(BC2:BC246)))</f>
      </c>
      <c r="BD247">
        <f>=MIN(1, MAX(-1,SUM(BD2:BD246)))</f>
      </c>
      <c r="BE247">
        <f>=MIN(1, MAX(-1,SUM(BE2:BE246)))</f>
      </c>
      <c r="BF247">
        <f>=MIN(1, MAX(-1,SUM(BF2:BF246)))</f>
      </c>
      <c r="BG247">
        <f>=MIN(1, MAX(-1,SUM(BG2:BG246)))</f>
      </c>
      <c r="BH247">
        <f>=MIN(1, MAX(-1,SUM(BH2:BH246)))</f>
      </c>
      <c r="BI247">
        <f>=MIN(1, MAX(-1,SUM(BI2:BI246)))</f>
      </c>
      <c r="BJ247">
        <f>=MIN(1, MAX(-1,SUM(BJ2:BJ246)))</f>
      </c>
      <c r="BK247">
        <f>=MIN(1, MAX(-1,SUM(BK2:BK246)))</f>
      </c>
      <c r="BL247">
        <f>=MIN(1, MAX(-1,SUM(BL2:BL246)))</f>
      </c>
      <c r="BM247">
        <f>=MIN(1, MAX(-1,SUM(BM2:BM246)))</f>
      </c>
      <c r="BN247">
        <f>=MIN(1, MAX(-1,SUM(BN2:BN246)))</f>
      </c>
      <c r="BO247">
        <f>=MIN(1, MAX(-1,SUM(BO2:BO246)))</f>
      </c>
      <c r="BP247">
        <f>=MIN(1, MAX(-1,SUM(BP2:BP246)))</f>
      </c>
      <c r="BQ247">
        <f>=MIN(1, MAX(-1,SUM(BQ2:BQ246)))</f>
      </c>
      <c r="BR247">
        <f>=MIN(1, MAX(-1,SUM(BR2:BR246)))</f>
      </c>
      <c r="BS247">
        <f>=MIN(1, MAX(-1,SUM(BS2:BS246)))</f>
      </c>
      <c r="BT247">
        <f>=MIN(1, MAX(-1,SUM(BT2:BT246)))</f>
      </c>
      <c r="BU247">
        <f>=MIN(1, MAX(-1,SUM(BU2:BU246)))</f>
      </c>
      <c r="BV247">
        <f>=MIN(1, MAX(-1,SUM(BV2:BV246)))</f>
      </c>
      <c r="BW247">
        <f>=MIN(1, MAX(-1,SUM(BW2:BW246)))</f>
      </c>
      <c r="BX247">
        <f>=MIN(1, MAX(-1,SUM(BX2:BX246)))</f>
      </c>
      <c r="BY247">
        <f>=MIN(1, MAX(-1,SUM(BY2:BY246)))</f>
      </c>
      <c r="BZ247">
        <f>=MIN(1, MAX(-1,SUM(BZ2:BZ246)))</f>
      </c>
      <c r="CA247">
        <f>=MIN(1, MAX(-1,SUM(CA2:CA246)))</f>
      </c>
      <c r="CB247">
        <f>=MIN(1, MAX(-1,SUM(CB2:CB246)))</f>
      </c>
      <c r="CC247">
        <f>=MIN(1, MAX(-1,SUM(CC2:CC246)))</f>
      </c>
      <c r="CD247">
        <f>=MIN(1, MAX(-1,SUM(CD2:CD246)))</f>
      </c>
      <c r="CE247">
        <f>=MIN(1, MAX(-1,SUM(CE2:CE246)))</f>
      </c>
      <c r="CF247">
        <f>=MIN(1, MAX(-1,SUM(CF2:CF246)))</f>
      </c>
      <c r="CG247">
        <f>=MIN(1, MAX(-1,SUM(CG2:CG246)))</f>
      </c>
      <c r="CH247">
        <f>=MIN(1, MAX(-1,SUM(CH2:CH246)))</f>
      </c>
      <c r="CI247">
        <f>=MIN(1, MAX(-1,SUM(CI2:CI246)))</f>
      </c>
      <c r="CJ247">
        <f>=MIN(1, MAX(-1,SUM(CJ2:CJ246)))</f>
      </c>
      <c r="CK247">
        <f>=MIN(1, MAX(-1,SUM(CK2:CK246)))</f>
      </c>
      <c r="CL247">
        <f>=MIN(1, MAX(-1,SUM(CL2:CL246)))</f>
      </c>
      <c r="CM247">
        <f>=MIN(1, MAX(-1,SUM(CM2:CM246)))</f>
      </c>
      <c r="CN247">
        <f>=MIN(1, MAX(-1,SUM(CN2:CN246)))</f>
      </c>
      <c r="CO247">
        <f>=MIN(1, MAX(-1,SUM(CO2:CO246)))</f>
      </c>
      <c r="CP247">
        <f>=MIN(1, MAX(-1,SUM(CP2:CP246)))</f>
      </c>
      <c r="CQ247">
        <f>=MIN(1, MAX(-1,SUM(CQ2:CQ246)))</f>
      </c>
      <c r="CR247">
        <f>=MIN(1, MAX(-1,SUM(CR2:CR246)))</f>
      </c>
      <c r="CS247">
        <f>=MIN(1, MAX(-1,SUM(CS2:CS246)))</f>
      </c>
      <c r="CT247">
        <f>=MIN(1, MAX(-1,SUM(CT2:CT246)))</f>
      </c>
      <c r="CU247">
        <f>=MIN(1, MAX(-1,SUM(CU2:CU246)))</f>
      </c>
      <c r="CV247">
        <f>=MIN(1, MAX(-1,SUM(CV2:CV246)))</f>
      </c>
      <c r="CW247">
        <f>=MIN(1, MAX(-1,SUM(CW2:CW246)))</f>
      </c>
      <c r="CX247">
        <f>=MIN(1, MAX(-1,SUM(CX2:CX246)))</f>
      </c>
      <c r="CY247">
        <f>=MIN(1, MAX(-1,SUM(CY2:CY246)))</f>
      </c>
      <c r="CZ247">
        <f>=MIN(1, MAX(-1,SUM(CZ2:CZ246)))</f>
      </c>
      <c r="DA247">
        <f>=MIN(1, MAX(-1,SUM(DA2:DA246)))</f>
      </c>
      <c r="DB247">
        <f>=MIN(1, MAX(-1,SUM(DB2:DB246)))</f>
      </c>
      <c r="DC247">
        <f>=MIN(1, MAX(-1,SUM(DC2:DC246)))</f>
      </c>
      <c r="DD247">
        <f>=MIN(1, MAX(-1,SUM(DD2:DD246)))</f>
      </c>
      <c r="DE247">
        <f>=MIN(1, MAX(-1,SUM(DE2:DE246)))</f>
      </c>
      <c r="DF247">
        <f>=MIN(1, MAX(-1,SUM(DF2:DF246)))</f>
      </c>
      <c r="DG247">
        <f>=MIN(1, MAX(-1,SUM(DG2:DG246)))</f>
      </c>
      <c r="DH247">
        <f>=MIN(1, MAX(-1,SUM(DH2:DH246)))</f>
      </c>
      <c r="DI247">
        <f>=MIN(1, MAX(-1,SUM(DI2:DI246)))</f>
      </c>
      <c r="DJ247">
        <f>=MIN(1, MAX(-1,SUM(DJ2:DJ246)))</f>
      </c>
      <c r="DK247">
        <f>=MIN(1, MAX(-1,SUM(DK2:DK246)))</f>
      </c>
      <c r="DL247">
        <f>=MIN(1, MAX(-1,SUM(DL2:DL246)))</f>
      </c>
      <c r="DM247">
        <f>=MIN(1, MAX(-1,SUM(DM2:DM246)))</f>
      </c>
      <c r="DN247">
        <f>=MIN(1, MAX(-1,SUM(DN2:DN246)))</f>
      </c>
      <c r="DO247">
        <f>=MIN(1, MAX(-1,SUM(DO2:DO246)))</f>
      </c>
      <c r="DP247">
        <f>=MIN(1, MAX(-1,SUM(DP2:DP246)))</f>
      </c>
      <c r="DQ247">
        <f>=MIN(1, MAX(-1,SUM(DQ2:DQ246)))</f>
      </c>
      <c r="DR247">
        <f>=MIN(1, MAX(-1,SUM(DR2:DR246)))</f>
      </c>
      <c r="DS247">
        <f>=MIN(1, MAX(-1,SUM(DS2:DS246)))</f>
      </c>
      <c r="DT247">
        <f>=MIN(1, MAX(-1,SUM(DT2:DT246)))</f>
      </c>
      <c r="DU247">
        <f>=MIN(1, MAX(-1,SUM(DU2:DU246)))</f>
      </c>
      <c r="DV247">
        <f>=MIN(1, MAX(-1,SUM(DV2:DV246)))</f>
      </c>
      <c r="DW247">
        <f>=MIN(1, MAX(-1,SUM(DW2:DW246)))</f>
      </c>
      <c r="DX247">
        <f>=MIN(1, MAX(-1,SUM(DX2:DX246)))</f>
      </c>
      <c r="DY247">
        <f>=MIN(1, MAX(-1,SUM(DY2:DY246)))</f>
      </c>
      <c r="DZ247">
        <f>=MIN(1, MAX(-1,SUM(DZ2:DZ246)))</f>
      </c>
      <c r="EA247">
        <f>=MIN(1, MAX(-1,SUM(EA2:EA246)))</f>
      </c>
      <c r="EB247">
        <f>=MIN(1, MAX(-1,SUM(EB2:EB246)))</f>
      </c>
      <c r="EC247">
        <f>=MIN(1, MAX(-1,SUM(EC2:EC246)))</f>
      </c>
      <c r="ED247">
        <f>=MIN(1, MAX(-1,SUM(ED2:ED246)))</f>
      </c>
      <c r="EE247">
        <f>=MIN(1, MAX(-1,SUM(EE2:EE246)))</f>
      </c>
      <c r="EF247">
        <f>=MIN(1, MAX(-1,SUM(EF2:EF246)))</f>
      </c>
      <c r="EG247">
        <f>=MIN(1, MAX(-1,SUM(EG2:EG246)))</f>
      </c>
      <c r="EH247">
        <f>=MIN(1, MAX(-1,SUM(EH2:EH246)))</f>
      </c>
      <c r="EI247">
        <f>=MIN(1, MAX(-1,SUM(EI2:EI246)))</f>
      </c>
      <c r="EJ247">
        <f>=MIN(1, MAX(-1,SUM(EJ2:EJ246)))</f>
      </c>
      <c r="EK247">
        <f>=MIN(1, MAX(-1,SUM(EK2:EK246)))</f>
      </c>
      <c r="EL247">
        <f>=MIN(1, MAX(-1,SUM(EL2:EL246)))</f>
      </c>
      <c r="EM247">
        <f>=MIN(1, MAX(-1,SUM(EM2:EM246)))</f>
      </c>
      <c r="EN247">
        <f>=MIN(1, MAX(-1,SUM(EN2:EN246)))</f>
      </c>
      <c r="EO247">
        <f>=MIN(1, MAX(-1,SUM(EO2:EO246)))</f>
      </c>
      <c r="EP247">
        <f>=MIN(1, MAX(-1,SUM(EP2:EP246)))</f>
      </c>
      <c r="EQ247">
        <f>=MIN(1, MAX(-1,SUM(EQ2:EQ246)))</f>
      </c>
      <c r="ER247">
        <f>=MIN(1, MAX(-1,SUM(ER2:ER246)))</f>
      </c>
      <c r="ES247">
        <f>=MIN(1, MAX(-1,SUM(ES2:ES246)))</f>
      </c>
      <c r="ET247">
        <f>=MIN(1, MAX(-1,SUM(ET2:ET246)))</f>
      </c>
      <c r="EU247">
        <f>=MIN(1, MAX(-1,SUM(EU2:EU246)))</f>
      </c>
      <c r="EV247">
        <f>=MIN(1, MAX(-1,SUM(EV2:EV246)))</f>
      </c>
      <c r="EW247">
        <f>=MIN(1, MAX(-1,SUM(EW2:EW246)))</f>
      </c>
      <c r="EX247">
        <f>=MIN(1, MAX(-1,SUM(EX2:EX246)))</f>
      </c>
      <c r="EY247">
        <f>=MIN(1, MAX(-1,SUM(EY2:EY246)))</f>
      </c>
      <c r="EZ247">
        <f>=MIN(1, MAX(-1,SUM(EZ2:EZ246)))</f>
      </c>
      <c r="FA247">
        <f>=MIN(1, MAX(-1,SUM(FA2:FA246)))</f>
      </c>
      <c r="FB247">
        <f>=MIN(1, MAX(-1,SUM(FB2:FB246)))</f>
      </c>
      <c r="FC247">
        <f>=MIN(1, MAX(-1,SUM(FC2:FC246)))</f>
      </c>
      <c r="FD247">
        <f>=MIN(1, MAX(-1,SUM(FD2:FD246)))</f>
      </c>
      <c r="FE247">
        <f>=MIN(1, MAX(-1,SUM(FE2:FE246)))</f>
      </c>
    </row>
  </sheetData>
  <ignoredErrors>
    <ignoredError numberStoredAsText="1" sqref="A1:FE247"/>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