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asb\Desktop\"/>
    </mc:Choice>
  </mc:AlternateContent>
  <bookViews>
    <workbookView xWindow="0" yWindow="0" windowWidth="20490" windowHeight="7620" activeTab="1"/>
  </bookViews>
  <sheets>
    <sheet name="Summary" sheetId="3" r:id="rId1"/>
    <sheet name="Revenue" sheetId="1" r:id="rId2"/>
    <sheet name="Invoicing" sheetId="4" r:id="rId3"/>
    <sheet name="Open Indent" sheetId="5" r:id="rId4"/>
    <sheet name="Sheet2" sheetId="2" state="hidden" r:id="rId5"/>
  </sheets>
  <definedNames>
    <definedName name="_xlnm._FilterDatabase" localSheetId="2" hidden="1">Invoicing!$A$1:$X$27</definedName>
    <definedName name="_xlnm._FilterDatabase" localSheetId="3" hidden="1">'Open Indent'!$A$1:$M$30</definedName>
  </definedNames>
  <calcPr calcId="162913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K17" i="4" l="1"/>
  <c r="F11" i="4" l="1"/>
  <c r="I11" i="4"/>
  <c r="J11" i="4" s="1"/>
  <c r="F10" i="4"/>
  <c r="I10" i="4"/>
  <c r="J10" i="4" s="1"/>
  <c r="F3" i="4" l="1"/>
  <c r="F4" i="4"/>
  <c r="F5" i="4"/>
  <c r="F6" i="4"/>
  <c r="F7" i="4"/>
  <c r="F8" i="4"/>
  <c r="F9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G3" i="4"/>
  <c r="G4" i="4"/>
  <c r="G5" i="4"/>
  <c r="G6" i="4"/>
  <c r="G7" i="4"/>
  <c r="G8" i="4"/>
  <c r="G9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S8" i="1"/>
  <c r="T8" i="1" s="1"/>
  <c r="N9" i="1" l="1"/>
  <c r="K4" i="4" l="1"/>
  <c r="I4" i="4" s="1"/>
  <c r="K3" i="4"/>
  <c r="I3" i="4" s="1"/>
  <c r="H4" i="4"/>
  <c r="H3" i="4"/>
  <c r="I5" i="4"/>
  <c r="J5" i="4" s="1"/>
  <c r="I6" i="4"/>
  <c r="J6" i="4" s="1"/>
  <c r="I7" i="4"/>
  <c r="J7" i="4" s="1"/>
  <c r="I8" i="4"/>
  <c r="J8" i="4" s="1"/>
  <c r="I9" i="4"/>
  <c r="J9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" i="4"/>
  <c r="J2" i="4" s="1"/>
  <c r="R19" i="1"/>
  <c r="Q19" i="1"/>
  <c r="P19" i="1"/>
  <c r="M19" i="1"/>
  <c r="R17" i="1"/>
  <c r="Q17" i="1"/>
  <c r="P17" i="1"/>
  <c r="M17" i="1"/>
  <c r="R18" i="1"/>
  <c r="Q18" i="1"/>
  <c r="P18" i="1"/>
  <c r="M18" i="1"/>
  <c r="Q16" i="1"/>
  <c r="P16" i="1"/>
  <c r="M16" i="1"/>
  <c r="P20" i="1"/>
  <c r="M20" i="1"/>
  <c r="J4" i="4" l="1"/>
  <c r="J3" i="4"/>
  <c r="AC18" i="1"/>
  <c r="AD18" i="1" s="1"/>
  <c r="X18" i="1"/>
  <c r="Y18" i="1" s="1"/>
  <c r="S18" i="1"/>
  <c r="T18" i="1" s="1"/>
  <c r="N18" i="1"/>
  <c r="O18" i="1" s="1"/>
  <c r="AC17" i="1"/>
  <c r="AD17" i="1" s="1"/>
  <c r="X17" i="1"/>
  <c r="Y17" i="1" s="1"/>
  <c r="S17" i="1"/>
  <c r="T17" i="1" s="1"/>
  <c r="N17" i="1"/>
  <c r="O17" i="1" s="1"/>
  <c r="AC16" i="1"/>
  <c r="AD16" i="1" s="1"/>
  <c r="X16" i="1"/>
  <c r="Y16" i="1" s="1"/>
  <c r="S16" i="1"/>
  <c r="T16" i="1" s="1"/>
  <c r="N16" i="1"/>
  <c r="O16" i="1" s="1"/>
  <c r="AC19" i="1"/>
  <c r="AD19" i="1" s="1"/>
  <c r="X19" i="1"/>
  <c r="Y19" i="1" s="1"/>
  <c r="S19" i="1"/>
  <c r="T19" i="1" s="1"/>
  <c r="N19" i="1"/>
  <c r="O19" i="1" s="1"/>
  <c r="Y7" i="1" l="1"/>
  <c r="T12" i="1"/>
  <c r="O8" i="1"/>
  <c r="N11" i="1"/>
  <c r="O11" i="1" s="1"/>
  <c r="N12" i="1"/>
  <c r="O12" i="1" s="1"/>
  <c r="N13" i="1"/>
  <c r="O13" i="1" s="1"/>
  <c r="N21" i="1"/>
  <c r="O21" i="1" s="1"/>
  <c r="N22" i="1"/>
  <c r="O22" i="1" s="1"/>
  <c r="N23" i="1"/>
  <c r="O23" i="1" s="1"/>
  <c r="N24" i="1"/>
  <c r="O24" i="1" s="1"/>
  <c r="N20" i="1"/>
  <c r="O20" i="1" s="1"/>
  <c r="N25" i="1"/>
  <c r="O25" i="1" s="1"/>
  <c r="T30" i="2"/>
  <c r="P30" i="2"/>
  <c r="W29" i="2"/>
  <c r="V29" i="2" s="1"/>
  <c r="S29" i="2"/>
  <c r="R29" i="2" s="1"/>
  <c r="R33" i="2" s="1"/>
  <c r="O29" i="2"/>
  <c r="N29" i="2" s="1"/>
  <c r="K29" i="2"/>
  <c r="J29" i="2" s="1"/>
  <c r="W28" i="2"/>
  <c r="V28" i="2" s="1"/>
  <c r="S28" i="2"/>
  <c r="R28" i="2" s="1"/>
  <c r="O28" i="2"/>
  <c r="N28" i="2" s="1"/>
  <c r="K28" i="2"/>
  <c r="J28" i="2" s="1"/>
  <c r="V26" i="2"/>
  <c r="V31" i="2" s="1"/>
  <c r="U26" i="2"/>
  <c r="U31" i="2" s="1"/>
  <c r="T26" i="2"/>
  <c r="T31" i="2" s="1"/>
  <c r="S26" i="2"/>
  <c r="S31" i="2" s="1"/>
  <c r="R26" i="2"/>
  <c r="R31" i="2" s="1"/>
  <c r="Q26" i="2"/>
  <c r="Q31" i="2" s="1"/>
  <c r="P26" i="2"/>
  <c r="P31" i="2" s="1"/>
  <c r="O26" i="2"/>
  <c r="O31" i="2" s="1"/>
  <c r="N26" i="2"/>
  <c r="N31" i="2" s="1"/>
  <c r="M26" i="2"/>
  <c r="M31" i="2" s="1"/>
  <c r="L26" i="2"/>
  <c r="L31" i="2" s="1"/>
  <c r="I26" i="2"/>
  <c r="I31" i="2" s="1"/>
  <c r="H26" i="2"/>
  <c r="H31" i="2" s="1"/>
  <c r="W24" i="2"/>
  <c r="S24" i="2"/>
  <c r="O24" i="2"/>
  <c r="K24" i="2"/>
  <c r="W23" i="2"/>
  <c r="S23" i="2"/>
  <c r="O23" i="2"/>
  <c r="K23" i="2"/>
  <c r="W22" i="2"/>
  <c r="W26" i="2" s="1"/>
  <c r="W31" i="2" s="1"/>
  <c r="S22" i="2"/>
  <c r="O22" i="2"/>
  <c r="J22" i="2"/>
  <c r="J26" i="2" s="1"/>
  <c r="J31" i="2" s="1"/>
  <c r="W21" i="2"/>
  <c r="S21" i="2"/>
  <c r="O21" i="2"/>
  <c r="K21" i="2"/>
  <c r="W20" i="2"/>
  <c r="S20" i="2"/>
  <c r="O20" i="2"/>
  <c r="K20" i="2"/>
  <c r="W19" i="2"/>
  <c r="S19" i="2"/>
  <c r="O19" i="2"/>
  <c r="K19" i="2"/>
  <c r="W18" i="2"/>
  <c r="S18" i="2"/>
  <c r="O18" i="2"/>
  <c r="K18" i="2"/>
  <c r="V17" i="2"/>
  <c r="V30" i="2" s="1"/>
  <c r="V32" i="2" s="1"/>
  <c r="U17" i="2"/>
  <c r="U30" i="2" s="1"/>
  <c r="T17" i="2"/>
  <c r="R17" i="2"/>
  <c r="R30" i="2" s="1"/>
  <c r="R32" i="2" s="1"/>
  <c r="Q17" i="2"/>
  <c r="Q30" i="2" s="1"/>
  <c r="Q32" i="2" s="1"/>
  <c r="P17" i="2"/>
  <c r="N17" i="2"/>
  <c r="N30" i="2" s="1"/>
  <c r="W15" i="2"/>
  <c r="S15" i="2"/>
  <c r="O15" i="2"/>
  <c r="I15" i="2"/>
  <c r="H15" i="2"/>
  <c r="K15" i="2" s="1"/>
  <c r="W14" i="2"/>
  <c r="S14" i="2"/>
  <c r="O14" i="2"/>
  <c r="I14" i="2"/>
  <c r="K14" i="2" s="1"/>
  <c r="W13" i="2"/>
  <c r="S13" i="2"/>
  <c r="O13" i="2"/>
  <c r="K13" i="2"/>
  <c r="W12" i="2"/>
  <c r="S12" i="2"/>
  <c r="O12" i="2"/>
  <c r="K12" i="2"/>
  <c r="W11" i="2"/>
  <c r="S11" i="2"/>
  <c r="O11" i="2"/>
  <c r="K11" i="2"/>
  <c r="W10" i="2"/>
  <c r="S10" i="2"/>
  <c r="O10" i="2"/>
  <c r="I10" i="2"/>
  <c r="K10" i="2" s="1"/>
  <c r="W9" i="2"/>
  <c r="S9" i="2"/>
  <c r="J9" i="2"/>
  <c r="J17" i="2" s="1"/>
  <c r="J30" i="2" s="1"/>
  <c r="W8" i="2"/>
  <c r="S8" i="2"/>
  <c r="O8" i="2"/>
  <c r="K8" i="2"/>
  <c r="H8" i="2"/>
  <c r="W7" i="2"/>
  <c r="S7" i="2"/>
  <c r="O7" i="2"/>
  <c r="K7" i="2"/>
  <c r="AB6" i="2"/>
  <c r="AB7" i="2" s="1"/>
  <c r="W6" i="2"/>
  <c r="S6" i="2"/>
  <c r="O6" i="2"/>
  <c r="I6" i="2"/>
  <c r="K6" i="2" s="1"/>
  <c r="H6" i="2"/>
  <c r="W5" i="2"/>
  <c r="S5" i="2"/>
  <c r="S17" i="2" s="1"/>
  <c r="S30" i="2" s="1"/>
  <c r="S32" i="2" s="1"/>
  <c r="O5" i="2"/>
  <c r="I5" i="2"/>
  <c r="H5" i="2"/>
  <c r="H17" i="2" s="1"/>
  <c r="H30" i="2" s="1"/>
  <c r="W4" i="2"/>
  <c r="S4" i="2"/>
  <c r="O4" i="2"/>
  <c r="K4" i="2"/>
  <c r="W3" i="2"/>
  <c r="S3" i="2"/>
  <c r="O3" i="2"/>
  <c r="K3" i="2"/>
  <c r="W2" i="2"/>
  <c r="W17" i="2" s="1"/>
  <c r="W30" i="2" s="1"/>
  <c r="S2" i="2"/>
  <c r="O2" i="2"/>
  <c r="K2" i="2"/>
  <c r="AC25" i="1"/>
  <c r="AD25" i="1" s="1"/>
  <c r="X25" i="1"/>
  <c r="Y25" i="1" s="1"/>
  <c r="S25" i="1"/>
  <c r="T25" i="1" s="1"/>
  <c r="AC20" i="1"/>
  <c r="AD20" i="1" s="1"/>
  <c r="X20" i="1"/>
  <c r="Y20" i="1" s="1"/>
  <c r="S20" i="1"/>
  <c r="T20" i="1" s="1"/>
  <c r="AC24" i="1"/>
  <c r="AD24" i="1" s="1"/>
  <c r="X24" i="1"/>
  <c r="Y24" i="1" s="1"/>
  <c r="S24" i="1"/>
  <c r="T24" i="1" s="1"/>
  <c r="AC23" i="1"/>
  <c r="AD23" i="1" s="1"/>
  <c r="X23" i="1"/>
  <c r="Y23" i="1" s="1"/>
  <c r="S23" i="1"/>
  <c r="T23" i="1" s="1"/>
  <c r="AC22" i="1"/>
  <c r="AD22" i="1" s="1"/>
  <c r="X22" i="1"/>
  <c r="Y22" i="1" s="1"/>
  <c r="S22" i="1"/>
  <c r="T22" i="1" s="1"/>
  <c r="AC21" i="1"/>
  <c r="AD21" i="1" s="1"/>
  <c r="X21" i="1"/>
  <c r="Y21" i="1" s="1"/>
  <c r="S21" i="1"/>
  <c r="T21" i="1" s="1"/>
  <c r="AC15" i="1"/>
  <c r="AD15" i="1" s="1"/>
  <c r="X15" i="1"/>
  <c r="Y15" i="1" s="1"/>
  <c r="S15" i="1"/>
  <c r="T15" i="1" s="1"/>
  <c r="L15" i="1"/>
  <c r="K15" i="1"/>
  <c r="N15" i="1" s="1"/>
  <c r="O15" i="1" s="1"/>
  <c r="AC14" i="1"/>
  <c r="AD14" i="1" s="1"/>
  <c r="X14" i="1"/>
  <c r="Y14" i="1" s="1"/>
  <c r="S14" i="1"/>
  <c r="T14" i="1" s="1"/>
  <c r="L14" i="1"/>
  <c r="N14" i="1" s="1"/>
  <c r="O14" i="1" s="1"/>
  <c r="AC13" i="1"/>
  <c r="AD13" i="1" s="1"/>
  <c r="X13" i="1"/>
  <c r="Y13" i="1" s="1"/>
  <c r="S13" i="1"/>
  <c r="T13" i="1" s="1"/>
  <c r="AC12" i="1"/>
  <c r="AD12" i="1" s="1"/>
  <c r="X12" i="1"/>
  <c r="Y12" i="1" s="1"/>
  <c r="S12" i="1"/>
  <c r="AC11" i="1"/>
  <c r="AD11" i="1" s="1"/>
  <c r="X11" i="1"/>
  <c r="Y11" i="1" s="1"/>
  <c r="S11" i="1"/>
  <c r="T11" i="1" s="1"/>
  <c r="AC10" i="1"/>
  <c r="AD10" i="1" s="1"/>
  <c r="X10" i="1"/>
  <c r="Y10" i="1" s="1"/>
  <c r="S10" i="1"/>
  <c r="T10" i="1" s="1"/>
  <c r="L10" i="1"/>
  <c r="N10" i="1" s="1"/>
  <c r="O10" i="1" s="1"/>
  <c r="AC9" i="1"/>
  <c r="AD9" i="1" s="1"/>
  <c r="X9" i="1"/>
  <c r="Y9" i="1" s="1"/>
  <c r="AC8" i="1"/>
  <c r="AD8" i="1" s="1"/>
  <c r="X8" i="1"/>
  <c r="Y8" i="1" s="1"/>
  <c r="K8" i="1"/>
  <c r="N8" i="1" s="1"/>
  <c r="AC7" i="1"/>
  <c r="AD7" i="1" s="1"/>
  <c r="X7" i="1"/>
  <c r="S7" i="1"/>
  <c r="T7" i="1" s="1"/>
  <c r="N7" i="1"/>
  <c r="O7" i="1" s="1"/>
  <c r="AI6" i="1"/>
  <c r="AI7" i="1" s="1"/>
  <c r="AC6" i="1"/>
  <c r="AD6" i="1" s="1"/>
  <c r="X6" i="1"/>
  <c r="Y6" i="1" s="1"/>
  <c r="S6" i="1"/>
  <c r="T6" i="1" s="1"/>
  <c r="L6" i="1"/>
  <c r="K6" i="1"/>
  <c r="AC5" i="1"/>
  <c r="AD5" i="1" s="1"/>
  <c r="X5" i="1"/>
  <c r="Y5" i="1" s="1"/>
  <c r="S5" i="1"/>
  <c r="T5" i="1" s="1"/>
  <c r="L5" i="1"/>
  <c r="K5" i="1"/>
  <c r="AC4" i="1"/>
  <c r="AD4" i="1" s="1"/>
  <c r="X4" i="1"/>
  <c r="Y4" i="1" s="1"/>
  <c r="S4" i="1"/>
  <c r="T4" i="1" s="1"/>
  <c r="N4" i="1"/>
  <c r="O4" i="1" s="1"/>
  <c r="AC3" i="1"/>
  <c r="AD3" i="1" s="1"/>
  <c r="X3" i="1"/>
  <c r="Y3" i="1" s="1"/>
  <c r="S3" i="1"/>
  <c r="T3" i="1" s="1"/>
  <c r="N3" i="1"/>
  <c r="O3" i="1" s="1"/>
  <c r="AC2" i="1"/>
  <c r="AD2" i="1" s="1"/>
  <c r="X2" i="1"/>
  <c r="Y2" i="1" s="1"/>
  <c r="S2" i="1"/>
  <c r="T2" i="1" s="1"/>
  <c r="N2" i="1"/>
  <c r="O2" i="1" s="1"/>
  <c r="AB9" i="2" l="1"/>
  <c r="AB15" i="2"/>
  <c r="AB11" i="2"/>
  <c r="AB14" i="2" s="1"/>
  <c r="AB17" i="2" s="1"/>
  <c r="V33" i="2"/>
  <c r="H32" i="2"/>
  <c r="J32" i="2"/>
  <c r="J33" i="2" s="1"/>
  <c r="N32" i="2"/>
  <c r="N33" i="2" s="1"/>
  <c r="P32" i="2"/>
  <c r="W32" i="2"/>
  <c r="K26" i="2"/>
  <c r="K31" i="2" s="1"/>
  <c r="U32" i="2"/>
  <c r="T32" i="2"/>
  <c r="I17" i="2"/>
  <c r="I30" i="2" s="1"/>
  <c r="I32" i="2" s="1"/>
  <c r="S33" i="2"/>
  <c r="K9" i="2"/>
  <c r="L9" i="2" s="1"/>
  <c r="K22" i="2"/>
  <c r="H28" i="2"/>
  <c r="L28" i="2"/>
  <c r="P28" i="2"/>
  <c r="T28" i="2"/>
  <c r="H29" i="2"/>
  <c r="H33" i="2" s="1"/>
  <c r="L29" i="2"/>
  <c r="P29" i="2"/>
  <c r="P33" i="2" s="1"/>
  <c r="T29" i="2"/>
  <c r="I28" i="2"/>
  <c r="M28" i="2"/>
  <c r="Q28" i="2"/>
  <c r="U28" i="2"/>
  <c r="I29" i="2"/>
  <c r="I33" i="2" s="1"/>
  <c r="M29" i="2"/>
  <c r="Q29" i="2"/>
  <c r="Q33" i="2" s="1"/>
  <c r="U29" i="2"/>
  <c r="U33" i="2" s="1"/>
  <c r="W33" i="2"/>
  <c r="K5" i="2"/>
  <c r="K17" i="2" s="1"/>
  <c r="K30" i="2" s="1"/>
  <c r="K32" i="2" s="1"/>
  <c r="K33" i="2" s="1"/>
  <c r="N6" i="1"/>
  <c r="O6" i="1" s="1"/>
  <c r="AI9" i="1"/>
  <c r="AI15" i="1"/>
  <c r="AI11" i="1"/>
  <c r="AI14" i="1" s="1"/>
  <c r="N5" i="1"/>
  <c r="O5" i="1" s="1"/>
  <c r="S9" i="1" l="1"/>
  <c r="T9" i="1" s="1"/>
  <c r="O9" i="1"/>
  <c r="L17" i="2"/>
  <c r="L30" i="2" s="1"/>
  <c r="L32" i="2" s="1"/>
  <c r="M9" i="2"/>
  <c r="M17" i="2" s="1"/>
  <c r="M30" i="2" s="1"/>
  <c r="M32" i="2" s="1"/>
  <c r="M33" i="2" s="1"/>
  <c r="O9" i="2"/>
  <c r="O17" i="2" s="1"/>
  <c r="O30" i="2" s="1"/>
  <c r="O32" i="2" s="1"/>
  <c r="O33" i="2" s="1"/>
  <c r="L33" i="2"/>
  <c r="T33" i="2"/>
</calcChain>
</file>

<file path=xl/sharedStrings.xml><?xml version="1.0" encoding="utf-8"?>
<sst xmlns="http://schemas.openxmlformats.org/spreadsheetml/2006/main" count="555" uniqueCount="151">
  <si>
    <t xml:space="preserve">Sealed Air Account </t>
  </si>
  <si>
    <t>Owner</t>
  </si>
  <si>
    <t>PO/ Probability</t>
  </si>
  <si>
    <t>Contract Type</t>
  </si>
  <si>
    <t>SOW End Date</t>
  </si>
  <si>
    <t>Digital %</t>
  </si>
  <si>
    <t>SL/DU</t>
  </si>
  <si>
    <t>Apr'17</t>
  </si>
  <si>
    <t>May'17</t>
  </si>
  <si>
    <t>Jun'17</t>
  </si>
  <si>
    <t>Q1'17</t>
  </si>
  <si>
    <t>July'17</t>
  </si>
  <si>
    <t>Aug'17</t>
  </si>
  <si>
    <t>Sep'17</t>
  </si>
  <si>
    <t>Q2'17</t>
  </si>
  <si>
    <t>Oct'17</t>
  </si>
  <si>
    <t>Nov'17</t>
  </si>
  <si>
    <t>Dec'17</t>
  </si>
  <si>
    <t>Q3'17</t>
  </si>
  <si>
    <t>Jan'18</t>
  </si>
  <si>
    <t>Feb'18</t>
  </si>
  <si>
    <t>Mar'18</t>
  </si>
  <si>
    <t>Q4'17</t>
  </si>
  <si>
    <t>Remarks</t>
  </si>
  <si>
    <t>BMC</t>
  </si>
  <si>
    <t>Commit</t>
  </si>
  <si>
    <t>Confirm Revenue</t>
  </si>
  <si>
    <t>High Probability $</t>
  </si>
  <si>
    <t>Projected Revenue</t>
  </si>
  <si>
    <t>GAP</t>
  </si>
  <si>
    <t>FTE (T&amp;M) Charges for the resources</t>
  </si>
  <si>
    <t>PGM</t>
  </si>
  <si>
    <t>T&amp;M</t>
  </si>
  <si>
    <t>DU</t>
  </si>
  <si>
    <t>Signed only till May'17 - projected in High Probability</t>
  </si>
  <si>
    <t>Year 1</t>
  </si>
  <si>
    <t>Service Desk Charge</t>
  </si>
  <si>
    <t>Jaideep</t>
  </si>
  <si>
    <t>FPP</t>
  </si>
  <si>
    <t>SL</t>
  </si>
  <si>
    <t>It May change based on RFP Response</t>
  </si>
  <si>
    <t>Year 2</t>
  </si>
  <si>
    <t>EUC Charges</t>
  </si>
  <si>
    <t>Year 3</t>
  </si>
  <si>
    <t>3PL Extn till May'17</t>
  </si>
  <si>
    <t>Shriram</t>
  </si>
  <si>
    <t>Sridhar Nadendla - PFS Migration SOW</t>
  </si>
  <si>
    <t>Ramesh</t>
  </si>
  <si>
    <t>Moved to Spin Off opportunity</t>
  </si>
  <si>
    <t>Total</t>
  </si>
  <si>
    <t>Diversey Command Center</t>
  </si>
  <si>
    <t>Signed only till Aug'17</t>
  </si>
  <si>
    <t>Monthly Charges</t>
  </si>
  <si>
    <t>C4C Global deployment</t>
  </si>
  <si>
    <t>Signed only till Dec'17</t>
  </si>
  <si>
    <t>Food Care Integration</t>
  </si>
  <si>
    <t>Need to get some more billability to use the unutilized fund</t>
  </si>
  <si>
    <t>Q4 Rev.</t>
  </si>
  <si>
    <t>Digital Scoping for Documentation - Netherland</t>
  </si>
  <si>
    <t>Ipshita</t>
  </si>
  <si>
    <t>Done</t>
  </si>
  <si>
    <t>BMC Remedy Charges</t>
  </si>
  <si>
    <t>Need to check with BFM on monthly value - It may differ based on RFP Response</t>
  </si>
  <si>
    <t>Till Q4 Revenue</t>
  </si>
  <si>
    <t xml:space="preserve">Designit – UI /UX </t>
  </si>
  <si>
    <t>Will complete on July'17</t>
  </si>
  <si>
    <t>Recogonized</t>
  </si>
  <si>
    <t>BW and BO System Spinn Off</t>
  </si>
  <si>
    <t>Will complete on Sep'17</t>
  </si>
  <si>
    <t>CIP Analytics</t>
  </si>
  <si>
    <t>Will moved to Food Care Integration after May'17</t>
  </si>
  <si>
    <t>Excess Revenue</t>
  </si>
  <si>
    <t>SAP EPC Upgrade</t>
  </si>
  <si>
    <t>Project is on hold now</t>
  </si>
  <si>
    <t>Q1 Revenue</t>
  </si>
  <si>
    <t>New BMC</t>
  </si>
  <si>
    <t>Total Confirmed Revenue</t>
  </si>
  <si>
    <t>Reversal</t>
  </si>
  <si>
    <t>Hybris Implementation RFP</t>
  </si>
  <si>
    <t>Expected Extension till Dec'17</t>
  </si>
  <si>
    <t xml:space="preserve">3PL Extn </t>
  </si>
  <si>
    <t>C4C Segregation</t>
  </si>
  <si>
    <t>Olympic - NBP 1.01 Symphony Project / Bill Sharp</t>
  </si>
  <si>
    <t>IOT Domain consultant</t>
  </si>
  <si>
    <t>SAP &amp; JDE Carve out</t>
  </si>
  <si>
    <t>High Probability</t>
  </si>
  <si>
    <t>Target</t>
  </si>
  <si>
    <t>Status</t>
  </si>
  <si>
    <t>Confirmed</t>
  </si>
  <si>
    <t>Grand Total</t>
  </si>
  <si>
    <t>Opportunity</t>
  </si>
  <si>
    <t>Account</t>
  </si>
  <si>
    <t>Sealed Air</t>
  </si>
  <si>
    <t>Sum of Q1'17</t>
  </si>
  <si>
    <t>Sum of Q2'17</t>
  </si>
  <si>
    <t>Sum of Q3'17</t>
  </si>
  <si>
    <t>Sum of Q4'17</t>
  </si>
  <si>
    <t>Values</t>
  </si>
  <si>
    <t>Dig Rev Q4'17</t>
  </si>
  <si>
    <t>Dig Rev Q3'17</t>
  </si>
  <si>
    <t>Dig Rev Q2'17</t>
  </si>
  <si>
    <t>Dig Rev Q1'17</t>
  </si>
  <si>
    <t>JDE Carve out Project</t>
  </si>
  <si>
    <t>PO Value</t>
  </si>
  <si>
    <t>SOW Name</t>
  </si>
  <si>
    <t>Start Date</t>
  </si>
  <si>
    <t>End Date</t>
  </si>
  <si>
    <t>PO#</t>
  </si>
  <si>
    <t>Invoiced Value</t>
  </si>
  <si>
    <t>Balance To go</t>
  </si>
  <si>
    <t>Till Apr'17</t>
  </si>
  <si>
    <t>Dec'71</t>
  </si>
  <si>
    <t>Project ID</t>
  </si>
  <si>
    <t>Div - Middleware, Fusion &amp; Extol Carveout Project</t>
  </si>
  <si>
    <t>EPC Carve out Project</t>
  </si>
  <si>
    <t>PM for Migration Project</t>
  </si>
  <si>
    <t>SEALED AIR EAS</t>
  </si>
  <si>
    <t>Open</t>
  </si>
  <si>
    <t>Multiple Pos for BMC.</t>
  </si>
  <si>
    <t>***Please insert row above to add new line items***</t>
  </si>
  <si>
    <t>Inv Type</t>
  </si>
  <si>
    <t>PMA-SAI-PJ-APPS-PROJ-3PL</t>
  </si>
  <si>
    <t>SAC-IT-INFRA-SUPPORT</t>
  </si>
  <si>
    <t>PMA-SAI-PJ-SMART-KITCHEN</t>
  </si>
  <si>
    <t>PMA-SAI-PJ-C4C-GLOBAL</t>
  </si>
  <si>
    <t>PMA-SAI-PJ-CIP-ANLTICS</t>
  </si>
  <si>
    <t>Diversey Care Integration</t>
  </si>
  <si>
    <t>PMA-SAI-PJ-IOT-CONSULTIN</t>
  </si>
  <si>
    <t>Closed</t>
  </si>
  <si>
    <t>Invoice done in Advance</t>
  </si>
  <si>
    <t>Project Dropped due to Spin off</t>
  </si>
  <si>
    <t>Excess amount is Travel charges</t>
  </si>
  <si>
    <t>Indent #</t>
  </si>
  <si>
    <t>Skill</t>
  </si>
  <si>
    <t>Created Date</t>
  </si>
  <si>
    <t>SOW Type</t>
  </si>
  <si>
    <t>Expected billing date</t>
  </si>
  <si>
    <t>Revenue loss</t>
  </si>
  <si>
    <t>CB Rate PH</t>
  </si>
  <si>
    <t>Pending With</t>
  </si>
  <si>
    <t>Classification</t>
  </si>
  <si>
    <t>Profiles received so far</t>
  </si>
  <si>
    <t>Total Sum of Q1'17</t>
  </si>
  <si>
    <t>Total Sum of Q2'17</t>
  </si>
  <si>
    <t>Total Sum of Q3'17</t>
  </si>
  <si>
    <t>Total Sum of Q4'17</t>
  </si>
  <si>
    <t>FPP Total</t>
  </si>
  <si>
    <t>T&amp;M Total</t>
  </si>
  <si>
    <t>(All)</t>
  </si>
  <si>
    <t>Region</t>
  </si>
  <si>
    <t>US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</si>
</sst>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9" fillId="10" borderId="0" applyNumberFormat="0" applyBorder="0" applyAlignment="0" applyProtection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3" fontId="0" fillId="0" borderId="0" xfId="4" applyNumberFormat="1" applyFont="1"/>
    <xf numFmtId="0" fontId="1" fillId="0" borderId="0" xfId="4"/>
    <xf numFmtId="43" fontId="3" fillId="4" borderId="1" xfId="1" applyFont="1" applyFill="1" applyBorder="1" applyAlignment="1">
      <alignment horizontal="center" vertical="center" wrapText="1"/>
    </xf>
    <xf numFmtId="0" fontId="1" fillId="3" borderId="2" xfId="4" applyFill="1" applyBorder="1" applyAlignment="1">
      <alignment horizontal="center"/>
    </xf>
    <xf numFmtId="0" fontId="1" fillId="3" borderId="3" xfId="4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43" fontId="4" fillId="5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3" fontId="5" fillId="3" borderId="1" xfId="1" applyFont="1" applyFill="1" applyBorder="1" applyAlignment="1">
      <alignment horizontal="center" vertical="center"/>
    </xf>
    <xf numFmtId="164" fontId="5" fillId="6" borderId="1" xfId="2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/>
    </xf>
    <xf numFmtId="15" fontId="6" fillId="7" borderId="1" xfId="0" applyNumberFormat="1" applyFont="1" applyFill="1" applyBorder="1" applyAlignment="1">
      <alignment vertical="center"/>
    </xf>
    <xf numFmtId="9" fontId="6" fillId="7" borderId="1" xfId="3" applyFont="1" applyFill="1" applyBorder="1" applyAlignment="1">
      <alignment vertical="center"/>
    </xf>
    <xf numFmtId="43" fontId="7" fillId="0" borderId="1" xfId="1" applyFont="1" applyBorder="1" applyAlignment="1"/>
    <xf numFmtId="8" fontId="7" fillId="0" borderId="1" xfId="1" applyNumberFormat="1" applyFont="1" applyBorder="1" applyAlignment="1"/>
    <xf numFmtId="43" fontId="6" fillId="8" borderId="1" xfId="1" applyFont="1" applyFill="1" applyBorder="1" applyAlignment="1">
      <alignment horizontal="right" vertical="center"/>
    </xf>
    <xf numFmtId="43" fontId="0" fillId="0" borderId="1" xfId="4" applyNumberFormat="1" applyFont="1" applyBorder="1"/>
    <xf numFmtId="0" fontId="1" fillId="0" borderId="1" xfId="4" applyBorder="1"/>
    <xf numFmtId="4" fontId="1" fillId="0" borderId="1" xfId="4" applyNumberFormat="1" applyBorder="1"/>
    <xf numFmtId="43" fontId="1" fillId="0" borderId="0" xfId="4" applyNumberFormat="1"/>
    <xf numFmtId="43" fontId="0" fillId="0" borderId="1" xfId="4" applyNumberFormat="1" applyFont="1" applyFill="1" applyBorder="1"/>
    <xf numFmtId="43" fontId="0" fillId="0" borderId="0" xfId="0" applyNumberFormat="1"/>
    <xf numFmtId="43" fontId="1" fillId="0" borderId="1" xfId="4" applyNumberFormat="1" applyBorder="1"/>
    <xf numFmtId="0" fontId="0" fillId="0" borderId="0" xfId="4" applyFont="1"/>
    <xf numFmtId="43" fontId="1" fillId="0" borderId="0" xfId="1"/>
    <xf numFmtId="0" fontId="6" fillId="7" borderId="4" xfId="0" applyFont="1" applyFill="1" applyBorder="1" applyAlignment="1">
      <alignment vertical="center"/>
    </xf>
    <xf numFmtId="0" fontId="0" fillId="0" borderId="4" xfId="0" applyBorder="1"/>
    <xf numFmtId="15" fontId="0" fillId="0" borderId="4" xfId="0" applyNumberFormat="1" applyBorder="1"/>
    <xf numFmtId="43" fontId="6" fillId="8" borderId="4" xfId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center" vertical="center"/>
    </xf>
    <xf numFmtId="43" fontId="0" fillId="3" borderId="1" xfId="0" applyNumberFormat="1" applyFill="1" applyBorder="1"/>
    <xf numFmtId="43" fontId="2" fillId="3" borderId="1" xfId="0" applyNumberFormat="1" applyFont="1" applyFill="1" applyBorder="1"/>
    <xf numFmtId="0" fontId="3" fillId="9" borderId="3" xfId="0" applyFont="1" applyFill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 wrapText="1"/>
    </xf>
    <xf numFmtId="15" fontId="0" fillId="0" borderId="0" xfId="0" applyNumberFormat="1"/>
    <xf numFmtId="0" fontId="0" fillId="0" borderId="0" xfId="0" pivotButton="1"/>
    <xf numFmtId="43" fontId="0" fillId="0" borderId="0" xfId="1" applyFont="1"/>
    <xf numFmtId="0" fontId="0" fillId="0" borderId="1" xfId="0" applyBorder="1"/>
    <xf numFmtId="43" fontId="3" fillId="2" borderId="1" xfId="1" applyFont="1" applyFill="1" applyBorder="1" applyAlignment="1">
      <alignment horizontal="center" vertical="center"/>
    </xf>
    <xf numFmtId="0" fontId="8" fillId="11" borderId="1" xfId="0" applyFont="1" applyFill="1" applyBorder="1"/>
    <xf numFmtId="0" fontId="3" fillId="11" borderId="1" xfId="0" applyFont="1" applyFill="1" applyBorder="1" applyAlignment="1">
      <alignment horizontal="center" vertical="center"/>
    </xf>
    <xf numFmtId="43" fontId="6" fillId="7" borderId="1" xfId="1" applyFont="1" applyFill="1" applyBorder="1" applyAlignment="1">
      <alignment vertical="center"/>
    </xf>
    <xf numFmtId="43" fontId="9" fillId="10" borderId="1" xfId="5" applyNumberFormat="1" applyBorder="1" applyAlignment="1"/>
    <xf numFmtId="43" fontId="0" fillId="0" borderId="0" xfId="1" pivotButton="1" applyFont="1"/>
    <xf numFmtId="0" fontId="6" fillId="7" borderId="1" xfId="0" applyFont="1" applyFill="1" applyBorder="1" applyAlignment="1">
      <alignment horizontal="center" vertical="center"/>
    </xf>
    <xf numFmtId="15" fontId="8" fillId="11" borderId="1" xfId="0" applyNumberFormat="1" applyFont="1" applyFill="1" applyBorder="1"/>
    <xf numFmtId="15" fontId="3" fillId="11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/>
    <xf numFmtId="43" fontId="0" fillId="3" borderId="1" xfId="1" applyFont="1" applyFill="1" applyBorder="1"/>
    <xf numFmtId="0" fontId="1" fillId="3" borderId="2" xfId="4" applyFill="1" applyBorder="1" applyAlignment="1">
      <alignment horizontal="center"/>
    </xf>
    <xf numFmtId="0" fontId="1" fillId="3" borderId="3" xfId="4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4" fontId="5" fillId="6" borderId="2" xfId="2" applyNumberFormat="1" applyFont="1" applyFill="1" applyBorder="1" applyAlignment="1">
      <alignment horizontal="center" vertical="center" wrapText="1"/>
    </xf>
    <xf numFmtId="164" fontId="5" fillId="6" borderId="5" xfId="2" applyNumberFormat="1" applyFont="1" applyFill="1" applyBorder="1" applyAlignment="1">
      <alignment horizontal="center" vertical="center" wrapText="1"/>
    </xf>
    <xf numFmtId="164" fontId="5" fillId="6" borderId="3" xfId="2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NumberFormat="1"/>
    <xf numFmtId="0" fontId="0" fillId="3" borderId="0" xfId="0" applyFill="1"/>
    <xf numFmtId="0" fontId="0" fillId="3" borderId="0" xfId="0" applyNumberFormat="1" applyFill="1"/>
  </cellXfs>
  <cellStyles count="6">
    <cellStyle name="Accent5" xfId="5" builtinId="45"/>
    <cellStyle name="Comma" xfId="1" builtinId="3"/>
    <cellStyle name="Currency" xfId="2" builtinId="4"/>
    <cellStyle name="Normal" xfId="0" builtinId="0"/>
    <cellStyle name="Normal 12" xfId="4"/>
    <cellStyle name="Percent" xfId="3" builtinId="5"/>
  </cellStyles>
  <dxfs count="3">
    <dxf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thikeyan ASB (MFG &amp; Tech)" refreshedDate="42882.946252893518" createdVersion="6" refreshedVersion="6" minRefreshableVersion="3" recordCount="24">
  <cacheSource type="worksheet">
    <worksheetSource ref="A1:AE25" sheet="Revenue"/>
  </cacheSource>
  <cacheFields count="30">
    <cacheField name="Account" numFmtId="0">
      <sharedItems count="1">
        <s v="Sealed Air"/>
      </sharedItems>
    </cacheField>
    <cacheField name="Opportunity" numFmtId="0">
      <sharedItems count="23">
        <s v="FTE (T&amp;M) Charges for the resources"/>
        <s v="Service Desk Charge"/>
        <s v="EUC Charges"/>
        <s v="3PL Extn till May'17"/>
        <s v="Sridhar Nadendla - PFS Migration SOW"/>
        <s v="Diversey Command Center"/>
        <s v="C4C Global deployment"/>
        <s v="Food Care Integration"/>
        <s v="Digital Scoping for Documentation - Netherland"/>
        <s v="BMC Remedy Charges"/>
        <s v="Designit – UI /UX "/>
        <s v="BW and BO System Spinn Off"/>
        <s v="CIP Analytics"/>
        <s v="SAP EPC Upgrade"/>
        <s v="JDE Carve out Project"/>
        <s v="EPC Carve out Project"/>
        <s v="Div - Middleware, Fusion &amp; Extol Carveout Project"/>
        <s v="PM for Migration Project"/>
        <s v="Olympic - NBP 1.01 Symphony Project / Bill Sharp"/>
        <s v="Hybris Implementation RFP"/>
        <s v="3PL Extn "/>
        <s v="C4C Segregation"/>
        <s v="IOT Domain consultant"/>
      </sharedItems>
    </cacheField>
    <cacheField name="Status" numFmtId="0">
      <sharedItems count="2">
        <s v="Confirmed"/>
        <s v="High Probability"/>
      </sharedItems>
    </cacheField>
    <cacheField name="Owner" numFmtId="0">
      <sharedItems/>
    </cacheField>
    <cacheField name="PO/ Probability" numFmtId="0">
      <sharedItems containsString="0" containsBlank="1" containsNumber="1" containsInteger="1" minValue="50" maxValue="6200211186"/>
    </cacheField>
    <cacheField name="Contract Type" numFmtId="0">
      <sharedItems count="2">
        <s v="T&amp;M"/>
        <s v="FPP"/>
      </sharedItems>
    </cacheField>
    <cacheField name="SOW End Date" numFmtId="15">
      <sharedItems containsNonDate="0" containsDate="1" containsString="0" containsBlank="1" minDate="2017-04-03T00:00:00" maxDate="2019-01-01T00:00:00"/>
    </cacheField>
    <cacheField name="Digital %" numFmtId="9">
      <sharedItems containsSemiMixedTypes="0" containsString="0" containsNumber="1" minValue="0" maxValue="1"/>
    </cacheField>
    <cacheField name="SL/DU" numFmtId="15">
      <sharedItems count="2">
        <s v="DU"/>
        <s v="SL"/>
      </sharedItems>
    </cacheField>
    <cacheField name="Apr'17" numFmtId="43">
      <sharedItems containsSemiMixedTypes="0" containsString="0" containsNumber="1" minValue="0" maxValue="771743.53"/>
    </cacheField>
    <cacheField name="May'17" numFmtId="43">
      <sharedItems containsSemiMixedTypes="0" containsString="0" containsNumber="1" minValue="0" maxValue="750000"/>
    </cacheField>
    <cacheField name="Jun'17" numFmtId="43">
      <sharedItems containsSemiMixedTypes="0" containsString="0" containsNumber="1" minValue="0" maxValue="750000"/>
    </cacheField>
    <cacheField name="Q1'17" numFmtId="43">
      <sharedItems containsSemiMixedTypes="0" containsString="0" containsNumber="1" minValue="0" maxValue="1521743.53"/>
    </cacheField>
    <cacheField name="Dig Rev Q1'17" numFmtId="43">
      <sharedItems containsSemiMixedTypes="0" containsString="0" containsNumber="1" minValue="0" maxValue="608697.41200000001"/>
    </cacheField>
    <cacheField name="July'17" numFmtId="43">
      <sharedItems containsString="0" containsBlank="1" containsNumber="1" minValue="0" maxValue="750000"/>
    </cacheField>
    <cacheField name="Aug'17" numFmtId="43">
      <sharedItems containsString="0" containsBlank="1" containsNumber="1" minValue="0" maxValue="750000"/>
    </cacheField>
    <cacheField name="Sep'17" numFmtId="43">
      <sharedItems containsString="0" containsBlank="1" containsNumber="1" minValue="0" maxValue="750000"/>
    </cacheField>
    <cacheField name="Q2'17" numFmtId="43">
      <sharedItems containsSemiMixedTypes="0" containsString="0" containsNumber="1" minValue="0" maxValue="2250000"/>
    </cacheField>
    <cacheField name="Dig Rev Q2'17" numFmtId="43">
      <sharedItems containsSemiMixedTypes="0" containsString="0" containsNumber="1" minValue="0" maxValue="900000"/>
    </cacheField>
    <cacheField name="Oct'17" numFmtId="43">
      <sharedItems containsString="0" containsBlank="1" containsNumber="1" minValue="0" maxValue="750000"/>
    </cacheField>
    <cacheField name="Nov'17" numFmtId="0">
      <sharedItems containsString="0" containsBlank="1" containsNumber="1" minValue="0" maxValue="750000"/>
    </cacheField>
    <cacheField name="Dec'17" numFmtId="43">
      <sharedItems containsString="0" containsBlank="1" containsNumber="1" minValue="0" maxValue="750000"/>
    </cacheField>
    <cacheField name="Q3'17" numFmtId="43">
      <sharedItems containsSemiMixedTypes="0" containsString="0" containsNumber="1" minValue="0" maxValue="2250000"/>
    </cacheField>
    <cacheField name="Dig Rev Q3'17" numFmtId="43">
      <sharedItems containsSemiMixedTypes="0" containsString="0" containsNumber="1" containsInteger="1" minValue="0" maxValue="900000"/>
    </cacheField>
    <cacheField name="Jan'18" numFmtId="43">
      <sharedItems containsString="0" containsBlank="1" containsNumber="1" minValue="0" maxValue="134125"/>
    </cacheField>
    <cacheField name="Feb'18" numFmtId="0">
      <sharedItems containsString="0" containsBlank="1" containsNumber="1" minValue="0" maxValue="134125"/>
    </cacheField>
    <cacheField name="Mar'18" numFmtId="43">
      <sharedItems containsString="0" containsBlank="1" containsNumber="1" minValue="0" maxValue="134125"/>
    </cacheField>
    <cacheField name="Q4'17" numFmtId="43">
      <sharedItems containsSemiMixedTypes="0" containsString="0" containsNumber="1" containsInteger="1" minValue="0" maxValue="402375"/>
    </cacheField>
    <cacheField name="Dig Rev Q4'17" numFmtId="43">
      <sharedItems containsSemiMixedTypes="0" containsString="0" containsNumber="1" containsInteger="1" minValue="0" maxValue="0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s v="PGM"/>
    <n v="6200203927"/>
    <x v="0"/>
    <d v="2017-05-31T00:00:00"/>
    <n v="0.4"/>
    <x v="0"/>
    <n v="771743.53"/>
    <n v="750000"/>
    <n v="0"/>
    <n v="1521743.53"/>
    <n v="608697.41200000001"/>
    <n v="0"/>
    <n v="0"/>
    <n v="0"/>
    <n v="0"/>
    <n v="0"/>
    <m/>
    <m/>
    <m/>
    <n v="0"/>
    <n v="0"/>
    <m/>
    <m/>
    <m/>
    <n v="0"/>
    <n v="0"/>
    <s v="Signed only till May'17 - projected in High Probability"/>
  </r>
  <r>
    <x v="0"/>
    <x v="1"/>
    <x v="0"/>
    <s v="Jaideep"/>
    <n v="6200173452"/>
    <x v="1"/>
    <d v="2018-12-31T00:00:00"/>
    <n v="0"/>
    <x v="1"/>
    <n v="134125"/>
    <n v="134125"/>
    <n v="134125"/>
    <n v="402375"/>
    <n v="0"/>
    <n v="134125"/>
    <n v="134125"/>
    <n v="134125"/>
    <n v="402375"/>
    <n v="0"/>
    <n v="134125"/>
    <n v="134125"/>
    <n v="134125"/>
    <n v="402375"/>
    <n v="0"/>
    <n v="134125"/>
    <n v="134125"/>
    <n v="134125"/>
    <n v="402375"/>
    <n v="0"/>
    <s v="It May change based on RFP Response"/>
  </r>
  <r>
    <x v="0"/>
    <x v="2"/>
    <x v="0"/>
    <s v="Jaideep"/>
    <n v="6200173452"/>
    <x v="1"/>
    <d v="2018-12-31T00:00:00"/>
    <n v="0"/>
    <x v="1"/>
    <n v="41666.666666666664"/>
    <n v="41666.666666666664"/>
    <n v="41666.666666666664"/>
    <n v="125000"/>
    <n v="0"/>
    <n v="41666.666666666664"/>
    <n v="41666.666666666664"/>
    <n v="41666.666666666664"/>
    <n v="125000"/>
    <n v="0"/>
    <n v="41666.666666666664"/>
    <n v="41666.666666666664"/>
    <n v="41666.666666666664"/>
    <n v="125000"/>
    <n v="0"/>
    <n v="41666.666666666664"/>
    <n v="41666.666666666664"/>
    <n v="41666.666666666664"/>
    <n v="125000"/>
    <n v="0"/>
    <s v="It May change based on RFP Response"/>
  </r>
  <r>
    <x v="0"/>
    <x v="3"/>
    <x v="0"/>
    <s v="Shriram"/>
    <n v="6200209340"/>
    <x v="0"/>
    <d v="2017-04-30T00:00:00"/>
    <n v="0"/>
    <x v="0"/>
    <n v="15525.829999999998"/>
    <n v="34000"/>
    <n v="0"/>
    <n v="49525.83"/>
    <n v="0"/>
    <n v="0"/>
    <n v="0"/>
    <n v="0"/>
    <n v="0"/>
    <n v="0"/>
    <m/>
    <m/>
    <m/>
    <n v="0"/>
    <n v="0"/>
    <m/>
    <m/>
    <m/>
    <n v="0"/>
    <n v="0"/>
    <s v="Signed only till May'17 - projected in High Probability"/>
  </r>
  <r>
    <x v="0"/>
    <x v="4"/>
    <x v="0"/>
    <s v="Ramesh"/>
    <n v="6200190645"/>
    <x v="0"/>
    <d v="2017-05-14T00:00:00"/>
    <n v="1"/>
    <x v="0"/>
    <n v="17600"/>
    <n v="8800"/>
    <n v="0"/>
    <n v="26400"/>
    <n v="26400"/>
    <n v="0"/>
    <n v="0"/>
    <n v="0"/>
    <n v="0"/>
    <n v="0"/>
    <m/>
    <m/>
    <m/>
    <n v="0"/>
    <n v="0"/>
    <m/>
    <m/>
    <m/>
    <n v="0"/>
    <n v="0"/>
    <s v="Moved to Spin Off opportunity"/>
  </r>
  <r>
    <x v="0"/>
    <x v="5"/>
    <x v="0"/>
    <s v="Shriram"/>
    <n v="6200207479"/>
    <x v="1"/>
    <d v="2017-08-31T00:00:00"/>
    <n v="1"/>
    <x v="0"/>
    <n v="12464"/>
    <n v="12464"/>
    <n v="12464"/>
    <n v="37392"/>
    <n v="37392"/>
    <n v="12464"/>
    <n v="12464"/>
    <m/>
    <n v="24928"/>
    <n v="24928"/>
    <m/>
    <m/>
    <m/>
    <n v="0"/>
    <n v="0"/>
    <m/>
    <m/>
    <m/>
    <n v="0"/>
    <n v="0"/>
    <s v="Signed only till Aug'17"/>
  </r>
  <r>
    <x v="0"/>
    <x v="6"/>
    <x v="0"/>
    <s v="Shriram"/>
    <n v="6200196568"/>
    <x v="0"/>
    <d v="2017-12-31T00:00:00"/>
    <n v="1"/>
    <x v="0"/>
    <n v="86797.78"/>
    <n v="80000"/>
    <n v="80000"/>
    <n v="246797.78"/>
    <n v="246797.78"/>
    <n v="65000"/>
    <n v="65000"/>
    <n v="65000"/>
    <n v="195000"/>
    <n v="195000"/>
    <n v="60000"/>
    <n v="40000"/>
    <n v="40000"/>
    <n v="140000"/>
    <n v="140000"/>
    <m/>
    <m/>
    <m/>
    <n v="0"/>
    <n v="0"/>
    <s v="Signed only till Dec'17"/>
  </r>
  <r>
    <x v="0"/>
    <x v="7"/>
    <x v="0"/>
    <s v="Ramesh"/>
    <n v="6200200550"/>
    <x v="1"/>
    <d v="2017-04-29T00:00:00"/>
    <n v="1"/>
    <x v="0"/>
    <n v="720"/>
    <n v="1612.2565900096379"/>
    <n v="42372.948101010639"/>
    <n v="44705.204691020277"/>
    <n v="44705.204691020277"/>
    <n v="94558.936639417574"/>
    <n v="46775.189577220648"/>
    <n v="0"/>
    <n v="141334.12621663822"/>
    <n v="141334.12621663822"/>
    <m/>
    <m/>
    <m/>
    <n v="0"/>
    <n v="0"/>
    <m/>
    <m/>
    <m/>
    <n v="0"/>
    <n v="0"/>
    <s v="Need to get some more billability to use the unutilized fund"/>
  </r>
  <r>
    <x v="0"/>
    <x v="8"/>
    <x v="0"/>
    <s v="Ipshita"/>
    <n v="6200206134"/>
    <x v="0"/>
    <d v="2017-04-03T00:00:00"/>
    <n v="1"/>
    <x v="0"/>
    <n v="0"/>
    <n v="14500"/>
    <n v="0"/>
    <n v="14500"/>
    <n v="14500"/>
    <n v="0"/>
    <n v="0"/>
    <n v="0"/>
    <n v="0"/>
    <n v="0"/>
    <m/>
    <m/>
    <m/>
    <n v="0"/>
    <n v="0"/>
    <m/>
    <m/>
    <m/>
    <n v="0"/>
    <n v="0"/>
    <s v="Done"/>
  </r>
  <r>
    <x v="0"/>
    <x v="9"/>
    <x v="0"/>
    <s v="Jaideep"/>
    <m/>
    <x v="1"/>
    <d v="2018-12-31T00:00:00"/>
    <n v="0"/>
    <x v="1"/>
    <n v="22344.475733333311"/>
    <n v="0"/>
    <n v="0"/>
    <n v="22344.475733333311"/>
    <n v="0"/>
    <n v="0"/>
    <n v="0"/>
    <n v="0"/>
    <n v="0"/>
    <n v="0"/>
    <m/>
    <m/>
    <m/>
    <n v="0"/>
    <n v="0"/>
    <m/>
    <m/>
    <m/>
    <n v="0"/>
    <n v="0"/>
    <s v="Need to check with BFM on monthly value - It may differ based on RFP Response"/>
  </r>
  <r>
    <x v="0"/>
    <x v="10"/>
    <x v="0"/>
    <s v="Ipshita"/>
    <n v="6200208829"/>
    <x v="1"/>
    <d v="2017-07-27T00:00:00"/>
    <n v="1"/>
    <x v="1"/>
    <n v="0"/>
    <n v="60000"/>
    <n v="60000"/>
    <n v="120000"/>
    <n v="120000"/>
    <n v="60000"/>
    <n v="0"/>
    <n v="0"/>
    <n v="60000"/>
    <n v="60000"/>
    <m/>
    <m/>
    <m/>
    <n v="0"/>
    <n v="0"/>
    <m/>
    <m/>
    <m/>
    <n v="0"/>
    <n v="0"/>
    <s v="Will complete on July'17"/>
  </r>
  <r>
    <x v="0"/>
    <x v="11"/>
    <x v="0"/>
    <s v="Ramesh"/>
    <n v="6200209820"/>
    <x v="0"/>
    <d v="2017-09-29T00:00:00"/>
    <n v="1"/>
    <x v="0"/>
    <n v="0"/>
    <n v="35000"/>
    <n v="55000"/>
    <n v="90000"/>
    <n v="90000"/>
    <n v="55000"/>
    <n v="55000"/>
    <n v="55000"/>
    <n v="165000"/>
    <n v="165000"/>
    <m/>
    <m/>
    <m/>
    <n v="0"/>
    <n v="0"/>
    <m/>
    <m/>
    <m/>
    <n v="0"/>
    <n v="0"/>
    <s v="Will complete on Sep'17"/>
  </r>
  <r>
    <x v="0"/>
    <x v="12"/>
    <x v="0"/>
    <s v="Ramesh"/>
    <n v="6200208412"/>
    <x v="0"/>
    <d v="2017-05-31T00:00:00"/>
    <n v="1"/>
    <x v="0"/>
    <n v="17675.25"/>
    <n v="15750"/>
    <n v="0"/>
    <n v="33425.25"/>
    <n v="33425.25"/>
    <n v="0"/>
    <n v="0"/>
    <n v="0"/>
    <n v="0"/>
    <n v="0"/>
    <m/>
    <m/>
    <m/>
    <n v="0"/>
    <n v="0"/>
    <m/>
    <m/>
    <m/>
    <n v="0"/>
    <n v="0"/>
    <s v="Will moved to Food Care Integration after May'17"/>
  </r>
  <r>
    <x v="0"/>
    <x v="13"/>
    <x v="0"/>
    <s v="Shriram"/>
    <n v="6200205799"/>
    <x v="1"/>
    <d v="2017-05-15T00:00:00"/>
    <n v="0"/>
    <x v="0"/>
    <n v="30713.329699999998"/>
    <n v="10483.470300000004"/>
    <n v="0"/>
    <n v="41196.800000000003"/>
    <n v="0"/>
    <n v="0"/>
    <n v="0"/>
    <n v="0"/>
    <n v="0"/>
    <n v="0"/>
    <m/>
    <m/>
    <m/>
    <n v="0"/>
    <n v="0"/>
    <m/>
    <m/>
    <m/>
    <n v="0"/>
    <n v="0"/>
    <s v="Project is on hold now"/>
  </r>
  <r>
    <x v="0"/>
    <x v="14"/>
    <x v="0"/>
    <s v="Shriram"/>
    <n v="6200211175"/>
    <x v="1"/>
    <d v="2017-08-31T00:00:00"/>
    <n v="0"/>
    <x v="0"/>
    <n v="0"/>
    <n v="0"/>
    <n v="8000"/>
    <n v="8000"/>
    <n v="0"/>
    <n v="8000"/>
    <n v="8000"/>
    <n v="0"/>
    <n v="16000"/>
    <n v="0"/>
    <m/>
    <m/>
    <m/>
    <n v="0"/>
    <n v="0"/>
    <m/>
    <m/>
    <m/>
    <n v="0"/>
    <n v="0"/>
    <m/>
  </r>
  <r>
    <x v="0"/>
    <x v="15"/>
    <x v="0"/>
    <s v="Shriram"/>
    <n v="6200211174"/>
    <x v="1"/>
    <d v="2017-09-30T00:00:00"/>
    <n v="0"/>
    <x v="0"/>
    <n v="0"/>
    <n v="0"/>
    <n v="11500"/>
    <n v="11500"/>
    <n v="0"/>
    <n v="11500"/>
    <n v="11500"/>
    <n v="11500"/>
    <n v="34500"/>
    <n v="0"/>
    <m/>
    <m/>
    <m/>
    <n v="0"/>
    <n v="0"/>
    <m/>
    <m/>
    <m/>
    <n v="0"/>
    <n v="0"/>
    <m/>
  </r>
  <r>
    <x v="0"/>
    <x v="16"/>
    <x v="0"/>
    <s v="Shriram"/>
    <m/>
    <x v="1"/>
    <d v="2017-09-30T00:00:00"/>
    <n v="0"/>
    <x v="0"/>
    <n v="0"/>
    <n v="0"/>
    <n v="13750"/>
    <n v="13750"/>
    <n v="0"/>
    <n v="13750"/>
    <n v="13750"/>
    <n v="13750"/>
    <n v="41250"/>
    <n v="0"/>
    <m/>
    <m/>
    <m/>
    <n v="0"/>
    <n v="0"/>
    <m/>
    <m/>
    <m/>
    <n v="0"/>
    <n v="0"/>
    <m/>
  </r>
  <r>
    <x v="0"/>
    <x v="17"/>
    <x v="0"/>
    <s v="Shriram"/>
    <n v="6200211176"/>
    <x v="0"/>
    <d v="2017-08-31T00:00:00"/>
    <n v="0"/>
    <x v="0"/>
    <n v="0"/>
    <n v="0"/>
    <n v="8000"/>
    <n v="8000"/>
    <n v="0"/>
    <n v="8000"/>
    <n v="8000"/>
    <n v="8000"/>
    <n v="24000"/>
    <n v="0"/>
    <m/>
    <m/>
    <m/>
    <n v="0"/>
    <n v="0"/>
    <m/>
    <m/>
    <m/>
    <n v="0"/>
    <n v="0"/>
    <m/>
  </r>
  <r>
    <x v="0"/>
    <x v="18"/>
    <x v="0"/>
    <s v="Shriram"/>
    <n v="6200211186"/>
    <x v="0"/>
    <d v="2017-07-31T00:00:00"/>
    <n v="0"/>
    <x v="0"/>
    <n v="0"/>
    <n v="0"/>
    <n v="8470"/>
    <n v="8470"/>
    <n v="0"/>
    <n v="8470"/>
    <m/>
    <m/>
    <n v="8470"/>
    <n v="0"/>
    <m/>
    <m/>
    <m/>
    <n v="0"/>
    <n v="0"/>
    <m/>
    <m/>
    <m/>
    <n v="0"/>
    <n v="0"/>
    <m/>
  </r>
  <r>
    <x v="0"/>
    <x v="19"/>
    <x v="1"/>
    <s v="Shriram"/>
    <n v="50"/>
    <x v="1"/>
    <m/>
    <n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x v="0"/>
    <x v="0"/>
    <x v="1"/>
    <s v="PGM"/>
    <n v="90"/>
    <x v="0"/>
    <m/>
    <n v="0.4"/>
    <x v="0"/>
    <n v="0"/>
    <n v="0"/>
    <n v="750000"/>
    <n v="750000"/>
    <n v="300000"/>
    <n v="750000"/>
    <n v="750000"/>
    <n v="750000"/>
    <n v="2250000"/>
    <n v="900000"/>
    <n v="750000"/>
    <n v="750000"/>
    <n v="750000"/>
    <n v="2250000"/>
    <n v="900000"/>
    <m/>
    <m/>
    <m/>
    <n v="0"/>
    <n v="0"/>
    <s v="Expected Extension till Dec'17"/>
  </r>
  <r>
    <x v="0"/>
    <x v="20"/>
    <x v="1"/>
    <s v="Shriram"/>
    <n v="50"/>
    <x v="0"/>
    <m/>
    <n v="0"/>
    <x v="0"/>
    <n v="0"/>
    <n v="0"/>
    <n v="30671.55"/>
    <n v="30671.55"/>
    <n v="0"/>
    <n v="30671.55"/>
    <n v="30671.55"/>
    <n v="30671.55"/>
    <n v="92014.65"/>
    <n v="0"/>
    <n v="30671.55"/>
    <n v="30671.55"/>
    <n v="30671.55"/>
    <n v="92014.65"/>
    <n v="0"/>
    <m/>
    <m/>
    <m/>
    <n v="0"/>
    <n v="0"/>
    <s v="Expected Extension till Dec'17"/>
  </r>
  <r>
    <x v="0"/>
    <x v="21"/>
    <x v="1"/>
    <s v="Shriram"/>
    <n v="50"/>
    <x v="0"/>
    <m/>
    <n v="1"/>
    <x v="1"/>
    <n v="0"/>
    <n v="0"/>
    <n v="0"/>
    <n v="0"/>
    <n v="0"/>
    <m/>
    <m/>
    <m/>
    <n v="0"/>
    <n v="0"/>
    <m/>
    <m/>
    <m/>
    <n v="0"/>
    <n v="0"/>
    <m/>
    <m/>
    <m/>
    <n v="0"/>
    <n v="0"/>
    <m/>
  </r>
  <r>
    <x v="0"/>
    <x v="22"/>
    <x v="1"/>
    <s v="Ipshita"/>
    <n v="90"/>
    <x v="1"/>
    <m/>
    <n v="1"/>
    <x v="0"/>
    <n v="0"/>
    <n v="0"/>
    <n v="0"/>
    <n v="0"/>
    <n v="0"/>
    <n v="18000"/>
    <n v="18000"/>
    <n v="0"/>
    <n v="36000"/>
    <n v="36000"/>
    <m/>
    <m/>
    <m/>
    <n v="0"/>
    <n v="0"/>
    <m/>
    <m/>
    <m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3:O41" firstHeaderRow="1" firstDataRow="3" firstDataCol="3" rowPageCount="1" colPageCount="1"/>
  <pivotFields count="30">
    <pivotField axis="axisRow" compact="0" outline="0" showAll="0" defaultSubtotal="0">
      <items count="1">
        <item x="0"/>
      </items>
    </pivotField>
    <pivotField axis="axisRow" compact="0" outline="0" showAll="0" defaultSubtotal="0">
      <items count="23">
        <item x="20"/>
        <item x="3"/>
        <item x="9"/>
        <item x="11"/>
        <item x="6"/>
        <item x="21"/>
        <item x="12"/>
        <item x="10"/>
        <item x="8"/>
        <item x="16"/>
        <item x="5"/>
        <item x="15"/>
        <item x="2"/>
        <item x="7"/>
        <item x="0"/>
        <item x="19"/>
        <item x="22"/>
        <item x="14"/>
        <item x="18"/>
        <item x="17"/>
        <item x="13"/>
        <item x="1"/>
        <item x="4"/>
      </items>
    </pivotField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 defaultSubtota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 defaultSubtota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 defaultSubtota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 defaultSubtotal="0"/>
    <pivotField compact="0" outline="0" showAll="0"/>
  </pivotFields>
  <rowFields count="3">
    <field x="0"/>
    <field x="5"/>
    <field x="1"/>
  </rowFields>
  <rowItems count="26">
    <i>
      <x/>
      <x/>
      <x v="2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20"/>
    </i>
    <i r="2">
      <x v="21"/>
    </i>
    <i t="default" r="1">
      <x/>
    </i>
    <i r="1">
      <x v="1"/>
      <x/>
    </i>
    <i r="2">
      <x v="1"/>
    </i>
    <i r="2">
      <x v="3"/>
    </i>
    <i r="2">
      <x v="4"/>
    </i>
    <i r="2">
      <x v="5"/>
    </i>
    <i r="2">
      <x v="6"/>
    </i>
    <i r="2">
      <x v="8"/>
    </i>
    <i r="2">
      <x v="14"/>
    </i>
    <i r="2">
      <x v="18"/>
    </i>
    <i r="2">
      <x v="19"/>
    </i>
    <i r="2">
      <x v="22"/>
    </i>
    <i t="default" r="1">
      <x v="1"/>
    </i>
    <i t="grand">
      <x/>
    </i>
  </rowItems>
  <colFields count="2">
    <field x="-2"/>
    <field x="8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pageFields count="1">
    <pageField fld="2" hier="-1"/>
  </pageFields>
  <dataFields count="4">
    <dataField name="Sum of Q1'17" fld="12" baseField="0" baseItem="0"/>
    <dataField name="Sum of Q2'17" fld="17" baseField="0" baseItem="0"/>
    <dataField name="Sum of Q3'17" fld="22" baseField="0" baseItem="0"/>
    <dataField name="Sum of Q4'17" fld="27" baseField="0" baseItem="0"/>
  </dataFields>
  <formats count="1">
    <format dxfId="2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7" firstHeaderRow="1" firstDataRow="2" firstDataCol="2"/>
  <pivotFields count="30">
    <pivotField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 defaultSubtota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 defaultSubtota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 defaultSubtota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 defaultSubtotal="0"/>
    <pivotField compact="0" outline="0" showAll="0"/>
  </pivotFields>
  <rowFields count="2">
    <field x="0"/>
    <field x="2"/>
  </rowFields>
  <rowItems count="3">
    <i>
      <x/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1'17" fld="12" baseField="0" baseItem="0"/>
    <dataField name="Sum of Q2'17" fld="17" baseField="0" baseItem="0"/>
    <dataField name="Sum of Q3'17" fld="22" baseField="0" baseItem="0"/>
    <dataField name="Sum of Q4'17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6"/>
  <sheetViews>
    <sheetView workbookViewId="0">
      <selection activeCell="B28" sqref="B28:O28 B40:O40"/>
      <pivotSelection pane="bottomRight" showHeader="1" extendable="1" dimension="2" start="10" max="21" activeRow="25" activeCol="2" click="1" r:id="rId1">
        <pivotArea dataOnly="0" outline="0" fieldPosition="0">
          <references count="1">
            <reference field="5" count="0" defaultSubtotal="1"/>
          </references>
        </pivotArea>
      </pivotSelection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46" style="38" bestFit="1" customWidth="1"/>
    <col min="4" max="7" width="12.5703125" style="38" customWidth="1"/>
    <col min="8" max="8" width="12.5703125" style="38" bestFit="1" customWidth="1"/>
    <col min="9" max="9" width="12.5703125" customWidth="1"/>
    <col min="10" max="10" width="12.5703125" bestFit="1" customWidth="1"/>
    <col min="11" max="11" width="12.5703125" customWidth="1"/>
    <col min="12" max="12" width="17.7109375" customWidth="1"/>
    <col min="13" max="16" width="17.7109375" bestFit="1" customWidth="1"/>
  </cols>
  <sheetData>
    <row r="3" spans="1:16" x14ac:dyDescent="0.25">
      <c r="C3" s="45" t="s">
        <v>97</v>
      </c>
    </row>
    <row r="4" spans="1:16" x14ac:dyDescent="0.25">
      <c r="A4" s="37" t="s">
        <v>91</v>
      </c>
      <c r="B4" s="37" t="s">
        <v>87</v>
      </c>
      <c r="C4" s="38" t="s">
        <v>93</v>
      </c>
      <c r="D4" s="38" t="s">
        <v>94</v>
      </c>
      <c r="E4" s="38" t="s">
        <v>95</v>
      </c>
      <c r="F4" s="38" t="s">
        <v>96</v>
      </c>
    </row>
    <row r="5" spans="1:16" x14ac:dyDescent="0.25">
      <c r="A5" t="s">
        <v>92</v>
      </c>
      <c r="B5" t="s">
        <v>88</v>
      </c>
      <c r="C5" s="38">
        <v>2825125.8704243531</v>
      </c>
      <c r="D5" s="38">
        <v>1237857.1262166384</v>
      </c>
      <c r="E5" s="38">
        <v>667375</v>
      </c>
      <c r="F5" s="38">
        <v>527375</v>
      </c>
    </row>
    <row r="6" spans="1:16" x14ac:dyDescent="0.25">
      <c r="B6" t="s">
        <v>85</v>
      </c>
      <c r="C6" s="38">
        <v>780671.55</v>
      </c>
      <c r="D6" s="38">
        <v>2378014.65</v>
      </c>
      <c r="E6" s="38">
        <v>2342014.65</v>
      </c>
      <c r="F6" s="38">
        <v>0</v>
      </c>
    </row>
    <row r="7" spans="1:16" x14ac:dyDescent="0.25">
      <c r="A7" t="s">
        <v>89</v>
      </c>
      <c r="C7" s="38">
        <v>3605797.4204243533</v>
      </c>
      <c r="D7" s="38">
        <v>3615871.7762166383</v>
      </c>
      <c r="E7" s="38">
        <v>3009389.65</v>
      </c>
      <c r="F7" s="38">
        <v>527375</v>
      </c>
    </row>
    <row r="11" spans="1:16" x14ac:dyDescent="0.25">
      <c r="A11" s="37" t="s">
        <v>87</v>
      </c>
      <c r="B11" t="s">
        <v>148</v>
      </c>
    </row>
    <row r="13" spans="1:16" x14ac:dyDescent="0.25">
      <c r="C13"/>
      <c r="D13" s="37" t="s">
        <v>97</v>
      </c>
      <c r="E13" s="37" t="s">
        <v>6</v>
      </c>
      <c r="F13"/>
      <c r="G13"/>
      <c r="H13"/>
    </row>
    <row r="14" spans="1:16" x14ac:dyDescent="0.25">
      <c r="C14"/>
      <c r="D14" t="s">
        <v>93</v>
      </c>
      <c r="E14"/>
      <c r="F14" t="s">
        <v>94</v>
      </c>
      <c r="G14"/>
      <c r="H14" t="s">
        <v>95</v>
      </c>
      <c r="J14" t="s">
        <v>96</v>
      </c>
      <c r="L14" t="s">
        <v>142</v>
      </c>
      <c r="M14" t="s">
        <v>143</v>
      </c>
      <c r="N14" t="s">
        <v>144</v>
      </c>
      <c r="O14" t="s">
        <v>145</v>
      </c>
    </row>
    <row r="15" spans="1:16" x14ac:dyDescent="0.25">
      <c r="A15" s="37" t="s">
        <v>91</v>
      </c>
      <c r="B15" s="37" t="s">
        <v>3</v>
      </c>
      <c r="C15" s="37" t="s">
        <v>90</v>
      </c>
      <c r="D15" t="s">
        <v>33</v>
      </c>
      <c r="E15" t="s">
        <v>39</v>
      </c>
      <c r="F15" t="s">
        <v>33</v>
      </c>
      <c r="G15" t="s">
        <v>39</v>
      </c>
      <c r="H15" t="s">
        <v>33</v>
      </c>
      <c r="I15" t="s">
        <v>39</v>
      </c>
      <c r="J15" t="s">
        <v>33</v>
      </c>
      <c r="K15" t="s">
        <v>39</v>
      </c>
    </row>
    <row r="16" spans="1:16" s="38" customFormat="1" x14ac:dyDescent="0.25">
      <c r="A16" t="s">
        <v>92</v>
      </c>
      <c r="B16" t="s">
        <v>38</v>
      </c>
      <c r="C16" t="s">
        <v>61</v>
      </c>
      <c r="D16" s="71"/>
      <c r="E16" s="71">
        <v>22344.475733333311</v>
      </c>
      <c r="F16" s="71"/>
      <c r="G16" s="71">
        <v>0</v>
      </c>
      <c r="H16" s="71"/>
      <c r="I16" s="71">
        <v>0</v>
      </c>
      <c r="J16" s="71"/>
      <c r="K16" s="71">
        <v>0</v>
      </c>
      <c r="L16" s="71">
        <v>22344.475733333311</v>
      </c>
      <c r="M16" s="71">
        <v>0</v>
      </c>
      <c r="N16" s="71">
        <v>0</v>
      </c>
      <c r="O16" s="71">
        <v>0</v>
      </c>
      <c r="P16"/>
    </row>
    <row r="17" spans="1:16" s="38" customFormat="1" x14ac:dyDescent="0.25">
      <c r="A17"/>
      <c r="B17"/>
      <c r="C17" t="s">
        <v>64</v>
      </c>
      <c r="D17" s="71"/>
      <c r="E17" s="71">
        <v>120000</v>
      </c>
      <c r="F17" s="71"/>
      <c r="G17" s="71">
        <v>60000</v>
      </c>
      <c r="H17" s="71"/>
      <c r="I17" s="71">
        <v>0</v>
      </c>
      <c r="J17" s="71"/>
      <c r="K17" s="71">
        <v>0</v>
      </c>
      <c r="L17" s="71">
        <v>120000</v>
      </c>
      <c r="M17" s="71">
        <v>60000</v>
      </c>
      <c r="N17" s="71">
        <v>0</v>
      </c>
      <c r="O17" s="71">
        <v>0</v>
      </c>
      <c r="P17"/>
    </row>
    <row r="18" spans="1:16" x14ac:dyDescent="0.25">
      <c r="C18" t="s">
        <v>113</v>
      </c>
      <c r="D18" s="71">
        <v>13750</v>
      </c>
      <c r="E18" s="71"/>
      <c r="F18" s="71">
        <v>41250</v>
      </c>
      <c r="G18" s="71"/>
      <c r="H18" s="71">
        <v>0</v>
      </c>
      <c r="I18" s="71"/>
      <c r="J18" s="71">
        <v>0</v>
      </c>
      <c r="K18" s="71"/>
      <c r="L18" s="71">
        <v>13750</v>
      </c>
      <c r="M18" s="71">
        <v>41250</v>
      </c>
      <c r="N18" s="71">
        <v>0</v>
      </c>
      <c r="O18" s="71">
        <v>0</v>
      </c>
    </row>
    <row r="19" spans="1:16" x14ac:dyDescent="0.25">
      <c r="C19" t="s">
        <v>50</v>
      </c>
      <c r="D19" s="71">
        <v>37392</v>
      </c>
      <c r="E19" s="71"/>
      <c r="F19" s="71">
        <v>24928</v>
      </c>
      <c r="G19" s="71"/>
      <c r="H19" s="71">
        <v>0</v>
      </c>
      <c r="I19" s="71"/>
      <c r="J19" s="71">
        <v>0</v>
      </c>
      <c r="K19" s="71"/>
      <c r="L19" s="71">
        <v>37392</v>
      </c>
      <c r="M19" s="71">
        <v>24928</v>
      </c>
      <c r="N19" s="71">
        <v>0</v>
      </c>
      <c r="O19" s="71">
        <v>0</v>
      </c>
    </row>
    <row r="20" spans="1:16" x14ac:dyDescent="0.25">
      <c r="C20" t="s">
        <v>114</v>
      </c>
      <c r="D20" s="71">
        <v>11500</v>
      </c>
      <c r="E20" s="71"/>
      <c r="F20" s="71">
        <v>34500</v>
      </c>
      <c r="G20" s="71"/>
      <c r="H20" s="71">
        <v>0</v>
      </c>
      <c r="I20" s="71"/>
      <c r="J20" s="71">
        <v>0</v>
      </c>
      <c r="K20" s="71"/>
      <c r="L20" s="71">
        <v>11500</v>
      </c>
      <c r="M20" s="71">
        <v>34500</v>
      </c>
      <c r="N20" s="71">
        <v>0</v>
      </c>
      <c r="O20" s="71">
        <v>0</v>
      </c>
    </row>
    <row r="21" spans="1:16" x14ac:dyDescent="0.25">
      <c r="C21" t="s">
        <v>42</v>
      </c>
      <c r="D21" s="71"/>
      <c r="E21" s="71">
        <v>125000</v>
      </c>
      <c r="F21" s="71"/>
      <c r="G21" s="71">
        <v>125000</v>
      </c>
      <c r="H21" s="71"/>
      <c r="I21" s="71">
        <v>125000</v>
      </c>
      <c r="J21" s="71"/>
      <c r="K21" s="71">
        <v>125000</v>
      </c>
      <c r="L21" s="71">
        <v>125000</v>
      </c>
      <c r="M21" s="71">
        <v>125000</v>
      </c>
      <c r="N21" s="71">
        <v>125000</v>
      </c>
      <c r="O21" s="71">
        <v>125000</v>
      </c>
    </row>
    <row r="22" spans="1:16" x14ac:dyDescent="0.25">
      <c r="C22" t="s">
        <v>55</v>
      </c>
      <c r="D22" s="71">
        <v>44705.204691020277</v>
      </c>
      <c r="E22" s="71"/>
      <c r="F22" s="71">
        <v>141334.12621663822</v>
      </c>
      <c r="G22" s="71"/>
      <c r="H22" s="71">
        <v>0</v>
      </c>
      <c r="I22" s="71"/>
      <c r="J22" s="71">
        <v>0</v>
      </c>
      <c r="K22" s="71"/>
      <c r="L22" s="71">
        <v>44705.204691020277</v>
      </c>
      <c r="M22" s="71">
        <v>141334.12621663822</v>
      </c>
      <c r="N22" s="71">
        <v>0</v>
      </c>
      <c r="O22" s="71">
        <v>0</v>
      </c>
    </row>
    <row r="23" spans="1:16" x14ac:dyDescent="0.25">
      <c r="C23" t="s">
        <v>78</v>
      </c>
      <c r="D23" s="71"/>
      <c r="E23" s="71">
        <v>0</v>
      </c>
      <c r="F23" s="71"/>
      <c r="G23" s="71">
        <v>0</v>
      </c>
      <c r="H23" s="71"/>
      <c r="I23" s="71">
        <v>0</v>
      </c>
      <c r="J23" s="71"/>
      <c r="K23" s="71">
        <v>0</v>
      </c>
      <c r="L23" s="71">
        <v>0</v>
      </c>
      <c r="M23" s="71">
        <v>0</v>
      </c>
      <c r="N23" s="71">
        <v>0</v>
      </c>
      <c r="O23" s="71">
        <v>0</v>
      </c>
    </row>
    <row r="24" spans="1:16" x14ac:dyDescent="0.25">
      <c r="C24" t="s">
        <v>83</v>
      </c>
      <c r="D24" s="71">
        <v>0</v>
      </c>
      <c r="E24" s="71"/>
      <c r="F24" s="71">
        <v>36000</v>
      </c>
      <c r="G24" s="71"/>
      <c r="H24" s="71">
        <v>0</v>
      </c>
      <c r="I24" s="71"/>
      <c r="J24" s="71">
        <v>0</v>
      </c>
      <c r="K24" s="71"/>
      <c r="L24" s="71">
        <v>0</v>
      </c>
      <c r="M24" s="71">
        <v>36000</v>
      </c>
      <c r="N24" s="71">
        <v>0</v>
      </c>
      <c r="O24" s="71">
        <v>0</v>
      </c>
    </row>
    <row r="25" spans="1:16" x14ac:dyDescent="0.25">
      <c r="C25" t="s">
        <v>102</v>
      </c>
      <c r="D25" s="71">
        <v>8000</v>
      </c>
      <c r="E25" s="71"/>
      <c r="F25" s="71">
        <v>16000</v>
      </c>
      <c r="G25" s="71"/>
      <c r="H25" s="71">
        <v>0</v>
      </c>
      <c r="I25" s="71"/>
      <c r="J25" s="71">
        <v>0</v>
      </c>
      <c r="K25" s="71"/>
      <c r="L25" s="71">
        <v>8000</v>
      </c>
      <c r="M25" s="71">
        <v>16000</v>
      </c>
      <c r="N25" s="71">
        <v>0</v>
      </c>
      <c r="O25" s="71">
        <v>0</v>
      </c>
    </row>
    <row r="26" spans="1:16" x14ac:dyDescent="0.25">
      <c r="C26" t="s">
        <v>72</v>
      </c>
      <c r="D26" s="71">
        <v>41196.800000000003</v>
      </c>
      <c r="E26" s="71"/>
      <c r="F26" s="71">
        <v>0</v>
      </c>
      <c r="G26" s="71"/>
      <c r="H26" s="71">
        <v>0</v>
      </c>
      <c r="I26" s="71"/>
      <c r="J26" s="71">
        <v>0</v>
      </c>
      <c r="K26" s="71"/>
      <c r="L26" s="71">
        <v>41196.800000000003</v>
      </c>
      <c r="M26" s="71">
        <v>0</v>
      </c>
      <c r="N26" s="71">
        <v>0</v>
      </c>
      <c r="O26" s="71">
        <v>0</v>
      </c>
    </row>
    <row r="27" spans="1:16" x14ac:dyDescent="0.25">
      <c r="C27" t="s">
        <v>36</v>
      </c>
      <c r="D27" s="71"/>
      <c r="E27" s="71">
        <v>402375</v>
      </c>
      <c r="F27" s="71"/>
      <c r="G27" s="71">
        <v>402375</v>
      </c>
      <c r="H27" s="71"/>
      <c r="I27" s="71">
        <v>402375</v>
      </c>
      <c r="J27" s="71"/>
      <c r="K27" s="71">
        <v>402375</v>
      </c>
      <c r="L27" s="71">
        <v>402375</v>
      </c>
      <c r="M27" s="71">
        <v>402375</v>
      </c>
      <c r="N27" s="71">
        <v>402375</v>
      </c>
      <c r="O27" s="71">
        <v>402375</v>
      </c>
    </row>
    <row r="28" spans="1:16" x14ac:dyDescent="0.25">
      <c r="B28" s="72" t="s">
        <v>146</v>
      </c>
      <c r="C28" s="72"/>
      <c r="D28" s="73">
        <v>156544.00469102029</v>
      </c>
      <c r="E28" s="73">
        <v>669719.47573333327</v>
      </c>
      <c r="F28" s="73">
        <v>294012.12621663825</v>
      </c>
      <c r="G28" s="73">
        <v>587375</v>
      </c>
      <c r="H28" s="73">
        <v>0</v>
      </c>
      <c r="I28" s="73">
        <v>527375</v>
      </c>
      <c r="J28" s="73">
        <v>0</v>
      </c>
      <c r="K28" s="73">
        <v>527375</v>
      </c>
      <c r="L28" s="73">
        <v>826263.48042435362</v>
      </c>
      <c r="M28" s="73">
        <v>881387.12621663825</v>
      </c>
      <c r="N28" s="73">
        <v>527375</v>
      </c>
      <c r="O28" s="73">
        <v>527375</v>
      </c>
    </row>
    <row r="29" spans="1:16" x14ac:dyDescent="0.25">
      <c r="B29" t="s">
        <v>32</v>
      </c>
      <c r="C29" t="s">
        <v>80</v>
      </c>
      <c r="D29" s="71">
        <v>30671.55</v>
      </c>
      <c r="E29" s="71"/>
      <c r="F29" s="71">
        <v>92014.65</v>
      </c>
      <c r="G29" s="71"/>
      <c r="H29" s="71">
        <v>92014.65</v>
      </c>
      <c r="I29" s="71"/>
      <c r="J29" s="71">
        <v>0</v>
      </c>
      <c r="K29" s="71"/>
      <c r="L29" s="71">
        <v>30671.55</v>
      </c>
      <c r="M29" s="71">
        <v>92014.65</v>
      </c>
      <c r="N29" s="71">
        <v>92014.65</v>
      </c>
      <c r="O29" s="71">
        <v>0</v>
      </c>
    </row>
    <row r="30" spans="1:16" x14ac:dyDescent="0.25">
      <c r="C30" t="s">
        <v>44</v>
      </c>
      <c r="D30" s="71">
        <v>49525.83</v>
      </c>
      <c r="E30" s="71"/>
      <c r="F30" s="71">
        <v>0</v>
      </c>
      <c r="G30" s="71"/>
      <c r="H30" s="71">
        <v>0</v>
      </c>
      <c r="I30" s="71"/>
      <c r="J30" s="71">
        <v>0</v>
      </c>
      <c r="K30" s="71"/>
      <c r="L30" s="71">
        <v>49525.83</v>
      </c>
      <c r="M30" s="71">
        <v>0</v>
      </c>
      <c r="N30" s="71">
        <v>0</v>
      </c>
      <c r="O30" s="71">
        <v>0</v>
      </c>
    </row>
    <row r="31" spans="1:16" x14ac:dyDescent="0.25">
      <c r="C31" t="s">
        <v>67</v>
      </c>
      <c r="D31" s="71">
        <v>90000</v>
      </c>
      <c r="E31" s="71"/>
      <c r="F31" s="71">
        <v>165000</v>
      </c>
      <c r="G31" s="71"/>
      <c r="H31" s="71">
        <v>0</v>
      </c>
      <c r="I31" s="71"/>
      <c r="J31" s="71">
        <v>0</v>
      </c>
      <c r="K31" s="71"/>
      <c r="L31" s="71">
        <v>90000</v>
      </c>
      <c r="M31" s="71">
        <v>165000</v>
      </c>
      <c r="N31" s="71">
        <v>0</v>
      </c>
      <c r="O31" s="71">
        <v>0</v>
      </c>
    </row>
    <row r="32" spans="1:16" x14ac:dyDescent="0.25">
      <c r="C32" t="s">
        <v>53</v>
      </c>
      <c r="D32" s="71">
        <v>246797.78</v>
      </c>
      <c r="E32" s="71"/>
      <c r="F32" s="71">
        <v>195000</v>
      </c>
      <c r="G32" s="71"/>
      <c r="H32" s="71">
        <v>140000</v>
      </c>
      <c r="I32" s="71"/>
      <c r="J32" s="71">
        <v>0</v>
      </c>
      <c r="K32" s="71"/>
      <c r="L32" s="71">
        <v>246797.78</v>
      </c>
      <c r="M32" s="71">
        <v>195000</v>
      </c>
      <c r="N32" s="71">
        <v>140000</v>
      </c>
      <c r="O32" s="71">
        <v>0</v>
      </c>
    </row>
    <row r="33" spans="1:15" x14ac:dyDescent="0.25">
      <c r="C33" t="s">
        <v>81</v>
      </c>
      <c r="D33" s="71"/>
      <c r="E33" s="71">
        <v>0</v>
      </c>
      <c r="F33" s="71"/>
      <c r="G33" s="71">
        <v>0</v>
      </c>
      <c r="H33" s="71"/>
      <c r="I33" s="71">
        <v>0</v>
      </c>
      <c r="J33" s="71"/>
      <c r="K33" s="71">
        <v>0</v>
      </c>
      <c r="L33" s="71">
        <v>0</v>
      </c>
      <c r="M33" s="71">
        <v>0</v>
      </c>
      <c r="N33" s="71">
        <v>0</v>
      </c>
      <c r="O33" s="71">
        <v>0</v>
      </c>
    </row>
    <row r="34" spans="1:15" x14ac:dyDescent="0.25">
      <c r="C34" t="s">
        <v>69</v>
      </c>
      <c r="D34" s="71">
        <v>33425.25</v>
      </c>
      <c r="E34" s="71"/>
      <c r="F34" s="71">
        <v>0</v>
      </c>
      <c r="G34" s="71"/>
      <c r="H34" s="71">
        <v>0</v>
      </c>
      <c r="I34" s="71"/>
      <c r="J34" s="71">
        <v>0</v>
      </c>
      <c r="K34" s="71"/>
      <c r="L34" s="71">
        <v>33425.25</v>
      </c>
      <c r="M34" s="71">
        <v>0</v>
      </c>
      <c r="N34" s="71">
        <v>0</v>
      </c>
      <c r="O34" s="71">
        <v>0</v>
      </c>
    </row>
    <row r="35" spans="1:15" x14ac:dyDescent="0.25">
      <c r="C35" t="s">
        <v>58</v>
      </c>
      <c r="D35" s="71">
        <v>14500</v>
      </c>
      <c r="E35" s="71"/>
      <c r="F35" s="71">
        <v>0</v>
      </c>
      <c r="G35" s="71"/>
      <c r="H35" s="71">
        <v>0</v>
      </c>
      <c r="I35" s="71"/>
      <c r="J35" s="71">
        <v>0</v>
      </c>
      <c r="K35" s="71"/>
      <c r="L35" s="71">
        <v>14500</v>
      </c>
      <c r="M35" s="71">
        <v>0</v>
      </c>
      <c r="N35" s="71">
        <v>0</v>
      </c>
      <c r="O35" s="71">
        <v>0</v>
      </c>
    </row>
    <row r="36" spans="1:15" x14ac:dyDescent="0.25">
      <c r="C36" t="s">
        <v>30</v>
      </c>
      <c r="D36" s="71">
        <v>2271743.5300000003</v>
      </c>
      <c r="E36" s="71"/>
      <c r="F36" s="71">
        <v>2250000</v>
      </c>
      <c r="G36" s="71"/>
      <c r="H36" s="71">
        <v>2250000</v>
      </c>
      <c r="I36" s="71"/>
      <c r="J36" s="71">
        <v>0</v>
      </c>
      <c r="K36" s="71"/>
      <c r="L36" s="71">
        <v>2271743.5300000003</v>
      </c>
      <c r="M36" s="71">
        <v>2250000</v>
      </c>
      <c r="N36" s="71">
        <v>2250000</v>
      </c>
      <c r="O36" s="71">
        <v>0</v>
      </c>
    </row>
    <row r="37" spans="1:15" x14ac:dyDescent="0.25">
      <c r="C37" t="s">
        <v>82</v>
      </c>
      <c r="D37" s="71">
        <v>8470</v>
      </c>
      <c r="E37" s="71"/>
      <c r="F37" s="71">
        <v>8470</v>
      </c>
      <c r="G37" s="71"/>
      <c r="H37" s="71">
        <v>0</v>
      </c>
      <c r="I37" s="71"/>
      <c r="J37" s="71">
        <v>0</v>
      </c>
      <c r="K37" s="71"/>
      <c r="L37" s="71">
        <v>8470</v>
      </c>
      <c r="M37" s="71">
        <v>8470</v>
      </c>
      <c r="N37" s="71">
        <v>0</v>
      </c>
      <c r="O37" s="71">
        <v>0</v>
      </c>
    </row>
    <row r="38" spans="1:15" x14ac:dyDescent="0.25">
      <c r="C38" t="s">
        <v>115</v>
      </c>
      <c r="D38" s="71">
        <v>8000</v>
      </c>
      <c r="E38" s="71"/>
      <c r="F38" s="71">
        <v>24000</v>
      </c>
      <c r="G38" s="71"/>
      <c r="H38" s="71">
        <v>0</v>
      </c>
      <c r="I38" s="71"/>
      <c r="J38" s="71">
        <v>0</v>
      </c>
      <c r="K38" s="71"/>
      <c r="L38" s="71">
        <v>8000</v>
      </c>
      <c r="M38" s="71">
        <v>24000</v>
      </c>
      <c r="N38" s="71">
        <v>0</v>
      </c>
      <c r="O38" s="71">
        <v>0</v>
      </c>
    </row>
    <row r="39" spans="1:15" x14ac:dyDescent="0.25">
      <c r="C39" t="s">
        <v>46</v>
      </c>
      <c r="D39" s="71">
        <v>26400</v>
      </c>
      <c r="E39" s="71"/>
      <c r="F39" s="71">
        <v>0</v>
      </c>
      <c r="G39" s="71"/>
      <c r="H39" s="71">
        <v>0</v>
      </c>
      <c r="I39" s="71"/>
      <c r="J39" s="71">
        <v>0</v>
      </c>
      <c r="K39" s="71"/>
      <c r="L39" s="71">
        <v>26400</v>
      </c>
      <c r="M39" s="71">
        <v>0</v>
      </c>
      <c r="N39" s="71">
        <v>0</v>
      </c>
      <c r="O39" s="71">
        <v>0</v>
      </c>
    </row>
    <row r="40" spans="1:15" x14ac:dyDescent="0.25">
      <c r="B40" s="72" t="s">
        <v>147</v>
      </c>
      <c r="C40" s="72"/>
      <c r="D40" s="73">
        <v>2779533.9400000004</v>
      </c>
      <c r="E40" s="73">
        <v>0</v>
      </c>
      <c r="F40" s="73">
        <v>2734484.65</v>
      </c>
      <c r="G40" s="73">
        <v>0</v>
      </c>
      <c r="H40" s="73">
        <v>2482014.65</v>
      </c>
      <c r="I40" s="73">
        <v>0</v>
      </c>
      <c r="J40" s="73">
        <v>0</v>
      </c>
      <c r="K40" s="73">
        <v>0</v>
      </c>
      <c r="L40" s="73">
        <v>2779533.9400000004</v>
      </c>
      <c r="M40" s="73">
        <v>2734484.65</v>
      </c>
      <c r="N40" s="73">
        <v>2482014.65</v>
      </c>
      <c r="O40" s="73">
        <v>0</v>
      </c>
    </row>
    <row r="41" spans="1:15" x14ac:dyDescent="0.25">
      <c r="A41" t="s">
        <v>89</v>
      </c>
      <c r="C41"/>
      <c r="D41" s="71">
        <v>2936077.9446910205</v>
      </c>
      <c r="E41" s="71">
        <v>669719.47573333327</v>
      </c>
      <c r="F41" s="71">
        <v>3028496.7762166383</v>
      </c>
      <c r="G41" s="71">
        <v>587375</v>
      </c>
      <c r="H41" s="71">
        <v>2482014.65</v>
      </c>
      <c r="I41" s="71">
        <v>527375</v>
      </c>
      <c r="J41" s="71">
        <v>0</v>
      </c>
      <c r="K41" s="71">
        <v>527375</v>
      </c>
      <c r="L41" s="71">
        <v>3605797.4204243538</v>
      </c>
      <c r="M41" s="71">
        <v>3615871.7762166383</v>
      </c>
      <c r="N41" s="71">
        <v>3009389.65</v>
      </c>
      <c r="O41" s="71">
        <v>527375</v>
      </c>
    </row>
    <row r="42" spans="1:15" x14ac:dyDescent="0.25">
      <c r="C42"/>
      <c r="D42"/>
      <c r="E42"/>
      <c r="F42"/>
      <c r="G42"/>
      <c r="H42"/>
    </row>
    <row r="43" spans="1:15" x14ac:dyDescent="0.25">
      <c r="C43"/>
      <c r="D43"/>
      <c r="E43"/>
      <c r="F43"/>
      <c r="G43"/>
      <c r="H43"/>
    </row>
    <row r="44" spans="1:15" x14ac:dyDescent="0.25">
      <c r="C44"/>
      <c r="D44"/>
      <c r="E44"/>
      <c r="F44"/>
      <c r="G44"/>
      <c r="H44"/>
    </row>
    <row r="45" spans="1:15" x14ac:dyDescent="0.25">
      <c r="C45"/>
      <c r="D45"/>
      <c r="E45"/>
      <c r="F45"/>
      <c r="G45"/>
      <c r="H45"/>
    </row>
    <row r="46" spans="1:15" x14ac:dyDescent="0.25">
      <c r="C46"/>
      <c r="D46"/>
      <c r="E46"/>
      <c r="F46"/>
      <c r="G46"/>
      <c r="H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workbookViewId="0">
      <pane xSplit="3" ySplit="1" topLeftCell="AA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8.85546875" bestFit="1" customWidth="1"/>
    <col min="2" max="2" width="8.85546875" customWidth="1"/>
    <col min="3" max="3" width="40.7109375" customWidth="1"/>
    <col min="4" max="4" width="14" bestFit="1" customWidth="1"/>
    <col min="5" max="5" width="7.28515625" bestFit="1" customWidth="1"/>
    <col min="6" max="6" width="13.140625" bestFit="1" customWidth="1"/>
    <col min="7" max="7" width="11.85546875" bestFit="1" customWidth="1"/>
    <col min="8" max="8" width="12.28515625" style="36" bestFit="1" customWidth="1"/>
    <col min="9" max="9" width="8.85546875" style="36" bestFit="1" customWidth="1"/>
    <col min="10" max="10" width="5.85546875" style="36" bestFit="1" customWidth="1"/>
    <col min="11" max="11" width="11" style="38" bestFit="1" customWidth="1"/>
    <col min="12" max="12" width="11.42578125" style="38" bestFit="1" customWidth="1"/>
    <col min="13" max="13" width="11" style="38" bestFit="1" customWidth="1"/>
    <col min="14" max="14" width="12.42578125" bestFit="1" customWidth="1"/>
    <col min="15" max="15" width="12.42578125" customWidth="1"/>
    <col min="16" max="18" width="11" bestFit="1" customWidth="1"/>
    <col min="19" max="19" width="12.42578125" bestFit="1" customWidth="1"/>
    <col min="20" max="20" width="12.42578125" customWidth="1"/>
    <col min="21" max="23" width="11" bestFit="1" customWidth="1"/>
    <col min="24" max="24" width="12.42578125" bestFit="1" customWidth="1"/>
    <col min="25" max="25" width="12.42578125" customWidth="1"/>
    <col min="26" max="29" width="11" bestFit="1" customWidth="1"/>
    <col min="30" max="30" width="11" customWidth="1"/>
    <col min="31" max="31" width="75.42578125" bestFit="1" customWidth="1"/>
    <col min="32" max="32" width="40.140625" customWidth="1"/>
    <col min="34" max="34" width="16" bestFit="1" customWidth="1"/>
    <col min="35" max="35" width="11.5703125" bestFit="1" customWidth="1"/>
  </cols>
  <sheetData>
    <row r="1" spans="1:35" s="3" customFormat="1" x14ac:dyDescent="0.25">
      <c r="A1" s="1" t="s">
        <v>91</v>
      </c>
      <c r="B1" s="1" t="s">
        <v>149</v>
      </c>
      <c r="C1" s="1" t="s">
        <v>90</v>
      </c>
      <c r="D1" s="1" t="s">
        <v>87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40" t="s">
        <v>7</v>
      </c>
      <c r="L1" s="40" t="s">
        <v>8</v>
      </c>
      <c r="M1" s="40" t="s">
        <v>9</v>
      </c>
      <c r="N1" s="1" t="s">
        <v>10</v>
      </c>
      <c r="O1" s="1" t="s">
        <v>101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100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99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98</v>
      </c>
      <c r="AE1" s="1" t="s">
        <v>23</v>
      </c>
      <c r="AF1" s="2"/>
      <c r="AH1" s="51" t="s">
        <v>24</v>
      </c>
      <c r="AI1" s="52"/>
    </row>
    <row r="2" spans="1:35" s="3" customFormat="1" x14ac:dyDescent="0.25">
      <c r="A2" s="12" t="s">
        <v>92</v>
      </c>
      <c r="B2" s="12" t="s">
        <v>150</v>
      </c>
      <c r="C2" s="12" t="s">
        <v>30</v>
      </c>
      <c r="D2" s="12" t="s">
        <v>88</v>
      </c>
      <c r="E2" s="12" t="s">
        <v>31</v>
      </c>
      <c r="F2" s="12">
        <v>6200203927</v>
      </c>
      <c r="G2" s="12" t="s">
        <v>32</v>
      </c>
      <c r="H2" s="13">
        <v>42886</v>
      </c>
      <c r="I2" s="14">
        <v>0.4</v>
      </c>
      <c r="J2" s="13" t="s">
        <v>33</v>
      </c>
      <c r="K2" s="15">
        <v>771743.53</v>
      </c>
      <c r="L2" s="15">
        <v>750000</v>
      </c>
      <c r="M2" s="15">
        <v>0</v>
      </c>
      <c r="N2" s="17">
        <f t="shared" ref="N2:N9" si="0">SUM(K2:M2)</f>
        <v>1521743.53</v>
      </c>
      <c r="O2" s="17">
        <f>N2*I2</f>
        <v>608697.41200000001</v>
      </c>
      <c r="P2" s="15">
        <v>0</v>
      </c>
      <c r="Q2" s="15">
        <v>0</v>
      </c>
      <c r="R2" s="15">
        <v>0</v>
      </c>
      <c r="S2" s="17">
        <f t="shared" ref="S2:S7" si="1">SUM(P2:R2)</f>
        <v>0</v>
      </c>
      <c r="T2" s="17">
        <f>S2*I2</f>
        <v>0</v>
      </c>
      <c r="U2" s="15"/>
      <c r="V2" s="16"/>
      <c r="W2" s="15"/>
      <c r="X2" s="17">
        <f t="shared" ref="X2:X7" si="2">SUM(U2:W2)</f>
        <v>0</v>
      </c>
      <c r="Y2" s="17">
        <f>X2*I2</f>
        <v>0</v>
      </c>
      <c r="Z2" s="15"/>
      <c r="AA2" s="16"/>
      <c r="AB2" s="15"/>
      <c r="AC2" s="17">
        <f t="shared" ref="AC2:AC7" si="3">SUM(Z2:AB2)</f>
        <v>0</v>
      </c>
      <c r="AD2" s="17">
        <f>AC2*I2</f>
        <v>0</v>
      </c>
      <c r="AE2" s="18" t="s">
        <v>34</v>
      </c>
      <c r="AF2" s="2"/>
      <c r="AH2" s="19" t="s">
        <v>35</v>
      </c>
      <c r="AI2" s="20">
        <v>228945</v>
      </c>
    </row>
    <row r="3" spans="1:35" s="3" customFormat="1" x14ac:dyDescent="0.25">
      <c r="A3" s="12" t="s">
        <v>92</v>
      </c>
      <c r="B3" s="12" t="s">
        <v>150</v>
      </c>
      <c r="C3" s="12" t="s">
        <v>36</v>
      </c>
      <c r="D3" s="12" t="s">
        <v>88</v>
      </c>
      <c r="E3" s="12" t="s">
        <v>37</v>
      </c>
      <c r="F3" s="12">
        <v>6200173452</v>
      </c>
      <c r="G3" s="12" t="s">
        <v>38</v>
      </c>
      <c r="H3" s="13">
        <v>43465</v>
      </c>
      <c r="I3" s="14">
        <v>0</v>
      </c>
      <c r="J3" s="13" t="s">
        <v>39</v>
      </c>
      <c r="K3" s="15">
        <v>134125</v>
      </c>
      <c r="L3" s="15">
        <v>134125</v>
      </c>
      <c r="M3" s="15">
        <v>134125</v>
      </c>
      <c r="N3" s="17">
        <f t="shared" si="0"/>
        <v>402375</v>
      </c>
      <c r="O3" s="17">
        <f t="shared" ref="O3:O25" si="4">N3*I3</f>
        <v>0</v>
      </c>
      <c r="P3" s="15">
        <v>134125</v>
      </c>
      <c r="Q3" s="15">
        <v>134125</v>
      </c>
      <c r="R3" s="15">
        <v>134125</v>
      </c>
      <c r="S3" s="17">
        <f t="shared" si="1"/>
        <v>402375</v>
      </c>
      <c r="T3" s="17">
        <f t="shared" ref="T3:T25" si="5">S3*I3</f>
        <v>0</v>
      </c>
      <c r="U3" s="15">
        <v>134125</v>
      </c>
      <c r="V3" s="15">
        <v>134125</v>
      </c>
      <c r="W3" s="15">
        <v>134125</v>
      </c>
      <c r="X3" s="17">
        <f t="shared" si="2"/>
        <v>402375</v>
      </c>
      <c r="Y3" s="17">
        <f t="shared" ref="Y3:Y25" si="6">X3*I3</f>
        <v>0</v>
      </c>
      <c r="Z3" s="15">
        <v>134125</v>
      </c>
      <c r="AA3" s="15">
        <v>134125</v>
      </c>
      <c r="AB3" s="15">
        <v>134125</v>
      </c>
      <c r="AC3" s="17">
        <f t="shared" si="3"/>
        <v>402375</v>
      </c>
      <c r="AD3" s="17">
        <f t="shared" ref="AD3:AD25" si="7">AC3*I3</f>
        <v>0</v>
      </c>
      <c r="AE3" s="18" t="s">
        <v>40</v>
      </c>
      <c r="AF3" s="2"/>
      <c r="AH3" s="19" t="s">
        <v>41</v>
      </c>
      <c r="AI3" s="20">
        <v>178180</v>
      </c>
    </row>
    <row r="4" spans="1:35" s="3" customFormat="1" x14ac:dyDescent="0.25">
      <c r="A4" s="12" t="s">
        <v>92</v>
      </c>
      <c r="B4" s="12" t="s">
        <v>150</v>
      </c>
      <c r="C4" s="12" t="s">
        <v>42</v>
      </c>
      <c r="D4" s="12" t="s">
        <v>88</v>
      </c>
      <c r="E4" s="12" t="s">
        <v>37</v>
      </c>
      <c r="F4" s="12">
        <v>6200173452</v>
      </c>
      <c r="G4" s="12" t="s">
        <v>38</v>
      </c>
      <c r="H4" s="13">
        <v>43465</v>
      </c>
      <c r="I4" s="14">
        <v>0</v>
      </c>
      <c r="J4" s="13" t="s">
        <v>39</v>
      </c>
      <c r="K4" s="15">
        <v>41666.666666666664</v>
      </c>
      <c r="L4" s="15">
        <v>41666.666666666664</v>
      </c>
      <c r="M4" s="15">
        <v>41666.666666666664</v>
      </c>
      <c r="N4" s="17">
        <f t="shared" si="0"/>
        <v>125000</v>
      </c>
      <c r="O4" s="17">
        <f t="shared" si="4"/>
        <v>0</v>
      </c>
      <c r="P4" s="15">
        <v>41666.666666666664</v>
      </c>
      <c r="Q4" s="15">
        <v>41666.666666666664</v>
      </c>
      <c r="R4" s="15">
        <v>41666.666666666664</v>
      </c>
      <c r="S4" s="17">
        <f t="shared" si="1"/>
        <v>125000</v>
      </c>
      <c r="T4" s="17">
        <f t="shared" si="5"/>
        <v>0</v>
      </c>
      <c r="U4" s="15">
        <v>41666.666666666664</v>
      </c>
      <c r="V4" s="15">
        <v>41666.666666666664</v>
      </c>
      <c r="W4" s="15">
        <v>41666.666666666664</v>
      </c>
      <c r="X4" s="17">
        <f t="shared" si="2"/>
        <v>125000</v>
      </c>
      <c r="Y4" s="17">
        <f t="shared" si="6"/>
        <v>0</v>
      </c>
      <c r="Z4" s="15">
        <v>41666.666666666664</v>
      </c>
      <c r="AA4" s="15">
        <v>41666.666666666664</v>
      </c>
      <c r="AB4" s="15">
        <v>41666.666666666664</v>
      </c>
      <c r="AC4" s="17">
        <f t="shared" si="3"/>
        <v>125000</v>
      </c>
      <c r="AD4" s="17">
        <f t="shared" si="7"/>
        <v>0</v>
      </c>
      <c r="AE4" s="18" t="s">
        <v>40</v>
      </c>
      <c r="AF4" s="2"/>
      <c r="AH4" s="19" t="s">
        <v>43</v>
      </c>
      <c r="AI4" s="20">
        <v>187089</v>
      </c>
    </row>
    <row r="5" spans="1:35" s="3" customFormat="1" x14ac:dyDescent="0.25">
      <c r="A5" s="12" t="s">
        <v>92</v>
      </c>
      <c r="B5" s="12" t="s">
        <v>150</v>
      </c>
      <c r="C5" s="12" t="s">
        <v>44</v>
      </c>
      <c r="D5" s="12" t="s">
        <v>88</v>
      </c>
      <c r="E5" s="12" t="s">
        <v>45</v>
      </c>
      <c r="F5" s="12">
        <v>6200209340</v>
      </c>
      <c r="G5" s="12" t="s">
        <v>32</v>
      </c>
      <c r="H5" s="13">
        <v>42855</v>
      </c>
      <c r="I5" s="14">
        <v>0</v>
      </c>
      <c r="J5" s="13" t="s">
        <v>33</v>
      </c>
      <c r="K5" s="15">
        <f>-18659.2+34185.03</f>
        <v>15525.829999999998</v>
      </c>
      <c r="L5" s="15">
        <f>34000</f>
        <v>34000</v>
      </c>
      <c r="M5" s="15">
        <v>0</v>
      </c>
      <c r="N5" s="17">
        <f t="shared" si="0"/>
        <v>49525.83</v>
      </c>
      <c r="O5" s="17">
        <f t="shared" si="4"/>
        <v>0</v>
      </c>
      <c r="P5" s="15">
        <v>0</v>
      </c>
      <c r="Q5" s="15">
        <v>0</v>
      </c>
      <c r="R5" s="15">
        <v>0</v>
      </c>
      <c r="S5" s="17">
        <f t="shared" si="1"/>
        <v>0</v>
      </c>
      <c r="T5" s="17">
        <f t="shared" si="5"/>
        <v>0</v>
      </c>
      <c r="U5" s="15"/>
      <c r="V5" s="15"/>
      <c r="W5" s="15"/>
      <c r="X5" s="17">
        <f t="shared" si="2"/>
        <v>0</v>
      </c>
      <c r="Y5" s="17">
        <f t="shared" si="6"/>
        <v>0</v>
      </c>
      <c r="Z5" s="15"/>
      <c r="AA5" s="15"/>
      <c r="AB5" s="15"/>
      <c r="AC5" s="17">
        <f t="shared" si="3"/>
        <v>0</v>
      </c>
      <c r="AD5" s="17">
        <f t="shared" si="7"/>
        <v>0</v>
      </c>
      <c r="AE5" s="18" t="s">
        <v>34</v>
      </c>
      <c r="AF5" s="2"/>
      <c r="AH5" s="19"/>
      <c r="AI5" s="20"/>
    </row>
    <row r="6" spans="1:35" s="3" customFormat="1" x14ac:dyDescent="0.25">
      <c r="A6" s="12" t="s">
        <v>92</v>
      </c>
      <c r="B6" s="12" t="s">
        <v>150</v>
      </c>
      <c r="C6" s="12" t="s">
        <v>46</v>
      </c>
      <c r="D6" s="12" t="s">
        <v>88</v>
      </c>
      <c r="E6" s="12" t="s">
        <v>47</v>
      </c>
      <c r="F6" s="12">
        <v>6200190645</v>
      </c>
      <c r="G6" s="12" t="s">
        <v>32</v>
      </c>
      <c r="H6" s="13">
        <v>42869</v>
      </c>
      <c r="I6" s="14">
        <v>1</v>
      </c>
      <c r="J6" s="13" t="s">
        <v>33</v>
      </c>
      <c r="K6" s="15">
        <f>8800+8800</f>
        <v>17600</v>
      </c>
      <c r="L6" s="15">
        <f>-8800+(110*8*20)</f>
        <v>8800</v>
      </c>
      <c r="M6" s="15">
        <v>0</v>
      </c>
      <c r="N6" s="17">
        <f t="shared" si="0"/>
        <v>26400</v>
      </c>
      <c r="O6" s="17">
        <f t="shared" si="4"/>
        <v>26400</v>
      </c>
      <c r="P6" s="15">
        <v>0</v>
      </c>
      <c r="Q6" s="15">
        <v>0</v>
      </c>
      <c r="R6" s="15">
        <v>0</v>
      </c>
      <c r="S6" s="17">
        <f t="shared" si="1"/>
        <v>0</v>
      </c>
      <c r="T6" s="17">
        <f t="shared" si="5"/>
        <v>0</v>
      </c>
      <c r="U6" s="15"/>
      <c r="V6" s="15"/>
      <c r="W6" s="15"/>
      <c r="X6" s="17">
        <f t="shared" si="2"/>
        <v>0</v>
      </c>
      <c r="Y6" s="17">
        <f t="shared" si="6"/>
        <v>0</v>
      </c>
      <c r="Z6" s="15"/>
      <c r="AA6" s="15"/>
      <c r="AB6" s="15"/>
      <c r="AC6" s="17">
        <f t="shared" si="3"/>
        <v>0</v>
      </c>
      <c r="AD6" s="17">
        <f t="shared" si="7"/>
        <v>0</v>
      </c>
      <c r="AE6" s="18" t="s">
        <v>48</v>
      </c>
      <c r="AF6" s="2"/>
      <c r="AH6" s="19" t="s">
        <v>49</v>
      </c>
      <c r="AI6" s="20">
        <f>SUM(AI2:AI5)</f>
        <v>594214</v>
      </c>
    </row>
    <row r="7" spans="1:35" s="3" customFormat="1" x14ac:dyDescent="0.25">
      <c r="A7" s="12" t="s">
        <v>92</v>
      </c>
      <c r="B7" s="12" t="s">
        <v>150</v>
      </c>
      <c r="C7" s="12" t="s">
        <v>50</v>
      </c>
      <c r="D7" s="12" t="s">
        <v>88</v>
      </c>
      <c r="E7" s="12" t="s">
        <v>45</v>
      </c>
      <c r="F7" s="12">
        <v>6200207479</v>
      </c>
      <c r="G7" s="12" t="s">
        <v>38</v>
      </c>
      <c r="H7" s="13">
        <v>42978</v>
      </c>
      <c r="I7" s="14">
        <v>1</v>
      </c>
      <c r="J7" s="13" t="s">
        <v>33</v>
      </c>
      <c r="K7" s="15">
        <v>12464</v>
      </c>
      <c r="L7" s="15">
        <v>12464</v>
      </c>
      <c r="M7" s="15">
        <v>12464</v>
      </c>
      <c r="N7" s="17">
        <f t="shared" si="0"/>
        <v>37392</v>
      </c>
      <c r="O7" s="17">
        <f t="shared" si="4"/>
        <v>37392</v>
      </c>
      <c r="P7" s="15">
        <v>12464</v>
      </c>
      <c r="Q7" s="15">
        <v>12464</v>
      </c>
      <c r="R7" s="15"/>
      <c r="S7" s="17">
        <f t="shared" si="1"/>
        <v>24928</v>
      </c>
      <c r="T7" s="17">
        <f t="shared" si="5"/>
        <v>24928</v>
      </c>
      <c r="U7" s="15"/>
      <c r="V7" s="15"/>
      <c r="W7" s="15"/>
      <c r="X7" s="17">
        <f t="shared" si="2"/>
        <v>0</v>
      </c>
      <c r="Y7" s="17">
        <f t="shared" si="6"/>
        <v>0</v>
      </c>
      <c r="Z7" s="15"/>
      <c r="AA7" s="15"/>
      <c r="AB7" s="15"/>
      <c r="AC7" s="17">
        <f t="shared" si="3"/>
        <v>0</v>
      </c>
      <c r="AD7" s="17">
        <f t="shared" si="7"/>
        <v>0</v>
      </c>
      <c r="AE7" s="18" t="s">
        <v>51</v>
      </c>
      <c r="AF7" s="2"/>
      <c r="AH7" s="19" t="s">
        <v>52</v>
      </c>
      <c r="AI7" s="20">
        <f>AI6/36</f>
        <v>16505.944444444445</v>
      </c>
    </row>
    <row r="8" spans="1:35" s="3" customFormat="1" x14ac:dyDescent="0.25">
      <c r="A8" s="12" t="s">
        <v>92</v>
      </c>
      <c r="B8" s="12" t="s">
        <v>150</v>
      </c>
      <c r="C8" s="12" t="s">
        <v>53</v>
      </c>
      <c r="D8" s="12" t="s">
        <v>88</v>
      </c>
      <c r="E8" s="12" t="s">
        <v>45</v>
      </c>
      <c r="F8" s="12">
        <v>6200196568</v>
      </c>
      <c r="G8" s="12" t="s">
        <v>32</v>
      </c>
      <c r="H8" s="13">
        <v>43100</v>
      </c>
      <c r="I8" s="14">
        <v>1</v>
      </c>
      <c r="J8" s="13" t="s">
        <v>33</v>
      </c>
      <c r="K8" s="15">
        <f>-19024.25+105822.03</f>
        <v>86797.78</v>
      </c>
      <c r="L8" s="15">
        <v>80000</v>
      </c>
      <c r="M8" s="15">
        <v>80000</v>
      </c>
      <c r="N8" s="17">
        <f t="shared" si="0"/>
        <v>246797.78</v>
      </c>
      <c r="O8" s="17">
        <f t="shared" si="4"/>
        <v>246797.78</v>
      </c>
      <c r="P8" s="15">
        <v>65000</v>
      </c>
      <c r="Q8" s="15">
        <v>65000</v>
      </c>
      <c r="R8" s="15">
        <v>65000</v>
      </c>
      <c r="S8" s="17">
        <f>SUM(P8:R8)</f>
        <v>195000</v>
      </c>
      <c r="T8" s="17">
        <f t="shared" si="5"/>
        <v>195000</v>
      </c>
      <c r="U8" s="15">
        <v>60000</v>
      </c>
      <c r="V8" s="15">
        <v>40000</v>
      </c>
      <c r="W8" s="15">
        <v>40000</v>
      </c>
      <c r="X8" s="17">
        <f>SUM(U8:W8)</f>
        <v>140000</v>
      </c>
      <c r="Y8" s="17">
        <f t="shared" si="6"/>
        <v>140000</v>
      </c>
      <c r="Z8" s="15"/>
      <c r="AA8" s="15"/>
      <c r="AB8" s="15"/>
      <c r="AC8" s="17">
        <f>SUM(Z8:AB8)</f>
        <v>0</v>
      </c>
      <c r="AD8" s="17">
        <f t="shared" si="7"/>
        <v>0</v>
      </c>
      <c r="AE8" s="18" t="s">
        <v>54</v>
      </c>
      <c r="AF8" s="2"/>
      <c r="AH8" s="19"/>
      <c r="AI8" s="20"/>
    </row>
    <row r="9" spans="1:35" s="3" customFormat="1" x14ac:dyDescent="0.25">
      <c r="A9" s="12" t="s">
        <v>92</v>
      </c>
      <c r="B9" s="12" t="s">
        <v>150</v>
      </c>
      <c r="C9" s="12" t="s">
        <v>55</v>
      </c>
      <c r="D9" s="12" t="s">
        <v>88</v>
      </c>
      <c r="E9" s="12" t="s">
        <v>47</v>
      </c>
      <c r="F9" s="12">
        <v>6200200550</v>
      </c>
      <c r="G9" s="12" t="s">
        <v>38</v>
      </c>
      <c r="H9" s="13">
        <v>42854</v>
      </c>
      <c r="I9" s="14">
        <v>1</v>
      </c>
      <c r="J9" s="13" t="s">
        <v>33</v>
      </c>
      <c r="K9" s="15">
        <v>720</v>
      </c>
      <c r="L9" s="15">
        <v>1612.2565900096379</v>
      </c>
      <c r="M9" s="15">
        <v>42372.948101010639</v>
      </c>
      <c r="N9" s="17">
        <f t="shared" si="0"/>
        <v>44705.204691020277</v>
      </c>
      <c r="O9" s="17">
        <f t="shared" si="4"/>
        <v>44705.204691020277</v>
      </c>
      <c r="P9" s="15">
        <v>94558.936639417574</v>
      </c>
      <c r="Q9" s="15">
        <v>46775.189577220648</v>
      </c>
      <c r="R9" s="15">
        <v>0</v>
      </c>
      <c r="S9" s="17">
        <f>SUM(P9:R9)</f>
        <v>141334.12621663822</v>
      </c>
      <c r="T9" s="17">
        <f t="shared" si="5"/>
        <v>141334.12621663822</v>
      </c>
      <c r="U9" s="15"/>
      <c r="V9" s="15"/>
      <c r="W9" s="15"/>
      <c r="X9" s="17">
        <f>SUM(U9:W9)</f>
        <v>0</v>
      </c>
      <c r="Y9" s="17">
        <f t="shared" si="6"/>
        <v>0</v>
      </c>
      <c r="Z9" s="15"/>
      <c r="AA9" s="15"/>
      <c r="AB9" s="15"/>
      <c r="AC9" s="17">
        <f>SUM(Z9:AB9)</f>
        <v>0</v>
      </c>
      <c r="AD9" s="17">
        <f t="shared" si="7"/>
        <v>0</v>
      </c>
      <c r="AE9" s="18" t="s">
        <v>56</v>
      </c>
      <c r="AF9" s="2"/>
      <c r="AH9" s="19" t="s">
        <v>57</v>
      </c>
      <c r="AI9" s="20">
        <f>AI7*3</f>
        <v>49517.833333333336</v>
      </c>
    </row>
    <row r="10" spans="1:35" s="3" customFormat="1" x14ac:dyDescent="0.25">
      <c r="A10" s="12" t="s">
        <v>92</v>
      </c>
      <c r="B10" s="12" t="s">
        <v>150</v>
      </c>
      <c r="C10" s="12" t="s">
        <v>58</v>
      </c>
      <c r="D10" s="12" t="s">
        <v>88</v>
      </c>
      <c r="E10" s="12" t="s">
        <v>59</v>
      </c>
      <c r="F10" s="12">
        <v>6200206134</v>
      </c>
      <c r="G10" s="12" t="s">
        <v>32</v>
      </c>
      <c r="H10" s="13">
        <v>42828</v>
      </c>
      <c r="I10" s="14">
        <v>1</v>
      </c>
      <c r="J10" s="13" t="s">
        <v>33</v>
      </c>
      <c r="K10" s="15">
        <v>0</v>
      </c>
      <c r="L10" s="15">
        <f>14500</f>
        <v>14500</v>
      </c>
      <c r="M10" s="15">
        <v>0</v>
      </c>
      <c r="N10" s="17">
        <f t="shared" ref="N10:N25" si="8">SUM(K10:M10)</f>
        <v>14500</v>
      </c>
      <c r="O10" s="17">
        <f t="shared" si="4"/>
        <v>14500</v>
      </c>
      <c r="P10" s="15">
        <v>0</v>
      </c>
      <c r="Q10" s="15">
        <v>0</v>
      </c>
      <c r="R10" s="15">
        <v>0</v>
      </c>
      <c r="S10" s="17">
        <f t="shared" ref="S10:S15" si="9">SUM(P10:R10)</f>
        <v>0</v>
      </c>
      <c r="T10" s="17">
        <f t="shared" si="5"/>
        <v>0</v>
      </c>
      <c r="U10" s="15"/>
      <c r="V10" s="15"/>
      <c r="W10" s="15"/>
      <c r="X10" s="17">
        <f t="shared" ref="X10:X19" si="10">SUM(U10:W10)</f>
        <v>0</v>
      </c>
      <c r="Y10" s="17">
        <f t="shared" si="6"/>
        <v>0</v>
      </c>
      <c r="Z10" s="15"/>
      <c r="AA10" s="15"/>
      <c r="AB10" s="15"/>
      <c r="AC10" s="17">
        <f t="shared" ref="AC10:AC19" si="11">SUM(Z10:AB10)</f>
        <v>0</v>
      </c>
      <c r="AD10" s="17">
        <f t="shared" si="7"/>
        <v>0</v>
      </c>
      <c r="AE10" s="18" t="s">
        <v>60</v>
      </c>
      <c r="AF10" s="2"/>
      <c r="AH10" s="19"/>
      <c r="AI10" s="20"/>
    </row>
    <row r="11" spans="1:35" s="3" customFormat="1" x14ac:dyDescent="0.25">
      <c r="A11" s="12" t="s">
        <v>92</v>
      </c>
      <c r="B11" s="12" t="s">
        <v>150</v>
      </c>
      <c r="C11" s="12" t="s">
        <v>61</v>
      </c>
      <c r="D11" s="12" t="s">
        <v>88</v>
      </c>
      <c r="E11" s="12" t="s">
        <v>37</v>
      </c>
      <c r="F11" s="12">
        <v>4506383654</v>
      </c>
      <c r="G11" s="12" t="s">
        <v>38</v>
      </c>
      <c r="H11" s="13">
        <v>43465</v>
      </c>
      <c r="I11" s="14">
        <v>0</v>
      </c>
      <c r="J11" s="13" t="s">
        <v>39</v>
      </c>
      <c r="K11" s="15">
        <v>22344.475733333311</v>
      </c>
      <c r="L11" s="15">
        <v>0</v>
      </c>
      <c r="M11" s="15">
        <v>0</v>
      </c>
      <c r="N11" s="17">
        <f t="shared" si="8"/>
        <v>22344.475733333311</v>
      </c>
      <c r="O11" s="17">
        <f t="shared" si="4"/>
        <v>0</v>
      </c>
      <c r="P11" s="15">
        <v>0</v>
      </c>
      <c r="Q11" s="15">
        <v>0</v>
      </c>
      <c r="R11" s="15">
        <v>0</v>
      </c>
      <c r="S11" s="17">
        <f t="shared" si="9"/>
        <v>0</v>
      </c>
      <c r="T11" s="17">
        <f t="shared" si="5"/>
        <v>0</v>
      </c>
      <c r="U11" s="15"/>
      <c r="V11" s="15"/>
      <c r="W11" s="15"/>
      <c r="X11" s="17">
        <f t="shared" si="10"/>
        <v>0</v>
      </c>
      <c r="Y11" s="17">
        <f t="shared" si="6"/>
        <v>0</v>
      </c>
      <c r="Z11" s="15"/>
      <c r="AA11" s="15"/>
      <c r="AB11" s="15"/>
      <c r="AC11" s="17">
        <f t="shared" si="11"/>
        <v>0</v>
      </c>
      <c r="AD11" s="17">
        <f t="shared" si="7"/>
        <v>0</v>
      </c>
      <c r="AE11" s="18" t="s">
        <v>62</v>
      </c>
      <c r="AF11" s="2"/>
      <c r="AH11" s="19" t="s">
        <v>63</v>
      </c>
      <c r="AI11" s="20">
        <f>AI7*15</f>
        <v>247589.16666666669</v>
      </c>
    </row>
    <row r="12" spans="1:35" s="3" customFormat="1" x14ac:dyDescent="0.25">
      <c r="A12" s="12" t="s">
        <v>92</v>
      </c>
      <c r="B12" s="12" t="s">
        <v>150</v>
      </c>
      <c r="C12" s="12" t="s">
        <v>64</v>
      </c>
      <c r="D12" s="12" t="s">
        <v>88</v>
      </c>
      <c r="E12" s="12" t="s">
        <v>59</v>
      </c>
      <c r="F12" s="12">
        <v>6200208829</v>
      </c>
      <c r="G12" s="12" t="s">
        <v>38</v>
      </c>
      <c r="H12" s="13">
        <v>42943</v>
      </c>
      <c r="I12" s="14">
        <v>1</v>
      </c>
      <c r="J12" s="13" t="s">
        <v>39</v>
      </c>
      <c r="K12" s="15">
        <v>0</v>
      </c>
      <c r="L12" s="15">
        <v>60000</v>
      </c>
      <c r="M12" s="15">
        <v>60000</v>
      </c>
      <c r="N12" s="17">
        <f t="shared" si="8"/>
        <v>120000</v>
      </c>
      <c r="O12" s="17">
        <f t="shared" si="4"/>
        <v>120000</v>
      </c>
      <c r="P12" s="15">
        <v>60000</v>
      </c>
      <c r="Q12" s="15">
        <v>0</v>
      </c>
      <c r="R12" s="15">
        <v>0</v>
      </c>
      <c r="S12" s="17">
        <f t="shared" si="9"/>
        <v>60000</v>
      </c>
      <c r="T12" s="17">
        <f t="shared" si="5"/>
        <v>60000</v>
      </c>
      <c r="U12" s="15"/>
      <c r="V12" s="15"/>
      <c r="W12" s="15"/>
      <c r="X12" s="17">
        <f t="shared" si="10"/>
        <v>0</v>
      </c>
      <c r="Y12" s="17">
        <f t="shared" si="6"/>
        <v>0</v>
      </c>
      <c r="Z12" s="15"/>
      <c r="AA12" s="15"/>
      <c r="AB12" s="15"/>
      <c r="AC12" s="17">
        <f t="shared" si="11"/>
        <v>0</v>
      </c>
      <c r="AD12" s="17">
        <f t="shared" si="7"/>
        <v>0</v>
      </c>
      <c r="AE12" s="18" t="s">
        <v>65</v>
      </c>
      <c r="AF12" s="21"/>
      <c r="AH12" s="19" t="s">
        <v>66</v>
      </c>
      <c r="AI12" s="20">
        <v>496071.25040000002</v>
      </c>
    </row>
    <row r="13" spans="1:35" s="3" customFormat="1" x14ac:dyDescent="0.25">
      <c r="A13" s="12" t="s">
        <v>92</v>
      </c>
      <c r="B13" s="12" t="s">
        <v>150</v>
      </c>
      <c r="C13" s="12" t="s">
        <v>67</v>
      </c>
      <c r="D13" s="12" t="s">
        <v>88</v>
      </c>
      <c r="E13" s="12" t="s">
        <v>47</v>
      </c>
      <c r="F13" s="12">
        <v>6200209820</v>
      </c>
      <c r="G13" s="12" t="s">
        <v>32</v>
      </c>
      <c r="H13" s="13">
        <v>43007</v>
      </c>
      <c r="I13" s="14">
        <v>1</v>
      </c>
      <c r="J13" s="13" t="s">
        <v>33</v>
      </c>
      <c r="K13" s="15">
        <v>0</v>
      </c>
      <c r="L13" s="15">
        <v>35000</v>
      </c>
      <c r="M13" s="15">
        <v>55000</v>
      </c>
      <c r="N13" s="17">
        <f t="shared" si="8"/>
        <v>90000</v>
      </c>
      <c r="O13" s="17">
        <f t="shared" si="4"/>
        <v>90000</v>
      </c>
      <c r="P13" s="15">
        <v>55000</v>
      </c>
      <c r="Q13" s="15">
        <v>55000</v>
      </c>
      <c r="R13" s="15">
        <v>55000</v>
      </c>
      <c r="S13" s="17">
        <f t="shared" si="9"/>
        <v>165000</v>
      </c>
      <c r="T13" s="17">
        <f t="shared" si="5"/>
        <v>165000</v>
      </c>
      <c r="U13" s="15"/>
      <c r="V13" s="15"/>
      <c r="W13" s="15"/>
      <c r="X13" s="17">
        <f t="shared" si="10"/>
        <v>0</v>
      </c>
      <c r="Y13" s="17">
        <f t="shared" si="6"/>
        <v>0</v>
      </c>
      <c r="Z13" s="15"/>
      <c r="AA13" s="15"/>
      <c r="AB13" s="15"/>
      <c r="AC13" s="17">
        <f t="shared" si="11"/>
        <v>0</v>
      </c>
      <c r="AD13" s="17">
        <f t="shared" si="7"/>
        <v>0</v>
      </c>
      <c r="AE13" s="18" t="s">
        <v>68</v>
      </c>
      <c r="AH13" s="19"/>
      <c r="AI13" s="20"/>
    </row>
    <row r="14" spans="1:35" x14ac:dyDescent="0.25">
      <c r="A14" s="12" t="s">
        <v>92</v>
      </c>
      <c r="B14" s="12" t="s">
        <v>150</v>
      </c>
      <c r="C14" s="12" t="s">
        <v>69</v>
      </c>
      <c r="D14" s="12" t="s">
        <v>88</v>
      </c>
      <c r="E14" s="12" t="s">
        <v>47</v>
      </c>
      <c r="F14" s="12">
        <v>6200208412</v>
      </c>
      <c r="G14" s="12" t="s">
        <v>32</v>
      </c>
      <c r="H14" s="13">
        <v>42886</v>
      </c>
      <c r="I14" s="14">
        <v>1</v>
      </c>
      <c r="J14" s="13" t="s">
        <v>33</v>
      </c>
      <c r="K14" s="15">
        <v>17675.25</v>
      </c>
      <c r="L14" s="15">
        <f>100*8.75*18</f>
        <v>15750</v>
      </c>
      <c r="M14" s="15">
        <v>0</v>
      </c>
      <c r="N14" s="17">
        <f t="shared" si="8"/>
        <v>33425.25</v>
      </c>
      <c r="O14" s="17">
        <f t="shared" si="4"/>
        <v>33425.25</v>
      </c>
      <c r="P14" s="15">
        <v>0</v>
      </c>
      <c r="Q14" s="15">
        <v>0</v>
      </c>
      <c r="R14" s="15">
        <v>0</v>
      </c>
      <c r="S14" s="17">
        <f t="shared" si="9"/>
        <v>0</v>
      </c>
      <c r="T14" s="17">
        <f t="shared" si="5"/>
        <v>0</v>
      </c>
      <c r="U14" s="15"/>
      <c r="V14" s="15"/>
      <c r="W14" s="15"/>
      <c r="X14" s="17">
        <f t="shared" si="10"/>
        <v>0</v>
      </c>
      <c r="Y14" s="17">
        <f t="shared" si="6"/>
        <v>0</v>
      </c>
      <c r="Z14" s="15"/>
      <c r="AA14" s="15"/>
      <c r="AB14" s="15"/>
      <c r="AC14" s="17">
        <f t="shared" si="11"/>
        <v>0</v>
      </c>
      <c r="AD14" s="17">
        <f t="shared" si="7"/>
        <v>0</v>
      </c>
      <c r="AE14" s="22" t="s">
        <v>70</v>
      </c>
      <c r="AH14" t="s">
        <v>71</v>
      </c>
      <c r="AI14" s="23">
        <f>AI12-AI11</f>
        <v>248482.08373333333</v>
      </c>
    </row>
    <row r="15" spans="1:35" s="3" customFormat="1" x14ac:dyDescent="0.25">
      <c r="A15" s="12" t="s">
        <v>92</v>
      </c>
      <c r="B15" s="12" t="s">
        <v>150</v>
      </c>
      <c r="C15" s="12" t="s">
        <v>72</v>
      </c>
      <c r="D15" s="12" t="s">
        <v>88</v>
      </c>
      <c r="E15" s="12" t="s">
        <v>45</v>
      </c>
      <c r="F15" s="12">
        <v>6200205799</v>
      </c>
      <c r="G15" s="12" t="s">
        <v>38</v>
      </c>
      <c r="H15" s="13">
        <v>42870</v>
      </c>
      <c r="I15" s="14">
        <v>0</v>
      </c>
      <c r="J15" s="13" t="s">
        <v>33</v>
      </c>
      <c r="K15" s="15">
        <f>30713.3297</f>
        <v>30713.329699999998</v>
      </c>
      <c r="L15" s="15">
        <f>41196.8-30713.3297</f>
        <v>10483.470300000004</v>
      </c>
      <c r="M15" s="15">
        <v>0</v>
      </c>
      <c r="N15" s="17">
        <f t="shared" si="8"/>
        <v>41196.800000000003</v>
      </c>
      <c r="O15" s="17">
        <f t="shared" si="4"/>
        <v>0</v>
      </c>
      <c r="P15" s="15">
        <v>0</v>
      </c>
      <c r="Q15" s="15">
        <v>0</v>
      </c>
      <c r="R15" s="15">
        <v>0</v>
      </c>
      <c r="S15" s="17">
        <f t="shared" si="9"/>
        <v>0</v>
      </c>
      <c r="T15" s="17">
        <f t="shared" si="5"/>
        <v>0</v>
      </c>
      <c r="U15" s="15"/>
      <c r="V15" s="15"/>
      <c r="W15" s="15"/>
      <c r="X15" s="17">
        <f t="shared" si="10"/>
        <v>0</v>
      </c>
      <c r="Y15" s="17">
        <f t="shared" si="6"/>
        <v>0</v>
      </c>
      <c r="Z15" s="15"/>
      <c r="AA15" s="15"/>
      <c r="AB15" s="15"/>
      <c r="AC15" s="17">
        <f t="shared" si="11"/>
        <v>0</v>
      </c>
      <c r="AD15" s="17">
        <f t="shared" si="7"/>
        <v>0</v>
      </c>
      <c r="AE15" s="24" t="s">
        <v>73</v>
      </c>
      <c r="AF15" s="21"/>
      <c r="AH15" s="25" t="s">
        <v>74</v>
      </c>
      <c r="AI15" s="26">
        <f>AI7*3</f>
        <v>49517.833333333336</v>
      </c>
    </row>
    <row r="16" spans="1:35" x14ac:dyDescent="0.25">
      <c r="A16" s="12" t="s">
        <v>92</v>
      </c>
      <c r="B16" s="12" t="s">
        <v>150</v>
      </c>
      <c r="C16" s="12" t="s">
        <v>102</v>
      </c>
      <c r="D16" s="12" t="s">
        <v>88</v>
      </c>
      <c r="E16" s="12" t="s">
        <v>45</v>
      </c>
      <c r="F16" s="12">
        <v>6200211175</v>
      </c>
      <c r="G16" s="12" t="s">
        <v>38</v>
      </c>
      <c r="H16" s="13">
        <v>42978</v>
      </c>
      <c r="I16" s="14">
        <v>0</v>
      </c>
      <c r="J16" s="13" t="s">
        <v>33</v>
      </c>
      <c r="K16" s="15">
        <v>0</v>
      </c>
      <c r="L16" s="15">
        <v>0</v>
      </c>
      <c r="M16" s="15">
        <f>24000/3</f>
        <v>8000</v>
      </c>
      <c r="N16" s="17">
        <f t="shared" si="8"/>
        <v>8000</v>
      </c>
      <c r="O16" s="17">
        <f t="shared" si="4"/>
        <v>0</v>
      </c>
      <c r="P16" s="15">
        <f>24000/3</f>
        <v>8000</v>
      </c>
      <c r="Q16" s="15">
        <f>24000/3</f>
        <v>8000</v>
      </c>
      <c r="R16" s="15">
        <v>0</v>
      </c>
      <c r="S16" s="17">
        <f t="shared" ref="S16:S18" si="12">SUM(P16:R16)</f>
        <v>16000</v>
      </c>
      <c r="T16" s="17">
        <f t="shared" si="5"/>
        <v>0</v>
      </c>
      <c r="U16" s="15"/>
      <c r="V16" s="15"/>
      <c r="W16" s="15"/>
      <c r="X16" s="17">
        <f t="shared" ref="X16:X18" si="13">SUM(U16:W16)</f>
        <v>0</v>
      </c>
      <c r="Y16" s="17">
        <f t="shared" si="6"/>
        <v>0</v>
      </c>
      <c r="Z16" s="15"/>
      <c r="AA16" s="15"/>
      <c r="AB16" s="15"/>
      <c r="AC16" s="17">
        <f t="shared" ref="AC16:AC18" si="14">SUM(Z16:AB16)</f>
        <v>0</v>
      </c>
      <c r="AD16" s="17">
        <f t="shared" si="7"/>
        <v>0</v>
      </c>
      <c r="AE16" s="39"/>
    </row>
    <row r="17" spans="1:35" x14ac:dyDescent="0.25">
      <c r="A17" s="12" t="s">
        <v>92</v>
      </c>
      <c r="B17" s="12" t="s">
        <v>150</v>
      </c>
      <c r="C17" s="12" t="s">
        <v>114</v>
      </c>
      <c r="D17" s="12" t="s">
        <v>88</v>
      </c>
      <c r="E17" s="12" t="s">
        <v>45</v>
      </c>
      <c r="F17" s="12">
        <v>6200211174</v>
      </c>
      <c r="G17" s="12" t="s">
        <v>38</v>
      </c>
      <c r="H17" s="13">
        <v>43008</v>
      </c>
      <c r="I17" s="14">
        <v>0</v>
      </c>
      <c r="J17" s="13" t="s">
        <v>33</v>
      </c>
      <c r="K17" s="15">
        <v>0</v>
      </c>
      <c r="L17" s="15">
        <v>0</v>
      </c>
      <c r="M17" s="15">
        <f>46000/4</f>
        <v>11500</v>
      </c>
      <c r="N17" s="17">
        <f t="shared" si="8"/>
        <v>11500</v>
      </c>
      <c r="O17" s="17">
        <f t="shared" si="4"/>
        <v>0</v>
      </c>
      <c r="P17" s="15">
        <f t="shared" ref="P17:R17" si="15">46000/4</f>
        <v>11500</v>
      </c>
      <c r="Q17" s="15">
        <f t="shared" si="15"/>
        <v>11500</v>
      </c>
      <c r="R17" s="15">
        <f t="shared" si="15"/>
        <v>11500</v>
      </c>
      <c r="S17" s="17">
        <f t="shared" si="12"/>
        <v>34500</v>
      </c>
      <c r="T17" s="17">
        <f t="shared" si="5"/>
        <v>0</v>
      </c>
      <c r="U17" s="15"/>
      <c r="V17" s="15"/>
      <c r="W17" s="15"/>
      <c r="X17" s="17">
        <f t="shared" si="13"/>
        <v>0</v>
      </c>
      <c r="Y17" s="17">
        <f t="shared" si="6"/>
        <v>0</v>
      </c>
      <c r="Z17" s="15"/>
      <c r="AA17" s="15"/>
      <c r="AB17" s="15"/>
      <c r="AC17" s="17">
        <f t="shared" si="14"/>
        <v>0</v>
      </c>
      <c r="AD17" s="17">
        <f t="shared" si="7"/>
        <v>0</v>
      </c>
      <c r="AE17" s="39"/>
    </row>
    <row r="18" spans="1:35" x14ac:dyDescent="0.25">
      <c r="A18" s="12" t="s">
        <v>92</v>
      </c>
      <c r="B18" s="12" t="s">
        <v>150</v>
      </c>
      <c r="C18" s="12" t="s">
        <v>113</v>
      </c>
      <c r="D18" s="12" t="s">
        <v>88</v>
      </c>
      <c r="E18" s="12" t="s">
        <v>45</v>
      </c>
      <c r="F18" s="12">
        <v>6200211177</v>
      </c>
      <c r="G18" s="12" t="s">
        <v>38</v>
      </c>
      <c r="H18" s="13">
        <v>43008</v>
      </c>
      <c r="I18" s="14">
        <v>0</v>
      </c>
      <c r="J18" s="13" t="s">
        <v>33</v>
      </c>
      <c r="K18" s="15">
        <v>0</v>
      </c>
      <c r="L18" s="15">
        <v>0</v>
      </c>
      <c r="M18" s="15">
        <f>55000/4</f>
        <v>13750</v>
      </c>
      <c r="N18" s="17">
        <f t="shared" si="8"/>
        <v>13750</v>
      </c>
      <c r="O18" s="17">
        <f t="shared" si="4"/>
        <v>0</v>
      </c>
      <c r="P18" s="15">
        <f t="shared" ref="P18:R18" si="16">55000/4</f>
        <v>13750</v>
      </c>
      <c r="Q18" s="15">
        <f t="shared" si="16"/>
        <v>13750</v>
      </c>
      <c r="R18" s="15">
        <f t="shared" si="16"/>
        <v>13750</v>
      </c>
      <c r="S18" s="17">
        <f t="shared" si="12"/>
        <v>41250</v>
      </c>
      <c r="T18" s="17">
        <f t="shared" si="5"/>
        <v>0</v>
      </c>
      <c r="U18" s="15"/>
      <c r="V18" s="15"/>
      <c r="W18" s="15"/>
      <c r="X18" s="17">
        <f t="shared" si="13"/>
        <v>0</v>
      </c>
      <c r="Y18" s="17">
        <f t="shared" si="6"/>
        <v>0</v>
      </c>
      <c r="Z18" s="15"/>
      <c r="AA18" s="15"/>
      <c r="AB18" s="15"/>
      <c r="AC18" s="17">
        <f t="shared" si="14"/>
        <v>0</v>
      </c>
      <c r="AD18" s="17">
        <f t="shared" si="7"/>
        <v>0</v>
      </c>
      <c r="AE18" s="39"/>
    </row>
    <row r="19" spans="1:35" x14ac:dyDescent="0.25">
      <c r="A19" s="12" t="s">
        <v>92</v>
      </c>
      <c r="B19" s="12" t="s">
        <v>150</v>
      </c>
      <c r="C19" s="12" t="s">
        <v>115</v>
      </c>
      <c r="D19" s="12" t="s">
        <v>88</v>
      </c>
      <c r="E19" s="12" t="s">
        <v>45</v>
      </c>
      <c r="F19" s="12">
        <v>6200211176</v>
      </c>
      <c r="G19" s="12" t="s">
        <v>32</v>
      </c>
      <c r="H19" s="13">
        <v>42978</v>
      </c>
      <c r="I19" s="14">
        <v>0</v>
      </c>
      <c r="J19" s="13" t="s">
        <v>33</v>
      </c>
      <c r="K19" s="15">
        <v>0</v>
      </c>
      <c r="L19" s="15">
        <v>0</v>
      </c>
      <c r="M19" s="15">
        <f>32000/4</f>
        <v>8000</v>
      </c>
      <c r="N19" s="17">
        <f t="shared" ref="N19" si="17">SUM(K19:M19)</f>
        <v>8000</v>
      </c>
      <c r="O19" s="17">
        <f t="shared" ref="O19" si="18">N19*I19</f>
        <v>0</v>
      </c>
      <c r="P19" s="15">
        <f t="shared" ref="P19:R19" si="19">32000/4</f>
        <v>8000</v>
      </c>
      <c r="Q19" s="15">
        <f t="shared" si="19"/>
        <v>8000</v>
      </c>
      <c r="R19" s="15">
        <f t="shared" si="19"/>
        <v>8000</v>
      </c>
      <c r="S19" s="17">
        <f t="shared" ref="S19" si="20">SUM(P19:R19)</f>
        <v>24000</v>
      </c>
      <c r="T19" s="17">
        <f t="shared" ref="T19" si="21">S19*I19</f>
        <v>0</v>
      </c>
      <c r="U19" s="15"/>
      <c r="V19" s="15"/>
      <c r="W19" s="15"/>
      <c r="X19" s="17">
        <f t="shared" si="10"/>
        <v>0</v>
      </c>
      <c r="Y19" s="17">
        <f t="shared" ref="Y19" si="22">X19*I19</f>
        <v>0</v>
      </c>
      <c r="Z19" s="15"/>
      <c r="AA19" s="15"/>
      <c r="AB19" s="15"/>
      <c r="AC19" s="17">
        <f t="shared" si="11"/>
        <v>0</v>
      </c>
      <c r="AD19" s="17">
        <f t="shared" ref="AD19" si="23">AC19*I19</f>
        <v>0</v>
      </c>
      <c r="AE19" s="39"/>
    </row>
    <row r="20" spans="1:35" s="3" customFormat="1" x14ac:dyDescent="0.25">
      <c r="A20" s="12" t="s">
        <v>92</v>
      </c>
      <c r="B20" s="12" t="s">
        <v>150</v>
      </c>
      <c r="C20" s="12" t="s">
        <v>82</v>
      </c>
      <c r="D20" s="12" t="s">
        <v>88</v>
      </c>
      <c r="E20" s="12" t="s">
        <v>45</v>
      </c>
      <c r="F20" s="12">
        <v>6200211186</v>
      </c>
      <c r="G20" s="12" t="s">
        <v>32</v>
      </c>
      <c r="H20" s="13">
        <v>42947</v>
      </c>
      <c r="I20" s="14">
        <v>0</v>
      </c>
      <c r="J20" s="13" t="s">
        <v>33</v>
      </c>
      <c r="K20" s="15">
        <v>0</v>
      </c>
      <c r="L20" s="15">
        <v>0</v>
      </c>
      <c r="M20" s="15">
        <f>48.4*175</f>
        <v>8470</v>
      </c>
      <c r="N20" s="17">
        <f>SUM(K20:M20)</f>
        <v>8470</v>
      </c>
      <c r="O20" s="17">
        <f>N20*I20</f>
        <v>0</v>
      </c>
      <c r="P20" s="15">
        <f>48.4*175</f>
        <v>8470</v>
      </c>
      <c r="Q20" s="15"/>
      <c r="R20" s="15"/>
      <c r="S20" s="17">
        <f>SUM(P20:R20)</f>
        <v>8470</v>
      </c>
      <c r="T20" s="17">
        <f>S20*I20</f>
        <v>0</v>
      </c>
      <c r="U20" s="15"/>
      <c r="V20" s="15"/>
      <c r="W20" s="15"/>
      <c r="X20" s="17">
        <f>SUM(U20:W20)</f>
        <v>0</v>
      </c>
      <c r="Y20" s="17">
        <f>X20*I20</f>
        <v>0</v>
      </c>
      <c r="Z20" s="15"/>
      <c r="AA20" s="15"/>
      <c r="AB20" s="15"/>
      <c r="AC20" s="17">
        <f>SUM(Z20:AB20)</f>
        <v>0</v>
      </c>
      <c r="AD20" s="17">
        <f>AC20*I20</f>
        <v>0</v>
      </c>
      <c r="AE20" s="24"/>
      <c r="AF20" s="21"/>
      <c r="AH20" s="19"/>
      <c r="AI20" s="20"/>
    </row>
    <row r="21" spans="1:35" s="3" customFormat="1" x14ac:dyDescent="0.25">
      <c r="A21" s="12" t="s">
        <v>92</v>
      </c>
      <c r="B21" s="12" t="s">
        <v>150</v>
      </c>
      <c r="C21" s="12" t="s">
        <v>78</v>
      </c>
      <c r="D21" s="12" t="s">
        <v>85</v>
      </c>
      <c r="E21" s="12" t="s">
        <v>45</v>
      </c>
      <c r="F21" s="12">
        <v>50</v>
      </c>
      <c r="G21" s="12" t="s">
        <v>38</v>
      </c>
      <c r="H21" s="13"/>
      <c r="I21" s="14">
        <v>1</v>
      </c>
      <c r="J21" s="13" t="s">
        <v>39</v>
      </c>
      <c r="K21" s="15">
        <v>0</v>
      </c>
      <c r="L21" s="15">
        <v>0</v>
      </c>
      <c r="M21" s="15">
        <v>0</v>
      </c>
      <c r="N21" s="17">
        <f t="shared" si="8"/>
        <v>0</v>
      </c>
      <c r="O21" s="17">
        <f t="shared" si="4"/>
        <v>0</v>
      </c>
      <c r="P21" s="15">
        <v>0</v>
      </c>
      <c r="Q21" s="15">
        <v>0</v>
      </c>
      <c r="R21" s="15">
        <v>0</v>
      </c>
      <c r="S21" s="17">
        <f t="shared" ref="S21:S25" si="24">SUM(P21:R21)</f>
        <v>0</v>
      </c>
      <c r="T21" s="17">
        <f t="shared" si="5"/>
        <v>0</v>
      </c>
      <c r="U21" s="15">
        <v>0</v>
      </c>
      <c r="V21" s="15">
        <v>0</v>
      </c>
      <c r="W21" s="15">
        <v>0</v>
      </c>
      <c r="X21" s="17">
        <f t="shared" ref="X21:X25" si="25">SUM(U21:W21)</f>
        <v>0</v>
      </c>
      <c r="Y21" s="17">
        <f t="shared" si="6"/>
        <v>0</v>
      </c>
      <c r="Z21" s="15">
        <v>0</v>
      </c>
      <c r="AA21" s="15">
        <v>0</v>
      </c>
      <c r="AB21" s="15">
        <v>0</v>
      </c>
      <c r="AC21" s="17">
        <f t="shared" ref="AC21:AC25" si="26">SUM(Z21:AB21)</f>
        <v>0</v>
      </c>
      <c r="AD21" s="17">
        <f t="shared" si="7"/>
        <v>0</v>
      </c>
      <c r="AE21" s="24"/>
      <c r="AF21" s="21"/>
      <c r="AH21" s="19"/>
      <c r="AI21" s="20"/>
    </row>
    <row r="22" spans="1:35" s="3" customFormat="1" x14ac:dyDescent="0.25">
      <c r="A22" s="12" t="s">
        <v>92</v>
      </c>
      <c r="B22" s="12" t="s">
        <v>150</v>
      </c>
      <c r="C22" s="12" t="s">
        <v>30</v>
      </c>
      <c r="D22" s="12" t="s">
        <v>85</v>
      </c>
      <c r="E22" s="12" t="s">
        <v>31</v>
      </c>
      <c r="F22" s="12">
        <v>90</v>
      </c>
      <c r="G22" s="12" t="s">
        <v>32</v>
      </c>
      <c r="H22" s="13"/>
      <c r="I22" s="14">
        <v>0.4</v>
      </c>
      <c r="J22" s="13" t="s">
        <v>33</v>
      </c>
      <c r="K22" s="15">
        <v>0</v>
      </c>
      <c r="L22" s="15">
        <v>0</v>
      </c>
      <c r="M22" s="15">
        <v>750000</v>
      </c>
      <c r="N22" s="17">
        <f t="shared" si="8"/>
        <v>750000</v>
      </c>
      <c r="O22" s="17">
        <f t="shared" si="4"/>
        <v>300000</v>
      </c>
      <c r="P22" s="15">
        <v>750000</v>
      </c>
      <c r="Q22" s="15">
        <v>750000</v>
      </c>
      <c r="R22" s="15">
        <v>750000</v>
      </c>
      <c r="S22" s="17">
        <f t="shared" si="24"/>
        <v>2250000</v>
      </c>
      <c r="T22" s="17">
        <f t="shared" si="5"/>
        <v>900000</v>
      </c>
      <c r="U22" s="15">
        <v>750000</v>
      </c>
      <c r="V22" s="15">
        <v>750000</v>
      </c>
      <c r="W22" s="15">
        <v>750000</v>
      </c>
      <c r="X22" s="17">
        <f t="shared" si="25"/>
        <v>2250000</v>
      </c>
      <c r="Y22" s="17">
        <f t="shared" si="6"/>
        <v>900000</v>
      </c>
      <c r="Z22" s="15"/>
      <c r="AA22" s="15"/>
      <c r="AB22" s="15"/>
      <c r="AC22" s="17">
        <f t="shared" si="26"/>
        <v>0</v>
      </c>
      <c r="AD22" s="17">
        <f t="shared" si="7"/>
        <v>0</v>
      </c>
      <c r="AE22" s="18" t="s">
        <v>79</v>
      </c>
      <c r="AF22" s="21"/>
      <c r="AH22" s="19"/>
      <c r="AI22" s="20"/>
    </row>
    <row r="23" spans="1:35" s="3" customFormat="1" x14ac:dyDescent="0.25">
      <c r="A23" s="12" t="s">
        <v>92</v>
      </c>
      <c r="B23" s="12" t="s">
        <v>150</v>
      </c>
      <c r="C23" s="12" t="s">
        <v>80</v>
      </c>
      <c r="D23" s="12" t="s">
        <v>85</v>
      </c>
      <c r="E23" s="12" t="s">
        <v>45</v>
      </c>
      <c r="F23" s="12">
        <v>50</v>
      </c>
      <c r="G23" s="12" t="s">
        <v>32</v>
      </c>
      <c r="H23" s="13"/>
      <c r="I23" s="14">
        <v>0</v>
      </c>
      <c r="J23" s="13" t="s">
        <v>33</v>
      </c>
      <c r="K23" s="15">
        <v>0</v>
      </c>
      <c r="L23" s="15">
        <v>0</v>
      </c>
      <c r="M23" s="15">
        <v>30671.55</v>
      </c>
      <c r="N23" s="17">
        <f t="shared" si="8"/>
        <v>30671.55</v>
      </c>
      <c r="O23" s="17">
        <f t="shared" si="4"/>
        <v>0</v>
      </c>
      <c r="P23" s="15">
        <v>30671.55</v>
      </c>
      <c r="Q23" s="15">
        <v>30671.55</v>
      </c>
      <c r="R23" s="15">
        <v>30671.55</v>
      </c>
      <c r="S23" s="17">
        <f t="shared" si="24"/>
        <v>92014.65</v>
      </c>
      <c r="T23" s="17">
        <f t="shared" si="5"/>
        <v>0</v>
      </c>
      <c r="U23" s="15">
        <v>30671.55</v>
      </c>
      <c r="V23" s="15">
        <v>30671.55</v>
      </c>
      <c r="W23" s="15">
        <v>30671.55</v>
      </c>
      <c r="X23" s="17">
        <f t="shared" si="25"/>
        <v>92014.65</v>
      </c>
      <c r="Y23" s="17">
        <f t="shared" si="6"/>
        <v>0</v>
      </c>
      <c r="Z23" s="15"/>
      <c r="AA23" s="15"/>
      <c r="AB23" s="15"/>
      <c r="AC23" s="17">
        <f t="shared" si="26"/>
        <v>0</v>
      </c>
      <c r="AD23" s="17">
        <f t="shared" si="7"/>
        <v>0</v>
      </c>
      <c r="AE23" s="18" t="s">
        <v>79</v>
      </c>
      <c r="AF23" s="21"/>
      <c r="AH23" s="19"/>
      <c r="AI23" s="20"/>
    </row>
    <row r="24" spans="1:35" s="3" customFormat="1" x14ac:dyDescent="0.25">
      <c r="A24" s="12" t="s">
        <v>92</v>
      </c>
      <c r="B24" s="12" t="s">
        <v>150</v>
      </c>
      <c r="C24" s="12" t="s">
        <v>81</v>
      </c>
      <c r="D24" s="12" t="s">
        <v>85</v>
      </c>
      <c r="E24" s="12" t="s">
        <v>45</v>
      </c>
      <c r="F24" s="12">
        <v>50</v>
      </c>
      <c r="G24" s="12" t="s">
        <v>32</v>
      </c>
      <c r="H24" s="13"/>
      <c r="I24" s="14">
        <v>1</v>
      </c>
      <c r="J24" s="13" t="s">
        <v>39</v>
      </c>
      <c r="K24" s="15">
        <v>0</v>
      </c>
      <c r="L24" s="15">
        <v>0</v>
      </c>
      <c r="M24" s="15">
        <v>0</v>
      </c>
      <c r="N24" s="17">
        <f t="shared" si="8"/>
        <v>0</v>
      </c>
      <c r="O24" s="17">
        <f t="shared" si="4"/>
        <v>0</v>
      </c>
      <c r="P24" s="15"/>
      <c r="Q24" s="15"/>
      <c r="R24" s="15"/>
      <c r="S24" s="17">
        <f t="shared" si="24"/>
        <v>0</v>
      </c>
      <c r="T24" s="17">
        <f t="shared" si="5"/>
        <v>0</v>
      </c>
      <c r="U24" s="15"/>
      <c r="V24" s="15"/>
      <c r="W24" s="15"/>
      <c r="X24" s="17">
        <f t="shared" si="25"/>
        <v>0</v>
      </c>
      <c r="Y24" s="17">
        <f t="shared" si="6"/>
        <v>0</v>
      </c>
      <c r="Z24" s="15"/>
      <c r="AA24" s="15"/>
      <c r="AB24" s="15"/>
      <c r="AC24" s="17">
        <f t="shared" si="26"/>
        <v>0</v>
      </c>
      <c r="AD24" s="17">
        <f t="shared" si="7"/>
        <v>0</v>
      </c>
      <c r="AE24" s="24"/>
      <c r="AF24" s="21"/>
      <c r="AH24" s="19"/>
      <c r="AI24" s="20"/>
    </row>
    <row r="25" spans="1:35" s="3" customFormat="1" x14ac:dyDescent="0.25">
      <c r="A25" s="12" t="s">
        <v>92</v>
      </c>
      <c r="B25" s="12" t="s">
        <v>150</v>
      </c>
      <c r="C25" s="12" t="s">
        <v>83</v>
      </c>
      <c r="D25" s="12" t="s">
        <v>85</v>
      </c>
      <c r="E25" s="12" t="s">
        <v>59</v>
      </c>
      <c r="F25" s="12">
        <v>90</v>
      </c>
      <c r="G25" s="12" t="s">
        <v>38</v>
      </c>
      <c r="H25" s="13"/>
      <c r="I25" s="14">
        <v>1</v>
      </c>
      <c r="J25" s="13" t="s">
        <v>33</v>
      </c>
      <c r="K25" s="15">
        <v>0</v>
      </c>
      <c r="L25" s="15">
        <v>0</v>
      </c>
      <c r="M25" s="15">
        <v>0</v>
      </c>
      <c r="N25" s="17">
        <f t="shared" si="8"/>
        <v>0</v>
      </c>
      <c r="O25" s="17">
        <f t="shared" si="4"/>
        <v>0</v>
      </c>
      <c r="P25" s="15">
        <v>18000</v>
      </c>
      <c r="Q25" s="15">
        <v>18000</v>
      </c>
      <c r="R25" s="15">
        <v>0</v>
      </c>
      <c r="S25" s="17">
        <f t="shared" si="24"/>
        <v>36000</v>
      </c>
      <c r="T25" s="17">
        <f t="shared" si="5"/>
        <v>36000</v>
      </c>
      <c r="U25" s="15"/>
      <c r="V25" s="15"/>
      <c r="W25" s="15"/>
      <c r="X25" s="17">
        <f t="shared" si="25"/>
        <v>0</v>
      </c>
      <c r="Y25" s="17">
        <f t="shared" si="6"/>
        <v>0</v>
      </c>
      <c r="Z25" s="15"/>
      <c r="AA25" s="15"/>
      <c r="AB25" s="15"/>
      <c r="AC25" s="17">
        <f t="shared" si="26"/>
        <v>0</v>
      </c>
      <c r="AD25" s="17">
        <f t="shared" si="7"/>
        <v>0</v>
      </c>
      <c r="AE25" s="19"/>
    </row>
    <row r="26" spans="1:35" x14ac:dyDescent="0.25">
      <c r="D26" s="36"/>
    </row>
    <row r="27" spans="1:35" x14ac:dyDescent="0.25">
      <c r="D27" s="36"/>
    </row>
    <row r="28" spans="1:35" x14ac:dyDescent="0.25">
      <c r="D28" s="36"/>
    </row>
    <row r="29" spans="1:35" x14ac:dyDescent="0.25">
      <c r="D29" s="36"/>
    </row>
    <row r="30" spans="1:35" x14ac:dyDescent="0.25">
      <c r="D30" s="36"/>
    </row>
    <row r="31" spans="1:35" x14ac:dyDescent="0.25">
      <c r="D31" s="36"/>
    </row>
    <row r="32" spans="1:35" x14ac:dyDescent="0.25">
      <c r="D32" s="36"/>
    </row>
    <row r="33" spans="4:4" x14ac:dyDescent="0.25">
      <c r="D33" s="36"/>
    </row>
    <row r="34" spans="4:4" x14ac:dyDescent="0.25">
      <c r="D34" s="36"/>
    </row>
    <row r="35" spans="4:4" x14ac:dyDescent="0.25">
      <c r="D35" s="36"/>
    </row>
    <row r="36" spans="4:4" x14ac:dyDescent="0.25">
      <c r="D36" s="36"/>
    </row>
    <row r="37" spans="4:4" x14ac:dyDescent="0.25">
      <c r="D37" s="36"/>
    </row>
    <row r="38" spans="4:4" x14ac:dyDescent="0.25">
      <c r="D38" s="36"/>
    </row>
    <row r="39" spans="4:4" x14ac:dyDescent="0.25">
      <c r="D39" s="36"/>
    </row>
    <row r="40" spans="4:4" x14ac:dyDescent="0.25">
      <c r="D40" s="36"/>
    </row>
  </sheetData>
  <mergeCells count="1">
    <mergeCell ref="AH1:AI1"/>
  </mergeCells>
  <dataValidations count="1">
    <dataValidation type="list" allowBlank="1" showInputMessage="1" showErrorMessage="1" sqref="D2:D40">
      <formula1>"Confirmed, High Probability, Low Probability"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8" sqref="H18"/>
    </sheetView>
  </sheetViews>
  <sheetFormatPr defaultRowHeight="15" x14ac:dyDescent="0.25"/>
  <cols>
    <col min="1" max="1" width="11.85546875" bestFit="1" customWidth="1"/>
    <col min="2" max="2" width="43.140625" bestFit="1" customWidth="1"/>
    <col min="3" max="3" width="23.140625" bestFit="1" customWidth="1"/>
    <col min="4" max="4" width="12" style="36" bestFit="1" customWidth="1"/>
    <col min="5" max="5" width="11.140625" bestFit="1" customWidth="1"/>
    <col min="6" max="6" width="10.7109375" style="36" bestFit="1" customWidth="1"/>
    <col min="7" max="7" width="11" style="36" bestFit="1" customWidth="1"/>
    <col min="8" max="8" width="12.42578125" style="36" bestFit="1" customWidth="1"/>
    <col min="9" max="9" width="16.5703125" style="38" bestFit="1" customWidth="1"/>
    <col min="10" max="10" width="15.42578125" style="38" bestFit="1" customWidth="1"/>
    <col min="11" max="11" width="12.42578125" style="38" bestFit="1" customWidth="1"/>
    <col min="12" max="12" width="11" bestFit="1" customWidth="1"/>
    <col min="13" max="13" width="8.85546875" bestFit="1" customWidth="1"/>
    <col min="14" max="15" width="9.28515625" bestFit="1" customWidth="1"/>
    <col min="16" max="16" width="9.140625" bestFit="1" customWidth="1"/>
    <col min="17" max="17" width="8.85546875" bestFit="1" customWidth="1"/>
    <col min="18" max="18" width="9.42578125" bestFit="1" customWidth="1"/>
    <col min="19" max="19" width="9.140625" bestFit="1" customWidth="1"/>
    <col min="20" max="20" width="8.7109375" bestFit="1" customWidth="1"/>
    <col min="21" max="21" width="9.140625" bestFit="1" customWidth="1"/>
    <col min="22" max="22" width="9.42578125" bestFit="1" customWidth="1"/>
    <col min="23" max="23" width="8.7109375" bestFit="1" customWidth="1"/>
    <col min="24" max="24" width="21.5703125" bestFit="1" customWidth="1"/>
  </cols>
  <sheetData>
    <row r="1" spans="1:24" s="3" customFormat="1" x14ac:dyDescent="0.25">
      <c r="A1" s="1" t="s">
        <v>91</v>
      </c>
      <c r="B1" s="42" t="s">
        <v>104</v>
      </c>
      <c r="C1" s="42" t="s">
        <v>112</v>
      </c>
      <c r="D1" s="47" t="s">
        <v>105</v>
      </c>
      <c r="E1" s="41" t="s">
        <v>106</v>
      </c>
      <c r="F1" s="41" t="s">
        <v>120</v>
      </c>
      <c r="G1" s="41" t="s">
        <v>107</v>
      </c>
      <c r="H1" s="41" t="s">
        <v>103</v>
      </c>
      <c r="I1" s="41" t="s">
        <v>108</v>
      </c>
      <c r="J1" s="41" t="s">
        <v>109</v>
      </c>
      <c r="K1" s="41" t="s">
        <v>110</v>
      </c>
      <c r="L1" s="41" t="s">
        <v>8</v>
      </c>
      <c r="M1" s="41" t="s">
        <v>9</v>
      </c>
      <c r="N1" s="41" t="s">
        <v>11</v>
      </c>
      <c r="O1" s="41" t="s">
        <v>12</v>
      </c>
      <c r="P1" s="41" t="s">
        <v>13</v>
      </c>
      <c r="Q1" s="41" t="s">
        <v>15</v>
      </c>
      <c r="R1" s="41" t="s">
        <v>16</v>
      </c>
      <c r="S1" s="41" t="s">
        <v>111</v>
      </c>
      <c r="T1" s="41" t="s">
        <v>19</v>
      </c>
      <c r="U1" s="41" t="s">
        <v>20</v>
      </c>
      <c r="V1" s="41" t="s">
        <v>21</v>
      </c>
      <c r="W1" s="41" t="s">
        <v>87</v>
      </c>
      <c r="X1" s="41" t="s">
        <v>23</v>
      </c>
    </row>
    <row r="2" spans="1:24" s="3" customFormat="1" x14ac:dyDescent="0.25">
      <c r="A2" s="12" t="s">
        <v>92</v>
      </c>
      <c r="B2" s="12" t="s">
        <v>30</v>
      </c>
      <c r="C2" s="12" t="s">
        <v>116</v>
      </c>
      <c r="D2" s="13">
        <v>42767</v>
      </c>
      <c r="E2" s="13">
        <v>43100</v>
      </c>
      <c r="F2" s="46" t="str">
        <f>IFERROR(VLOOKUP(B:B,Revenue!C:AE,5,0),"-")</f>
        <v>T&amp;M</v>
      </c>
      <c r="G2" s="46">
        <f>IFERROR(VLOOKUP(B:B,Revenue!C:AE,4,0),"-")</f>
        <v>6200203927</v>
      </c>
      <c r="H2" s="43">
        <v>4650000</v>
      </c>
      <c r="I2" s="15">
        <f>SUM(K2:V2)</f>
        <v>0</v>
      </c>
      <c r="J2" s="44">
        <f t="shared" ref="J2:J27" si="0">H2-I2</f>
        <v>4650000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 t="s">
        <v>117</v>
      </c>
      <c r="X2" s="15"/>
    </row>
    <row r="3" spans="1:24" s="3" customFormat="1" x14ac:dyDescent="0.25">
      <c r="A3" s="12" t="s">
        <v>92</v>
      </c>
      <c r="B3" s="12" t="s">
        <v>36</v>
      </c>
      <c r="C3" s="12" t="s">
        <v>122</v>
      </c>
      <c r="D3" s="13">
        <v>42370</v>
      </c>
      <c r="E3" s="13">
        <v>43465</v>
      </c>
      <c r="F3" s="46" t="str">
        <f>IFERROR(VLOOKUP(B:B,Revenue!C:AE,5,0),"-")</f>
        <v>FPP</v>
      </c>
      <c r="G3" s="46">
        <f>IFERROR(VLOOKUP(B:B,Revenue!C:AE,4,0),"-")</f>
        <v>6200173452</v>
      </c>
      <c r="H3" s="43">
        <f>5.1*10^6</f>
        <v>5100000</v>
      </c>
      <c r="I3" s="15">
        <f t="shared" ref="I3:I27" si="1">SUM(K3:V3)</f>
        <v>2408333.333333333</v>
      </c>
      <c r="J3" s="44">
        <f t="shared" si="0"/>
        <v>2691666.666666667</v>
      </c>
      <c r="K3" s="15">
        <f>(H3/36)*16</f>
        <v>2266666.6666666665</v>
      </c>
      <c r="L3" s="15">
        <v>141666.66666666666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 t="s">
        <v>117</v>
      </c>
      <c r="X3" s="15"/>
    </row>
    <row r="4" spans="1:24" s="3" customFormat="1" x14ac:dyDescent="0.25">
      <c r="A4" s="12" t="s">
        <v>92</v>
      </c>
      <c r="B4" s="12" t="s">
        <v>42</v>
      </c>
      <c r="C4" s="12" t="s">
        <v>122</v>
      </c>
      <c r="D4" s="13">
        <v>42370</v>
      </c>
      <c r="E4" s="13">
        <v>43465</v>
      </c>
      <c r="F4" s="46" t="str">
        <f>IFERROR(VLOOKUP(B:B,Revenue!C:AE,5,0),"-")</f>
        <v>FPP</v>
      </c>
      <c r="G4" s="46">
        <f>IFERROR(VLOOKUP(B:B,Revenue!C:AE,4,0),"-")</f>
        <v>6200173452</v>
      </c>
      <c r="H4" s="43">
        <f>1.5*10^6</f>
        <v>1500000</v>
      </c>
      <c r="I4" s="15">
        <f t="shared" si="1"/>
        <v>708333.33333333326</v>
      </c>
      <c r="J4" s="44">
        <f t="shared" si="0"/>
        <v>791666.66666666674</v>
      </c>
      <c r="K4" s="15">
        <f>(H4/36)*16</f>
        <v>666666.66666666663</v>
      </c>
      <c r="L4" s="15">
        <v>41666.666666666664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 t="s">
        <v>117</v>
      </c>
      <c r="X4" s="15"/>
    </row>
    <row r="5" spans="1:24" s="3" customFormat="1" x14ac:dyDescent="0.25">
      <c r="A5" s="12" t="s">
        <v>92</v>
      </c>
      <c r="B5" s="12" t="s">
        <v>44</v>
      </c>
      <c r="C5" s="12" t="s">
        <v>121</v>
      </c>
      <c r="D5" s="13">
        <v>42856</v>
      </c>
      <c r="E5" s="13">
        <v>42916</v>
      </c>
      <c r="F5" s="46" t="str">
        <f>IFERROR(VLOOKUP(B:B,Revenue!C:AE,5,0),"-")</f>
        <v>T&amp;M</v>
      </c>
      <c r="G5" s="46">
        <f>IFERROR(VLOOKUP(B:B,Revenue!C:AE,4,0),"-")</f>
        <v>6200209340</v>
      </c>
      <c r="H5" s="43">
        <v>39191.43</v>
      </c>
      <c r="I5" s="15">
        <f t="shared" si="1"/>
        <v>0</v>
      </c>
      <c r="J5" s="44">
        <f t="shared" si="0"/>
        <v>39191.43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 t="s">
        <v>117</v>
      </c>
      <c r="X5" s="15"/>
    </row>
    <row r="6" spans="1:24" s="3" customFormat="1" x14ac:dyDescent="0.25">
      <c r="A6" s="12" t="s">
        <v>92</v>
      </c>
      <c r="B6" s="12" t="s">
        <v>46</v>
      </c>
      <c r="C6" s="12" t="s">
        <v>116</v>
      </c>
      <c r="D6" s="13">
        <v>42604</v>
      </c>
      <c r="E6" s="13">
        <v>42839</v>
      </c>
      <c r="F6" s="46" t="str">
        <f>IFERROR(VLOOKUP(B:B,Revenue!C:AE,5,0),"-")</f>
        <v>T&amp;M</v>
      </c>
      <c r="G6" s="46">
        <f>IFERROR(VLOOKUP(B:B,Revenue!C:AE,4,0),"-")</f>
        <v>6200190645</v>
      </c>
      <c r="H6" s="43">
        <v>175200</v>
      </c>
      <c r="I6" s="15">
        <f t="shared" si="1"/>
        <v>0</v>
      </c>
      <c r="J6" s="44">
        <f t="shared" si="0"/>
        <v>175200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 t="s">
        <v>117</v>
      </c>
      <c r="X6" s="15"/>
    </row>
    <row r="7" spans="1:24" s="3" customFormat="1" x14ac:dyDescent="0.25">
      <c r="A7" s="12" t="s">
        <v>92</v>
      </c>
      <c r="B7" s="12" t="s">
        <v>50</v>
      </c>
      <c r="C7" s="12" t="s">
        <v>123</v>
      </c>
      <c r="D7" s="13">
        <v>42826</v>
      </c>
      <c r="E7" s="13">
        <v>43008</v>
      </c>
      <c r="F7" s="46" t="str">
        <f>IFERROR(VLOOKUP(B:B,Revenue!C:AE,5,0),"-")</f>
        <v>FPP</v>
      </c>
      <c r="G7" s="46">
        <f>IFERROR(VLOOKUP(B:B,Revenue!C:AE,4,0),"-")</f>
        <v>6200207479</v>
      </c>
      <c r="H7" s="43">
        <v>62319</v>
      </c>
      <c r="I7" s="15">
        <f t="shared" si="1"/>
        <v>0</v>
      </c>
      <c r="J7" s="44">
        <f t="shared" si="0"/>
        <v>62319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 t="s">
        <v>117</v>
      </c>
      <c r="X7" s="15"/>
    </row>
    <row r="8" spans="1:24" s="3" customFormat="1" x14ac:dyDescent="0.25">
      <c r="A8" s="12" t="s">
        <v>92</v>
      </c>
      <c r="B8" s="12" t="s">
        <v>53</v>
      </c>
      <c r="C8" s="12" t="s">
        <v>124</v>
      </c>
      <c r="D8" s="13">
        <v>42681</v>
      </c>
      <c r="E8" s="13">
        <v>43125</v>
      </c>
      <c r="F8" s="46" t="str">
        <f>IFERROR(VLOOKUP(B:B,Revenue!C:AE,5,0),"-")</f>
        <v>T&amp;M</v>
      </c>
      <c r="G8" s="46">
        <f>IFERROR(VLOOKUP(B:B,Revenue!C:AE,4,0),"-")</f>
        <v>6200196568</v>
      </c>
      <c r="H8" s="43">
        <v>1243533.8799999999</v>
      </c>
      <c r="I8" s="15">
        <f t="shared" si="1"/>
        <v>0</v>
      </c>
      <c r="J8" s="44">
        <f t="shared" si="0"/>
        <v>1243533.8799999999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 t="s">
        <v>117</v>
      </c>
      <c r="X8" s="15"/>
    </row>
    <row r="9" spans="1:24" s="3" customFormat="1" x14ac:dyDescent="0.25">
      <c r="A9" s="12" t="s">
        <v>92</v>
      </c>
      <c r="B9" s="12" t="s">
        <v>55</v>
      </c>
      <c r="C9" s="12" t="s">
        <v>125</v>
      </c>
      <c r="D9" s="13">
        <v>42758</v>
      </c>
      <c r="E9" s="13">
        <v>42885</v>
      </c>
      <c r="F9" s="46" t="str">
        <f>IFERROR(VLOOKUP(B:B,Revenue!C:AE,5,0),"-")</f>
        <v>FPP</v>
      </c>
      <c r="G9" s="46">
        <f>IFERROR(VLOOKUP(B:B,Revenue!C:AE,4,0),"-")</f>
        <v>6200200550</v>
      </c>
      <c r="H9" s="43">
        <v>102900</v>
      </c>
      <c r="I9" s="15">
        <f t="shared" si="1"/>
        <v>102900</v>
      </c>
      <c r="J9" s="44">
        <f t="shared" si="0"/>
        <v>0</v>
      </c>
      <c r="K9" s="15">
        <v>102900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 t="s">
        <v>128</v>
      </c>
      <c r="X9" s="15" t="s">
        <v>129</v>
      </c>
    </row>
    <row r="10" spans="1:24" s="3" customFormat="1" x14ac:dyDescent="0.25">
      <c r="A10" s="12" t="s">
        <v>92</v>
      </c>
      <c r="B10" s="12" t="s">
        <v>126</v>
      </c>
      <c r="C10" s="12" t="s">
        <v>125</v>
      </c>
      <c r="D10" s="13">
        <v>42758</v>
      </c>
      <c r="E10" s="13">
        <v>42885</v>
      </c>
      <c r="F10" s="46" t="str">
        <f>IFERROR(VLOOKUP(B:B,Revenue!C:AE,5,0),"-")</f>
        <v>-</v>
      </c>
      <c r="G10" s="46">
        <v>6200201319</v>
      </c>
      <c r="H10" s="43">
        <v>174030</v>
      </c>
      <c r="I10" s="15">
        <f t="shared" ref="I10" si="2">SUM(K10:V10)</f>
        <v>174030</v>
      </c>
      <c r="J10" s="44">
        <f t="shared" ref="J10" si="3">H10-I10</f>
        <v>0</v>
      </c>
      <c r="K10" s="15">
        <v>174030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128</v>
      </c>
      <c r="X10" s="15" t="s">
        <v>129</v>
      </c>
    </row>
    <row r="11" spans="1:24" s="3" customFormat="1" x14ac:dyDescent="0.25">
      <c r="A11" s="12" t="s">
        <v>92</v>
      </c>
      <c r="B11" s="12" t="s">
        <v>83</v>
      </c>
      <c r="C11" s="12" t="s">
        <v>127</v>
      </c>
      <c r="D11" s="13"/>
      <c r="E11" s="13"/>
      <c r="F11" s="46" t="str">
        <f>IFERROR(VLOOKUP(B:B,Revenue!C:AE,5,0),"-")</f>
        <v>FPP</v>
      </c>
      <c r="G11" s="46">
        <v>6200203331</v>
      </c>
      <c r="H11" s="43">
        <v>69100</v>
      </c>
      <c r="I11" s="15">
        <f t="shared" ref="I11" si="4">SUM(K11:V11)</f>
        <v>70580.86</v>
      </c>
      <c r="J11" s="44">
        <f t="shared" ref="J11" si="5">H11-I11</f>
        <v>-1480.8600000000006</v>
      </c>
      <c r="K11" s="15">
        <v>70580.86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 t="s">
        <v>128</v>
      </c>
      <c r="X11" s="15" t="s">
        <v>131</v>
      </c>
    </row>
    <row r="12" spans="1:24" s="3" customFormat="1" x14ac:dyDescent="0.25">
      <c r="A12" s="12" t="s">
        <v>92</v>
      </c>
      <c r="B12" s="12" t="s">
        <v>58</v>
      </c>
      <c r="C12" s="12" t="s">
        <v>116</v>
      </c>
      <c r="D12" s="13">
        <v>42823</v>
      </c>
      <c r="E12" s="13">
        <v>42839</v>
      </c>
      <c r="F12" s="46" t="str">
        <f>IFERROR(VLOOKUP(B:B,Revenue!C:AE,5,0),"-")</f>
        <v>T&amp;M</v>
      </c>
      <c r="G12" s="46">
        <f>IFERROR(VLOOKUP(B:B,Revenue!C:AE,4,0),"-")</f>
        <v>6200206134</v>
      </c>
      <c r="H12" s="43">
        <v>14500</v>
      </c>
      <c r="I12" s="15">
        <f t="shared" si="1"/>
        <v>0</v>
      </c>
      <c r="J12" s="44">
        <f t="shared" si="0"/>
        <v>14500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 t="s">
        <v>117</v>
      </c>
      <c r="X12" s="15"/>
    </row>
    <row r="13" spans="1:24" s="3" customFormat="1" x14ac:dyDescent="0.25">
      <c r="A13" s="12" t="s">
        <v>92</v>
      </c>
      <c r="B13" s="12" t="s">
        <v>61</v>
      </c>
      <c r="C13" s="12" t="s">
        <v>122</v>
      </c>
      <c r="D13" s="13"/>
      <c r="E13" s="13"/>
      <c r="F13" s="46" t="str">
        <f>IFERROR(VLOOKUP(B:B,Revenue!C:AE,5,0),"-")</f>
        <v>FPP</v>
      </c>
      <c r="G13" s="46">
        <f>IFERROR(VLOOKUP(B:B,Revenue!C:AE,4,0),"-")</f>
        <v>4506383654</v>
      </c>
      <c r="H13" s="43">
        <v>35068</v>
      </c>
      <c r="I13" s="15">
        <f t="shared" si="1"/>
        <v>35068</v>
      </c>
      <c r="J13" s="44">
        <f t="shared" si="0"/>
        <v>0</v>
      </c>
      <c r="K13" s="15">
        <v>35068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 t="s">
        <v>117</v>
      </c>
      <c r="X13" s="15" t="s">
        <v>118</v>
      </c>
    </row>
    <row r="14" spans="1:24" s="3" customFormat="1" x14ac:dyDescent="0.25">
      <c r="A14" s="12" t="s">
        <v>92</v>
      </c>
      <c r="B14" s="12" t="s">
        <v>64</v>
      </c>
      <c r="C14" s="12"/>
      <c r="D14" s="13">
        <v>42870</v>
      </c>
      <c r="E14" s="13">
        <v>42972</v>
      </c>
      <c r="F14" s="46" t="str">
        <f>IFERROR(VLOOKUP(B:B,Revenue!C:AE,5,0),"-")</f>
        <v>FPP</v>
      </c>
      <c r="G14" s="46">
        <f>IFERROR(VLOOKUP(B:B,Revenue!C:AE,4,0),"-")</f>
        <v>6200208829</v>
      </c>
      <c r="H14" s="43">
        <v>184000</v>
      </c>
      <c r="I14" s="15">
        <f t="shared" si="1"/>
        <v>0</v>
      </c>
      <c r="J14" s="44">
        <f t="shared" si="0"/>
        <v>184000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 t="s">
        <v>117</v>
      </c>
      <c r="X14" s="15"/>
    </row>
    <row r="15" spans="1:24" s="3" customFormat="1" x14ac:dyDescent="0.25">
      <c r="A15" s="12" t="s">
        <v>92</v>
      </c>
      <c r="B15" s="12" t="s">
        <v>67</v>
      </c>
      <c r="C15" s="12" t="s">
        <v>116</v>
      </c>
      <c r="D15" s="13">
        <v>42863</v>
      </c>
      <c r="E15" s="13">
        <v>43038</v>
      </c>
      <c r="F15" s="46" t="str">
        <f>IFERROR(VLOOKUP(B:B,Revenue!C:AE,5,0),"-")</f>
        <v>T&amp;M</v>
      </c>
      <c r="G15" s="46">
        <f>IFERROR(VLOOKUP(B:B,Revenue!C:AE,4,0),"-")</f>
        <v>6200209820</v>
      </c>
      <c r="H15" s="43">
        <v>319068.75</v>
      </c>
      <c r="I15" s="15">
        <f t="shared" si="1"/>
        <v>0</v>
      </c>
      <c r="J15" s="44">
        <f t="shared" si="0"/>
        <v>319068.75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 t="s">
        <v>117</v>
      </c>
      <c r="X15" s="15"/>
    </row>
    <row r="16" spans="1:24" x14ac:dyDescent="0.25">
      <c r="A16" s="12" t="s">
        <v>92</v>
      </c>
      <c r="B16" s="12" t="s">
        <v>69</v>
      </c>
      <c r="C16" s="12" t="s">
        <v>116</v>
      </c>
      <c r="D16" s="13">
        <v>42842</v>
      </c>
      <c r="E16" s="13">
        <v>42967</v>
      </c>
      <c r="F16" s="46" t="str">
        <f>IFERROR(VLOOKUP(B:B,Revenue!C:AE,5,0),"-")</f>
        <v>T&amp;M</v>
      </c>
      <c r="G16" s="46">
        <f>IFERROR(VLOOKUP(B:B,Revenue!C:AE,4,0),"-")</f>
        <v>6200208412</v>
      </c>
      <c r="H16" s="43">
        <v>40425</v>
      </c>
      <c r="I16" s="15">
        <f t="shared" si="1"/>
        <v>17675</v>
      </c>
      <c r="J16" s="44">
        <f t="shared" si="0"/>
        <v>22750</v>
      </c>
      <c r="K16" s="15">
        <v>17675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 t="s">
        <v>117</v>
      </c>
      <c r="X16" s="15"/>
    </row>
    <row r="17" spans="1:24" s="3" customFormat="1" x14ac:dyDescent="0.25">
      <c r="A17" s="12" t="s">
        <v>92</v>
      </c>
      <c r="B17" s="12" t="s">
        <v>72</v>
      </c>
      <c r="C17" s="12"/>
      <c r="D17" s="13">
        <v>42828</v>
      </c>
      <c r="E17" s="13">
        <v>43008</v>
      </c>
      <c r="F17" s="46" t="str">
        <f>IFERROR(VLOOKUP(B:B,Revenue!C:AE,5,0),"-")</f>
        <v>FPP</v>
      </c>
      <c r="G17" s="46">
        <f>IFERROR(VLOOKUP(B:B,Revenue!C:AE,4,0),"-")</f>
        <v>6200205799</v>
      </c>
      <c r="H17" s="15">
        <v>205984</v>
      </c>
      <c r="I17" s="15">
        <f t="shared" si="1"/>
        <v>41196.800000000003</v>
      </c>
      <c r="J17" s="44">
        <f t="shared" si="0"/>
        <v>164787.20000000001</v>
      </c>
      <c r="K17" s="15">
        <f>H17*20%</f>
        <v>41196.800000000003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 t="s">
        <v>128</v>
      </c>
      <c r="X17" s="15" t="s">
        <v>130</v>
      </c>
    </row>
    <row r="18" spans="1:24" x14ac:dyDescent="0.25">
      <c r="A18" s="12" t="s">
        <v>92</v>
      </c>
      <c r="B18" s="12" t="s">
        <v>102</v>
      </c>
      <c r="C18" s="12"/>
      <c r="D18" s="13">
        <v>42870</v>
      </c>
      <c r="E18" s="13">
        <v>42996</v>
      </c>
      <c r="F18" s="46" t="str">
        <f>IFERROR(VLOOKUP(B:B,Revenue!C:AE,5,0),"-")</f>
        <v>FPP</v>
      </c>
      <c r="G18" s="46">
        <f>IFERROR(VLOOKUP(B:B,Revenue!C:AE,4,0),"-")</f>
        <v>6200211175</v>
      </c>
      <c r="H18" s="15">
        <v>24420</v>
      </c>
      <c r="I18" s="15">
        <f t="shared" si="1"/>
        <v>0</v>
      </c>
      <c r="J18" s="44">
        <f t="shared" si="0"/>
        <v>24420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 t="s">
        <v>117</v>
      </c>
      <c r="X18" s="15"/>
    </row>
    <row r="19" spans="1:24" x14ac:dyDescent="0.25">
      <c r="A19" s="12" t="s">
        <v>92</v>
      </c>
      <c r="B19" s="12" t="s">
        <v>114</v>
      </c>
      <c r="C19" s="12"/>
      <c r="D19" s="13">
        <v>42870</v>
      </c>
      <c r="E19" s="13">
        <v>43021</v>
      </c>
      <c r="F19" s="46" t="str">
        <f>IFERROR(VLOOKUP(B:B,Revenue!C:AE,5,0),"-")</f>
        <v>FPP</v>
      </c>
      <c r="G19" s="46">
        <f>IFERROR(VLOOKUP(B:B,Revenue!C:AE,4,0),"-")</f>
        <v>6200211174</v>
      </c>
      <c r="H19" s="15">
        <v>46213</v>
      </c>
      <c r="I19" s="15">
        <f t="shared" si="1"/>
        <v>0</v>
      </c>
      <c r="J19" s="44">
        <f t="shared" si="0"/>
        <v>46213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 t="s">
        <v>117</v>
      </c>
      <c r="X19" s="15"/>
    </row>
    <row r="20" spans="1:24" x14ac:dyDescent="0.25">
      <c r="A20" s="12" t="s">
        <v>92</v>
      </c>
      <c r="B20" s="12" t="s">
        <v>113</v>
      </c>
      <c r="C20" s="12"/>
      <c r="D20" s="13">
        <v>42870</v>
      </c>
      <c r="E20" s="13">
        <v>43021</v>
      </c>
      <c r="F20" s="46" t="str">
        <f>IFERROR(VLOOKUP(B:B,Revenue!C:AE,5,0),"-")</f>
        <v>FPP</v>
      </c>
      <c r="G20" s="46">
        <f>IFERROR(VLOOKUP(B:B,Revenue!C:AE,4,0),"-")</f>
        <v>6200211177</v>
      </c>
      <c r="H20" s="15">
        <v>55912</v>
      </c>
      <c r="I20" s="15">
        <f t="shared" si="1"/>
        <v>0</v>
      </c>
      <c r="J20" s="44">
        <f t="shared" si="0"/>
        <v>55912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 t="s">
        <v>117</v>
      </c>
      <c r="X20" s="15"/>
    </row>
    <row r="21" spans="1:24" x14ac:dyDescent="0.25">
      <c r="A21" s="12" t="s">
        <v>92</v>
      </c>
      <c r="B21" s="12" t="s">
        <v>115</v>
      </c>
      <c r="C21" s="12" t="s">
        <v>116</v>
      </c>
      <c r="D21" s="13">
        <v>42870</v>
      </c>
      <c r="E21" s="13">
        <v>43021</v>
      </c>
      <c r="F21" s="46" t="str">
        <f>IFERROR(VLOOKUP(B:B,Revenue!C:AE,5,0),"-")</f>
        <v>T&amp;M</v>
      </c>
      <c r="G21" s="46">
        <f>IFERROR(VLOOKUP(B:B,Revenue!C:AE,4,0),"-")</f>
        <v>6200211176</v>
      </c>
      <c r="H21" s="15">
        <v>33250</v>
      </c>
      <c r="I21" s="15">
        <f t="shared" si="1"/>
        <v>0</v>
      </c>
      <c r="J21" s="44">
        <f t="shared" si="0"/>
        <v>33250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 t="s">
        <v>117</v>
      </c>
      <c r="X21" s="15"/>
    </row>
    <row r="22" spans="1:24" s="3" customFormat="1" x14ac:dyDescent="0.25">
      <c r="A22" s="12" t="s">
        <v>92</v>
      </c>
      <c r="B22" s="12" t="s">
        <v>82</v>
      </c>
      <c r="C22" s="12" t="s">
        <v>116</v>
      </c>
      <c r="D22" s="13">
        <v>42887</v>
      </c>
      <c r="E22" s="13">
        <v>42977</v>
      </c>
      <c r="F22" s="46" t="str">
        <f>IFERROR(VLOOKUP(B:B,Revenue!C:AE,5,0),"-")</f>
        <v>T&amp;M</v>
      </c>
      <c r="G22" s="46">
        <f>IFERROR(VLOOKUP(B:B,Revenue!C:AE,4,0),"-")</f>
        <v>6200211186</v>
      </c>
      <c r="H22" s="15">
        <v>18392</v>
      </c>
      <c r="I22" s="15">
        <f t="shared" si="1"/>
        <v>0</v>
      </c>
      <c r="J22" s="44">
        <f t="shared" si="0"/>
        <v>18392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 t="s">
        <v>117</v>
      </c>
      <c r="X22" s="15"/>
    </row>
    <row r="23" spans="1:24" s="3" customFormat="1" x14ac:dyDescent="0.25">
      <c r="A23" s="12"/>
      <c r="B23" s="12"/>
      <c r="C23" s="12"/>
      <c r="D23" s="13"/>
      <c r="E23" s="13"/>
      <c r="F23" s="46" t="str">
        <f>IFERROR(VLOOKUP(B:B,Revenue!C:AE,5,0),"-")</f>
        <v>-</v>
      </c>
      <c r="G23" s="46" t="str">
        <f>IFERROR(VLOOKUP(B:B,Revenue!C:AE,4,0),"-")</f>
        <v>-</v>
      </c>
      <c r="H23" s="15"/>
      <c r="I23" s="15">
        <f t="shared" si="1"/>
        <v>0</v>
      </c>
      <c r="J23" s="44">
        <f t="shared" si="0"/>
        <v>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 t="s">
        <v>117</v>
      </c>
      <c r="X23" s="15"/>
    </row>
    <row r="24" spans="1:24" s="3" customFormat="1" x14ac:dyDescent="0.25">
      <c r="A24" s="12"/>
      <c r="B24" s="12"/>
      <c r="C24" s="12"/>
      <c r="D24" s="13"/>
      <c r="E24" s="13"/>
      <c r="F24" s="46" t="str">
        <f>IFERROR(VLOOKUP(B:B,Revenue!C:AE,5,0),"-")</f>
        <v>-</v>
      </c>
      <c r="G24" s="46" t="str">
        <f>IFERROR(VLOOKUP(B:B,Revenue!C:AE,4,0),"-")</f>
        <v>-</v>
      </c>
      <c r="H24" s="43"/>
      <c r="I24" s="15">
        <f t="shared" si="1"/>
        <v>0</v>
      </c>
      <c r="J24" s="44">
        <f t="shared" si="0"/>
        <v>0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 t="s">
        <v>117</v>
      </c>
      <c r="X24" s="15"/>
    </row>
    <row r="25" spans="1:24" s="3" customFormat="1" x14ac:dyDescent="0.25">
      <c r="A25" s="12"/>
      <c r="B25" s="12"/>
      <c r="C25" s="12"/>
      <c r="D25" s="13"/>
      <c r="E25" s="13"/>
      <c r="F25" s="46" t="str">
        <f>IFERROR(VLOOKUP(B:B,Revenue!C:AE,5,0),"-")</f>
        <v>-</v>
      </c>
      <c r="G25" s="46" t="str">
        <f>IFERROR(VLOOKUP(B:B,Revenue!C:AE,4,0),"-")</f>
        <v>-</v>
      </c>
      <c r="H25" s="43"/>
      <c r="I25" s="15">
        <f t="shared" si="1"/>
        <v>0</v>
      </c>
      <c r="J25" s="44">
        <f t="shared" si="0"/>
        <v>0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 t="s">
        <v>117</v>
      </c>
      <c r="X25" s="15"/>
    </row>
    <row r="26" spans="1:24" s="3" customFormat="1" x14ac:dyDescent="0.25">
      <c r="A26" s="12"/>
      <c r="B26" s="12"/>
      <c r="C26" s="12"/>
      <c r="D26" s="13"/>
      <c r="E26" s="13"/>
      <c r="F26" s="46" t="str">
        <f>IFERROR(VLOOKUP(B:B,Revenue!C:AE,5,0),"-")</f>
        <v>-</v>
      </c>
      <c r="G26" s="46" t="str">
        <f>IFERROR(VLOOKUP(B:B,Revenue!C:AE,4,0),"-")</f>
        <v>-</v>
      </c>
      <c r="H26" s="43"/>
      <c r="I26" s="15">
        <f t="shared" si="1"/>
        <v>0</v>
      </c>
      <c r="J26" s="44">
        <f t="shared" si="0"/>
        <v>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 t="s">
        <v>117</v>
      </c>
      <c r="X26" s="15"/>
    </row>
    <row r="27" spans="1:24" s="3" customFormat="1" x14ac:dyDescent="0.25">
      <c r="A27" s="12"/>
      <c r="B27" s="12" t="s">
        <v>119</v>
      </c>
      <c r="C27" s="12"/>
      <c r="D27" s="13"/>
      <c r="E27" s="13"/>
      <c r="F27" s="46" t="str">
        <f>IFERROR(VLOOKUP(B:B,Revenue!C:AE,5,0),"-")</f>
        <v>-</v>
      </c>
      <c r="G27" s="46" t="str">
        <f>IFERROR(VLOOKUP(B:B,Revenue!C:AE,4,0),"-")</f>
        <v>-</v>
      </c>
      <c r="H27" s="43"/>
      <c r="I27" s="15">
        <f t="shared" si="1"/>
        <v>0</v>
      </c>
      <c r="J27" s="44">
        <f t="shared" si="0"/>
        <v>0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 t="s">
        <v>117</v>
      </c>
      <c r="X27" s="15"/>
    </row>
  </sheetData>
  <autoFilter ref="A1:X27"/>
  <conditionalFormatting sqref="J2:J27">
    <cfRule type="cellIs" dxfId="0" priority="2" operator="lessThan">
      <formula>0</formula>
    </cfRule>
  </conditionalFormatting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C1" workbookViewId="0">
      <pane ySplit="1" topLeftCell="A8" activePane="bottomLeft" state="frozen"/>
      <selection pane="bottomLeft" activeCell="F20" sqref="F20"/>
    </sheetView>
  </sheetViews>
  <sheetFormatPr defaultRowHeight="15" x14ac:dyDescent="0.25"/>
  <cols>
    <col min="1" max="1" width="11.85546875" bestFit="1" customWidth="1"/>
    <col min="2" max="2" width="43.140625" bestFit="1" customWidth="1"/>
    <col min="3" max="3" width="8.5703125" bestFit="1" customWidth="1"/>
    <col min="4" max="4" width="16" bestFit="1" customWidth="1"/>
    <col min="5" max="5" width="23.5703125" bestFit="1" customWidth="1"/>
    <col min="6" max="6" width="16.140625" bestFit="1" customWidth="1"/>
    <col min="7" max="7" width="10.42578125" bestFit="1" customWidth="1"/>
    <col min="8" max="8" width="13.5703125" bestFit="1" customWidth="1"/>
    <col min="9" max="9" width="15.42578125" bestFit="1" customWidth="1"/>
    <col min="10" max="10" width="14.140625" bestFit="1" customWidth="1"/>
    <col min="11" max="11" width="22" style="36" bestFit="1" customWidth="1"/>
    <col min="12" max="12" width="15.7109375" bestFit="1" customWidth="1"/>
    <col min="13" max="13" width="12.28515625" bestFit="1" customWidth="1"/>
  </cols>
  <sheetData>
    <row r="1" spans="1:13" x14ac:dyDescent="0.25">
      <c r="A1" s="42" t="s">
        <v>91</v>
      </c>
      <c r="B1" s="42" t="s">
        <v>132</v>
      </c>
      <c r="C1" s="42" t="s">
        <v>133</v>
      </c>
      <c r="D1" s="42" t="s">
        <v>134</v>
      </c>
      <c r="E1" s="42" t="s">
        <v>141</v>
      </c>
      <c r="F1" s="42" t="s">
        <v>139</v>
      </c>
      <c r="G1" s="42" t="s">
        <v>87</v>
      </c>
      <c r="H1" s="42" t="s">
        <v>135</v>
      </c>
      <c r="I1" s="42" t="s">
        <v>140</v>
      </c>
      <c r="J1" s="42" t="s">
        <v>138</v>
      </c>
      <c r="K1" s="48" t="s">
        <v>136</v>
      </c>
      <c r="L1" s="42" t="s">
        <v>137</v>
      </c>
      <c r="M1" s="42" t="s">
        <v>23</v>
      </c>
    </row>
    <row r="2" spans="1:13" x14ac:dyDescent="0.25">
      <c r="A2" s="39" t="s">
        <v>92</v>
      </c>
      <c r="B2" s="39"/>
      <c r="C2" s="39"/>
      <c r="D2" s="39"/>
      <c r="E2" s="39"/>
      <c r="F2" s="39"/>
      <c r="G2" s="39"/>
      <c r="H2" s="39"/>
      <c r="J2" s="39">
        <v>110</v>
      </c>
      <c r="K2" s="49">
        <v>42880</v>
      </c>
      <c r="L2" s="50">
        <f t="shared" ref="L2:L29" ca="1" si="0">IF(K2&lt;TODAY(),(NETWORKDAYS(K2,TODAY())*J2*8.75),0)</f>
        <v>3850</v>
      </c>
      <c r="M2" s="39"/>
    </row>
    <row r="3" spans="1:13" x14ac:dyDescent="0.25">
      <c r="A3" s="39"/>
      <c r="B3" s="39"/>
      <c r="C3" s="39"/>
      <c r="D3" s="39"/>
      <c r="E3" s="39"/>
      <c r="F3" s="39"/>
      <c r="G3" s="39"/>
      <c r="H3" s="39"/>
      <c r="I3" s="39"/>
      <c r="J3" s="39">
        <v>110</v>
      </c>
      <c r="K3" s="49">
        <v>42886</v>
      </c>
      <c r="L3" s="50">
        <f t="shared" ca="1" si="0"/>
        <v>0</v>
      </c>
      <c r="M3" s="39"/>
    </row>
    <row r="4" spans="1:13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49"/>
      <c r="L4" s="50">
        <f t="shared" ca="1" si="0"/>
        <v>0</v>
      </c>
      <c r="M4" s="39"/>
    </row>
    <row r="5" spans="1:1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49"/>
      <c r="L5" s="50">
        <f t="shared" ca="1" si="0"/>
        <v>0</v>
      </c>
      <c r="M5" s="39"/>
    </row>
    <row r="6" spans="1:13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49"/>
      <c r="L6" s="50">
        <f t="shared" ca="1" si="0"/>
        <v>0</v>
      </c>
      <c r="M6" s="39"/>
    </row>
    <row r="7" spans="1:13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49"/>
      <c r="L7" s="50">
        <f t="shared" ca="1" si="0"/>
        <v>0</v>
      </c>
      <c r="M7" s="39"/>
    </row>
    <row r="8" spans="1:13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49"/>
      <c r="L8" s="50">
        <f t="shared" ca="1" si="0"/>
        <v>0</v>
      </c>
      <c r="M8" s="39"/>
    </row>
    <row r="9" spans="1:13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49"/>
      <c r="L9" s="50">
        <f t="shared" ca="1" si="0"/>
        <v>0</v>
      </c>
      <c r="M9" s="39"/>
    </row>
    <row r="10" spans="1:1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49"/>
      <c r="L10" s="50">
        <f t="shared" ca="1" si="0"/>
        <v>0</v>
      </c>
      <c r="M10" s="39"/>
    </row>
    <row r="11" spans="1:1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49"/>
      <c r="L11" s="50">
        <f t="shared" ca="1" si="0"/>
        <v>0</v>
      </c>
      <c r="M11" s="39"/>
    </row>
    <row r="12" spans="1:13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49"/>
      <c r="L12" s="50">
        <f t="shared" ca="1" si="0"/>
        <v>0</v>
      </c>
      <c r="M12" s="39"/>
    </row>
    <row r="13" spans="1:13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49"/>
      <c r="L13" s="50">
        <f t="shared" ca="1" si="0"/>
        <v>0</v>
      </c>
      <c r="M13" s="39"/>
    </row>
    <row r="14" spans="1:13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49"/>
      <c r="L14" s="50">
        <f t="shared" ca="1" si="0"/>
        <v>0</v>
      </c>
      <c r="M14" s="39"/>
    </row>
    <row r="15" spans="1:13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49"/>
      <c r="L15" s="50">
        <f t="shared" ca="1" si="0"/>
        <v>0</v>
      </c>
      <c r="M15" s="39"/>
    </row>
    <row r="16" spans="1:1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49"/>
      <c r="L16" s="50">
        <f t="shared" ca="1" si="0"/>
        <v>0</v>
      </c>
      <c r="M16" s="39"/>
    </row>
    <row r="17" spans="1:13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49"/>
      <c r="L17" s="50">
        <f t="shared" ca="1" si="0"/>
        <v>0</v>
      </c>
      <c r="M17" s="39"/>
    </row>
    <row r="18" spans="1:13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49"/>
      <c r="L18" s="50">
        <f t="shared" ca="1" si="0"/>
        <v>0</v>
      </c>
      <c r="M18" s="39"/>
    </row>
    <row r="19" spans="1:13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49"/>
      <c r="L19" s="50">
        <f t="shared" ca="1" si="0"/>
        <v>0</v>
      </c>
      <c r="M19" s="39"/>
    </row>
    <row r="20" spans="1:13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49"/>
      <c r="L20" s="50">
        <f t="shared" ca="1" si="0"/>
        <v>0</v>
      </c>
      <c r="M20" s="39"/>
    </row>
    <row r="21" spans="1:13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49"/>
      <c r="L21" s="50">
        <f t="shared" ca="1" si="0"/>
        <v>0</v>
      </c>
      <c r="M21" s="39"/>
    </row>
    <row r="22" spans="1:13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49"/>
      <c r="L22" s="50">
        <f t="shared" ca="1" si="0"/>
        <v>0</v>
      </c>
      <c r="M22" s="39"/>
    </row>
    <row r="23" spans="1:13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49"/>
      <c r="L23" s="50">
        <f t="shared" ca="1" si="0"/>
        <v>0</v>
      </c>
      <c r="M23" s="39"/>
    </row>
    <row r="24" spans="1:13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49"/>
      <c r="L24" s="50">
        <f t="shared" ca="1" si="0"/>
        <v>0</v>
      </c>
      <c r="M24" s="39"/>
    </row>
    <row r="25" spans="1:13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49"/>
      <c r="L25" s="50">
        <f t="shared" ca="1" si="0"/>
        <v>0</v>
      </c>
      <c r="M25" s="39"/>
    </row>
    <row r="26" spans="1:13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49"/>
      <c r="L26" s="50">
        <f t="shared" ca="1" si="0"/>
        <v>0</v>
      </c>
      <c r="M26" s="39"/>
    </row>
    <row r="27" spans="1:13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49"/>
      <c r="L27" s="50">
        <f t="shared" ca="1" si="0"/>
        <v>0</v>
      </c>
      <c r="M27" s="39"/>
    </row>
    <row r="28" spans="1:13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49"/>
      <c r="L28" s="50">
        <f t="shared" ca="1" si="0"/>
        <v>0</v>
      </c>
      <c r="M28" s="39"/>
    </row>
    <row r="29" spans="1:13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49"/>
      <c r="L29" s="50">
        <f t="shared" ca="1" si="0"/>
        <v>0</v>
      </c>
      <c r="M29" s="39"/>
    </row>
    <row r="30" spans="1:13" x14ac:dyDescent="0.25">
      <c r="A30" s="39"/>
      <c r="B30" s="12" t="s">
        <v>119</v>
      </c>
      <c r="C30" s="39"/>
      <c r="D30" s="39"/>
      <c r="E30" s="39"/>
      <c r="F30" s="39"/>
      <c r="G30" s="39"/>
      <c r="H30" s="39"/>
      <c r="I30" s="39"/>
      <c r="J30" s="39"/>
      <c r="K30" s="49"/>
      <c r="L30" s="39"/>
      <c r="M30" s="39"/>
    </row>
  </sheetData>
  <autoFilter ref="A1:M30"/>
  <dataValidations count="3">
    <dataValidation type="list" allowBlank="1" showInputMessage="1" showErrorMessage="1" sqref="G2:G29">
      <formula1>"Open, Closed"</formula1>
    </dataValidation>
    <dataValidation type="list" allowBlank="1" showInputMessage="1" showErrorMessage="1" sqref="H2:H29">
      <formula1>"FPP, T&amp;M"</formula1>
    </dataValidation>
    <dataValidation type="list" allowBlank="1" showInputMessage="1" showErrorMessage="1" sqref="I2:I29">
      <formula1>"Replacement, New Project, Attrition"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sqref="A1:XFD1048576"/>
    </sheetView>
  </sheetViews>
  <sheetFormatPr defaultRowHeight="15" x14ac:dyDescent="0.25"/>
  <cols>
    <col min="1" max="1" width="40.7109375" bestFit="1" customWidth="1"/>
    <col min="2" max="2" width="7.28515625" bestFit="1" customWidth="1"/>
    <col min="3" max="3" width="13.140625" bestFit="1" customWidth="1"/>
    <col min="4" max="4" width="11.85546875" bestFit="1" customWidth="1"/>
    <col min="5" max="5" width="12.28515625" style="36" bestFit="1" customWidth="1"/>
    <col min="6" max="6" width="7.5703125" style="36" bestFit="1" customWidth="1"/>
    <col min="7" max="7" width="5.85546875" style="36" bestFit="1" customWidth="1"/>
    <col min="8" max="9" width="13.28515625" bestFit="1" customWidth="1"/>
    <col min="10" max="10" width="12.42578125" bestFit="1" customWidth="1"/>
    <col min="11" max="11" width="13.28515625" bestFit="1" customWidth="1"/>
    <col min="12" max="14" width="12.42578125" bestFit="1" customWidth="1"/>
    <col min="15" max="15" width="13.28515625" bestFit="1" customWidth="1"/>
    <col min="16" max="19" width="12.42578125" bestFit="1" customWidth="1"/>
    <col min="20" max="23" width="12.140625" bestFit="1" customWidth="1"/>
    <col min="24" max="24" width="75.42578125" bestFit="1" customWidth="1"/>
    <col min="25" max="25" width="40.140625" customWidth="1"/>
    <col min="27" max="27" width="16" bestFit="1" customWidth="1"/>
    <col min="28" max="28" width="11.5703125" bestFit="1" customWidth="1"/>
  </cols>
  <sheetData>
    <row r="1" spans="1:2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/>
      <c r="AA1" s="51" t="s">
        <v>24</v>
      </c>
      <c r="AB1" s="52"/>
    </row>
    <row r="2" spans="1:28" s="3" customFormat="1" x14ac:dyDescent="0.25">
      <c r="A2" s="12" t="s">
        <v>30</v>
      </c>
      <c r="B2" s="12" t="s">
        <v>31</v>
      </c>
      <c r="C2" s="12">
        <v>6200203927</v>
      </c>
      <c r="D2" s="12" t="s">
        <v>32</v>
      </c>
      <c r="E2" s="13">
        <v>42886</v>
      </c>
      <c r="F2" s="14">
        <v>0.4</v>
      </c>
      <c r="G2" s="13" t="s">
        <v>33</v>
      </c>
      <c r="H2" s="15">
        <v>771743.53</v>
      </c>
      <c r="I2" s="16">
        <v>750000</v>
      </c>
      <c r="J2" s="15">
        <v>0</v>
      </c>
      <c r="K2" s="17">
        <f t="shared" ref="K2:K8" si="0">SUM(H2:J2)</f>
        <v>1521743.53</v>
      </c>
      <c r="L2" s="15">
        <v>0</v>
      </c>
      <c r="M2" s="15">
        <v>0</v>
      </c>
      <c r="N2" s="15">
        <v>0</v>
      </c>
      <c r="O2" s="17">
        <f t="shared" ref="O2:O7" si="1">SUM(L2:N2)</f>
        <v>0</v>
      </c>
      <c r="P2" s="15"/>
      <c r="Q2" s="16"/>
      <c r="R2" s="15"/>
      <c r="S2" s="17">
        <f t="shared" ref="S2:S7" si="2">SUM(P2:R2)</f>
        <v>0</v>
      </c>
      <c r="T2" s="15"/>
      <c r="U2" s="16"/>
      <c r="V2" s="15"/>
      <c r="W2" s="17">
        <f t="shared" ref="W2:W7" si="3">SUM(T2:V2)</f>
        <v>0</v>
      </c>
      <c r="X2" s="18" t="s">
        <v>34</v>
      </c>
      <c r="Y2" s="2"/>
      <c r="AA2" s="19" t="s">
        <v>35</v>
      </c>
      <c r="AB2" s="20">
        <v>228945</v>
      </c>
    </row>
    <row r="3" spans="1:28" s="3" customFormat="1" x14ac:dyDescent="0.25">
      <c r="A3" s="12" t="s">
        <v>36</v>
      </c>
      <c r="B3" s="12" t="s">
        <v>37</v>
      </c>
      <c r="C3" s="12">
        <v>6200173452</v>
      </c>
      <c r="D3" s="12" t="s">
        <v>38</v>
      </c>
      <c r="E3" s="13">
        <v>43465</v>
      </c>
      <c r="F3" s="14">
        <v>0</v>
      </c>
      <c r="G3" s="13" t="s">
        <v>39</v>
      </c>
      <c r="H3" s="15">
        <v>134125</v>
      </c>
      <c r="I3" s="15">
        <v>134125</v>
      </c>
      <c r="J3" s="15">
        <v>134125</v>
      </c>
      <c r="K3" s="17">
        <f t="shared" si="0"/>
        <v>402375</v>
      </c>
      <c r="L3" s="15">
        <v>134125</v>
      </c>
      <c r="M3" s="15">
        <v>134125</v>
      </c>
      <c r="N3" s="15">
        <v>134125</v>
      </c>
      <c r="O3" s="17">
        <f t="shared" si="1"/>
        <v>402375</v>
      </c>
      <c r="P3" s="15">
        <v>134125</v>
      </c>
      <c r="Q3" s="15">
        <v>134125</v>
      </c>
      <c r="R3" s="15">
        <v>134125</v>
      </c>
      <c r="S3" s="17">
        <f t="shared" si="2"/>
        <v>402375</v>
      </c>
      <c r="T3" s="15">
        <v>134125</v>
      </c>
      <c r="U3" s="15">
        <v>134125</v>
      </c>
      <c r="V3" s="15">
        <v>134125</v>
      </c>
      <c r="W3" s="17">
        <f t="shared" si="3"/>
        <v>402375</v>
      </c>
      <c r="X3" s="18" t="s">
        <v>40</v>
      </c>
      <c r="Y3" s="2"/>
      <c r="AA3" s="19" t="s">
        <v>41</v>
      </c>
      <c r="AB3" s="20">
        <v>178180</v>
      </c>
    </row>
    <row r="4" spans="1:28" s="3" customFormat="1" x14ac:dyDescent="0.25">
      <c r="A4" s="12" t="s">
        <v>42</v>
      </c>
      <c r="B4" s="12" t="s">
        <v>37</v>
      </c>
      <c r="C4" s="12">
        <v>6200173452</v>
      </c>
      <c r="D4" s="12" t="s">
        <v>38</v>
      </c>
      <c r="E4" s="13">
        <v>43465</v>
      </c>
      <c r="F4" s="14">
        <v>0</v>
      </c>
      <c r="G4" s="13" t="s">
        <v>39</v>
      </c>
      <c r="H4" s="15">
        <v>41666.666666666664</v>
      </c>
      <c r="I4" s="15">
        <v>41666.666666666664</v>
      </c>
      <c r="J4" s="15">
        <v>41666.666666666664</v>
      </c>
      <c r="K4" s="17">
        <f t="shared" si="0"/>
        <v>125000</v>
      </c>
      <c r="L4" s="15">
        <v>41666.666666666664</v>
      </c>
      <c r="M4" s="15">
        <v>41666.666666666664</v>
      </c>
      <c r="N4" s="15">
        <v>41666.666666666664</v>
      </c>
      <c r="O4" s="17">
        <f t="shared" si="1"/>
        <v>125000</v>
      </c>
      <c r="P4" s="15">
        <v>41666.666666666664</v>
      </c>
      <c r="Q4" s="15">
        <v>41666.666666666664</v>
      </c>
      <c r="R4" s="15">
        <v>41666.666666666664</v>
      </c>
      <c r="S4" s="17">
        <f t="shared" si="2"/>
        <v>125000</v>
      </c>
      <c r="T4" s="15">
        <v>41666.666666666664</v>
      </c>
      <c r="U4" s="15">
        <v>41666.666666666664</v>
      </c>
      <c r="V4" s="15">
        <v>41666.666666666664</v>
      </c>
      <c r="W4" s="17">
        <f t="shared" si="3"/>
        <v>125000</v>
      </c>
      <c r="X4" s="18" t="s">
        <v>40</v>
      </c>
      <c r="Y4" s="2"/>
      <c r="AA4" s="19" t="s">
        <v>43</v>
      </c>
      <c r="AB4" s="20">
        <v>187089</v>
      </c>
    </row>
    <row r="5" spans="1:28" s="3" customFormat="1" x14ac:dyDescent="0.25">
      <c r="A5" s="12" t="s">
        <v>44</v>
      </c>
      <c r="B5" s="12" t="s">
        <v>45</v>
      </c>
      <c r="C5" s="12">
        <v>6200209340</v>
      </c>
      <c r="D5" s="12" t="s">
        <v>32</v>
      </c>
      <c r="E5" s="13">
        <v>42855</v>
      </c>
      <c r="F5" s="14">
        <v>0</v>
      </c>
      <c r="G5" s="13" t="s">
        <v>33</v>
      </c>
      <c r="H5" s="15">
        <f>-18659.2+34185.03</f>
        <v>15525.829999999998</v>
      </c>
      <c r="I5" s="15">
        <f>34000</f>
        <v>34000</v>
      </c>
      <c r="J5" s="15">
        <v>0</v>
      </c>
      <c r="K5" s="17">
        <f t="shared" si="0"/>
        <v>49525.83</v>
      </c>
      <c r="L5" s="15">
        <v>0</v>
      </c>
      <c r="M5" s="15">
        <v>0</v>
      </c>
      <c r="N5" s="15">
        <v>0</v>
      </c>
      <c r="O5" s="17">
        <f t="shared" si="1"/>
        <v>0</v>
      </c>
      <c r="P5" s="15"/>
      <c r="Q5" s="15"/>
      <c r="R5" s="15"/>
      <c r="S5" s="17">
        <f t="shared" si="2"/>
        <v>0</v>
      </c>
      <c r="T5" s="15"/>
      <c r="U5" s="15"/>
      <c r="V5" s="15"/>
      <c r="W5" s="17">
        <f t="shared" si="3"/>
        <v>0</v>
      </c>
      <c r="X5" s="18" t="s">
        <v>34</v>
      </c>
      <c r="Y5" s="2"/>
      <c r="AA5" s="19"/>
      <c r="AB5" s="20"/>
    </row>
    <row r="6" spans="1:28" s="3" customFormat="1" x14ac:dyDescent="0.25">
      <c r="A6" s="12" t="s">
        <v>46</v>
      </c>
      <c r="B6" s="12" t="s">
        <v>47</v>
      </c>
      <c r="C6" s="12">
        <v>6200190645</v>
      </c>
      <c r="D6" s="12" t="s">
        <v>32</v>
      </c>
      <c r="E6" s="13">
        <v>42869</v>
      </c>
      <c r="F6" s="14">
        <v>1</v>
      </c>
      <c r="G6" s="13" t="s">
        <v>33</v>
      </c>
      <c r="H6" s="15">
        <f>8800+8800</f>
        <v>17600</v>
      </c>
      <c r="I6" s="15">
        <f>-8800+(110*8*20)</f>
        <v>8800</v>
      </c>
      <c r="J6" s="15">
        <v>0</v>
      </c>
      <c r="K6" s="17">
        <f t="shared" si="0"/>
        <v>26400</v>
      </c>
      <c r="L6" s="15">
        <v>0</v>
      </c>
      <c r="M6" s="15">
        <v>0</v>
      </c>
      <c r="N6" s="15">
        <v>0</v>
      </c>
      <c r="O6" s="17">
        <f t="shared" si="1"/>
        <v>0</v>
      </c>
      <c r="P6" s="15"/>
      <c r="Q6" s="15"/>
      <c r="R6" s="15"/>
      <c r="S6" s="17">
        <f t="shared" si="2"/>
        <v>0</v>
      </c>
      <c r="T6" s="15"/>
      <c r="U6" s="15"/>
      <c r="V6" s="15"/>
      <c r="W6" s="17">
        <f t="shared" si="3"/>
        <v>0</v>
      </c>
      <c r="X6" s="18" t="s">
        <v>48</v>
      </c>
      <c r="Y6" s="2"/>
      <c r="AA6" s="19" t="s">
        <v>49</v>
      </c>
      <c r="AB6" s="20">
        <f>SUM(AB2:AB5)</f>
        <v>594214</v>
      </c>
    </row>
    <row r="7" spans="1:28" s="3" customFormat="1" x14ac:dyDescent="0.25">
      <c r="A7" s="12" t="s">
        <v>50</v>
      </c>
      <c r="B7" s="12" t="s">
        <v>45</v>
      </c>
      <c r="C7" s="12">
        <v>6200207479</v>
      </c>
      <c r="D7" s="12" t="s">
        <v>38</v>
      </c>
      <c r="E7" s="13">
        <v>42978</v>
      </c>
      <c r="F7" s="14">
        <v>1</v>
      </c>
      <c r="G7" s="13" t="s">
        <v>33</v>
      </c>
      <c r="H7" s="15">
        <v>12464</v>
      </c>
      <c r="I7" s="15">
        <v>12464</v>
      </c>
      <c r="J7" s="15">
        <v>12464</v>
      </c>
      <c r="K7" s="17">
        <f t="shared" si="0"/>
        <v>37392</v>
      </c>
      <c r="L7" s="15">
        <v>12464</v>
      </c>
      <c r="M7" s="15">
        <v>12464</v>
      </c>
      <c r="N7" s="15"/>
      <c r="O7" s="17">
        <f t="shared" si="1"/>
        <v>24928</v>
      </c>
      <c r="P7" s="15"/>
      <c r="Q7" s="15"/>
      <c r="R7" s="15"/>
      <c r="S7" s="17">
        <f t="shared" si="2"/>
        <v>0</v>
      </c>
      <c r="T7" s="15"/>
      <c r="U7" s="15"/>
      <c r="V7" s="15"/>
      <c r="W7" s="17">
        <f t="shared" si="3"/>
        <v>0</v>
      </c>
      <c r="X7" s="18" t="s">
        <v>51</v>
      </c>
      <c r="Y7" s="2"/>
      <c r="AA7" s="19" t="s">
        <v>52</v>
      </c>
      <c r="AB7" s="20">
        <f>AB6/36</f>
        <v>16505.944444444445</v>
      </c>
    </row>
    <row r="8" spans="1:28" s="3" customFormat="1" x14ac:dyDescent="0.25">
      <c r="A8" s="12" t="s">
        <v>53</v>
      </c>
      <c r="B8" s="12" t="s">
        <v>45</v>
      </c>
      <c r="C8" s="12">
        <v>6200196568</v>
      </c>
      <c r="D8" s="12" t="s">
        <v>32</v>
      </c>
      <c r="E8" s="13">
        <v>43100</v>
      </c>
      <c r="F8" s="14">
        <v>1</v>
      </c>
      <c r="G8" s="13" t="s">
        <v>33</v>
      </c>
      <c r="H8" s="15">
        <f>-19024.25+105822.03</f>
        <v>86797.78</v>
      </c>
      <c r="I8" s="15">
        <v>80000</v>
      </c>
      <c r="J8" s="15">
        <v>80000</v>
      </c>
      <c r="K8" s="17">
        <f t="shared" si="0"/>
        <v>246797.78</v>
      </c>
      <c r="L8" s="15">
        <v>80000</v>
      </c>
      <c r="M8" s="15">
        <v>80000</v>
      </c>
      <c r="N8" s="15">
        <v>80000</v>
      </c>
      <c r="O8" s="17">
        <f>SUM(L8:N8)</f>
        <v>240000</v>
      </c>
      <c r="P8" s="15">
        <v>80000</v>
      </c>
      <c r="Q8" s="15">
        <v>80000</v>
      </c>
      <c r="R8" s="15">
        <v>80000</v>
      </c>
      <c r="S8" s="17">
        <f>SUM(P8:R8)</f>
        <v>240000</v>
      </c>
      <c r="T8" s="15"/>
      <c r="U8" s="15"/>
      <c r="V8" s="15"/>
      <c r="W8" s="17">
        <f>SUM(T8:V8)</f>
        <v>0</v>
      </c>
      <c r="X8" s="18" t="s">
        <v>54</v>
      </c>
      <c r="Y8" s="2"/>
      <c r="AA8" s="19"/>
      <c r="AB8" s="20"/>
    </row>
    <row r="9" spans="1:28" s="3" customFormat="1" x14ac:dyDescent="0.25">
      <c r="A9" s="12" t="s">
        <v>55</v>
      </c>
      <c r="B9" s="12" t="s">
        <v>47</v>
      </c>
      <c r="C9" s="12">
        <v>6200200550</v>
      </c>
      <c r="D9" s="12" t="s">
        <v>38</v>
      </c>
      <c r="E9" s="13">
        <v>42854</v>
      </c>
      <c r="F9" s="14">
        <v>1</v>
      </c>
      <c r="G9" s="13" t="s">
        <v>33</v>
      </c>
      <c r="H9" s="15">
        <v>720</v>
      </c>
      <c r="I9" s="15">
        <v>0</v>
      </c>
      <c r="J9" s="15">
        <f>(((272000+69100)-160000)/4)-720</f>
        <v>44555</v>
      </c>
      <c r="K9" s="17">
        <f>SUM(I9:J9)</f>
        <v>44555</v>
      </c>
      <c r="L9" s="15">
        <f>((((272000+69100)-(160000+K9))))/2</f>
        <v>68272.5</v>
      </c>
      <c r="M9" s="15">
        <f>L9</f>
        <v>68272.5</v>
      </c>
      <c r="N9" s="15">
        <v>0</v>
      </c>
      <c r="O9" s="17">
        <f>SUM(L9:N9)</f>
        <v>136545</v>
      </c>
      <c r="P9" s="15"/>
      <c r="Q9" s="15"/>
      <c r="R9" s="15"/>
      <c r="S9" s="17">
        <f>SUM(P9:R9)</f>
        <v>0</v>
      </c>
      <c r="T9" s="15"/>
      <c r="U9" s="15"/>
      <c r="V9" s="15"/>
      <c r="W9" s="17">
        <f>SUM(T9:V9)</f>
        <v>0</v>
      </c>
      <c r="X9" s="18" t="s">
        <v>56</v>
      </c>
      <c r="Y9" s="2"/>
      <c r="AA9" s="19" t="s">
        <v>57</v>
      </c>
      <c r="AB9" s="20">
        <f>AB7*3</f>
        <v>49517.833333333336</v>
      </c>
    </row>
    <row r="10" spans="1:28" s="3" customFormat="1" x14ac:dyDescent="0.25">
      <c r="A10" s="12" t="s">
        <v>58</v>
      </c>
      <c r="B10" s="12" t="s">
        <v>59</v>
      </c>
      <c r="C10" s="12">
        <v>6200206134</v>
      </c>
      <c r="D10" s="12" t="s">
        <v>32</v>
      </c>
      <c r="E10" s="13">
        <v>42828</v>
      </c>
      <c r="F10" s="14">
        <v>1</v>
      </c>
      <c r="G10" s="13" t="s">
        <v>33</v>
      </c>
      <c r="H10" s="15">
        <v>0</v>
      </c>
      <c r="I10" s="15">
        <f>14500</f>
        <v>14500</v>
      </c>
      <c r="J10" s="15">
        <v>0</v>
      </c>
      <c r="K10" s="17">
        <f t="shared" ref="K10:K15" si="4">SUM(H10:J10)</f>
        <v>14500</v>
      </c>
      <c r="L10" s="15">
        <v>0</v>
      </c>
      <c r="M10" s="15">
        <v>0</v>
      </c>
      <c r="N10" s="15">
        <v>0</v>
      </c>
      <c r="O10" s="17">
        <f t="shared" ref="O10:O15" si="5">SUM(L10:N10)</f>
        <v>0</v>
      </c>
      <c r="P10" s="15"/>
      <c r="Q10" s="15"/>
      <c r="R10" s="15"/>
      <c r="S10" s="17">
        <f t="shared" ref="S10:S15" si="6">SUM(P10:R10)</f>
        <v>0</v>
      </c>
      <c r="T10" s="15"/>
      <c r="U10" s="15"/>
      <c r="V10" s="15"/>
      <c r="W10" s="17">
        <f t="shared" ref="W10:W15" si="7">SUM(T10:V10)</f>
        <v>0</v>
      </c>
      <c r="X10" s="18" t="s">
        <v>60</v>
      </c>
      <c r="Y10" s="2"/>
      <c r="AA10" s="19"/>
      <c r="AB10" s="20"/>
    </row>
    <row r="11" spans="1:28" s="3" customFormat="1" x14ac:dyDescent="0.25">
      <c r="A11" s="12" t="s">
        <v>61</v>
      </c>
      <c r="B11" s="12" t="s">
        <v>37</v>
      </c>
      <c r="C11" s="12"/>
      <c r="D11" s="12" t="s">
        <v>38</v>
      </c>
      <c r="E11" s="13">
        <v>43465</v>
      </c>
      <c r="F11" s="14">
        <v>0</v>
      </c>
      <c r="G11" s="13" t="s">
        <v>39</v>
      </c>
      <c r="H11" s="15">
        <v>22344.475733333311</v>
      </c>
      <c r="I11" s="15">
        <v>0</v>
      </c>
      <c r="J11" s="15">
        <v>0</v>
      </c>
      <c r="K11" s="17">
        <f t="shared" si="4"/>
        <v>22344.475733333311</v>
      </c>
      <c r="L11" s="15">
        <v>0</v>
      </c>
      <c r="M11" s="15">
        <v>0</v>
      </c>
      <c r="N11" s="15">
        <v>0</v>
      </c>
      <c r="O11" s="17">
        <f t="shared" si="5"/>
        <v>0</v>
      </c>
      <c r="P11" s="15"/>
      <c r="Q11" s="15"/>
      <c r="R11" s="15"/>
      <c r="S11" s="17">
        <f t="shared" si="6"/>
        <v>0</v>
      </c>
      <c r="T11" s="15"/>
      <c r="U11" s="15"/>
      <c r="V11" s="15"/>
      <c r="W11" s="17">
        <f t="shared" si="7"/>
        <v>0</v>
      </c>
      <c r="X11" s="18" t="s">
        <v>62</v>
      </c>
      <c r="Y11" s="2"/>
      <c r="AA11" s="19" t="s">
        <v>63</v>
      </c>
      <c r="AB11" s="20">
        <f>AB7*15</f>
        <v>247589.16666666669</v>
      </c>
    </row>
    <row r="12" spans="1:28" s="3" customFormat="1" x14ac:dyDescent="0.25">
      <c r="A12" s="12" t="s">
        <v>64</v>
      </c>
      <c r="B12" s="12" t="s">
        <v>59</v>
      </c>
      <c r="C12" s="12">
        <v>6200208829</v>
      </c>
      <c r="D12" s="12" t="s">
        <v>38</v>
      </c>
      <c r="E12" s="13">
        <v>42943</v>
      </c>
      <c r="F12" s="14">
        <v>1</v>
      </c>
      <c r="G12" s="13" t="s">
        <v>39</v>
      </c>
      <c r="H12" s="15">
        <v>0</v>
      </c>
      <c r="I12" s="15">
        <v>60000</v>
      </c>
      <c r="J12" s="15">
        <v>60000</v>
      </c>
      <c r="K12" s="17">
        <f t="shared" si="4"/>
        <v>120000</v>
      </c>
      <c r="L12" s="15">
        <v>60000</v>
      </c>
      <c r="M12" s="15">
        <v>60000</v>
      </c>
      <c r="N12" s="15">
        <v>60000</v>
      </c>
      <c r="O12" s="17">
        <f t="shared" si="5"/>
        <v>180000</v>
      </c>
      <c r="P12" s="15"/>
      <c r="Q12" s="15"/>
      <c r="R12" s="15"/>
      <c r="S12" s="17">
        <f t="shared" si="6"/>
        <v>0</v>
      </c>
      <c r="T12" s="15"/>
      <c r="U12" s="15"/>
      <c r="V12" s="15"/>
      <c r="W12" s="17">
        <f t="shared" si="7"/>
        <v>0</v>
      </c>
      <c r="X12" s="18" t="s">
        <v>65</v>
      </c>
      <c r="Y12" s="21"/>
      <c r="AA12" s="19" t="s">
        <v>66</v>
      </c>
      <c r="AB12" s="20">
        <v>496071.25040000002</v>
      </c>
    </row>
    <row r="13" spans="1:28" s="3" customFormat="1" x14ac:dyDescent="0.25">
      <c r="A13" s="12" t="s">
        <v>67</v>
      </c>
      <c r="B13" s="12" t="s">
        <v>47</v>
      </c>
      <c r="C13" s="12">
        <v>6200209820</v>
      </c>
      <c r="D13" s="12" t="s">
        <v>32</v>
      </c>
      <c r="E13" s="13">
        <v>43007</v>
      </c>
      <c r="F13" s="14">
        <v>1</v>
      </c>
      <c r="G13" s="13" t="s">
        <v>33</v>
      </c>
      <c r="H13" s="15">
        <v>0</v>
      </c>
      <c r="I13" s="15">
        <v>35000</v>
      </c>
      <c r="J13" s="15">
        <v>55000</v>
      </c>
      <c r="K13" s="17">
        <f t="shared" si="4"/>
        <v>90000</v>
      </c>
      <c r="L13" s="15">
        <v>55000</v>
      </c>
      <c r="M13" s="15">
        <v>55000</v>
      </c>
      <c r="N13" s="15">
        <v>55000</v>
      </c>
      <c r="O13" s="17">
        <f t="shared" si="5"/>
        <v>165000</v>
      </c>
      <c r="P13" s="15"/>
      <c r="Q13" s="15"/>
      <c r="R13" s="15"/>
      <c r="S13" s="17">
        <f t="shared" si="6"/>
        <v>0</v>
      </c>
      <c r="T13" s="15"/>
      <c r="U13" s="15"/>
      <c r="V13" s="15"/>
      <c r="W13" s="17">
        <f t="shared" si="7"/>
        <v>0</v>
      </c>
      <c r="X13" s="18" t="s">
        <v>68</v>
      </c>
      <c r="AA13" s="19"/>
      <c r="AB13" s="20"/>
    </row>
    <row r="14" spans="1:28" x14ac:dyDescent="0.25">
      <c r="A14" s="12" t="s">
        <v>69</v>
      </c>
      <c r="B14" s="12" t="s">
        <v>47</v>
      </c>
      <c r="C14" s="12">
        <v>6200208412</v>
      </c>
      <c r="D14" s="12" t="s">
        <v>32</v>
      </c>
      <c r="E14" s="13">
        <v>42886</v>
      </c>
      <c r="F14" s="14">
        <v>1</v>
      </c>
      <c r="G14" s="13" t="s">
        <v>33</v>
      </c>
      <c r="H14" s="15">
        <v>17675.25</v>
      </c>
      <c r="I14" s="15">
        <f>100*8.75*18</f>
        <v>15750</v>
      </c>
      <c r="J14" s="15">
        <v>0</v>
      </c>
      <c r="K14" s="17">
        <f t="shared" si="4"/>
        <v>33425.25</v>
      </c>
      <c r="L14" s="15">
        <v>0</v>
      </c>
      <c r="M14" s="15">
        <v>0</v>
      </c>
      <c r="N14" s="15">
        <v>0</v>
      </c>
      <c r="O14" s="17">
        <f t="shared" si="5"/>
        <v>0</v>
      </c>
      <c r="P14" s="15"/>
      <c r="Q14" s="15"/>
      <c r="R14" s="15"/>
      <c r="S14" s="17">
        <f t="shared" si="6"/>
        <v>0</v>
      </c>
      <c r="T14" s="15"/>
      <c r="U14" s="15"/>
      <c r="V14" s="15"/>
      <c r="W14" s="17">
        <f t="shared" si="7"/>
        <v>0</v>
      </c>
      <c r="X14" s="22" t="s">
        <v>70</v>
      </c>
      <c r="AA14" t="s">
        <v>71</v>
      </c>
      <c r="AB14" s="23">
        <f>AB12-AB11</f>
        <v>248482.08373333333</v>
      </c>
    </row>
    <row r="15" spans="1:28" s="3" customFormat="1" x14ac:dyDescent="0.25">
      <c r="A15" s="12" t="s">
        <v>72</v>
      </c>
      <c r="B15" s="12" t="s">
        <v>45</v>
      </c>
      <c r="C15" s="12">
        <v>6200205799</v>
      </c>
      <c r="D15" s="12" t="s">
        <v>38</v>
      </c>
      <c r="E15" s="13">
        <v>42870</v>
      </c>
      <c r="F15" s="14">
        <v>0</v>
      </c>
      <c r="G15" s="13" t="s">
        <v>33</v>
      </c>
      <c r="H15" s="15">
        <f>30713.3297</f>
        <v>30713.329699999998</v>
      </c>
      <c r="I15" s="15">
        <f>41196.8-30713.3297</f>
        <v>10483.470300000004</v>
      </c>
      <c r="J15" s="15">
        <v>0</v>
      </c>
      <c r="K15" s="17">
        <f t="shared" si="4"/>
        <v>41196.800000000003</v>
      </c>
      <c r="L15" s="15">
        <v>0</v>
      </c>
      <c r="M15" s="15">
        <v>0</v>
      </c>
      <c r="N15" s="15">
        <v>0</v>
      </c>
      <c r="O15" s="17">
        <f t="shared" si="5"/>
        <v>0</v>
      </c>
      <c r="P15" s="15"/>
      <c r="Q15" s="15"/>
      <c r="R15" s="15"/>
      <c r="S15" s="17">
        <f t="shared" si="6"/>
        <v>0</v>
      </c>
      <c r="T15" s="15"/>
      <c r="U15" s="15"/>
      <c r="V15" s="15"/>
      <c r="W15" s="17">
        <f t="shared" si="7"/>
        <v>0</v>
      </c>
      <c r="X15" s="24" t="s">
        <v>73</v>
      </c>
      <c r="Y15" s="21"/>
      <c r="AA15" s="25" t="s">
        <v>74</v>
      </c>
      <c r="AB15" s="26">
        <f>AB7*3</f>
        <v>49517.833333333336</v>
      </c>
    </row>
    <row r="16" spans="1:28" s="3" customFormat="1" x14ac:dyDescent="0.25">
      <c r="A16" s="27"/>
      <c r="B16" s="27"/>
      <c r="C16" s="28"/>
      <c r="D16" s="27"/>
      <c r="E16" s="29"/>
      <c r="F16" s="29"/>
      <c r="G16" s="29"/>
      <c r="H16" s="28"/>
      <c r="I16" s="28"/>
      <c r="J16" s="28"/>
      <c r="K16" s="30"/>
      <c r="L16" s="28"/>
      <c r="M16" s="28"/>
      <c r="N16" s="28"/>
      <c r="O16" s="30"/>
      <c r="P16" s="28"/>
      <c r="Q16" s="28"/>
      <c r="R16" s="28"/>
      <c r="S16" s="30"/>
      <c r="T16" s="28"/>
      <c r="U16" s="28"/>
      <c r="V16" s="28"/>
      <c r="W16" s="30"/>
      <c r="X16" s="21"/>
      <c r="Y16" s="21"/>
      <c r="AA16" s="19" t="s">
        <v>75</v>
      </c>
      <c r="AB16" s="20">
        <v>35068</v>
      </c>
    </row>
    <row r="17" spans="1:28" s="3" customFormat="1" x14ac:dyDescent="0.25">
      <c r="A17" s="62" t="s">
        <v>76</v>
      </c>
      <c r="B17" s="63"/>
      <c r="C17" s="63"/>
      <c r="D17" s="63"/>
      <c r="E17" s="64"/>
      <c r="F17" s="31"/>
      <c r="G17" s="31"/>
      <c r="H17" s="32">
        <f t="shared" ref="H17:W17" si="8">SUM(H2:H16)</f>
        <v>1151375.8620999998</v>
      </c>
      <c r="I17" s="32">
        <f t="shared" si="8"/>
        <v>1196789.1369666664</v>
      </c>
      <c r="J17" s="32">
        <f t="shared" si="8"/>
        <v>427810.66666666663</v>
      </c>
      <c r="K17" s="33">
        <f t="shared" si="8"/>
        <v>2775255.6657333327</v>
      </c>
      <c r="L17" s="32">
        <f t="shared" si="8"/>
        <v>451528.16666666663</v>
      </c>
      <c r="M17" s="32">
        <f t="shared" si="8"/>
        <v>451528.16666666663</v>
      </c>
      <c r="N17" s="32">
        <f t="shared" si="8"/>
        <v>370791.66666666663</v>
      </c>
      <c r="O17" s="33">
        <f t="shared" si="8"/>
        <v>1273848</v>
      </c>
      <c r="P17" s="32">
        <f t="shared" si="8"/>
        <v>255791.66666666666</v>
      </c>
      <c r="Q17" s="32">
        <f t="shared" si="8"/>
        <v>255791.66666666666</v>
      </c>
      <c r="R17" s="32">
        <f t="shared" si="8"/>
        <v>255791.66666666666</v>
      </c>
      <c r="S17" s="33">
        <f t="shared" si="8"/>
        <v>767375</v>
      </c>
      <c r="T17" s="32">
        <f t="shared" si="8"/>
        <v>175791.66666666666</v>
      </c>
      <c r="U17" s="32">
        <f t="shared" si="8"/>
        <v>175791.66666666666</v>
      </c>
      <c r="V17" s="32">
        <f t="shared" si="8"/>
        <v>175791.66666666666</v>
      </c>
      <c r="W17" s="33">
        <f t="shared" si="8"/>
        <v>527375</v>
      </c>
      <c r="X17" s="21"/>
      <c r="Y17" s="21"/>
      <c r="AA17" s="19" t="s">
        <v>77</v>
      </c>
      <c r="AB17" s="20">
        <f>SUM(AB15:AB16)-AB14</f>
        <v>-163896.25039999999</v>
      </c>
    </row>
    <row r="18" spans="1:28" s="3" customFormat="1" x14ac:dyDescent="0.25">
      <c r="A18" s="12" t="s">
        <v>78</v>
      </c>
      <c r="B18" s="12" t="s">
        <v>45</v>
      </c>
      <c r="C18" s="12"/>
      <c r="D18" s="12"/>
      <c r="E18" s="13"/>
      <c r="F18" s="13"/>
      <c r="G18" s="13"/>
      <c r="H18" s="15"/>
      <c r="I18" s="15"/>
      <c r="J18" s="15"/>
      <c r="K18" s="17">
        <f t="shared" ref="K18:K24" si="9">SUM(H18:J18)</f>
        <v>0</v>
      </c>
      <c r="L18" s="15"/>
      <c r="M18" s="15"/>
      <c r="N18" s="15"/>
      <c r="O18" s="17">
        <f t="shared" ref="O18:O24" si="10">SUM(L18:N18)</f>
        <v>0</v>
      </c>
      <c r="P18" s="15"/>
      <c r="Q18" s="15"/>
      <c r="R18" s="15"/>
      <c r="S18" s="17">
        <f t="shared" ref="S18:S24" si="11">SUM(P18:R18)</f>
        <v>0</v>
      </c>
      <c r="T18" s="15"/>
      <c r="U18" s="15"/>
      <c r="V18" s="15"/>
      <c r="W18" s="17">
        <f t="shared" ref="W18:W24" si="12">SUM(T18:V18)</f>
        <v>0</v>
      </c>
      <c r="X18" s="21"/>
      <c r="Y18" s="21"/>
      <c r="AA18" s="19"/>
      <c r="AB18" s="20"/>
    </row>
    <row r="19" spans="1:28" s="3" customFormat="1" x14ac:dyDescent="0.25">
      <c r="A19" s="12" t="s">
        <v>30</v>
      </c>
      <c r="B19" s="12" t="s">
        <v>31</v>
      </c>
      <c r="C19" s="12">
        <v>90</v>
      </c>
      <c r="D19" s="12" t="s">
        <v>32</v>
      </c>
      <c r="E19" s="13">
        <v>42886</v>
      </c>
      <c r="F19" s="14">
        <v>0.4</v>
      </c>
      <c r="G19" s="13"/>
      <c r="H19" s="15">
        <v>0</v>
      </c>
      <c r="I19" s="15">
        <v>0</v>
      </c>
      <c r="J19" s="15">
        <v>750000</v>
      </c>
      <c r="K19" s="17">
        <f>SUM(H19:J19)</f>
        <v>750000</v>
      </c>
      <c r="L19" s="15">
        <v>750000</v>
      </c>
      <c r="M19" s="15">
        <v>750000</v>
      </c>
      <c r="N19" s="15">
        <v>750000</v>
      </c>
      <c r="O19" s="17">
        <f t="shared" si="10"/>
        <v>2250000</v>
      </c>
      <c r="P19" s="15">
        <v>750000</v>
      </c>
      <c r="Q19" s="15">
        <v>750000</v>
      </c>
      <c r="R19" s="15">
        <v>750000</v>
      </c>
      <c r="S19" s="17">
        <f t="shared" si="11"/>
        <v>2250000</v>
      </c>
      <c r="T19" s="15"/>
      <c r="U19" s="15"/>
      <c r="V19" s="15"/>
      <c r="W19" s="17">
        <f t="shared" si="12"/>
        <v>0</v>
      </c>
      <c r="X19" s="2" t="s">
        <v>79</v>
      </c>
      <c r="Y19" s="21"/>
      <c r="AA19" s="19"/>
      <c r="AB19" s="20"/>
    </row>
    <row r="20" spans="1:28" s="3" customFormat="1" x14ac:dyDescent="0.25">
      <c r="A20" s="12" t="s">
        <v>80</v>
      </c>
      <c r="B20" s="12" t="s">
        <v>45</v>
      </c>
      <c r="C20" s="12">
        <v>50</v>
      </c>
      <c r="D20" s="12" t="s">
        <v>32</v>
      </c>
      <c r="E20" s="13">
        <v>42855</v>
      </c>
      <c r="F20" s="14">
        <v>0</v>
      </c>
      <c r="G20" s="13"/>
      <c r="H20" s="15">
        <v>0</v>
      </c>
      <c r="I20" s="15">
        <v>0</v>
      </c>
      <c r="J20" s="15">
        <v>30671.55</v>
      </c>
      <c r="K20" s="17">
        <f t="shared" si="9"/>
        <v>30671.55</v>
      </c>
      <c r="L20" s="15">
        <v>30671.55</v>
      </c>
      <c r="M20" s="15">
        <v>30671.55</v>
      </c>
      <c r="N20" s="15">
        <v>30671.55</v>
      </c>
      <c r="O20" s="17">
        <f t="shared" si="10"/>
        <v>92014.65</v>
      </c>
      <c r="P20" s="15">
        <v>30671.55</v>
      </c>
      <c r="Q20" s="15">
        <v>30671.55</v>
      </c>
      <c r="R20" s="15">
        <v>30671.55</v>
      </c>
      <c r="S20" s="17">
        <f t="shared" si="11"/>
        <v>92014.65</v>
      </c>
      <c r="T20" s="15"/>
      <c r="U20" s="15"/>
      <c r="V20" s="15"/>
      <c r="W20" s="17">
        <f t="shared" si="12"/>
        <v>0</v>
      </c>
      <c r="X20" s="2" t="s">
        <v>79</v>
      </c>
      <c r="Y20" s="21"/>
      <c r="AA20" s="19"/>
      <c r="AB20" s="20"/>
    </row>
    <row r="21" spans="1:28" s="3" customFormat="1" x14ac:dyDescent="0.25">
      <c r="A21" s="12" t="s">
        <v>81</v>
      </c>
      <c r="B21" s="12" t="s">
        <v>45</v>
      </c>
      <c r="C21" s="12">
        <v>50</v>
      </c>
      <c r="D21" s="12" t="s">
        <v>32</v>
      </c>
      <c r="E21" s="13"/>
      <c r="F21" s="14">
        <v>1</v>
      </c>
      <c r="G21" s="13"/>
      <c r="H21" s="15">
        <v>0</v>
      </c>
      <c r="I21" s="15">
        <v>0</v>
      </c>
      <c r="J21" s="15">
        <v>0</v>
      </c>
      <c r="K21" s="17">
        <f t="shared" si="9"/>
        <v>0</v>
      </c>
      <c r="L21" s="15"/>
      <c r="M21" s="15"/>
      <c r="N21" s="15"/>
      <c r="O21" s="17">
        <f t="shared" si="10"/>
        <v>0</v>
      </c>
      <c r="P21" s="15"/>
      <c r="Q21" s="15"/>
      <c r="R21" s="15"/>
      <c r="S21" s="17">
        <f t="shared" si="11"/>
        <v>0</v>
      </c>
      <c r="T21" s="15"/>
      <c r="U21" s="15"/>
      <c r="V21" s="15"/>
      <c r="W21" s="17">
        <f t="shared" si="12"/>
        <v>0</v>
      </c>
      <c r="X21" s="21"/>
      <c r="Y21" s="21"/>
      <c r="AA21" s="19"/>
      <c r="AB21" s="20"/>
    </row>
    <row r="22" spans="1:28" s="3" customFormat="1" x14ac:dyDescent="0.25">
      <c r="A22" s="12" t="s">
        <v>82</v>
      </c>
      <c r="B22" s="12" t="s">
        <v>45</v>
      </c>
      <c r="C22" s="12">
        <v>90</v>
      </c>
      <c r="D22" s="12" t="s">
        <v>32</v>
      </c>
      <c r="E22" s="13">
        <v>42947</v>
      </c>
      <c r="F22" s="14">
        <v>0</v>
      </c>
      <c r="G22" s="13"/>
      <c r="H22" s="15">
        <v>0</v>
      </c>
      <c r="I22" s="15">
        <v>0</v>
      </c>
      <c r="J22" s="15">
        <f>15000+5000</f>
        <v>20000</v>
      </c>
      <c r="K22" s="17">
        <f t="shared" si="9"/>
        <v>20000</v>
      </c>
      <c r="L22" s="15"/>
      <c r="M22" s="15"/>
      <c r="N22" s="15"/>
      <c r="O22" s="17">
        <f t="shared" si="10"/>
        <v>0</v>
      </c>
      <c r="P22" s="15"/>
      <c r="Q22" s="15"/>
      <c r="R22" s="15"/>
      <c r="S22" s="17">
        <f t="shared" si="11"/>
        <v>0</v>
      </c>
      <c r="T22" s="15"/>
      <c r="U22" s="15"/>
      <c r="V22" s="15"/>
      <c r="W22" s="17">
        <f t="shared" si="12"/>
        <v>0</v>
      </c>
      <c r="X22" s="21"/>
      <c r="Y22" s="21"/>
      <c r="AA22" s="19"/>
      <c r="AB22" s="20"/>
    </row>
    <row r="23" spans="1:28" s="3" customFormat="1" x14ac:dyDescent="0.25">
      <c r="A23" s="12" t="s">
        <v>83</v>
      </c>
      <c r="B23" s="12" t="s">
        <v>59</v>
      </c>
      <c r="C23" s="12">
        <v>90</v>
      </c>
      <c r="D23" s="12" t="s">
        <v>38</v>
      </c>
      <c r="E23" s="13">
        <v>42978</v>
      </c>
      <c r="F23" s="14">
        <v>1</v>
      </c>
      <c r="G23" s="13"/>
      <c r="H23" s="15">
        <v>0</v>
      </c>
      <c r="I23" s="15">
        <v>0</v>
      </c>
      <c r="J23" s="15">
        <v>0</v>
      </c>
      <c r="K23" s="17">
        <f t="shared" si="9"/>
        <v>0</v>
      </c>
      <c r="L23" s="15">
        <v>18000</v>
      </c>
      <c r="M23" s="15">
        <v>18000</v>
      </c>
      <c r="N23" s="15">
        <v>0</v>
      </c>
      <c r="O23" s="17">
        <f t="shared" si="10"/>
        <v>36000</v>
      </c>
      <c r="P23" s="15"/>
      <c r="Q23" s="15"/>
      <c r="R23" s="15"/>
      <c r="S23" s="17">
        <f t="shared" si="11"/>
        <v>0</v>
      </c>
      <c r="T23" s="15"/>
      <c r="U23" s="15"/>
      <c r="V23" s="15"/>
      <c r="W23" s="17">
        <f t="shared" si="12"/>
        <v>0</v>
      </c>
    </row>
    <row r="24" spans="1:28" x14ac:dyDescent="0.25">
      <c r="A24" s="12" t="s">
        <v>84</v>
      </c>
      <c r="B24" s="12" t="s">
        <v>45</v>
      </c>
      <c r="C24" s="12">
        <v>50</v>
      </c>
      <c r="D24" s="12" t="s">
        <v>38</v>
      </c>
      <c r="E24" s="13"/>
      <c r="F24" s="14">
        <v>0</v>
      </c>
      <c r="G24" s="13"/>
      <c r="H24" s="15">
        <v>0</v>
      </c>
      <c r="I24" s="15">
        <v>0</v>
      </c>
      <c r="J24" s="15">
        <v>50000</v>
      </c>
      <c r="K24" s="17">
        <f t="shared" si="9"/>
        <v>50000</v>
      </c>
      <c r="L24" s="15"/>
      <c r="M24" s="15"/>
      <c r="N24" s="15"/>
      <c r="O24" s="17">
        <f t="shared" si="10"/>
        <v>0</v>
      </c>
      <c r="P24" s="15"/>
      <c r="Q24" s="15"/>
      <c r="R24" s="15"/>
      <c r="S24" s="17">
        <f t="shared" si="11"/>
        <v>0</v>
      </c>
      <c r="T24" s="15"/>
      <c r="U24" s="15"/>
      <c r="V24" s="15"/>
      <c r="W24" s="17">
        <f t="shared" si="12"/>
        <v>0</v>
      </c>
    </row>
    <row r="26" spans="1:28" x14ac:dyDescent="0.25">
      <c r="A26" s="65" t="s">
        <v>85</v>
      </c>
      <c r="B26" s="66"/>
      <c r="C26" s="66"/>
      <c r="D26" s="66"/>
      <c r="E26" s="67"/>
      <c r="F26" s="34"/>
      <c r="G26" s="34"/>
      <c r="H26" s="35">
        <f t="shared" ref="H26:W26" si="13">SUM(H18:H25)</f>
        <v>0</v>
      </c>
      <c r="I26" s="35">
        <f t="shared" si="13"/>
        <v>0</v>
      </c>
      <c r="J26" s="35">
        <f t="shared" si="13"/>
        <v>850671.55</v>
      </c>
      <c r="K26" s="35">
        <f t="shared" si="13"/>
        <v>850671.55</v>
      </c>
      <c r="L26" s="35">
        <f t="shared" si="13"/>
        <v>798671.55</v>
      </c>
      <c r="M26" s="35">
        <f t="shared" si="13"/>
        <v>798671.55</v>
      </c>
      <c r="N26" s="35">
        <f t="shared" si="13"/>
        <v>780671.55</v>
      </c>
      <c r="O26" s="35">
        <f t="shared" si="13"/>
        <v>2378014.65</v>
      </c>
      <c r="P26" s="35">
        <f t="shared" si="13"/>
        <v>780671.55</v>
      </c>
      <c r="Q26" s="35">
        <f t="shared" si="13"/>
        <v>780671.55</v>
      </c>
      <c r="R26" s="35">
        <f t="shared" si="13"/>
        <v>780671.55</v>
      </c>
      <c r="S26" s="35">
        <f t="shared" si="13"/>
        <v>2342014.65</v>
      </c>
      <c r="T26" s="35">
        <f t="shared" si="13"/>
        <v>0</v>
      </c>
      <c r="U26" s="35">
        <f t="shared" si="13"/>
        <v>0</v>
      </c>
      <c r="V26" s="35">
        <f t="shared" si="13"/>
        <v>0</v>
      </c>
      <c r="W26" s="35">
        <f t="shared" si="13"/>
        <v>0</v>
      </c>
    </row>
    <row r="28" spans="1:28" s="3" customFormat="1" x14ac:dyDescent="0.25">
      <c r="A28" s="68" t="s">
        <v>86</v>
      </c>
      <c r="B28" s="69"/>
      <c r="C28" s="69"/>
      <c r="D28" s="69"/>
      <c r="E28" s="69"/>
      <c r="F28" s="69"/>
      <c r="G28" s="70"/>
      <c r="H28" s="4">
        <f>K28/3</f>
        <v>1166666.6666666667</v>
      </c>
      <c r="I28" s="4">
        <f>K28/3</f>
        <v>1166666.6666666667</v>
      </c>
      <c r="J28" s="4">
        <f>K28/3</f>
        <v>1166666.6666666667</v>
      </c>
      <c r="K28" s="4">
        <f>3.5*10^6</f>
        <v>3500000</v>
      </c>
      <c r="L28" s="4">
        <f>O28/3</f>
        <v>1200000</v>
      </c>
      <c r="M28" s="4">
        <f>O28/3</f>
        <v>1200000</v>
      </c>
      <c r="N28" s="4">
        <f>O28/3</f>
        <v>1200000</v>
      </c>
      <c r="O28" s="4">
        <f>3.6*10^6</f>
        <v>3600000</v>
      </c>
      <c r="P28" s="4">
        <f t="shared" ref="P28:R29" si="14">$S28/3</f>
        <v>1266666.6666666667</v>
      </c>
      <c r="Q28" s="4">
        <f t="shared" si="14"/>
        <v>1266666.6666666667</v>
      </c>
      <c r="R28" s="4">
        <f t="shared" si="14"/>
        <v>1266666.6666666667</v>
      </c>
      <c r="S28" s="4">
        <f>3.8*10^6</f>
        <v>3800000</v>
      </c>
      <c r="T28" s="4">
        <f t="shared" ref="T28:V29" si="15">$W28/3</f>
        <v>1366666.6666666665</v>
      </c>
      <c r="U28" s="4">
        <f t="shared" si="15"/>
        <v>1366666.6666666665</v>
      </c>
      <c r="V28" s="4">
        <f t="shared" si="15"/>
        <v>1366666.6666666665</v>
      </c>
      <c r="W28" s="4">
        <f>4.1*10^6</f>
        <v>4099999.9999999995</v>
      </c>
      <c r="X28" s="4"/>
      <c r="Y28" s="2"/>
      <c r="AA28" s="5"/>
      <c r="AB28" s="6"/>
    </row>
    <row r="29" spans="1:28" s="3" customFormat="1" x14ac:dyDescent="0.25">
      <c r="A29" s="68" t="s">
        <v>25</v>
      </c>
      <c r="B29" s="69"/>
      <c r="C29" s="69"/>
      <c r="D29" s="69"/>
      <c r="E29" s="69"/>
      <c r="F29" s="69"/>
      <c r="G29" s="70"/>
      <c r="H29" s="4">
        <f>K29/3</f>
        <v>1166666.6666666667</v>
      </c>
      <c r="I29" s="4">
        <f>K29/3</f>
        <v>1166666.6666666667</v>
      </c>
      <c r="J29" s="4">
        <f>K29/3</f>
        <v>1166666.6666666667</v>
      </c>
      <c r="K29" s="4">
        <f>3.5*10^6</f>
        <v>3500000</v>
      </c>
      <c r="L29" s="4">
        <f>O29/3</f>
        <v>1200000</v>
      </c>
      <c r="M29" s="4">
        <f>O29/3</f>
        <v>1200000</v>
      </c>
      <c r="N29" s="4">
        <f>O29/3</f>
        <v>1200000</v>
      </c>
      <c r="O29" s="4">
        <f>3.6*10^6</f>
        <v>3600000</v>
      </c>
      <c r="P29" s="4">
        <f t="shared" si="14"/>
        <v>1200000</v>
      </c>
      <c r="Q29" s="4">
        <f t="shared" si="14"/>
        <v>1200000</v>
      </c>
      <c r="R29" s="4">
        <f t="shared" si="14"/>
        <v>1200000</v>
      </c>
      <c r="S29" s="4">
        <f>3.6*10^6</f>
        <v>3600000</v>
      </c>
      <c r="T29" s="4">
        <f t="shared" si="15"/>
        <v>1200000</v>
      </c>
      <c r="U29" s="4">
        <f t="shared" si="15"/>
        <v>1200000</v>
      </c>
      <c r="V29" s="4">
        <f t="shared" si="15"/>
        <v>1200000</v>
      </c>
      <c r="W29" s="4">
        <f>3.6*10^6</f>
        <v>3600000</v>
      </c>
      <c r="X29" s="4"/>
      <c r="Y29" s="2"/>
      <c r="AA29" s="5"/>
      <c r="AB29" s="6"/>
    </row>
    <row r="30" spans="1:28" s="3" customFormat="1" x14ac:dyDescent="0.25">
      <c r="A30" s="68" t="s">
        <v>26</v>
      </c>
      <c r="B30" s="69"/>
      <c r="C30" s="69"/>
      <c r="D30" s="69"/>
      <c r="E30" s="69"/>
      <c r="F30" s="69"/>
      <c r="G30" s="70"/>
      <c r="H30" s="4">
        <f t="shared" ref="H30:W30" si="16">H17</f>
        <v>1151375.8620999998</v>
      </c>
      <c r="I30" s="4">
        <f t="shared" si="16"/>
        <v>1196789.1369666664</v>
      </c>
      <c r="J30" s="4">
        <f t="shared" si="16"/>
        <v>427810.66666666663</v>
      </c>
      <c r="K30" s="4">
        <f t="shared" si="16"/>
        <v>2775255.6657333327</v>
      </c>
      <c r="L30" s="4">
        <f t="shared" si="16"/>
        <v>451528.16666666663</v>
      </c>
      <c r="M30" s="4">
        <f t="shared" si="16"/>
        <v>451528.16666666663</v>
      </c>
      <c r="N30" s="4">
        <f t="shared" si="16"/>
        <v>370791.66666666663</v>
      </c>
      <c r="O30" s="4">
        <f t="shared" si="16"/>
        <v>1273848</v>
      </c>
      <c r="P30" s="4">
        <f t="shared" si="16"/>
        <v>255791.66666666666</v>
      </c>
      <c r="Q30" s="4">
        <f t="shared" si="16"/>
        <v>255791.66666666666</v>
      </c>
      <c r="R30" s="4">
        <f t="shared" si="16"/>
        <v>255791.66666666666</v>
      </c>
      <c r="S30" s="4">
        <f t="shared" si="16"/>
        <v>767375</v>
      </c>
      <c r="T30" s="4">
        <f t="shared" si="16"/>
        <v>175791.66666666666</v>
      </c>
      <c r="U30" s="4">
        <f t="shared" si="16"/>
        <v>175791.66666666666</v>
      </c>
      <c r="V30" s="4">
        <f t="shared" si="16"/>
        <v>175791.66666666666</v>
      </c>
      <c r="W30" s="4">
        <f t="shared" si="16"/>
        <v>527375</v>
      </c>
      <c r="X30" s="4"/>
      <c r="Y30" s="2"/>
      <c r="AA30" s="5"/>
      <c r="AB30" s="6"/>
    </row>
    <row r="31" spans="1:28" s="3" customFormat="1" x14ac:dyDescent="0.25">
      <c r="A31" s="53" t="s">
        <v>27</v>
      </c>
      <c r="B31" s="54"/>
      <c r="C31" s="54"/>
      <c r="D31" s="54"/>
      <c r="E31" s="54"/>
      <c r="F31" s="54"/>
      <c r="G31" s="55"/>
      <c r="H31" s="8">
        <f t="shared" ref="H31:W31" si="17">H26</f>
        <v>0</v>
      </c>
      <c r="I31" s="8">
        <f t="shared" si="17"/>
        <v>0</v>
      </c>
      <c r="J31" s="8">
        <f t="shared" si="17"/>
        <v>850671.55</v>
      </c>
      <c r="K31" s="8">
        <f t="shared" si="17"/>
        <v>850671.55</v>
      </c>
      <c r="L31" s="8">
        <f t="shared" si="17"/>
        <v>798671.55</v>
      </c>
      <c r="M31" s="8">
        <f t="shared" si="17"/>
        <v>798671.55</v>
      </c>
      <c r="N31" s="8">
        <f t="shared" si="17"/>
        <v>780671.55</v>
      </c>
      <c r="O31" s="8">
        <f t="shared" si="17"/>
        <v>2378014.65</v>
      </c>
      <c r="P31" s="8">
        <f t="shared" si="17"/>
        <v>780671.55</v>
      </c>
      <c r="Q31" s="8">
        <f t="shared" si="17"/>
        <v>780671.55</v>
      </c>
      <c r="R31" s="8">
        <f t="shared" si="17"/>
        <v>780671.55</v>
      </c>
      <c r="S31" s="8">
        <f t="shared" si="17"/>
        <v>2342014.65</v>
      </c>
      <c r="T31" s="8">
        <f t="shared" si="17"/>
        <v>0</v>
      </c>
      <c r="U31" s="8">
        <f t="shared" si="17"/>
        <v>0</v>
      </c>
      <c r="V31" s="8">
        <f t="shared" si="17"/>
        <v>0</v>
      </c>
      <c r="W31" s="8">
        <f t="shared" si="17"/>
        <v>0</v>
      </c>
      <c r="X31" s="7"/>
      <c r="Y31" s="2"/>
      <c r="AA31" s="5"/>
      <c r="AB31" s="6"/>
    </row>
    <row r="32" spans="1:28" s="3" customFormat="1" x14ac:dyDescent="0.25">
      <c r="A32" s="56" t="s">
        <v>28</v>
      </c>
      <c r="B32" s="57"/>
      <c r="C32" s="57"/>
      <c r="D32" s="57"/>
      <c r="E32" s="57"/>
      <c r="F32" s="57"/>
      <c r="G32" s="58"/>
      <c r="H32" s="10">
        <f t="shared" ref="H32:W32" si="18">H30+H31</f>
        <v>1151375.8620999998</v>
      </c>
      <c r="I32" s="10">
        <f t="shared" si="18"/>
        <v>1196789.1369666664</v>
      </c>
      <c r="J32" s="10">
        <f t="shared" si="18"/>
        <v>1278482.2166666668</v>
      </c>
      <c r="K32" s="10">
        <f t="shared" si="18"/>
        <v>3625927.2157333326</v>
      </c>
      <c r="L32" s="10">
        <f t="shared" si="18"/>
        <v>1250199.7166666668</v>
      </c>
      <c r="M32" s="10">
        <f t="shared" si="18"/>
        <v>1250199.7166666668</v>
      </c>
      <c r="N32" s="10">
        <f t="shared" si="18"/>
        <v>1151463.2166666668</v>
      </c>
      <c r="O32" s="10">
        <f t="shared" si="18"/>
        <v>3651862.65</v>
      </c>
      <c r="P32" s="10">
        <f t="shared" si="18"/>
        <v>1036463.2166666667</v>
      </c>
      <c r="Q32" s="10">
        <f t="shared" si="18"/>
        <v>1036463.2166666667</v>
      </c>
      <c r="R32" s="10">
        <f t="shared" si="18"/>
        <v>1036463.2166666667</v>
      </c>
      <c r="S32" s="10">
        <f t="shared" si="18"/>
        <v>3109389.65</v>
      </c>
      <c r="T32" s="10">
        <f t="shared" si="18"/>
        <v>175791.66666666666</v>
      </c>
      <c r="U32" s="10">
        <f t="shared" si="18"/>
        <v>175791.66666666666</v>
      </c>
      <c r="V32" s="10">
        <f t="shared" si="18"/>
        <v>175791.66666666666</v>
      </c>
      <c r="W32" s="10">
        <f t="shared" si="18"/>
        <v>527375</v>
      </c>
      <c r="X32" s="9"/>
      <c r="Y32" s="2"/>
      <c r="AA32" s="5"/>
      <c r="AB32" s="6"/>
    </row>
    <row r="33" spans="1:28" s="3" customFormat="1" x14ac:dyDescent="0.25">
      <c r="A33" s="59" t="s">
        <v>29</v>
      </c>
      <c r="B33" s="60"/>
      <c r="C33" s="60"/>
      <c r="D33" s="60"/>
      <c r="E33" s="60"/>
      <c r="F33" s="60"/>
      <c r="G33" s="61"/>
      <c r="H33" s="11">
        <f t="shared" ref="H33:W33" si="19">H29-H32</f>
        <v>15290.80456666695</v>
      </c>
      <c r="I33" s="11">
        <f t="shared" si="19"/>
        <v>-30122.470299999695</v>
      </c>
      <c r="J33" s="11">
        <f t="shared" si="19"/>
        <v>-111815.55000000005</v>
      </c>
      <c r="K33" s="11">
        <f t="shared" si="19"/>
        <v>-125927.21573333256</v>
      </c>
      <c r="L33" s="11">
        <f t="shared" si="19"/>
        <v>-50199.716666666791</v>
      </c>
      <c r="M33" s="11">
        <f t="shared" si="19"/>
        <v>-50199.716666666791</v>
      </c>
      <c r="N33" s="11">
        <f t="shared" si="19"/>
        <v>48536.783333333209</v>
      </c>
      <c r="O33" s="11">
        <f t="shared" si="19"/>
        <v>-51862.649999999907</v>
      </c>
      <c r="P33" s="11">
        <f t="shared" si="19"/>
        <v>163536.78333333333</v>
      </c>
      <c r="Q33" s="11">
        <f t="shared" si="19"/>
        <v>163536.78333333333</v>
      </c>
      <c r="R33" s="11">
        <f t="shared" si="19"/>
        <v>163536.78333333333</v>
      </c>
      <c r="S33" s="11">
        <f t="shared" si="19"/>
        <v>490610.35000000009</v>
      </c>
      <c r="T33" s="11">
        <f t="shared" si="19"/>
        <v>1024208.3333333334</v>
      </c>
      <c r="U33" s="11">
        <f t="shared" si="19"/>
        <v>1024208.3333333334</v>
      </c>
      <c r="V33" s="11">
        <f t="shared" si="19"/>
        <v>1024208.3333333334</v>
      </c>
      <c r="W33" s="11">
        <f t="shared" si="19"/>
        <v>3072625</v>
      </c>
      <c r="X33" s="11"/>
      <c r="Y33" s="2"/>
      <c r="AA33" s="5"/>
      <c r="AB33" s="6"/>
    </row>
  </sheetData>
  <mergeCells count="9">
    <mergeCell ref="A31:G31"/>
    <mergeCell ref="A32:G32"/>
    <mergeCell ref="A33:G33"/>
    <mergeCell ref="AA1:AB1"/>
    <mergeCell ref="A17:E17"/>
    <mergeCell ref="A26:E26"/>
    <mergeCell ref="A28:G28"/>
    <mergeCell ref="A29:G29"/>
    <mergeCell ref="A30:G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Revenue</vt:lpstr>
      <vt:lpstr>Invoicing</vt:lpstr>
      <vt:lpstr>Open Indent</vt:lpstr>
      <vt:lpstr>Sheet2</vt:lpstr>
    </vt:vector>
  </TitlesOfParts>
  <Company>WIPRO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ASB (MFG &amp; Tech)</dc:creator>
  <cp:lastModifiedBy>Karthikeyan ASB (MFG &amp; Tech)</cp:lastModifiedBy>
  <dcterms:created xsi:type="dcterms:W3CDTF">2017-05-22T08:16:48Z</dcterms:created>
  <dcterms:modified xsi:type="dcterms:W3CDTF">2017-05-30T10:18:53Z</dcterms:modified>
</cp:coreProperties>
</file>