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2878088\Downloads\Gypsum Cost\"/>
    </mc:Choice>
  </mc:AlternateContent>
  <xr:revisionPtr revIDLastSave="0" documentId="13_ncr:1_{076081DC-BA38-4385-97ED-CFB0018FDDD8}" xr6:coauthVersionLast="47" xr6:coauthVersionMax="47" xr10:uidLastSave="{00000000-0000-0000-0000-000000000000}"/>
  <bookViews>
    <workbookView xWindow="-580" yWindow="2690" windowWidth="14400" windowHeight="8170" activeTab="2" xr2:uid="{00000000-000D-0000-FFFF-FFFF00000000}"/>
  </bookViews>
  <sheets>
    <sheet name="Instructions" sheetId="7" r:id="rId1"/>
    <sheet name="MR" sheetId="20" state="hidden" r:id="rId2"/>
    <sheet name="Optimizer" sheetId="5" r:id="rId3"/>
    <sheet name="Regionwise Demand" sheetId="11" r:id="rId4"/>
    <sheet name="Sheet2" sheetId="21" r:id="rId5"/>
    <sheet name="Sheet1" sheetId="13" state="hidden" r:id="rId6"/>
  </sheets>
  <definedNames>
    <definedName name="_xlnm._FilterDatabase" localSheetId="2" hidden="1">Optimizer!$A$4:$AE$84</definedName>
    <definedName name="_xlnm._FilterDatabase" localSheetId="3" hidden="1">'Regionwise Demand'!$A$1:$E$81</definedName>
    <definedName name="_xlnm._FilterDatabase" localSheetId="5" hidden="1">Sheet1!$D$2:$J$122</definedName>
    <definedName name="OpenSolver_ChosenSolver" localSheetId="0" hidden="1">CBC</definedName>
    <definedName name="OpenSolver_ChosenSolver" localSheetId="2" hidden="1">CBC</definedName>
    <definedName name="OpenSolver_ChosenSolver" localSheetId="3" hidden="1">CBC</definedName>
    <definedName name="OpenSolver_DualsNewSheet" localSheetId="0" hidden="1">0</definedName>
    <definedName name="OpenSolver_DualsNewSheet" localSheetId="2" hidden="1">0</definedName>
    <definedName name="OpenSolver_LinearityCheck" localSheetId="2" hidden="1">1</definedName>
    <definedName name="OpenSolver_LinearityCheck" localSheetId="3" hidden="1">1</definedName>
    <definedName name="OpenSolver_UpdateSensitivity" localSheetId="0" hidden="1">1</definedName>
    <definedName name="OpenSolver_UpdateSensitivity" localSheetId="2" hidden="1">1</definedName>
    <definedName name="solver_adj" localSheetId="2" hidden="1">Optimizer!$W$5:$Z$83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2" hidden="1">2</definedName>
    <definedName name="solver_est" localSheetId="0" hidden="1">1</definedName>
    <definedName name="solver_est" localSheetId="2" hidden="1">1</definedName>
    <definedName name="solver_itr" localSheetId="2" hidden="1">2147483647</definedName>
    <definedName name="solver_lhs1" localSheetId="2" hidden="1">Optimizer!$AB$5:$AB$83</definedName>
    <definedName name="solver_lhs2" localSheetId="2" hidden="1">Optimizer!$W$5:$Z$83</definedName>
    <definedName name="solver_lhs3" localSheetId="2" hidden="1">Optimizer!$W$84:$Z$84</definedName>
    <definedName name="solver_lhs4" localSheetId="2" hidden="1">Optimizer!#REF!</definedName>
    <definedName name="solver_lhs5" localSheetId="2" hidden="1">Optimizer!#REF!</definedName>
    <definedName name="solver_lhs6" localSheetId="2" hidden="1">Optimizer!#REF!</definedName>
    <definedName name="solver_lhs7" localSheetId="2" hidden="1">Optimizer!#REF!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2" hidden="1">2147483647</definedName>
    <definedName name="solver_num" localSheetId="0" hidden="1">0</definedName>
    <definedName name="solver_num" localSheetId="2" hidden="1">3</definedName>
    <definedName name="solver_nwt" localSheetId="0" hidden="1">1</definedName>
    <definedName name="solver_nwt" localSheetId="2" hidden="1">1</definedName>
    <definedName name="solver_opt" localSheetId="2" hidden="1">Optimizer!$AA$84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5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el6" localSheetId="2" hidden="1">1</definedName>
    <definedName name="solver_rel7" localSheetId="2" hidden="1">4</definedName>
    <definedName name="solver_rhs1" localSheetId="2" hidden="1">1</definedName>
    <definedName name="solver_rhs2" localSheetId="2" hidden="1">"binary"</definedName>
    <definedName name="solver_rhs3" localSheetId="2" hidden="1">Optimizer!$W$88:$Z$88</definedName>
    <definedName name="solver_rhs4" localSheetId="2" hidden="1">1</definedName>
    <definedName name="solver_rhs5" localSheetId="2" hidden="1">Optimizer!#REF!</definedName>
    <definedName name="solver_rhs6" localSheetId="2" hidden="1">5</definedName>
    <definedName name="solver_rhs7" localSheetId="2" hidden="1">integer</definedName>
    <definedName name="solver_rlx" localSheetId="0" hidden="1">2</definedName>
    <definedName name="solver_rlx" localSheetId="2" hidden="1">2</definedName>
    <definedName name="solver_rsd" localSheetId="2" hidden="1">0</definedName>
    <definedName name="solver_scl" localSheetId="0" hidden="1">2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0" hidden="1">2</definedName>
    <definedName name="solver_typ" localSheetId="2" hidden="1">2</definedName>
    <definedName name="solver_val" localSheetId="0" hidden="1">0</definedName>
    <definedName name="solver_val" localSheetId="2" hidden="1">0</definedName>
    <definedName name="solver_ver" localSheetId="2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5" l="1"/>
  <c r="K95" i="5" l="1"/>
  <c r="N95" i="5"/>
  <c r="M95" i="5"/>
  <c r="L95" i="5"/>
  <c r="K96" i="5"/>
  <c r="O104" i="5"/>
  <c r="O102" i="5"/>
  <c r="O101" i="5"/>
  <c r="M102" i="5"/>
  <c r="M101" i="5"/>
  <c r="L101" i="5"/>
  <c r="L110" i="5"/>
  <c r="L109" i="5"/>
  <c r="J109" i="5"/>
  <c r="K109" i="5"/>
  <c r="N96" i="5" l="1"/>
  <c r="L103" i="5"/>
  <c r="L100" i="5"/>
  <c r="L102" i="5"/>
  <c r="I66" i="5"/>
  <c r="H66" i="5"/>
  <c r="AA89" i="5"/>
  <c r="Z88" i="5"/>
  <c r="Y88" i="5"/>
  <c r="X88" i="5"/>
  <c r="W88" i="5"/>
  <c r="AA90" i="5" l="1"/>
  <c r="M19" i="11"/>
  <c r="C11" i="11"/>
  <c r="A8" i="5"/>
  <c r="A7" i="5"/>
  <c r="A6" i="5"/>
  <c r="A5" i="5"/>
  <c r="A9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O29" i="11"/>
  <c r="M29" i="11" s="1"/>
  <c r="N29" i="11" s="1"/>
  <c r="O28" i="11"/>
  <c r="M28" i="11" s="1"/>
  <c r="N28" i="11" s="1"/>
  <c r="D11" i="11" l="1"/>
  <c r="D2" i="11"/>
  <c r="K26" i="5"/>
  <c r="L26" i="5"/>
  <c r="M26" i="5"/>
  <c r="N26" i="5"/>
  <c r="U26" i="5"/>
  <c r="AB26" i="5"/>
  <c r="AC26" i="5"/>
  <c r="D22" i="11"/>
  <c r="C22" i="11" s="1"/>
  <c r="D26" i="5" s="1"/>
  <c r="R26" i="5" s="1"/>
  <c r="D21" i="11"/>
  <c r="F22" i="11"/>
  <c r="P26" i="5" l="1"/>
  <c r="Q26" i="5" s="1"/>
  <c r="AD26" i="5"/>
  <c r="V26" i="5"/>
  <c r="AF26" i="5" s="1"/>
  <c r="S26" i="5" l="1"/>
  <c r="AA26" i="5"/>
  <c r="AE26" i="5"/>
  <c r="D7" i="11" l="1"/>
  <c r="D15" i="11"/>
  <c r="O21" i="11" s="1"/>
  <c r="D12" i="11"/>
  <c r="O15" i="11"/>
  <c r="O16" i="11" s="1"/>
  <c r="O35" i="11"/>
  <c r="O32" i="11"/>
  <c r="O31" i="11"/>
  <c r="O27" i="11"/>
  <c r="O23" i="11"/>
  <c r="O22" i="11"/>
  <c r="O18" i="11"/>
  <c r="O14" i="11"/>
  <c r="O13" i="11"/>
  <c r="O12" i="11"/>
  <c r="O10" i="11"/>
  <c r="O9" i="11"/>
  <c r="O8" i="11"/>
  <c r="O7" i="11"/>
  <c r="O6" i="11"/>
  <c r="O5" i="11"/>
  <c r="O4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" i="11"/>
  <c r="D13" i="11" l="1"/>
  <c r="O19" i="11" s="1"/>
  <c r="D3" i="11" l="1"/>
  <c r="D4" i="11" l="1"/>
  <c r="D5" i="11" s="1"/>
  <c r="D6" i="11" s="1"/>
  <c r="D8" i="11"/>
  <c r="O30" i="11" l="1"/>
  <c r="M30" i="11" s="1"/>
  <c r="N30" i="11" s="1"/>
  <c r="O33" i="11"/>
  <c r="D9" i="11"/>
  <c r="D10" i="11" s="1"/>
  <c r="O24" i="11" l="1"/>
  <c r="D81" i="11"/>
  <c r="O25" i="11"/>
  <c r="O36" i="11" l="1"/>
  <c r="M24" i="11"/>
  <c r="N24" i="11" s="1"/>
  <c r="R90" i="5"/>
  <c r="R89" i="5"/>
  <c r="R88" i="5"/>
  <c r="M96" i="5"/>
  <c r="L96" i="5"/>
  <c r="P96" i="5" s="1"/>
  <c r="M93" i="5"/>
  <c r="M92" i="5" s="1"/>
  <c r="L93" i="5"/>
  <c r="W100" i="5"/>
  <c r="L92" i="5" l="1"/>
  <c r="N92" i="5" s="1"/>
  <c r="M35" i="11" l="1"/>
  <c r="M33" i="11"/>
  <c r="M32" i="11"/>
  <c r="M31" i="11"/>
  <c r="M27" i="11"/>
  <c r="M25" i="11"/>
  <c r="M23" i="11"/>
  <c r="M22" i="11"/>
  <c r="M21" i="11"/>
  <c r="M18" i="11"/>
  <c r="M16" i="11"/>
  <c r="M15" i="11"/>
  <c r="M14" i="11"/>
  <c r="M13" i="11"/>
  <c r="M12" i="11"/>
  <c r="M10" i="11"/>
  <c r="M9" i="11"/>
  <c r="M8" i="11"/>
  <c r="M7" i="11"/>
  <c r="M6" i="11"/>
  <c r="M5" i="11"/>
  <c r="M4" i="11"/>
  <c r="M20" i="11" l="1"/>
  <c r="M17" i="11"/>
  <c r="M34" i="11"/>
  <c r="M11" i="11"/>
  <c r="M26" i="11"/>
  <c r="M79" i="5"/>
  <c r="H65" i="5"/>
  <c r="M36" i="11" l="1"/>
  <c r="M40" i="5" l="1"/>
  <c r="G3" i="21"/>
  <c r="N76" i="5"/>
  <c r="N68" i="5"/>
  <c r="N60" i="5"/>
  <c r="N52" i="5"/>
  <c r="N44" i="5"/>
  <c r="N41" i="5"/>
  <c r="N36" i="5"/>
  <c r="N33" i="5"/>
  <c r="N28" i="5"/>
  <c r="N25" i="5"/>
  <c r="N21" i="5"/>
  <c r="M74" i="5"/>
  <c r="M66" i="5"/>
  <c r="M58" i="5"/>
  <c r="M50" i="5"/>
  <c r="M42" i="5"/>
  <c r="M34" i="5"/>
  <c r="M25" i="5"/>
  <c r="L82" i="5"/>
  <c r="L81" i="5"/>
  <c r="L74" i="5"/>
  <c r="L73" i="5"/>
  <c r="L66" i="5"/>
  <c r="L65" i="5"/>
  <c r="L57" i="5"/>
  <c r="L43" i="5"/>
  <c r="L41" i="5"/>
  <c r="L39" i="5"/>
  <c r="L36" i="5"/>
  <c r="L35" i="5"/>
  <c r="L34" i="5"/>
  <c r="L33" i="5"/>
  <c r="L28" i="5"/>
  <c r="L25" i="5"/>
  <c r="L24" i="5"/>
  <c r="L60" i="5"/>
  <c r="L52" i="5"/>
  <c r="L44" i="5"/>
  <c r="L42" i="5"/>
  <c r="L21" i="5"/>
  <c r="K42" i="5"/>
  <c r="K34" i="5"/>
  <c r="K25" i="5"/>
  <c r="K20" i="5"/>
  <c r="L20" i="5"/>
  <c r="M20" i="5"/>
  <c r="N20" i="5"/>
  <c r="K21" i="5"/>
  <c r="M21" i="5"/>
  <c r="K22" i="5"/>
  <c r="L22" i="5"/>
  <c r="M22" i="5"/>
  <c r="N22" i="5"/>
  <c r="K23" i="5"/>
  <c r="L23" i="5"/>
  <c r="M23" i="5"/>
  <c r="N23" i="5"/>
  <c r="K24" i="5"/>
  <c r="M24" i="5"/>
  <c r="N24" i="5"/>
  <c r="K27" i="5"/>
  <c r="L27" i="5"/>
  <c r="M27" i="5"/>
  <c r="N27" i="5"/>
  <c r="K28" i="5"/>
  <c r="M28" i="5"/>
  <c r="K29" i="5"/>
  <c r="L29" i="5"/>
  <c r="M29" i="5"/>
  <c r="N29" i="5"/>
  <c r="K30" i="5"/>
  <c r="L30" i="5"/>
  <c r="M30" i="5"/>
  <c r="N30" i="5"/>
  <c r="K31" i="5"/>
  <c r="L31" i="5"/>
  <c r="M31" i="5"/>
  <c r="N31" i="5"/>
  <c r="K32" i="5"/>
  <c r="L32" i="5"/>
  <c r="M32" i="5"/>
  <c r="N32" i="5"/>
  <c r="K33" i="5"/>
  <c r="M33" i="5"/>
  <c r="N34" i="5"/>
  <c r="K35" i="5"/>
  <c r="M35" i="5"/>
  <c r="N35" i="5"/>
  <c r="K36" i="5"/>
  <c r="M36" i="5"/>
  <c r="K37" i="5"/>
  <c r="L37" i="5"/>
  <c r="M37" i="5"/>
  <c r="N37" i="5"/>
  <c r="K38" i="5"/>
  <c r="L38" i="5"/>
  <c r="M38" i="5"/>
  <c r="N38" i="5"/>
  <c r="K39" i="5"/>
  <c r="M39" i="5"/>
  <c r="N39" i="5"/>
  <c r="K40" i="5"/>
  <c r="L40" i="5"/>
  <c r="N40" i="5"/>
  <c r="K41" i="5"/>
  <c r="M41" i="5"/>
  <c r="N42" i="5"/>
  <c r="K43" i="5"/>
  <c r="M43" i="5"/>
  <c r="N43" i="5"/>
  <c r="K44" i="5"/>
  <c r="M44" i="5"/>
  <c r="K45" i="5"/>
  <c r="L45" i="5"/>
  <c r="M45" i="5"/>
  <c r="N45" i="5"/>
  <c r="K46" i="5"/>
  <c r="L46" i="5"/>
  <c r="M46" i="5"/>
  <c r="N46" i="5"/>
  <c r="K47" i="5"/>
  <c r="L47" i="5"/>
  <c r="M47" i="5"/>
  <c r="N47" i="5"/>
  <c r="K48" i="5"/>
  <c r="L48" i="5"/>
  <c r="M48" i="5"/>
  <c r="N48" i="5"/>
  <c r="K49" i="5"/>
  <c r="L49" i="5"/>
  <c r="M49" i="5"/>
  <c r="N49" i="5"/>
  <c r="K50" i="5"/>
  <c r="L50" i="5"/>
  <c r="N50" i="5"/>
  <c r="K51" i="5"/>
  <c r="L51" i="5"/>
  <c r="M51" i="5"/>
  <c r="N51" i="5"/>
  <c r="K52" i="5"/>
  <c r="M52" i="5"/>
  <c r="K53" i="5"/>
  <c r="L53" i="5"/>
  <c r="M53" i="5"/>
  <c r="N53" i="5"/>
  <c r="K54" i="5"/>
  <c r="L54" i="5"/>
  <c r="M54" i="5"/>
  <c r="N54" i="5"/>
  <c r="K55" i="5"/>
  <c r="L55" i="5"/>
  <c r="M55" i="5"/>
  <c r="N55" i="5"/>
  <c r="K56" i="5"/>
  <c r="L56" i="5"/>
  <c r="M56" i="5"/>
  <c r="N56" i="5"/>
  <c r="K57" i="5"/>
  <c r="M57" i="5"/>
  <c r="N57" i="5"/>
  <c r="K58" i="5"/>
  <c r="L58" i="5"/>
  <c r="N58" i="5"/>
  <c r="K59" i="5"/>
  <c r="L59" i="5"/>
  <c r="M59" i="5"/>
  <c r="N59" i="5"/>
  <c r="K60" i="5"/>
  <c r="M60" i="5"/>
  <c r="K61" i="5"/>
  <c r="L61" i="5"/>
  <c r="M61" i="5"/>
  <c r="N61" i="5"/>
  <c r="K62" i="5"/>
  <c r="L62" i="5"/>
  <c r="M62" i="5"/>
  <c r="N62" i="5"/>
  <c r="K63" i="5"/>
  <c r="L63" i="5"/>
  <c r="M63" i="5"/>
  <c r="N63" i="5"/>
  <c r="K64" i="5"/>
  <c r="L64" i="5"/>
  <c r="M64" i="5"/>
  <c r="N64" i="5"/>
  <c r="K65" i="5"/>
  <c r="M65" i="5"/>
  <c r="N65" i="5"/>
  <c r="K66" i="5"/>
  <c r="N66" i="5"/>
  <c r="K67" i="5"/>
  <c r="L67" i="5"/>
  <c r="M67" i="5"/>
  <c r="N67" i="5"/>
  <c r="K68" i="5"/>
  <c r="L68" i="5"/>
  <c r="M68" i="5"/>
  <c r="K69" i="5"/>
  <c r="L69" i="5"/>
  <c r="M69" i="5"/>
  <c r="N69" i="5"/>
  <c r="K70" i="5"/>
  <c r="L70" i="5"/>
  <c r="M70" i="5"/>
  <c r="N70" i="5"/>
  <c r="K71" i="5"/>
  <c r="L71" i="5"/>
  <c r="M71" i="5"/>
  <c r="N71" i="5"/>
  <c r="K72" i="5"/>
  <c r="L72" i="5"/>
  <c r="M72" i="5"/>
  <c r="N72" i="5"/>
  <c r="K73" i="5"/>
  <c r="M73" i="5"/>
  <c r="N73" i="5"/>
  <c r="K74" i="5"/>
  <c r="N74" i="5"/>
  <c r="K75" i="5"/>
  <c r="L75" i="5"/>
  <c r="M75" i="5"/>
  <c r="N75" i="5"/>
  <c r="K76" i="5"/>
  <c r="L76" i="5"/>
  <c r="M76" i="5"/>
  <c r="K77" i="5"/>
  <c r="L77" i="5"/>
  <c r="M77" i="5"/>
  <c r="N77" i="5"/>
  <c r="K78" i="5"/>
  <c r="L78" i="5"/>
  <c r="M78" i="5"/>
  <c r="N78" i="5"/>
  <c r="K79" i="5"/>
  <c r="L79" i="5"/>
  <c r="N79" i="5"/>
  <c r="K80" i="5"/>
  <c r="L80" i="5"/>
  <c r="M80" i="5"/>
  <c r="N80" i="5"/>
  <c r="K81" i="5"/>
  <c r="M81" i="5"/>
  <c r="N81" i="5"/>
  <c r="K82" i="5"/>
  <c r="M82" i="5"/>
  <c r="N82" i="5"/>
  <c r="K83" i="5"/>
  <c r="L83" i="5"/>
  <c r="M83" i="5"/>
  <c r="N83" i="5"/>
  <c r="N88" i="5" l="1"/>
  <c r="C16" i="11"/>
  <c r="AB16" i="5" l="1"/>
  <c r="U16" i="5"/>
  <c r="N16" i="5"/>
  <c r="M16" i="5"/>
  <c r="L16" i="5"/>
  <c r="K16" i="5"/>
  <c r="AB17" i="5"/>
  <c r="U17" i="5"/>
  <c r="N17" i="5"/>
  <c r="M17" i="5"/>
  <c r="L17" i="5"/>
  <c r="K17" i="5"/>
  <c r="AB12" i="5"/>
  <c r="U12" i="5"/>
  <c r="N12" i="5"/>
  <c r="M12" i="5"/>
  <c r="L12" i="5"/>
  <c r="K12" i="5"/>
  <c r="AB11" i="5"/>
  <c r="U11" i="5"/>
  <c r="N11" i="5"/>
  <c r="M11" i="5"/>
  <c r="L11" i="5"/>
  <c r="K11" i="5"/>
  <c r="P16" i="5" l="1"/>
  <c r="P17" i="5"/>
  <c r="P12" i="5"/>
  <c r="P11" i="5"/>
  <c r="AB6" i="5" l="1"/>
  <c r="U6" i="5"/>
  <c r="N6" i="5"/>
  <c r="M6" i="5"/>
  <c r="L6" i="5"/>
  <c r="K6" i="5"/>
  <c r="AB7" i="5"/>
  <c r="U7" i="5"/>
  <c r="N7" i="5"/>
  <c r="M7" i="5"/>
  <c r="L7" i="5"/>
  <c r="K7" i="5"/>
  <c r="AB8" i="5"/>
  <c r="U8" i="5"/>
  <c r="N8" i="5"/>
  <c r="M8" i="5"/>
  <c r="L8" i="5"/>
  <c r="K8" i="5"/>
  <c r="AB9" i="5"/>
  <c r="U9" i="5"/>
  <c r="N9" i="5"/>
  <c r="M9" i="5"/>
  <c r="L9" i="5"/>
  <c r="K9" i="5"/>
  <c r="C13" i="11"/>
  <c r="D17" i="5" s="1"/>
  <c r="C12" i="11"/>
  <c r="D16" i="5" s="1"/>
  <c r="C10" i="11"/>
  <c r="C9" i="11"/>
  <c r="D12" i="5" s="1"/>
  <c r="C8" i="11"/>
  <c r="D11" i="5" s="1"/>
  <c r="C6" i="11"/>
  <c r="D9" i="5" s="1"/>
  <c r="V9" i="5" s="1"/>
  <c r="C5" i="11"/>
  <c r="D8" i="5" s="1"/>
  <c r="V8" i="5" s="1"/>
  <c r="C4" i="11"/>
  <c r="D7" i="5" s="1"/>
  <c r="V7" i="5" s="1"/>
  <c r="C3" i="11"/>
  <c r="D6" i="5" s="1"/>
  <c r="V6" i="5" s="1"/>
  <c r="C2" i="11"/>
  <c r="C7" i="11"/>
  <c r="C15" i="11"/>
  <c r="C14" i="11"/>
  <c r="AA8" i="5" l="1"/>
  <c r="AA9" i="5"/>
  <c r="R11" i="5"/>
  <c r="S11" i="5" s="1"/>
  <c r="V11" i="5"/>
  <c r="R12" i="5"/>
  <c r="S12" i="5" s="1"/>
  <c r="V12" i="5"/>
  <c r="R17" i="5"/>
  <c r="S17" i="5" s="1"/>
  <c r="V17" i="5"/>
  <c r="V16" i="5"/>
  <c r="R16" i="5"/>
  <c r="S16" i="5" s="1"/>
  <c r="P6" i="5"/>
  <c r="R7" i="5"/>
  <c r="R6" i="5"/>
  <c r="AA6" i="5"/>
  <c r="P7" i="5"/>
  <c r="AA7" i="5"/>
  <c r="P8" i="5"/>
  <c r="R8" i="5"/>
  <c r="P9" i="5"/>
  <c r="R9" i="5"/>
  <c r="U59" i="5"/>
  <c r="AB59" i="5"/>
  <c r="U58" i="5"/>
  <c r="AB58" i="5"/>
  <c r="C80" i="11"/>
  <c r="C79" i="11"/>
  <c r="C78" i="11"/>
  <c r="C77" i="11"/>
  <c r="C5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6" i="11"/>
  <c r="C55" i="11"/>
  <c r="D59" i="5" s="1"/>
  <c r="R59" i="5" s="1"/>
  <c r="C54" i="11"/>
  <c r="D58" i="5" s="1"/>
  <c r="R58" i="5" s="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1" i="11"/>
  <c r="C20" i="11"/>
  <c r="C19" i="11"/>
  <c r="C18" i="11"/>
  <c r="C17" i="11"/>
  <c r="AA16" i="5" l="1"/>
  <c r="AA17" i="5"/>
  <c r="AF12" i="5"/>
  <c r="AA12" i="5"/>
  <c r="AA11" i="5"/>
  <c r="S6" i="5"/>
  <c r="S7" i="5"/>
  <c r="S9" i="5"/>
  <c r="S8" i="5"/>
  <c r="V59" i="5"/>
  <c r="V58" i="5"/>
  <c r="P58" i="5" l="1"/>
  <c r="AD89" i="5"/>
  <c r="AA58" i="5" l="1"/>
  <c r="P59" i="5"/>
  <c r="AA59" i="5"/>
  <c r="S58" i="5"/>
  <c r="N5" i="5"/>
  <c r="S59" i="5" l="1"/>
  <c r="B3" i="20"/>
  <c r="B4" i="20" s="1"/>
  <c r="C3" i="20"/>
  <c r="C4" i="20" s="1"/>
  <c r="C5" i="20" s="1"/>
  <c r="C12" i="20" s="1"/>
  <c r="C11" i="20" s="1"/>
  <c r="C13" i="20" s="1"/>
  <c r="C22" i="20" s="1"/>
  <c r="E3" i="20"/>
  <c r="D7" i="20"/>
  <c r="B11" i="20"/>
  <c r="B13" i="20" s="1"/>
  <c r="D12" i="20"/>
  <c r="D11" i="20" s="1"/>
  <c r="D17" i="20"/>
  <c r="C21" i="20"/>
  <c r="E26" i="20"/>
  <c r="D27" i="20"/>
  <c r="D28" i="20" s="1"/>
  <c r="E27" i="20"/>
  <c r="C28" i="20"/>
  <c r="B7" i="20" l="1"/>
  <c r="B5" i="20"/>
  <c r="B12" i="20" s="1"/>
  <c r="C7" i="20"/>
  <c r="E28" i="20"/>
  <c r="E4" i="20"/>
  <c r="E5" i="20" s="1"/>
  <c r="E12" i="20" s="1"/>
  <c r="E11" i="20" s="1"/>
  <c r="E13" i="20" s="1"/>
  <c r="C23" i="20" s="1"/>
  <c r="D9" i="20"/>
  <c r="E7" i="20" l="1"/>
  <c r="V97" i="5" l="1"/>
  <c r="V96" i="5"/>
  <c r="V95" i="5"/>
  <c r="Y57" i="13" l="1"/>
  <c r="Y59" i="13"/>
  <c r="AT62" i="13"/>
  <c r="AS3" i="13"/>
  <c r="AB5" i="13"/>
  <c r="AT54" i="13"/>
  <c r="Y55" i="13"/>
  <c r="AT56" i="13"/>
  <c r="X71" i="13"/>
  <c r="Y67" i="13"/>
  <c r="AT68" i="13"/>
  <c r="Y71" i="13"/>
  <c r="AU3" i="13"/>
  <c r="Z4" i="13"/>
  <c r="Z28" i="13"/>
  <c r="AQ30" i="13"/>
  <c r="AU31" i="13"/>
  <c r="AQ32" i="13"/>
  <c r="AU33" i="13"/>
  <c r="Z34" i="13"/>
  <c r="AQ34" i="13"/>
  <c r="Z36" i="13"/>
  <c r="AR68" i="13"/>
  <c r="AA72" i="13"/>
  <c r="AR72" i="13"/>
  <c r="AR74" i="13"/>
  <c r="Y27" i="13"/>
  <c r="AU28" i="13"/>
  <c r="Z29" i="13"/>
  <c r="AQ31" i="13"/>
  <c r="AU32" i="13"/>
  <c r="AU36" i="13"/>
  <c r="Z65" i="13"/>
  <c r="AQ65" i="13"/>
  <c r="AU66" i="13"/>
  <c r="AA18" i="13"/>
  <c r="AA22" i="13"/>
  <c r="AR66" i="13"/>
  <c r="X5" i="13"/>
  <c r="X7" i="13"/>
  <c r="AQ40" i="13"/>
  <c r="AQ44" i="13"/>
  <c r="AU61" i="13"/>
  <c r="AT37" i="13"/>
  <c r="Y38" i="13"/>
  <c r="AT41" i="13"/>
  <c r="Y46" i="13"/>
  <c r="Z37" i="13"/>
  <c r="AU46" i="13"/>
  <c r="X73" i="13"/>
  <c r="AA5" i="13"/>
  <c r="AA7" i="13"/>
  <c r="AA25" i="13"/>
  <c r="Y60" i="13"/>
  <c r="X70" i="13"/>
  <c r="Y73" i="13"/>
  <c r="AA47" i="13"/>
  <c r="AR59" i="13"/>
  <c r="AR61" i="13"/>
  <c r="Y16" i="13"/>
  <c r="AS37" i="13"/>
  <c r="AS39" i="13"/>
  <c r="X40" i="13"/>
  <c r="AS43" i="13"/>
  <c r="X44" i="13"/>
  <c r="AS45" i="13"/>
  <c r="X48" i="13"/>
  <c r="AB51" i="13"/>
  <c r="AS51" i="13"/>
  <c r="AB53" i="13"/>
  <c r="AS53" i="13"/>
  <c r="X54" i="13"/>
  <c r="AS55" i="13"/>
  <c r="AB59" i="13"/>
  <c r="AS59" i="13"/>
  <c r="Y4" i="13"/>
  <c r="AT3" i="13"/>
  <c r="Y6" i="13"/>
  <c r="AT11" i="13"/>
  <c r="AR64" i="13"/>
  <c r="AB13" i="13"/>
  <c r="AS15" i="13"/>
  <c r="X16" i="13"/>
  <c r="AB17" i="13"/>
  <c r="X18" i="13"/>
  <c r="AB19" i="13"/>
  <c r="X20" i="13"/>
  <c r="AS23" i="13"/>
  <c r="X24" i="13"/>
  <c r="AU48" i="13"/>
  <c r="Z49" i="13"/>
  <c r="AQ49" i="13"/>
  <c r="AQ53" i="13"/>
  <c r="AU60" i="13"/>
  <c r="Z61" i="13"/>
  <c r="AU62" i="13"/>
  <c r="Y64" i="13"/>
  <c r="AU64" i="13"/>
  <c r="AB74" i="13"/>
  <c r="AS74" i="13"/>
  <c r="AT74" i="13"/>
  <c r="AT55" i="13"/>
  <c r="AB22" i="13"/>
  <c r="AB24" i="13"/>
  <c r="AB26" i="13"/>
  <c r="AS26" i="13"/>
  <c r="AA28" i="13"/>
  <c r="X33" i="13"/>
  <c r="AB34" i="13"/>
  <c r="AA46" i="13"/>
  <c r="AR50" i="13"/>
  <c r="AA60" i="13"/>
  <c r="AR60" i="13"/>
  <c r="AA64" i="13"/>
  <c r="AQ66" i="13"/>
  <c r="AT67" i="13"/>
  <c r="AT69" i="13"/>
  <c r="Y70" i="13"/>
  <c r="AT16" i="13"/>
  <c r="Z7" i="13"/>
  <c r="AQ7" i="13"/>
  <c r="Z9" i="13"/>
  <c r="Z27" i="13"/>
  <c r="Y31" i="13"/>
  <c r="AT32" i="13"/>
  <c r="X43" i="13"/>
  <c r="AA53" i="13"/>
  <c r="AB56" i="13"/>
  <c r="AB60" i="13"/>
  <c r="AB62" i="13"/>
  <c r="AS62" i="13"/>
  <c r="X63" i="13"/>
  <c r="AB64" i="13"/>
  <c r="AU71" i="13"/>
  <c r="Z72" i="13"/>
  <c r="AU11" i="13"/>
  <c r="AQ16" i="13"/>
  <c r="AQ22" i="13"/>
  <c r="Z67" i="13"/>
  <c r="AQ67" i="13"/>
  <c r="AU9" i="13"/>
  <c r="Y13" i="13"/>
  <c r="Z14" i="13"/>
  <c r="AQ14" i="13"/>
  <c r="Y15" i="13"/>
  <c r="AU15" i="13"/>
  <c r="Y17" i="13"/>
  <c r="Y19" i="13"/>
  <c r="AT21" i="13"/>
  <c r="AA26" i="13"/>
  <c r="AA29" i="13"/>
  <c r="Y37" i="13"/>
  <c r="AT40" i="13"/>
  <c r="Y41" i="13"/>
  <c r="Y43" i="13"/>
  <c r="X46" i="13"/>
  <c r="AQ52" i="13"/>
  <c r="AQ54" i="13"/>
  <c r="AU55" i="13"/>
  <c r="AS56" i="13"/>
  <c r="X62" i="13"/>
  <c r="AR62" i="13"/>
  <c r="X64" i="13"/>
  <c r="AU68" i="13"/>
  <c r="Z69" i="13"/>
  <c r="AU70" i="13"/>
  <c r="Z71" i="13"/>
  <c r="X3" i="13"/>
  <c r="AS6" i="13"/>
  <c r="AA8" i="13"/>
  <c r="AR10" i="13"/>
  <c r="AU10" i="13"/>
  <c r="AA12" i="13"/>
  <c r="AR14" i="13"/>
  <c r="AU14" i="13"/>
  <c r="AR16" i="13"/>
  <c r="AU18" i="13"/>
  <c r="AA20" i="13"/>
  <c r="AR32" i="13"/>
  <c r="AT39" i="13"/>
  <c r="AU40" i="13"/>
  <c r="Z41" i="13"/>
  <c r="AU42" i="13"/>
  <c r="AT45" i="13"/>
  <c r="Y47" i="13"/>
  <c r="AB50" i="13"/>
  <c r="Z51" i="13"/>
  <c r="AA52" i="13"/>
  <c r="AR54" i="13"/>
  <c r="Z60" i="13"/>
  <c r="AT61" i="13"/>
  <c r="AT63" i="13"/>
  <c r="AS65" i="13"/>
  <c r="X66" i="13"/>
  <c r="AR67" i="13"/>
  <c r="AR69" i="13"/>
  <c r="AU73" i="13"/>
  <c r="X17" i="13"/>
  <c r="AB18" i="13"/>
  <c r="X19" i="13"/>
  <c r="AB20" i="13"/>
  <c r="AQ26" i="13"/>
  <c r="AB33" i="13"/>
  <c r="AS33" i="13"/>
  <c r="AB35" i="13"/>
  <c r="AS35" i="13"/>
  <c r="X36" i="13"/>
  <c r="AR37" i="13"/>
  <c r="Y49" i="13"/>
  <c r="AB52" i="13"/>
  <c r="AB54" i="13"/>
  <c r="AR58" i="13"/>
  <c r="AQ62" i="13"/>
  <c r="AT65" i="13"/>
  <c r="Y66" i="13"/>
  <c r="AS67" i="13"/>
  <c r="X68" i="13"/>
  <c r="AS71" i="13"/>
  <c r="AR23" i="13"/>
  <c r="AB36" i="13"/>
  <c r="AA44" i="13"/>
  <c r="AR46" i="13"/>
  <c r="AB12" i="13"/>
  <c r="X8" i="13"/>
  <c r="X14" i="13"/>
  <c r="AT7" i="13"/>
  <c r="Y10" i="13"/>
  <c r="Y33" i="13"/>
  <c r="Y35" i="13"/>
  <c r="AB46" i="13"/>
  <c r="AB10" i="13"/>
  <c r="X13" i="13"/>
  <c r="AB3" i="13"/>
  <c r="AB7" i="13"/>
  <c r="AA9" i="13"/>
  <c r="AR17" i="13"/>
  <c r="AR19" i="13"/>
  <c r="AU20" i="13"/>
  <c r="AQ23" i="13"/>
  <c r="AA34" i="13"/>
  <c r="AQ38" i="13"/>
  <c r="AU39" i="13"/>
  <c r="Z44" i="13"/>
  <c r="Z46" i="13"/>
  <c r="AT47" i="13"/>
  <c r="Z5" i="13"/>
  <c r="AB6" i="13"/>
  <c r="AU23" i="13"/>
  <c r="Z24" i="13"/>
  <c r="AT25" i="13"/>
  <c r="Y26" i="13"/>
  <c r="X28" i="13"/>
  <c r="AS31" i="13"/>
  <c r="X32" i="13"/>
  <c r="AT49" i="13"/>
  <c r="X15" i="13"/>
  <c r="AQ18" i="13"/>
  <c r="AA3" i="13"/>
  <c r="AU8" i="13"/>
  <c r="AB15" i="13"/>
  <c r="Z17" i="13"/>
  <c r="Z19" i="13"/>
  <c r="AU22" i="13"/>
  <c r="AA24" i="13"/>
  <c r="AQ24" i="13"/>
  <c r="Y25" i="13"/>
  <c r="AU25" i="13"/>
  <c r="AT29" i="13"/>
  <c r="AA48" i="13"/>
  <c r="Z20" i="13"/>
  <c r="AA21" i="13"/>
  <c r="AR21" i="13"/>
  <c r="AU24" i="13"/>
  <c r="Z25" i="13"/>
  <c r="AQ25" i="13"/>
  <c r="X35" i="13"/>
  <c r="AS36" i="13"/>
  <c r="AA38" i="13"/>
  <c r="AQ42" i="13"/>
  <c r="Z18" i="13"/>
  <c r="AS9" i="13"/>
  <c r="AR11" i="13"/>
  <c r="AU12" i="13"/>
  <c r="Z13" i="13"/>
  <c r="AT14" i="13"/>
  <c r="AB21" i="13"/>
  <c r="AS21" i="13"/>
  <c r="X22" i="13"/>
  <c r="AB38" i="13"/>
  <c r="AU52" i="13"/>
  <c r="Z55" i="13"/>
  <c r="AA16" i="13"/>
  <c r="AU17" i="13"/>
  <c r="Z3" i="13"/>
  <c r="AT4" i="13"/>
  <c r="Y5" i="13"/>
  <c r="AA6" i="13"/>
  <c r="Z8" i="13"/>
  <c r="AQ8" i="13"/>
  <c r="Y9" i="13"/>
  <c r="AT9" i="13"/>
  <c r="AB11" i="13"/>
  <c r="AS11" i="13"/>
  <c r="Z12" i="13"/>
  <c r="X26" i="13"/>
  <c r="AQ28" i="13"/>
  <c r="AQ33" i="13"/>
  <c r="AU34" i="13"/>
  <c r="X50" i="13"/>
  <c r="AB66" i="13"/>
  <c r="AA73" i="13"/>
  <c r="AR3" i="13"/>
  <c r="Z6" i="13"/>
  <c r="AS7" i="13"/>
  <c r="AB9" i="13"/>
  <c r="AR9" i="13"/>
  <c r="Z11" i="13"/>
  <c r="X12" i="13"/>
  <c r="AT12" i="13"/>
  <c r="AS14" i="13"/>
  <c r="AT17" i="13"/>
  <c r="Z21" i="13"/>
  <c r="AQ21" i="13"/>
  <c r="AT22" i="13"/>
  <c r="Y23" i="13"/>
  <c r="AS24" i="13"/>
  <c r="AS34" i="13"/>
  <c r="Z35" i="13"/>
  <c r="AR36" i="13"/>
  <c r="AU37" i="13"/>
  <c r="Y40" i="13"/>
  <c r="AB40" i="13"/>
  <c r="AR40" i="13"/>
  <c r="AS41" i="13"/>
  <c r="AA42" i="13"/>
  <c r="AR42" i="13"/>
  <c r="AU44" i="13"/>
  <c r="Y45" i="13"/>
  <c r="AU47" i="13"/>
  <c r="Z48" i="13"/>
  <c r="AS48" i="13"/>
  <c r="Y51" i="13"/>
  <c r="X52" i="13"/>
  <c r="X55" i="13"/>
  <c r="AQ55" i="13"/>
  <c r="AA56" i="13"/>
  <c r="Z58" i="13"/>
  <c r="AQ58" i="13"/>
  <c r="AT59" i="13"/>
  <c r="AB61" i="13"/>
  <c r="AS61" i="13"/>
  <c r="Z63" i="13"/>
  <c r="AT64" i="13"/>
  <c r="AU67" i="13"/>
  <c r="AU72" i="13"/>
  <c r="Z73" i="13"/>
  <c r="AQ73" i="13"/>
  <c r="AR27" i="13"/>
  <c r="AB28" i="13"/>
  <c r="AR28" i="13"/>
  <c r="AU29" i="13"/>
  <c r="AT31" i="13"/>
  <c r="Y32" i="13"/>
  <c r="X37" i="13"/>
  <c r="AU38" i="13"/>
  <c r="Z39" i="13"/>
  <c r="AA40" i="13"/>
  <c r="AU41" i="13"/>
  <c r="Z42" i="13"/>
  <c r="AR44" i="13"/>
  <c r="AA45" i="13"/>
  <c r="AT46" i="13"/>
  <c r="AB48" i="13"/>
  <c r="Y50" i="13"/>
  <c r="AA51" i="13"/>
  <c r="AR51" i="13"/>
  <c r="AU54" i="13"/>
  <c r="X57" i="13"/>
  <c r="AA57" i="13"/>
  <c r="AB58" i="13"/>
  <c r="AS58" i="13"/>
  <c r="AQ60" i="13"/>
  <c r="AB63" i="13"/>
  <c r="AS63" i="13"/>
  <c r="AT66" i="13"/>
  <c r="X67" i="13"/>
  <c r="AB68" i="13"/>
  <c r="Z70" i="13"/>
  <c r="AT71" i="13"/>
  <c r="X38" i="13"/>
  <c r="X58" i="13"/>
  <c r="AS72" i="13"/>
  <c r="X4" i="13"/>
  <c r="AA4" i="13"/>
  <c r="AQ5" i="13"/>
  <c r="AT6" i="13"/>
  <c r="AS8" i="13"/>
  <c r="AA10" i="13"/>
  <c r="AQ10" i="13"/>
  <c r="AS13" i="13"/>
  <c r="AA14" i="13"/>
  <c r="AR15" i="13"/>
  <c r="AU16" i="13"/>
  <c r="AS17" i="13"/>
  <c r="AT18" i="13"/>
  <c r="AR20" i="13"/>
  <c r="Z22" i="13"/>
  <c r="AR24" i="13"/>
  <c r="AA27" i="13"/>
  <c r="AQ27" i="13"/>
  <c r="AT28" i="13"/>
  <c r="AA32" i="13"/>
  <c r="AT33" i="13"/>
  <c r="AR34" i="13"/>
  <c r="AR35" i="13"/>
  <c r="AQ36" i="13"/>
  <c r="AT38" i="13"/>
  <c r="Y39" i="13"/>
  <c r="X41" i="13"/>
  <c r="AB42" i="13"/>
  <c r="AS42" i="13"/>
  <c r="AQ46" i="13"/>
  <c r="Y48" i="13"/>
  <c r="AT48" i="13"/>
  <c r="AA50" i="13"/>
  <c r="AQ50" i="13"/>
  <c r="AS52" i="13"/>
  <c r="AT53" i="13"/>
  <c r="Y54" i="13"/>
  <c r="AR55" i="13"/>
  <c r="AU56" i="13"/>
  <c r="AQ57" i="13"/>
  <c r="AT57" i="13"/>
  <c r="Z59" i="13"/>
  <c r="X60" i="13"/>
  <c r="AA61" i="13"/>
  <c r="Y63" i="13"/>
  <c r="AU63" i="13"/>
  <c r="X69" i="13"/>
  <c r="AA69" i="13"/>
  <c r="AR70" i="13"/>
  <c r="AQ71" i="13"/>
  <c r="Z74" i="13"/>
  <c r="AQ74" i="13"/>
  <c r="AR5" i="13"/>
  <c r="X11" i="13"/>
  <c r="AQ4" i="13"/>
  <c r="AR6" i="13"/>
  <c r="AR7" i="13"/>
  <c r="AT8" i="13"/>
  <c r="AS10" i="13"/>
  <c r="AR13" i="13"/>
  <c r="AU21" i="13"/>
  <c r="AT24" i="13"/>
  <c r="AS27" i="13"/>
  <c r="Z33" i="13"/>
  <c r="Z40" i="13"/>
  <c r="AR48" i="13"/>
  <c r="AA68" i="13"/>
  <c r="AQ3" i="13"/>
  <c r="AB4" i="13"/>
  <c r="AR4" i="13"/>
  <c r="AU4" i="13"/>
  <c r="AS5" i="13"/>
  <c r="Y7" i="13"/>
  <c r="X9" i="13"/>
  <c r="AT10" i="13"/>
  <c r="Y11" i="13"/>
  <c r="AQ19" i="13"/>
  <c r="AT23" i="13"/>
  <c r="AR30" i="13"/>
  <c r="AU30" i="13"/>
  <c r="Y36" i="13"/>
  <c r="X39" i="13"/>
  <c r="X74" i="13"/>
  <c r="Y3" i="13"/>
  <c r="AS4" i="13"/>
  <c r="AT5" i="13"/>
  <c r="AQ9" i="13"/>
  <c r="X10" i="13"/>
  <c r="AQ12" i="13"/>
  <c r="AT13" i="13"/>
  <c r="AT20" i="13"/>
  <c r="AS29" i="13"/>
  <c r="AB30" i="13"/>
  <c r="AU35" i="13"/>
  <c r="Y42" i="13"/>
  <c r="AQ70" i="13"/>
  <c r="AU5" i="13"/>
  <c r="X6" i="13"/>
  <c r="AU6" i="13"/>
  <c r="AU7" i="13"/>
  <c r="Y8" i="13"/>
  <c r="AB8" i="13"/>
  <c r="AR8" i="13"/>
  <c r="AU13" i="13"/>
  <c r="Y18" i="13"/>
  <c r="AS19" i="13"/>
  <c r="AS22" i="13"/>
  <c r="AT34" i="13"/>
  <c r="AA36" i="13"/>
  <c r="AS47" i="13"/>
  <c r="AT51" i="13"/>
  <c r="AB70" i="13"/>
  <c r="AQ6" i="13"/>
  <c r="AQ20" i="13"/>
  <c r="Z45" i="13"/>
  <c r="AB72" i="13"/>
  <c r="AS12" i="13"/>
  <c r="Z16" i="13"/>
  <c r="AS20" i="13"/>
  <c r="Y21" i="13"/>
  <c r="X23" i="13"/>
  <c r="Y24" i="13"/>
  <c r="X25" i="13"/>
  <c r="Z26" i="13"/>
  <c r="AB27" i="13"/>
  <c r="AB29" i="13"/>
  <c r="AR29" i="13"/>
  <c r="AT30" i="13"/>
  <c r="X31" i="13"/>
  <c r="Z32" i="13"/>
  <c r="Y34" i="13"/>
  <c r="Z38" i="13"/>
  <c r="AR38" i="13"/>
  <c r="AA41" i="13"/>
  <c r="AA43" i="13"/>
  <c r="AQ43" i="13"/>
  <c r="AT43" i="13"/>
  <c r="AB45" i="13"/>
  <c r="AQ45" i="13"/>
  <c r="AB47" i="13"/>
  <c r="AR47" i="13"/>
  <c r="AQ48" i="13"/>
  <c r="AB49" i="13"/>
  <c r="AR49" i="13"/>
  <c r="AU49" i="13"/>
  <c r="AS50" i="13"/>
  <c r="Y52" i="13"/>
  <c r="Z53" i="13"/>
  <c r="Z54" i="13"/>
  <c r="Z56" i="13"/>
  <c r="AR56" i="13"/>
  <c r="AR57" i="13"/>
  <c r="AU57" i="13"/>
  <c r="AT58" i="13"/>
  <c r="AT60" i="13"/>
  <c r="Y62" i="13"/>
  <c r="AQ63" i="13"/>
  <c r="X65" i="13"/>
  <c r="AA65" i="13"/>
  <c r="Z66" i="13"/>
  <c r="Z68" i="13"/>
  <c r="Y69" i="13"/>
  <c r="AA70" i="13"/>
  <c r="AA71" i="13"/>
  <c r="AR73" i="13"/>
  <c r="AU74" i="13"/>
  <c r="AA37" i="13"/>
  <c r="AA39" i="13"/>
  <c r="AQ39" i="13"/>
  <c r="AB41" i="13"/>
  <c r="AQ41" i="13"/>
  <c r="AB43" i="13"/>
  <c r="AR43" i="13"/>
  <c r="AS44" i="13"/>
  <c r="AR45" i="13"/>
  <c r="AS49" i="13"/>
  <c r="AT50" i="13"/>
  <c r="AT52" i="13"/>
  <c r="X53" i="13"/>
  <c r="AA54" i="13"/>
  <c r="AA55" i="13"/>
  <c r="AB57" i="13"/>
  <c r="AS57" i="13"/>
  <c r="AU58" i="13"/>
  <c r="X59" i="13"/>
  <c r="AU59" i="13"/>
  <c r="X61" i="13"/>
  <c r="Z62" i="13"/>
  <c r="Z64" i="13"/>
  <c r="Y65" i="13"/>
  <c r="AA66" i="13"/>
  <c r="AA67" i="13"/>
  <c r="AB71" i="13"/>
  <c r="AQ72" i="13"/>
  <c r="AB73" i="13"/>
  <c r="AS73" i="13"/>
  <c r="AB14" i="13"/>
  <c r="AQ15" i="13"/>
  <c r="AB16" i="13"/>
  <c r="AA17" i="13"/>
  <c r="AQ17" i="13"/>
  <c r="AU19" i="13"/>
  <c r="Y20" i="13"/>
  <c r="X21" i="13"/>
  <c r="AS25" i="13"/>
  <c r="AR26" i="13"/>
  <c r="AU26" i="13"/>
  <c r="AT27" i="13"/>
  <c r="AS28" i="13"/>
  <c r="Y29" i="13"/>
  <c r="X30" i="13"/>
  <c r="AA30" i="13"/>
  <c r="Z31" i="13"/>
  <c r="AB32" i="13"/>
  <c r="AA33" i="13"/>
  <c r="AA35" i="13"/>
  <c r="AQ35" i="13"/>
  <c r="AT35" i="13"/>
  <c r="AB37" i="13"/>
  <c r="AQ37" i="13"/>
  <c r="AB39" i="13"/>
  <c r="AR39" i="13"/>
  <c r="AS40" i="13"/>
  <c r="AR41" i="13"/>
  <c r="X42" i="13"/>
  <c r="AT44" i="13"/>
  <c r="AS46" i="13"/>
  <c r="AU50" i="13"/>
  <c r="X51" i="13"/>
  <c r="AU51" i="13"/>
  <c r="Y53" i="13"/>
  <c r="AB55" i="13"/>
  <c r="AQ56" i="13"/>
  <c r="Y58" i="13"/>
  <c r="AQ59" i="13"/>
  <c r="Y61" i="13"/>
  <c r="AA62" i="13"/>
  <c r="AA63" i="13"/>
  <c r="AB67" i="13"/>
  <c r="AS68" i="13"/>
  <c r="AQ69" i="13"/>
  <c r="AR71" i="13"/>
  <c r="X72" i="13"/>
  <c r="AT73" i="13"/>
  <c r="Y74" i="13"/>
  <c r="Z47" i="13"/>
  <c r="AQ51" i="13"/>
  <c r="X56" i="13"/>
  <c r="AS64" i="13"/>
  <c r="AQ68" i="13"/>
  <c r="AB69" i="13"/>
  <c r="AU69" i="13"/>
  <c r="AS70" i="13"/>
  <c r="Y72" i="13"/>
  <c r="AA11" i="13"/>
  <c r="AR12" i="13"/>
  <c r="AA13" i="13"/>
  <c r="AS16" i="13"/>
  <c r="AB23" i="13"/>
  <c r="AB25" i="13"/>
  <c r="AR25" i="13"/>
  <c r="AT26" i="13"/>
  <c r="X27" i="13"/>
  <c r="Y28" i="13"/>
  <c r="X29" i="13"/>
  <c r="Z30" i="13"/>
  <c r="AB31" i="13"/>
  <c r="AR31" i="13"/>
  <c r="AS32" i="13"/>
  <c r="AR33" i="13"/>
  <c r="X34" i="13"/>
  <c r="AT36" i="13"/>
  <c r="AS38" i="13"/>
  <c r="AT42" i="13"/>
  <c r="Z43" i="13"/>
  <c r="AU43" i="13"/>
  <c r="Y44" i="13"/>
  <c r="AB44" i="13"/>
  <c r="X45" i="13"/>
  <c r="AU45" i="13"/>
  <c r="X47" i="13"/>
  <c r="AQ47" i="13"/>
  <c r="X49" i="13"/>
  <c r="AA49" i="13"/>
  <c r="Z50" i="13"/>
  <c r="Z52" i="13"/>
  <c r="AR52" i="13"/>
  <c r="AR53" i="13"/>
  <c r="AU53" i="13"/>
  <c r="AS54" i="13"/>
  <c r="Y56" i="13"/>
  <c r="Z57" i="13"/>
  <c r="AA58" i="13"/>
  <c r="AA59" i="13"/>
  <c r="AS60" i="13"/>
  <c r="AQ61" i="13"/>
  <c r="AR63" i="13"/>
  <c r="AQ64" i="13"/>
  <c r="AB65" i="13"/>
  <c r="AR65" i="13"/>
  <c r="AU65" i="13"/>
  <c r="AS66" i="13"/>
  <c r="Y68" i="13"/>
  <c r="AS69" i="13"/>
  <c r="AT70" i="13"/>
  <c r="AT72" i="13"/>
  <c r="AA74" i="13"/>
  <c r="AR18" i="13"/>
  <c r="Y22" i="13"/>
  <c r="AU27" i="13"/>
  <c r="Y12" i="13"/>
  <c r="AQ13" i="13"/>
  <c r="Z15" i="13"/>
  <c r="AS18" i="13"/>
  <c r="Z23" i="13"/>
  <c r="Z10" i="13"/>
  <c r="AQ11" i="13"/>
  <c r="AA15" i="13"/>
  <c r="AT19" i="13"/>
  <c r="AA23" i="13"/>
  <c r="Y30" i="13"/>
  <c r="AA31" i="13"/>
  <c r="AR22" i="13"/>
  <c r="Y14" i="13"/>
  <c r="AT15" i="13"/>
  <c r="AA19" i="13"/>
  <c r="AQ29" i="13"/>
  <c r="AS30" i="13"/>
  <c r="D60" i="5" l="1"/>
  <c r="U5" i="5" l="1"/>
  <c r="AB5" i="5"/>
  <c r="K4" i="5" l="1"/>
  <c r="N19" i="5"/>
  <c r="M19" i="5"/>
  <c r="L19" i="5"/>
  <c r="K19" i="5"/>
  <c r="N18" i="5"/>
  <c r="M18" i="5"/>
  <c r="L18" i="5"/>
  <c r="K18" i="5"/>
  <c r="N13" i="5"/>
  <c r="M13" i="5"/>
  <c r="L13" i="5"/>
  <c r="K13" i="5"/>
  <c r="N10" i="5"/>
  <c r="M10" i="5"/>
  <c r="L10" i="5"/>
  <c r="K10" i="5"/>
  <c r="N15" i="5"/>
  <c r="M15" i="5"/>
  <c r="L15" i="5"/>
  <c r="K15" i="5"/>
  <c r="N14" i="5"/>
  <c r="M14" i="5"/>
  <c r="L14" i="5"/>
  <c r="K14" i="5"/>
  <c r="M5" i="5"/>
  <c r="L5" i="5"/>
  <c r="K5" i="5"/>
  <c r="AB19" i="5"/>
  <c r="U19" i="5"/>
  <c r="AB15" i="5"/>
  <c r="U15" i="5"/>
  <c r="AB13" i="5"/>
  <c r="U13" i="5"/>
  <c r="X87" i="5"/>
  <c r="Z87" i="5"/>
  <c r="Y87" i="5"/>
  <c r="W87" i="5"/>
  <c r="X4" i="5"/>
  <c r="Y4" i="5"/>
  <c r="Z4" i="5"/>
  <c r="W4" i="5"/>
  <c r="L4" i="5"/>
  <c r="M4" i="5"/>
  <c r="N4" i="5"/>
  <c r="U14" i="5"/>
  <c r="U10" i="5"/>
  <c r="U18" i="5"/>
  <c r="U20" i="5"/>
  <c r="U23" i="5"/>
  <c r="U22" i="5"/>
  <c r="U21" i="5"/>
  <c r="U27" i="5"/>
  <c r="U24" i="5"/>
  <c r="U30" i="5"/>
  <c r="U34" i="5"/>
  <c r="U29" i="5"/>
  <c r="U39" i="5"/>
  <c r="U25" i="5"/>
  <c r="U28" i="5"/>
  <c r="U32" i="5"/>
  <c r="U61" i="5"/>
  <c r="U36" i="5"/>
  <c r="U35" i="5"/>
  <c r="U33" i="5"/>
  <c r="U60" i="5"/>
  <c r="U40" i="5"/>
  <c r="U62" i="5"/>
  <c r="U63" i="5"/>
  <c r="U64" i="5"/>
  <c r="U42" i="5"/>
  <c r="U65" i="5"/>
  <c r="U47" i="5"/>
  <c r="U31" i="5"/>
  <c r="U66" i="5"/>
  <c r="U54" i="5"/>
  <c r="U37" i="5"/>
  <c r="U43" i="5"/>
  <c r="U41" i="5"/>
  <c r="U51" i="5"/>
  <c r="U50" i="5"/>
  <c r="U56" i="5"/>
  <c r="U67" i="5"/>
  <c r="U52" i="5"/>
  <c r="U68" i="5"/>
  <c r="U44" i="5"/>
  <c r="U69" i="5"/>
  <c r="U70" i="5"/>
  <c r="U71" i="5"/>
  <c r="U72" i="5"/>
  <c r="U48" i="5"/>
  <c r="U73" i="5"/>
  <c r="U74" i="5"/>
  <c r="U57" i="5"/>
  <c r="U75" i="5"/>
  <c r="U76" i="5"/>
  <c r="U45" i="5"/>
  <c r="U77" i="5"/>
  <c r="U55" i="5"/>
  <c r="U49" i="5"/>
  <c r="U78" i="5"/>
  <c r="U79" i="5"/>
  <c r="U80" i="5"/>
  <c r="U46" i="5"/>
  <c r="U81" i="5"/>
  <c r="U53" i="5"/>
  <c r="U82" i="5"/>
  <c r="U83" i="5"/>
  <c r="U38" i="5"/>
  <c r="AB14" i="5"/>
  <c r="AB10" i="5"/>
  <c r="AB18" i="5"/>
  <c r="AB20" i="5"/>
  <c r="AB23" i="5"/>
  <c r="AB22" i="5"/>
  <c r="AB21" i="5"/>
  <c r="AB27" i="5"/>
  <c r="AB24" i="5"/>
  <c r="AB30" i="5"/>
  <c r="AB34" i="5"/>
  <c r="AB29" i="5"/>
  <c r="AB39" i="5"/>
  <c r="AB25" i="5"/>
  <c r="AB28" i="5"/>
  <c r="AB32" i="5"/>
  <c r="AB61" i="5"/>
  <c r="AB36" i="5"/>
  <c r="AB35" i="5"/>
  <c r="AB33" i="5"/>
  <c r="AB60" i="5"/>
  <c r="AB40" i="5"/>
  <c r="AB62" i="5"/>
  <c r="AB63" i="5"/>
  <c r="AB64" i="5"/>
  <c r="AB42" i="5"/>
  <c r="AB65" i="5"/>
  <c r="AB47" i="5"/>
  <c r="AB31" i="5"/>
  <c r="AB66" i="5"/>
  <c r="AB54" i="5"/>
  <c r="AB37" i="5"/>
  <c r="AB43" i="5"/>
  <c r="AB41" i="5"/>
  <c r="AB51" i="5"/>
  <c r="AB50" i="5"/>
  <c r="AB56" i="5"/>
  <c r="AB67" i="5"/>
  <c r="AB52" i="5"/>
  <c r="AB68" i="5"/>
  <c r="AB44" i="5"/>
  <c r="AB69" i="5"/>
  <c r="AB70" i="5"/>
  <c r="AB71" i="5"/>
  <c r="AB72" i="5"/>
  <c r="AB48" i="5"/>
  <c r="AB73" i="5"/>
  <c r="AB74" i="5"/>
  <c r="AB57" i="5"/>
  <c r="AB75" i="5"/>
  <c r="AB76" i="5"/>
  <c r="AB45" i="5"/>
  <c r="AB77" i="5"/>
  <c r="AB55" i="5"/>
  <c r="AB49" i="5"/>
  <c r="AB78" i="5"/>
  <c r="AB79" i="5"/>
  <c r="AB80" i="5"/>
  <c r="AB46" i="5"/>
  <c r="AB81" i="5"/>
  <c r="AB53" i="5"/>
  <c r="AB82" i="5"/>
  <c r="AB83" i="5"/>
  <c r="AB38" i="5"/>
  <c r="N87" i="5" l="1"/>
  <c r="P5" i="5"/>
  <c r="Q5" i="5" s="1"/>
  <c r="Q11" i="5"/>
  <c r="Q12" i="5"/>
  <c r="Q17" i="5"/>
  <c r="Q16" i="5"/>
  <c r="AC73" i="5"/>
  <c r="AD73" i="5" s="1"/>
  <c r="AC35" i="5"/>
  <c r="AD35" i="5" s="1"/>
  <c r="AC57" i="5"/>
  <c r="AD57" i="5" s="1"/>
  <c r="AC8" i="5"/>
  <c r="AD8" i="5" s="1"/>
  <c r="AE8" i="5" s="1"/>
  <c r="AC7" i="5"/>
  <c r="AD7" i="5" s="1"/>
  <c r="AE7" i="5" s="1"/>
  <c r="AC42" i="5"/>
  <c r="AD42" i="5" s="1"/>
  <c r="AC27" i="5"/>
  <c r="AD27" i="5" s="1"/>
  <c r="AC43" i="5"/>
  <c r="AD43" i="5" s="1"/>
  <c r="AC6" i="5"/>
  <c r="AD6" i="5" s="1"/>
  <c r="AE6" i="5" s="1"/>
  <c r="AC5" i="5"/>
  <c r="AD5" i="5" s="1"/>
  <c r="AC78" i="5"/>
  <c r="AD78" i="5" s="1"/>
  <c r="AC53" i="5"/>
  <c r="AD53" i="5" s="1"/>
  <c r="AC77" i="5"/>
  <c r="AD77" i="5" s="1"/>
  <c r="AC50" i="5"/>
  <c r="AD50" i="5" s="1"/>
  <c r="AC38" i="5"/>
  <c r="AD38" i="5" s="1"/>
  <c r="AC20" i="5"/>
  <c r="AD20" i="5" s="1"/>
  <c r="AC74" i="5"/>
  <c r="AD74" i="5" s="1"/>
  <c r="AC24" i="5"/>
  <c r="AD24" i="5" s="1"/>
  <c r="AC23" i="5"/>
  <c r="AD23" i="5" s="1"/>
  <c r="AC9" i="5"/>
  <c r="AD9" i="5" s="1"/>
  <c r="AE9" i="5" s="1"/>
  <c r="AC52" i="5"/>
  <c r="AD52" i="5" s="1"/>
  <c r="Q58" i="5"/>
  <c r="Q59" i="5"/>
  <c r="AC48" i="5"/>
  <c r="AD48" i="5" s="1"/>
  <c r="AC36" i="5"/>
  <c r="AD36" i="5" s="1"/>
  <c r="AC71" i="5"/>
  <c r="AD71" i="5" s="1"/>
  <c r="AC34" i="5"/>
  <c r="AD34" i="5" s="1"/>
  <c r="AC44" i="5"/>
  <c r="AD44" i="5" s="1"/>
  <c r="AC32" i="5"/>
  <c r="AD32" i="5" s="1"/>
  <c r="AC31" i="5"/>
  <c r="AD31" i="5" s="1"/>
  <c r="AC79" i="5"/>
  <c r="AD79" i="5" s="1"/>
  <c r="AC65" i="5"/>
  <c r="AD65" i="5" s="1"/>
  <c r="AC29" i="5"/>
  <c r="AD29" i="5" s="1"/>
  <c r="AC80" i="5"/>
  <c r="AD80" i="5" s="1"/>
  <c r="AC55" i="5"/>
  <c r="AD55" i="5" s="1"/>
  <c r="AC30" i="5"/>
  <c r="AD30" i="5" s="1"/>
  <c r="AC41" i="5"/>
  <c r="AD41" i="5" s="1"/>
  <c r="AC68" i="5"/>
  <c r="AD68" i="5" s="1"/>
  <c r="AC76" i="5"/>
  <c r="AD76" i="5" s="1"/>
  <c r="AC75" i="5"/>
  <c r="AD75" i="5" s="1"/>
  <c r="AC13" i="5"/>
  <c r="AD13" i="5" s="1"/>
  <c r="AC11" i="5"/>
  <c r="AD11" i="5" s="1"/>
  <c r="AE11" i="5" s="1"/>
  <c r="AC72" i="5"/>
  <c r="AD72" i="5" s="1"/>
  <c r="AC10" i="5"/>
  <c r="AD10" i="5" s="1"/>
  <c r="AC83" i="5"/>
  <c r="AD83" i="5" s="1"/>
  <c r="AC61" i="5"/>
  <c r="AD61" i="5" s="1"/>
  <c r="AC49" i="5"/>
  <c r="AD49" i="5" s="1"/>
  <c r="AC12" i="5"/>
  <c r="AD12" i="5" s="1"/>
  <c r="AE12" i="5" s="1"/>
  <c r="AC22" i="5"/>
  <c r="AD22" i="5" s="1"/>
  <c r="AC46" i="5"/>
  <c r="AD46" i="5" s="1"/>
  <c r="AC33" i="5"/>
  <c r="AD33" i="5" s="1"/>
  <c r="AC59" i="5"/>
  <c r="AD59" i="5" s="1"/>
  <c r="AE59" i="5" s="1"/>
  <c r="AC45" i="5"/>
  <c r="AD45" i="5" s="1"/>
  <c r="AC28" i="5"/>
  <c r="AD28" i="5" s="1"/>
  <c r="AC51" i="5"/>
  <c r="AD51" i="5" s="1"/>
  <c r="AC63" i="5"/>
  <c r="AD63" i="5" s="1"/>
  <c r="AC69" i="5"/>
  <c r="AD69" i="5" s="1"/>
  <c r="AC56" i="5"/>
  <c r="AD56" i="5" s="1"/>
  <c r="AC67" i="5"/>
  <c r="AD67" i="5" s="1"/>
  <c r="AC66" i="5"/>
  <c r="AD66" i="5" s="1"/>
  <c r="AC62" i="5"/>
  <c r="AD62" i="5" s="1"/>
  <c r="AC25" i="5"/>
  <c r="AD25" i="5" s="1"/>
  <c r="AC21" i="5"/>
  <c r="AD21" i="5" s="1"/>
  <c r="AC82" i="5"/>
  <c r="AD82" i="5" s="1"/>
  <c r="AC64" i="5"/>
  <c r="AD64" i="5" s="1"/>
  <c r="AC37" i="5"/>
  <c r="AD37" i="5" s="1"/>
  <c r="AC58" i="5"/>
  <c r="AD58" i="5" s="1"/>
  <c r="AE58" i="5" s="1"/>
  <c r="AC70" i="5"/>
  <c r="AD70" i="5" s="1"/>
  <c r="AC60" i="5"/>
  <c r="AD60" i="5" s="1"/>
  <c r="AC81" i="5"/>
  <c r="AD81" i="5" s="1"/>
  <c r="AC19" i="5"/>
  <c r="AD19" i="5" s="1"/>
  <c r="AC54" i="5"/>
  <c r="AD54" i="5" s="1"/>
  <c r="AC17" i="5"/>
  <c r="AD17" i="5" s="1"/>
  <c r="AE17" i="5" s="1"/>
  <c r="AC40" i="5"/>
  <c r="AD40" i="5" s="1"/>
  <c r="AC18" i="5"/>
  <c r="AD18" i="5" s="1"/>
  <c r="AC16" i="5"/>
  <c r="AD16" i="5" s="1"/>
  <c r="AE16" i="5" s="1"/>
  <c r="AC15" i="5"/>
  <c r="AD15" i="5" s="1"/>
  <c r="AC14" i="5"/>
  <c r="AD14" i="5" s="1"/>
  <c r="AC47" i="5"/>
  <c r="AD47" i="5" s="1"/>
  <c r="AC39" i="5"/>
  <c r="AD39" i="5" s="1"/>
  <c r="Q7" i="5"/>
  <c r="Q6" i="5"/>
  <c r="Q8" i="5"/>
  <c r="Q9" i="5"/>
  <c r="Q89" i="5"/>
  <c r="Q87" i="5"/>
  <c r="P10" i="5"/>
  <c r="Q10" i="5" s="1"/>
  <c r="Q88" i="5"/>
  <c r="Q90" i="5"/>
  <c r="P73" i="5"/>
  <c r="Q73" i="5" s="1"/>
  <c r="P55" i="5"/>
  <c r="Q55" i="5" s="1"/>
  <c r="P37" i="5"/>
  <c r="Q37" i="5" s="1"/>
  <c r="P31" i="5"/>
  <c r="Q31" i="5" s="1"/>
  <c r="P23" i="5"/>
  <c r="Q23" i="5" s="1"/>
  <c r="P24" i="5"/>
  <c r="Q24" i="5" s="1"/>
  <c r="P32" i="5"/>
  <c r="Q32" i="5" s="1"/>
  <c r="P62" i="5"/>
  <c r="Q62" i="5" s="1"/>
  <c r="P44" i="5"/>
  <c r="Q44" i="5" s="1"/>
  <c r="P19" i="5"/>
  <c r="Q19" i="5" s="1"/>
  <c r="P49" i="5"/>
  <c r="Q49" i="5" s="1"/>
  <c r="P33" i="5"/>
  <c r="Q33" i="5" s="1"/>
  <c r="P38" i="5"/>
  <c r="Q38" i="5" s="1"/>
  <c r="P76" i="5"/>
  <c r="Q76" i="5" s="1"/>
  <c r="P69" i="5"/>
  <c r="Q69" i="5" s="1"/>
  <c r="P27" i="5"/>
  <c r="Q27" i="5" s="1"/>
  <c r="P20" i="5"/>
  <c r="Q20" i="5" s="1"/>
  <c r="P66" i="5"/>
  <c r="Q66" i="5" s="1"/>
  <c r="P42" i="5"/>
  <c r="Q42" i="5" s="1"/>
  <c r="P36" i="5"/>
  <c r="Q36" i="5" s="1"/>
  <c r="P57" i="5"/>
  <c r="Q57" i="5" s="1"/>
  <c r="P68" i="5"/>
  <c r="Q68" i="5" s="1"/>
  <c r="P51" i="5"/>
  <c r="Q51" i="5" s="1"/>
  <c r="P67" i="5"/>
  <c r="Q67" i="5" s="1"/>
  <c r="P30" i="5"/>
  <c r="Q30" i="5" s="1"/>
  <c r="P18" i="5"/>
  <c r="Q18" i="5" s="1"/>
  <c r="P71" i="5"/>
  <c r="Q71" i="5" s="1"/>
  <c r="P53" i="5"/>
  <c r="Q53" i="5" s="1"/>
  <c r="P65" i="5"/>
  <c r="Q65" i="5" s="1"/>
  <c r="P54" i="5"/>
  <c r="Q54" i="5" s="1"/>
  <c r="P43" i="5"/>
  <c r="Q43" i="5" s="1"/>
  <c r="P78" i="5"/>
  <c r="Q78" i="5" s="1"/>
  <c r="P77" i="5"/>
  <c r="Q77" i="5" s="1"/>
  <c r="P74" i="5"/>
  <c r="Q74" i="5" s="1"/>
  <c r="P72" i="5"/>
  <c r="Q72" i="5" s="1"/>
  <c r="P56" i="5"/>
  <c r="Q56" i="5" s="1"/>
  <c r="P64" i="5"/>
  <c r="Q64" i="5" s="1"/>
  <c r="P60" i="5"/>
  <c r="Q60" i="5" s="1"/>
  <c r="P61" i="5"/>
  <c r="Q61" i="5" s="1"/>
  <c r="P39" i="5"/>
  <c r="Q39" i="5" s="1"/>
  <c r="P29" i="5"/>
  <c r="Q29" i="5" s="1"/>
  <c r="P15" i="5"/>
  <c r="Q15" i="5" s="1"/>
  <c r="P40" i="5"/>
  <c r="Q40" i="5" s="1"/>
  <c r="P48" i="5"/>
  <c r="Q48" i="5" s="1"/>
  <c r="P25" i="5"/>
  <c r="Q25" i="5" s="1"/>
  <c r="P79" i="5"/>
  <c r="Q79" i="5" s="1"/>
  <c r="P82" i="5"/>
  <c r="Q82" i="5" s="1"/>
  <c r="P52" i="5"/>
  <c r="Q52" i="5" s="1"/>
  <c r="P46" i="5"/>
  <c r="Q46" i="5" s="1"/>
  <c r="P35" i="5"/>
  <c r="Q35" i="5" s="1"/>
  <c r="P28" i="5"/>
  <c r="Q28" i="5" s="1"/>
  <c r="P70" i="5"/>
  <c r="Q70" i="5" s="1"/>
  <c r="P50" i="5"/>
  <c r="Q50" i="5" s="1"/>
  <c r="P47" i="5"/>
  <c r="Q47" i="5" s="1"/>
  <c r="P41" i="5"/>
  <c r="Q41" i="5" s="1"/>
  <c r="P75" i="5"/>
  <c r="Q75" i="5" s="1"/>
  <c r="P22" i="5"/>
  <c r="Q22" i="5" s="1"/>
  <c r="P80" i="5"/>
  <c r="Q80" i="5" s="1"/>
  <c r="P45" i="5"/>
  <c r="Q45" i="5" s="1"/>
  <c r="P14" i="5"/>
  <c r="Q14" i="5" s="1"/>
  <c r="P34" i="5"/>
  <c r="Q34" i="5" s="1"/>
  <c r="P21" i="5"/>
  <c r="Q21" i="5" s="1"/>
  <c r="P63" i="5"/>
  <c r="Q63" i="5" s="1"/>
  <c r="P13" i="5"/>
  <c r="Q13" i="5" s="1"/>
  <c r="P83" i="5"/>
  <c r="Q83" i="5" s="1"/>
  <c r="P81" i="5"/>
  <c r="Q81" i="5" s="1"/>
  <c r="D83" i="5" l="1"/>
  <c r="D65" i="5" l="1"/>
  <c r="D31" i="5"/>
  <c r="D72" i="5"/>
  <c r="D68" i="5"/>
  <c r="D81" i="5"/>
  <c r="D64" i="5"/>
  <c r="D76" i="5"/>
  <c r="D77" i="5"/>
  <c r="D49" i="5"/>
  <c r="D82" i="5"/>
  <c r="D48" i="5"/>
  <c r="D20" i="5"/>
  <c r="D70" i="5"/>
  <c r="D80" i="5"/>
  <c r="D66" i="5"/>
  <c r="D67" i="5"/>
  <c r="D73" i="5"/>
  <c r="D39" i="5"/>
  <c r="D21" i="5"/>
  <c r="D74" i="5"/>
  <c r="D14" i="5"/>
  <c r="D75" i="5"/>
  <c r="D78" i="5"/>
  <c r="D79" i="5"/>
  <c r="D62" i="5"/>
  <c r="D69" i="5"/>
  <c r="D22" i="5"/>
  <c r="D63" i="5"/>
  <c r="D34" i="5" l="1"/>
  <c r="V34" i="5" s="1"/>
  <c r="D32" i="5"/>
  <c r="R32" i="5" s="1"/>
  <c r="S32" i="5" s="1"/>
  <c r="D43" i="5"/>
  <c r="V43" i="5" s="1"/>
  <c r="D46" i="5"/>
  <c r="V46" i="5" s="1"/>
  <c r="D27" i="5"/>
  <c r="R27" i="5" s="1"/>
  <c r="S27" i="5" s="1"/>
  <c r="D52" i="5"/>
  <c r="R52" i="5" s="1"/>
  <c r="S52" i="5" s="1"/>
  <c r="D56" i="5"/>
  <c r="R56" i="5" s="1"/>
  <c r="S56" i="5" s="1"/>
  <c r="D40" i="5"/>
  <c r="R40" i="5" s="1"/>
  <c r="S40" i="5" s="1"/>
  <c r="D23" i="5"/>
  <c r="D50" i="5"/>
  <c r="V50" i="5" s="1"/>
  <c r="AF16" i="5" s="1"/>
  <c r="D45" i="5"/>
  <c r="D24" i="5"/>
  <c r="R24" i="5" s="1"/>
  <c r="S24" i="5" s="1"/>
  <c r="D41" i="5"/>
  <c r="R41" i="5" s="1"/>
  <c r="S41" i="5" s="1"/>
  <c r="D53" i="5"/>
  <c r="D36" i="5"/>
  <c r="D51" i="5"/>
  <c r="D42" i="5"/>
  <c r="V42" i="5" s="1"/>
  <c r="D47" i="5"/>
  <c r="D57" i="5"/>
  <c r="R57" i="5" s="1"/>
  <c r="S57" i="5" s="1"/>
  <c r="D44" i="5"/>
  <c r="D38" i="5"/>
  <c r="D35" i="5"/>
  <c r="D37" i="5"/>
  <c r="D33" i="5"/>
  <c r="D55" i="5"/>
  <c r="R55" i="5" s="1"/>
  <c r="S55" i="5" s="1"/>
  <c r="D54" i="5"/>
  <c r="D28" i="5"/>
  <c r="D5" i="5"/>
  <c r="D25" i="5"/>
  <c r="V75" i="5"/>
  <c r="V48" i="5"/>
  <c r="V80" i="5"/>
  <c r="V49" i="5"/>
  <c r="V20" i="5"/>
  <c r="R76" i="5"/>
  <c r="S76" i="5" s="1"/>
  <c r="V62" i="5"/>
  <c r="R70" i="5"/>
  <c r="S70" i="5" s="1"/>
  <c r="V77" i="5"/>
  <c r="V22" i="5"/>
  <c r="AF6" i="5" s="1"/>
  <c r="R78" i="5"/>
  <c r="S78" i="5" s="1"/>
  <c r="R68" i="5"/>
  <c r="S68" i="5" s="1"/>
  <c r="V65" i="5"/>
  <c r="D61" i="5"/>
  <c r="R83" i="5"/>
  <c r="S83" i="5" s="1"/>
  <c r="R5" i="5" l="1"/>
  <c r="V5" i="5"/>
  <c r="D15" i="5"/>
  <c r="V15" i="5" s="1"/>
  <c r="AA15" i="5" s="1"/>
  <c r="V33" i="5"/>
  <c r="AF59" i="5" s="1"/>
  <c r="R33" i="5"/>
  <c r="S33" i="5" s="1"/>
  <c r="V44" i="5"/>
  <c r="R44" i="5"/>
  <c r="S44" i="5" s="1"/>
  <c r="R21" i="5"/>
  <c r="S21" i="5" s="1"/>
  <c r="V39" i="5"/>
  <c r="AA39" i="5" s="1"/>
  <c r="R69" i="5"/>
  <c r="S69" i="5" s="1"/>
  <c r="R25" i="5"/>
  <c r="S25" i="5" s="1"/>
  <c r="R60" i="5"/>
  <c r="S60" i="5" s="1"/>
  <c r="V60" i="5"/>
  <c r="V66" i="5"/>
  <c r="AA66" i="5" s="1"/>
  <c r="R72" i="5"/>
  <c r="S72" i="5" s="1"/>
  <c r="V82" i="5"/>
  <c r="V67" i="5"/>
  <c r="R51" i="5"/>
  <c r="S51" i="5" s="1"/>
  <c r="V51" i="5"/>
  <c r="V73" i="5"/>
  <c r="AA73" i="5" s="1"/>
  <c r="R47" i="5"/>
  <c r="S47" i="5" s="1"/>
  <c r="V47" i="5"/>
  <c r="V54" i="5"/>
  <c r="AE54" i="5" s="1"/>
  <c r="V74" i="5"/>
  <c r="R38" i="5"/>
  <c r="S38" i="5" s="1"/>
  <c r="V63" i="5"/>
  <c r="R64" i="5"/>
  <c r="S64" i="5" s="1"/>
  <c r="V29" i="5"/>
  <c r="V81" i="5"/>
  <c r="AA81" i="5" s="1"/>
  <c r="R79" i="5"/>
  <c r="S79" i="5" s="1"/>
  <c r="R31" i="5"/>
  <c r="S31" i="5" s="1"/>
  <c r="R23" i="5"/>
  <c r="S23" i="5" s="1"/>
  <c r="V45" i="5"/>
  <c r="V36" i="5"/>
  <c r="AA36" i="5" s="1"/>
  <c r="V14" i="5"/>
  <c r="AA14" i="5" s="1"/>
  <c r="R37" i="5"/>
  <c r="S37" i="5" s="1"/>
  <c r="V35" i="5"/>
  <c r="V83" i="5"/>
  <c r="R61" i="5"/>
  <c r="S61" i="5" s="1"/>
  <c r="V52" i="5"/>
  <c r="AF52" i="5" s="1"/>
  <c r="V21" i="5"/>
  <c r="AA21" i="5" s="1"/>
  <c r="R73" i="5"/>
  <c r="S73" i="5" s="1"/>
  <c r="AA65" i="5"/>
  <c r="R81" i="5"/>
  <c r="S81" i="5" s="1"/>
  <c r="V24" i="5"/>
  <c r="R46" i="5"/>
  <c r="S46" i="5" s="1"/>
  <c r="V37" i="5"/>
  <c r="R67" i="5"/>
  <c r="S67" i="5" s="1"/>
  <c r="R77" i="5"/>
  <c r="S77" i="5" s="1"/>
  <c r="V32" i="5"/>
  <c r="AF32" i="5" s="1"/>
  <c r="R22" i="5"/>
  <c r="S22" i="5" s="1"/>
  <c r="V38" i="5"/>
  <c r="AA38" i="5" s="1"/>
  <c r="R34" i="5"/>
  <c r="S34" i="5" s="1"/>
  <c r="V27" i="5"/>
  <c r="AA27" i="5" s="1"/>
  <c r="R36" i="5"/>
  <c r="S36" i="5" s="1"/>
  <c r="V40" i="5"/>
  <c r="AE40" i="5" s="1"/>
  <c r="R39" i="5"/>
  <c r="S39" i="5" s="1"/>
  <c r="AE65" i="5"/>
  <c r="R66" i="5"/>
  <c r="S66" i="5" s="1"/>
  <c r="V64" i="5"/>
  <c r="V78" i="5"/>
  <c r="V79" i="5"/>
  <c r="AA79" i="5" s="1"/>
  <c r="V68" i="5"/>
  <c r="AF68" i="5" s="1"/>
  <c r="R42" i="5"/>
  <c r="S42" i="5" s="1"/>
  <c r="R82" i="5"/>
  <c r="S82" i="5" s="1"/>
  <c r="R80" i="5"/>
  <c r="S80" i="5" s="1"/>
  <c r="V41" i="5"/>
  <c r="AF41" i="5" s="1"/>
  <c r="R63" i="5"/>
  <c r="S63" i="5" s="1"/>
  <c r="R48" i="5"/>
  <c r="S48" i="5" s="1"/>
  <c r="V56" i="5"/>
  <c r="AF56" i="5" s="1"/>
  <c r="R45" i="5"/>
  <c r="S45" i="5" s="1"/>
  <c r="R62" i="5"/>
  <c r="S62" i="5" s="1"/>
  <c r="R54" i="5"/>
  <c r="S54" i="5" s="1"/>
  <c r="R74" i="5"/>
  <c r="S74" i="5" s="1"/>
  <c r="R65" i="5"/>
  <c r="S65" i="5" s="1"/>
  <c r="R75" i="5"/>
  <c r="S75" i="5" s="1"/>
  <c r="V57" i="5"/>
  <c r="V55" i="5"/>
  <c r="AF55" i="5" s="1"/>
  <c r="V70" i="5"/>
  <c r="AE70" i="5" s="1"/>
  <c r="V23" i="5"/>
  <c r="AF23" i="5" s="1"/>
  <c r="V25" i="5"/>
  <c r="AA25" i="5" s="1"/>
  <c r="V69" i="5"/>
  <c r="AA69" i="5" s="1"/>
  <c r="R49" i="5"/>
  <c r="S49" i="5" s="1"/>
  <c r="R29" i="5"/>
  <c r="S29" i="5" s="1"/>
  <c r="R14" i="5"/>
  <c r="V72" i="5"/>
  <c r="V76" i="5"/>
  <c r="AE76" i="5" s="1"/>
  <c r="R50" i="5"/>
  <c r="S50" i="5" s="1"/>
  <c r="R20" i="5"/>
  <c r="S20" i="5" s="1"/>
  <c r="R35" i="5"/>
  <c r="S35" i="5" s="1"/>
  <c r="R43" i="5"/>
  <c r="S43" i="5" s="1"/>
  <c r="V31" i="5"/>
  <c r="AE31" i="5" s="1"/>
  <c r="V53" i="5"/>
  <c r="AE53" i="5" s="1"/>
  <c r="AA22" i="5"/>
  <c r="AF22" i="5"/>
  <c r="AE22" i="5"/>
  <c r="AF77" i="5"/>
  <c r="AE77" i="5"/>
  <c r="AA77" i="5"/>
  <c r="AF34" i="5"/>
  <c r="AA34" i="5"/>
  <c r="AE34" i="5"/>
  <c r="AA75" i="5"/>
  <c r="AF75" i="5"/>
  <c r="AE75" i="5"/>
  <c r="AA49" i="5"/>
  <c r="AF49" i="5"/>
  <c r="AE49" i="5"/>
  <c r="V28" i="5"/>
  <c r="R28" i="5"/>
  <c r="S28" i="5" s="1"/>
  <c r="AF46" i="5"/>
  <c r="AA46" i="5"/>
  <c r="AE46" i="5"/>
  <c r="AA50" i="5"/>
  <c r="AF50" i="5"/>
  <c r="AE50" i="5"/>
  <c r="AA20" i="5"/>
  <c r="AF20" i="5"/>
  <c r="AE20" i="5"/>
  <c r="AA62" i="5"/>
  <c r="AF62" i="5"/>
  <c r="AE62" i="5"/>
  <c r="AA80" i="5"/>
  <c r="AE80" i="5"/>
  <c r="AF42" i="5"/>
  <c r="AA42" i="5"/>
  <c r="AE42" i="5"/>
  <c r="AA48" i="5"/>
  <c r="AF48" i="5"/>
  <c r="AE48" i="5"/>
  <c r="AF43" i="5"/>
  <c r="AA43" i="5"/>
  <c r="AE43" i="5"/>
  <c r="S5" i="5" l="1"/>
  <c r="AA45" i="5"/>
  <c r="AF9" i="5"/>
  <c r="AF67" i="5"/>
  <c r="AF29" i="5"/>
  <c r="AF7" i="5"/>
  <c r="AF82" i="5"/>
  <c r="AF37" i="5"/>
  <c r="AF8" i="5"/>
  <c r="AF80" i="5"/>
  <c r="AA72" i="5"/>
  <c r="AF11" i="5"/>
  <c r="AA63" i="5"/>
  <c r="AF78" i="5"/>
  <c r="AF35" i="5"/>
  <c r="AF64" i="5"/>
  <c r="AF74" i="5"/>
  <c r="AF17" i="5"/>
  <c r="AF65" i="5"/>
  <c r="AA5" i="5"/>
  <c r="AF5" i="5"/>
  <c r="AE5" i="5"/>
  <c r="AE15" i="5"/>
  <c r="R15" i="5"/>
  <c r="S15" i="5" s="1"/>
  <c r="AF44" i="5"/>
  <c r="AA44" i="5"/>
  <c r="AE44" i="5"/>
  <c r="AF33" i="5"/>
  <c r="AA33" i="5"/>
  <c r="AE33" i="5"/>
  <c r="AE74" i="5"/>
  <c r="AA74" i="5"/>
  <c r="AE36" i="5"/>
  <c r="AF66" i="5"/>
  <c r="AE29" i="5"/>
  <c r="AA29" i="5"/>
  <c r="AA82" i="5"/>
  <c r="AE14" i="5"/>
  <c r="AF14" i="5"/>
  <c r="AE39" i="5"/>
  <c r="AA54" i="5"/>
  <c r="AF39" i="5"/>
  <c r="AE81" i="5"/>
  <c r="AF81" i="5"/>
  <c r="AE66" i="5"/>
  <c r="AA35" i="5"/>
  <c r="AE35" i="5"/>
  <c r="AE67" i="5"/>
  <c r="AA67" i="5"/>
  <c r="AE73" i="5"/>
  <c r="AE45" i="5"/>
  <c r="AF45" i="5"/>
  <c r="AE63" i="5"/>
  <c r="AF63" i="5"/>
  <c r="AF36" i="5"/>
  <c r="AE82" i="5"/>
  <c r="AA51" i="5"/>
  <c r="AF51" i="5"/>
  <c r="AE51" i="5"/>
  <c r="AF60" i="5"/>
  <c r="AA60" i="5"/>
  <c r="AE60" i="5"/>
  <c r="R53" i="5"/>
  <c r="S53" i="5" s="1"/>
  <c r="AA83" i="5"/>
  <c r="AE83" i="5"/>
  <c r="AF83" i="5"/>
  <c r="AA47" i="5"/>
  <c r="AF47" i="5"/>
  <c r="AE47" i="5"/>
  <c r="V61" i="5"/>
  <c r="AA61" i="5" s="1"/>
  <c r="AE52" i="5"/>
  <c r="AA52" i="5"/>
  <c r="AE79" i="5"/>
  <c r="AE32" i="5"/>
  <c r="AF21" i="5"/>
  <c r="AE21" i="5"/>
  <c r="AF27" i="5"/>
  <c r="AA32" i="5"/>
  <c r="AE37" i="5"/>
  <c r="AE24" i="5"/>
  <c r="AA24" i="5"/>
  <c r="AA37" i="5"/>
  <c r="AE38" i="5"/>
  <c r="AF38" i="5"/>
  <c r="AE64" i="5"/>
  <c r="AA64" i="5"/>
  <c r="AF40" i="5"/>
  <c r="AA40" i="5"/>
  <c r="AE78" i="5"/>
  <c r="AE27" i="5"/>
  <c r="AA78" i="5"/>
  <c r="AA76" i="5"/>
  <c r="AA56" i="5"/>
  <c r="AF79" i="5"/>
  <c r="AA23" i="5"/>
  <c r="AE25" i="5"/>
  <c r="AF76" i="5"/>
  <c r="AE68" i="5"/>
  <c r="AE56" i="5"/>
  <c r="AE57" i="5"/>
  <c r="AA57" i="5"/>
  <c r="AA68" i="5"/>
  <c r="AF72" i="5"/>
  <c r="AE72" i="5"/>
  <c r="AE41" i="5"/>
  <c r="AA55" i="5"/>
  <c r="AA70" i="5"/>
  <c r="AA41" i="5"/>
  <c r="AE55" i="5"/>
  <c r="AF70" i="5"/>
  <c r="S14" i="5"/>
  <c r="AE69" i="5"/>
  <c r="AE23" i="5"/>
  <c r="AF69" i="5"/>
  <c r="AF31" i="5"/>
  <c r="AA53" i="5"/>
  <c r="AF53" i="5"/>
  <c r="AA31" i="5"/>
  <c r="AF28" i="5"/>
  <c r="AA28" i="5"/>
  <c r="AE28" i="5"/>
  <c r="S87" i="5" l="1"/>
  <c r="AF15" i="5"/>
  <c r="AE61" i="5"/>
  <c r="AF61" i="5"/>
  <c r="D10" i="5" l="1"/>
  <c r="D13" i="5"/>
  <c r="R13" i="5" s="1"/>
  <c r="S13" i="5" s="1"/>
  <c r="R87" i="5" l="1"/>
  <c r="AA88" i="5"/>
  <c r="V94" i="5"/>
  <c r="V98" i="5" s="1"/>
  <c r="R10" i="5"/>
  <c r="V10" i="5"/>
  <c r="AF57" i="5" s="1"/>
  <c r="V13" i="5"/>
  <c r="AF54" i="5" s="1"/>
  <c r="S10" i="5" l="1"/>
  <c r="X94" i="5"/>
  <c r="AF13" i="5"/>
  <c r="AE13" i="5"/>
  <c r="AA13" i="5"/>
  <c r="AA10" i="5"/>
  <c r="AE10" i="5"/>
  <c r="AF10" i="5"/>
  <c r="D18" i="5"/>
  <c r="D19" i="5"/>
  <c r="R19" i="5" s="1"/>
  <c r="S19" i="5" s="1"/>
  <c r="V19" i="5" l="1"/>
  <c r="AF24" i="5" s="1"/>
  <c r="V18" i="5"/>
  <c r="AF25" i="5" s="1"/>
  <c r="R18" i="5"/>
  <c r="S18" i="5" l="1"/>
  <c r="S88" i="5"/>
  <c r="AA18" i="5"/>
  <c r="AF18" i="5"/>
  <c r="AE18" i="5"/>
  <c r="AF19" i="5"/>
  <c r="AE19" i="5"/>
  <c r="AA19" i="5"/>
  <c r="X95" i="5" l="1"/>
  <c r="D30" i="5"/>
  <c r="D71" i="5"/>
  <c r="N13" i="11"/>
  <c r="N10" i="11"/>
  <c r="N22" i="11"/>
  <c r="N7" i="11"/>
  <c r="N23" i="11"/>
  <c r="N5" i="11"/>
  <c r="N14" i="11"/>
  <c r="N25" i="11"/>
  <c r="N6" i="11"/>
  <c r="N15" i="11"/>
  <c r="N16" i="11"/>
  <c r="N31" i="11"/>
  <c r="N8" i="11"/>
  <c r="N32" i="11"/>
  <c r="N9" i="11"/>
  <c r="N19" i="11"/>
  <c r="N33" i="11"/>
  <c r="N12" i="11"/>
  <c r="N4" i="11"/>
  <c r="N18" i="11"/>
  <c r="N27" i="11"/>
  <c r="N21" i="11"/>
  <c r="R71" i="5" l="1"/>
  <c r="V71" i="5"/>
  <c r="AF58" i="5" s="1"/>
  <c r="V30" i="5"/>
  <c r="AF73" i="5" s="1"/>
  <c r="R30" i="5"/>
  <c r="D84" i="5"/>
  <c r="N35" i="11"/>
  <c r="S71" i="5" l="1"/>
  <c r="S89" i="5"/>
  <c r="Y84" i="5"/>
  <c r="W96" i="5" s="1"/>
  <c r="X84" i="5"/>
  <c r="W95" i="5" s="1"/>
  <c r="AE30" i="5"/>
  <c r="AA30" i="5"/>
  <c r="AF30" i="5"/>
  <c r="W84" i="5"/>
  <c r="W94" i="5" s="1"/>
  <c r="Z84" i="5"/>
  <c r="W97" i="5" s="1"/>
  <c r="S30" i="5"/>
  <c r="S90" i="5"/>
  <c r="AF71" i="5"/>
  <c r="AA71" i="5"/>
  <c r="AE71" i="5"/>
  <c r="X96" i="5" l="1"/>
  <c r="T89" i="5"/>
  <c r="T88" i="5"/>
  <c r="T87" i="5"/>
  <c r="X97" i="5"/>
  <c r="T90" i="5"/>
  <c r="S84" i="5"/>
  <c r="S85" i="5" s="1"/>
  <c r="AF84" i="5"/>
  <c r="AA84" i="5"/>
  <c r="AA85" i="5" s="1"/>
  <c r="W98" i="5"/>
  <c r="AE84" i="5"/>
  <c r="X98" i="5" l="1"/>
</calcChain>
</file>

<file path=xl/sharedStrings.xml><?xml version="1.0" encoding="utf-8"?>
<sst xmlns="http://schemas.openxmlformats.org/spreadsheetml/2006/main" count="1032" uniqueCount="342">
  <si>
    <t>Go To</t>
  </si>
  <si>
    <t>http://opensolver.org/</t>
  </si>
  <si>
    <t>Download</t>
  </si>
  <si>
    <t>The latest stable version, OpenSolver 2.8.6</t>
  </si>
  <si>
    <t>Extract All</t>
  </si>
  <si>
    <t>In this excel add in opensolver by following steps:</t>
  </si>
  <si>
    <t>File -&gt;</t>
  </si>
  <si>
    <t>Options -&gt;</t>
  </si>
  <si>
    <t>Add In -&gt;</t>
  </si>
  <si>
    <t>Go -&gt;</t>
  </si>
  <si>
    <t>Browse-&gt;</t>
  </si>
  <si>
    <t>Select the extracted folder in the browse window</t>
  </si>
  <si>
    <t>Open</t>
  </si>
  <si>
    <t>Select "Opensolver"</t>
  </si>
  <si>
    <t>Ok</t>
  </si>
  <si>
    <t>Open next worksheet - "Optimizer"</t>
  </si>
  <si>
    <t>Go To "Data"</t>
  </si>
  <si>
    <t>Right most corner click on Model drop down</t>
  </si>
  <si>
    <t>Click on Model</t>
  </si>
  <si>
    <t>In the window click Save Model</t>
  </si>
  <si>
    <t>Right Most corner Click on Solve</t>
  </si>
  <si>
    <t>Solver will run</t>
  </si>
  <si>
    <t>Freight Master</t>
  </si>
  <si>
    <t>Gyproc</t>
  </si>
  <si>
    <t>Variable Cost</t>
  </si>
  <si>
    <t>Outbound Logistics Cost per sqm</t>
  </si>
  <si>
    <t>Total Variable Cost to Market per sqm</t>
  </si>
  <si>
    <t>Sourcing w/o Capacity Constraints</t>
  </si>
  <si>
    <t>Sourcing with Capacity Constraints</t>
  </si>
  <si>
    <t>Sr. No.</t>
  </si>
  <si>
    <t>City</t>
  </si>
  <si>
    <t>Demand</t>
  </si>
  <si>
    <t>Bangalore</t>
  </si>
  <si>
    <t>Wada</t>
  </si>
  <si>
    <t>Jhagadia</t>
  </si>
  <si>
    <t>Vizag</t>
  </si>
  <si>
    <t>Optimal Cost to serve</t>
  </si>
  <si>
    <t>Optimal Servicing Plant</t>
  </si>
  <si>
    <t>Demand Served</t>
  </si>
  <si>
    <t>Cost to market</t>
  </si>
  <si>
    <t>Cost</t>
  </si>
  <si>
    <t>Serving Plant</t>
  </si>
  <si>
    <t>Landed Cost Difference from Jhagadia</t>
  </si>
  <si>
    <t>Additional Cost</t>
  </si>
  <si>
    <t>BANGALORE</t>
  </si>
  <si>
    <t>BANGALORE 2</t>
  </si>
  <si>
    <t>BANGALORE 3</t>
  </si>
  <si>
    <t>BANGALORE 4</t>
  </si>
  <si>
    <t>BANGALORE 5</t>
  </si>
  <si>
    <t>HYDERABAD</t>
  </si>
  <si>
    <t>HYDERABAD 2</t>
  </si>
  <si>
    <t>HYDERABAD 3</t>
  </si>
  <si>
    <t>Hyderabad 4</t>
  </si>
  <si>
    <t>MUMBAI UPCOUNTRY</t>
  </si>
  <si>
    <t>MUMBAI</t>
  </si>
  <si>
    <t>MUMBAI 2</t>
  </si>
  <si>
    <t>MUMBAI 3</t>
  </si>
  <si>
    <t>PUNE</t>
  </si>
  <si>
    <t>Pune 2</t>
  </si>
  <si>
    <t>CHENNAI</t>
  </si>
  <si>
    <t>AHEMDABAD</t>
  </si>
  <si>
    <t>VISHAKHAPATNAM</t>
  </si>
  <si>
    <t>CALICUT</t>
  </si>
  <si>
    <t>COIMBATORE</t>
  </si>
  <si>
    <t>INDORE</t>
  </si>
  <si>
    <t>COCHIN</t>
  </si>
  <si>
    <t>LUCKNOW</t>
  </si>
  <si>
    <t>VIJAYAWADA</t>
  </si>
  <si>
    <t>BHUBANESWAR</t>
  </si>
  <si>
    <t>SILIGURI</t>
  </si>
  <si>
    <t>CALCUTTA</t>
  </si>
  <si>
    <t>GUWAHATI</t>
  </si>
  <si>
    <t>GUNTUR</t>
  </si>
  <si>
    <t>TRICHY</t>
  </si>
  <si>
    <t>TRIVANDRUM</t>
  </si>
  <si>
    <t>VAPI</t>
  </si>
  <si>
    <t>KANNUR</t>
  </si>
  <si>
    <t>NASHIK</t>
  </si>
  <si>
    <t>NAGPUR</t>
  </si>
  <si>
    <t>MADURAI</t>
  </si>
  <si>
    <t>MANGALORE</t>
  </si>
  <si>
    <t>MYSORE</t>
  </si>
  <si>
    <t>PATNA</t>
  </si>
  <si>
    <t>VADODARA</t>
  </si>
  <si>
    <t>GAJUWAKA</t>
  </si>
  <si>
    <t>GOA</t>
  </si>
  <si>
    <t>VIZIANAGARAM</t>
  </si>
  <si>
    <t>ONGOLE</t>
  </si>
  <si>
    <t>THRISSUR</t>
  </si>
  <si>
    <t>JAIPUR</t>
  </si>
  <si>
    <t>KOLLAM</t>
  </si>
  <si>
    <t>PRODDUTTUR</t>
  </si>
  <si>
    <t>AURANGABAD</t>
  </si>
  <si>
    <t>ATTINGAL</t>
  </si>
  <si>
    <t>GANDHI DHAM</t>
  </si>
  <si>
    <t>VADAKARA</t>
  </si>
  <si>
    <t>New Delhi</t>
  </si>
  <si>
    <t>Noida</t>
  </si>
  <si>
    <t>RAIPUR</t>
  </si>
  <si>
    <t>TIRUPATI</t>
  </si>
  <si>
    <t>GURGAON</t>
  </si>
  <si>
    <t>BOTAD</t>
  </si>
  <si>
    <t>MEHSANA</t>
  </si>
  <si>
    <t>KOYILANDY</t>
  </si>
  <si>
    <t>NEPAL</t>
  </si>
  <si>
    <t>CHANDIGARH</t>
  </si>
  <si>
    <t>NELLORE</t>
  </si>
  <si>
    <t>SURAT</t>
  </si>
  <si>
    <t>GHAZIABAD</t>
  </si>
  <si>
    <t>HANMONKONDA</t>
  </si>
  <si>
    <t>TUTICORIN</t>
  </si>
  <si>
    <t>SALEM</t>
  </si>
  <si>
    <t>THAMARASSERY</t>
  </si>
  <si>
    <t>MAHABUB NAGAR</t>
  </si>
  <si>
    <t>KARIMNAGAR</t>
  </si>
  <si>
    <t>BELGAUM</t>
  </si>
  <si>
    <t>GULBARGA</t>
  </si>
  <si>
    <t>KHAMMAM (AP)</t>
  </si>
  <si>
    <t>MADANAPALLI</t>
  </si>
  <si>
    <t>SHIRDI</t>
  </si>
  <si>
    <t>SURENDRANAGAR</t>
  </si>
  <si>
    <t>AMARAVATI</t>
  </si>
  <si>
    <t>Plant</t>
  </si>
  <si>
    <t>Capacity</t>
  </si>
  <si>
    <t>Alotted</t>
  </si>
  <si>
    <t>Capacity in Lac Sqm</t>
  </si>
  <si>
    <t>Summary</t>
  </si>
  <si>
    <t>Capacity taken</t>
  </si>
  <si>
    <t>Volume allocated</t>
  </si>
  <si>
    <t>Volume if no Capacity constraint</t>
  </si>
  <si>
    <t>Total</t>
  </si>
  <si>
    <t>VC</t>
  </si>
  <si>
    <t>Banglore</t>
  </si>
  <si>
    <t>Weights</t>
  </si>
  <si>
    <t>Plain Board</t>
  </si>
  <si>
    <t>PB</t>
  </si>
  <si>
    <t>FR 12.5x1219x1829mm</t>
  </si>
  <si>
    <t>MR</t>
  </si>
  <si>
    <t>FR 15x1219x2438mm</t>
  </si>
  <si>
    <t>FR</t>
  </si>
  <si>
    <t>MR 12.5x1219x1829mm</t>
  </si>
  <si>
    <t>Avg of FR</t>
  </si>
  <si>
    <t>Volume</t>
  </si>
  <si>
    <t>Type</t>
  </si>
  <si>
    <t>Banglore Vol</t>
  </si>
  <si>
    <t>Jhagadia Vol</t>
  </si>
  <si>
    <t>Total LSqm</t>
  </si>
  <si>
    <t>VC Cost LINR</t>
  </si>
  <si>
    <t xml:space="preserve">VC </t>
  </si>
  <si>
    <t>Vol</t>
  </si>
  <si>
    <t>Current</t>
  </si>
  <si>
    <t>Bang MR</t>
  </si>
  <si>
    <t>Diff</t>
  </si>
  <si>
    <t>Cost to Serve</t>
  </si>
  <si>
    <t>Per Month</t>
  </si>
  <si>
    <t>% of India</t>
  </si>
  <si>
    <t>% of Zone</t>
  </si>
  <si>
    <t>Zone Code</t>
  </si>
  <si>
    <t>STATE</t>
  </si>
  <si>
    <t>I406-Banglore</t>
  </si>
  <si>
    <t>HYDERABAD 4</t>
  </si>
  <si>
    <t>I304-Mumbai</t>
  </si>
  <si>
    <t>I305-Rest Of Maharashtra</t>
  </si>
  <si>
    <t>I301-Gujarat</t>
  </si>
  <si>
    <t>I401-Andhra Pradesh</t>
  </si>
  <si>
    <t>I303-Madhya Pradesh</t>
  </si>
  <si>
    <t>I101-Uttar Pradesh</t>
  </si>
  <si>
    <t>I203-Orissa</t>
  </si>
  <si>
    <t>I201-West Bengal</t>
  </si>
  <si>
    <t>I202-North-East(7 States)</t>
  </si>
  <si>
    <t>I204-Bihar</t>
  </si>
  <si>
    <t>I306-Goa</t>
  </si>
  <si>
    <t>I105-Rajasthan</t>
  </si>
  <si>
    <t>NEW DELHI</t>
  </si>
  <si>
    <t>I104-Delhi NCR</t>
  </si>
  <si>
    <t>NOIDA</t>
  </si>
  <si>
    <t>I302-Chattisgarh</t>
  </si>
  <si>
    <t>I103-Upper North</t>
  </si>
  <si>
    <t>Export</t>
  </si>
  <si>
    <t>I102-Uttaranchal</t>
  </si>
  <si>
    <t>Region</t>
  </si>
  <si>
    <t>Zone Name</t>
  </si>
  <si>
    <t>Board</t>
  </si>
  <si>
    <t>Lacs Sqm</t>
  </si>
  <si>
    <t>Greater Mumbai</t>
  </si>
  <si>
    <t>North</t>
  </si>
  <si>
    <t>Delhi</t>
  </si>
  <si>
    <t>East</t>
  </si>
  <si>
    <t>I205-Jharkhand</t>
  </si>
  <si>
    <t>West 1</t>
  </si>
  <si>
    <t>West 2</t>
  </si>
  <si>
    <t>West</t>
  </si>
  <si>
    <t>South</t>
  </si>
  <si>
    <t>Mumbai</t>
  </si>
  <si>
    <t>Delhi NCR</t>
  </si>
  <si>
    <t>CMP - TRI CITY</t>
  </si>
  <si>
    <t>L2 Movement</t>
  </si>
  <si>
    <t>Optimizer Plant</t>
  </si>
  <si>
    <t>Revised Plant</t>
  </si>
  <si>
    <t>CTS 1</t>
  </si>
  <si>
    <t>CTS 2</t>
  </si>
  <si>
    <t>Impact</t>
  </si>
  <si>
    <t>Chennai</t>
  </si>
  <si>
    <t>Hyd</t>
  </si>
  <si>
    <t>I1O1</t>
  </si>
  <si>
    <t>I1A1</t>
  </si>
  <si>
    <t>I1AA</t>
  </si>
  <si>
    <t>I1B1</t>
  </si>
  <si>
    <t>I1RK</t>
  </si>
  <si>
    <t>Primary frt</t>
  </si>
  <si>
    <t>sec ft</t>
  </si>
  <si>
    <t>final frt</t>
  </si>
  <si>
    <t>PMT</t>
  </si>
  <si>
    <t>city code</t>
  </si>
  <si>
    <t>Bhiwadi</t>
  </si>
  <si>
    <t>Bhiwandi</t>
  </si>
  <si>
    <t>INKA0001</t>
  </si>
  <si>
    <t>INMH0002</t>
  </si>
  <si>
    <t>INAP0001</t>
  </si>
  <si>
    <t>Hyderabad</t>
  </si>
  <si>
    <t>Hyderabad 2</t>
  </si>
  <si>
    <t>INDE0001</t>
  </si>
  <si>
    <t>Manesar</t>
  </si>
  <si>
    <t>INMHD002</t>
  </si>
  <si>
    <t>INTN0001</t>
  </si>
  <si>
    <t>vizag</t>
  </si>
  <si>
    <t>INKL0006</t>
  </si>
  <si>
    <t>INAP0009</t>
  </si>
  <si>
    <t>INGJ0001</t>
  </si>
  <si>
    <t>INKL0001</t>
  </si>
  <si>
    <t>INTN0002</t>
  </si>
  <si>
    <t>INOR0001</t>
  </si>
  <si>
    <t>INAP0007</t>
  </si>
  <si>
    <t>INAP0010</t>
  </si>
  <si>
    <t>INMH0011</t>
  </si>
  <si>
    <t>INMP0001</t>
  </si>
  <si>
    <t>INUP0002</t>
  </si>
  <si>
    <t>INWB0001</t>
  </si>
  <si>
    <t>Kolkata</t>
  </si>
  <si>
    <t>INCH0001</t>
  </si>
  <si>
    <t>INKL0002</t>
  </si>
  <si>
    <t>INTN0021</t>
  </si>
  <si>
    <t>INAS0001</t>
  </si>
  <si>
    <t>Guwahati</t>
  </si>
  <si>
    <t>INCG0001</t>
  </si>
  <si>
    <t>RAIPUR / BHILAI</t>
  </si>
  <si>
    <t>INMH0013</t>
  </si>
  <si>
    <t>INGJ0043</t>
  </si>
  <si>
    <t>PATAN</t>
  </si>
  <si>
    <t>INAP0028</t>
  </si>
  <si>
    <t>CHITTOOR</t>
  </si>
  <si>
    <t>INGJ0026</t>
  </si>
  <si>
    <t>Daman</t>
  </si>
  <si>
    <t>INKA0002</t>
  </si>
  <si>
    <t>INMH0017</t>
  </si>
  <si>
    <t>KOLHAPUR</t>
  </si>
  <si>
    <t>INGA0001</t>
  </si>
  <si>
    <t>INWB0003</t>
  </si>
  <si>
    <t>INKL0018</t>
  </si>
  <si>
    <t>KOTTAYAM</t>
  </si>
  <si>
    <t>INMH0012</t>
  </si>
  <si>
    <t>INGJ0004</t>
  </si>
  <si>
    <t>INKA0003</t>
  </si>
  <si>
    <t>INTN0003</t>
  </si>
  <si>
    <t>INRJ0009</t>
  </si>
  <si>
    <t>INKL0010</t>
  </si>
  <si>
    <t>INGJ0010</t>
  </si>
  <si>
    <t>INKA0029</t>
  </si>
  <si>
    <t>HOSPET</t>
  </si>
  <si>
    <t>INKL0062</t>
  </si>
  <si>
    <t>RANGAREDDY</t>
  </si>
  <si>
    <t>INBR0001</t>
  </si>
  <si>
    <t>INTN0029</t>
  </si>
  <si>
    <t>PONDICHERRY</t>
  </si>
  <si>
    <t>INTN0016</t>
  </si>
  <si>
    <t>TIRUPUR</t>
  </si>
  <si>
    <t>INJH0001</t>
  </si>
  <si>
    <t>RANCHI</t>
  </si>
  <si>
    <t>INKA0019</t>
  </si>
  <si>
    <t>BELLARY</t>
  </si>
  <si>
    <t>INAP0014</t>
  </si>
  <si>
    <t>INMH0024</t>
  </si>
  <si>
    <t>SOLAPUR</t>
  </si>
  <si>
    <t>INAP0070</t>
  </si>
  <si>
    <t>SULURPET</t>
  </si>
  <si>
    <t>INKL0005</t>
  </si>
  <si>
    <t>INTN0015</t>
  </si>
  <si>
    <t>ERODE</t>
  </si>
  <si>
    <t>INKA0024</t>
  </si>
  <si>
    <t>HUBLI</t>
  </si>
  <si>
    <t>INGJ0040</t>
  </si>
  <si>
    <t>INMP0002</t>
  </si>
  <si>
    <t>UJJAIN</t>
  </si>
  <si>
    <t>INAP0013</t>
  </si>
  <si>
    <t>INMH0037</t>
  </si>
  <si>
    <t>SANGLI</t>
  </si>
  <si>
    <t>INKL0034</t>
  </si>
  <si>
    <t>NADAPURAM</t>
  </si>
  <si>
    <t>INAP0018</t>
  </si>
  <si>
    <t>RAJAMUNDRY</t>
  </si>
  <si>
    <t>INAP0102</t>
  </si>
  <si>
    <t>INAP0021</t>
  </si>
  <si>
    <t>NIZAMABAD</t>
  </si>
  <si>
    <t>INAP0027</t>
  </si>
  <si>
    <t>INAP0023</t>
  </si>
  <si>
    <t>SECUNDERABAD</t>
  </si>
  <si>
    <t>INPB0012</t>
  </si>
  <si>
    <t>LUDHIANA</t>
  </si>
  <si>
    <t>INKL0033</t>
  </si>
  <si>
    <t>PAYYANOOR</t>
  </si>
  <si>
    <t>INKL0016</t>
  </si>
  <si>
    <t>INUP0010</t>
  </si>
  <si>
    <t>KANPUR</t>
  </si>
  <si>
    <t>INMH0003</t>
  </si>
  <si>
    <t>A=</t>
  </si>
  <si>
    <t>ADDITIONAL Need based</t>
  </si>
  <si>
    <t>BHIWANDI</t>
  </si>
  <si>
    <t>TALEGAON</t>
  </si>
  <si>
    <t>HYB</t>
  </si>
  <si>
    <t>CHN</t>
  </si>
  <si>
    <t>BHOPAL</t>
  </si>
  <si>
    <t>I402-Rest of Karnataka</t>
  </si>
  <si>
    <t>I403-Kerala Central</t>
  </si>
  <si>
    <t>I404-Chennai</t>
  </si>
  <si>
    <t>I407-Kerala North</t>
  </si>
  <si>
    <t>I408-Kerala South</t>
  </si>
  <si>
    <t>I412-Rest of Tamilnadu</t>
  </si>
  <si>
    <t>I405-Hyderabad</t>
  </si>
  <si>
    <t>I409-Rest of Telangana</t>
  </si>
  <si>
    <t>13A</t>
  </si>
  <si>
    <t>13B</t>
  </si>
  <si>
    <t>WADA</t>
  </si>
  <si>
    <t>JHG</t>
  </si>
  <si>
    <t>CAPACITY</t>
  </si>
  <si>
    <t>OPENING</t>
  </si>
  <si>
    <t>PUNE DIRECT BILLING</t>
  </si>
  <si>
    <t>HYBD</t>
  </si>
  <si>
    <t>JHG-WADA</t>
  </si>
  <si>
    <t>BGLR</t>
  </si>
  <si>
    <t>VIZAG</t>
  </si>
  <si>
    <t>Impact per sqm</t>
  </si>
  <si>
    <t>Impact  @32k 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</si>
</sst>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  <numFmt numFmtId="167" formatCode="0.000"/>
    <numFmt numFmtId="168" formatCode="_ * #,##0.00_ ;_ * \-#,##0.00_ ;_ * &quot;-&quot;??_ ;_ @_ "/>
    <numFmt numFmtId="169" formatCode="_(* #,##0.0_);_(* \(#,##0.0\);_(* &quot;-&quot;??_);_(@_)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6"/>
      <color theme="1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DD8E6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</cellStyleXfs>
  <cellXfs count="192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4" fillId="0" borderId="5" xfId="0" applyFont="1" applyBorder="1" applyAlignment="1">
      <alignment horizontal="center" vertical="center" wrapText="1"/>
    </xf>
    <xf numFmtId="2" fontId="0" fillId="0" borderId="5" xfId="0" applyNumberFormat="1" applyBorder="1"/>
    <xf numFmtId="164" fontId="0" fillId="0" borderId="6" xfId="0" applyNumberFormat="1" applyBorder="1"/>
    <xf numFmtId="2" fontId="0" fillId="0" borderId="8" xfId="0" applyNumberFormat="1" applyBorder="1"/>
    <xf numFmtId="0" fontId="0" fillId="6" borderId="5" xfId="0" applyFill="1" applyBorder="1"/>
    <xf numFmtId="0" fontId="5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2" fontId="3" fillId="7" borderId="13" xfId="0" applyNumberFormat="1" applyFont="1" applyFill="1" applyBorder="1"/>
    <xf numFmtId="2" fontId="3" fillId="7" borderId="5" xfId="0" applyNumberFormat="1" applyFont="1" applyFill="1" applyBorder="1"/>
    <xf numFmtId="2" fontId="3" fillId="7" borderId="14" xfId="0" applyNumberFormat="1" applyFont="1" applyFill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2" fontId="2" fillId="5" borderId="0" xfId="0" applyNumberFormat="1" applyFont="1" applyFill="1"/>
    <xf numFmtId="0" fontId="3" fillId="0" borderId="1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2" fontId="3" fillId="0" borderId="13" xfId="0" applyNumberFormat="1" applyFont="1" applyBorder="1"/>
    <xf numFmtId="0" fontId="3" fillId="0" borderId="5" xfId="0" applyFont="1" applyBorder="1"/>
    <xf numFmtId="2" fontId="3" fillId="0" borderId="5" xfId="0" applyNumberFormat="1" applyFont="1" applyBorder="1" applyAlignment="1">
      <alignment horizontal="left"/>
    </xf>
    <xf numFmtId="2" fontId="3" fillId="0" borderId="14" xfId="0" applyNumberFormat="1" applyFont="1" applyBorder="1"/>
    <xf numFmtId="0" fontId="0" fillId="0" borderId="0" xfId="0" applyAlignment="1">
      <alignment horizontal="left"/>
    </xf>
    <xf numFmtId="0" fontId="0" fillId="3" borderId="1" xfId="0" applyFill="1" applyBorder="1"/>
    <xf numFmtId="0" fontId="0" fillId="3" borderId="2" xfId="0" applyFill="1" applyBorder="1" applyAlignment="1">
      <alignment horizontal="left"/>
    </xf>
    <xf numFmtId="2" fontId="0" fillId="3" borderId="3" xfId="0" applyNumberFormat="1" applyFill="1" applyBorder="1" applyAlignment="1">
      <alignment horizontal="right"/>
    </xf>
    <xf numFmtId="0" fontId="0" fillId="0" borderId="4" xfId="0" applyBorder="1"/>
    <xf numFmtId="2" fontId="0" fillId="0" borderId="6" xfId="0" applyNumberFormat="1" applyBorder="1"/>
    <xf numFmtId="0" fontId="0" fillId="0" borderId="7" xfId="0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8" borderId="0" xfId="0" applyNumberFormat="1" applyFill="1"/>
    <xf numFmtId="1" fontId="3" fillId="0" borderId="4" xfId="0" applyNumberFormat="1" applyFont="1" applyBorder="1" applyAlignment="1">
      <alignment vertical="center"/>
    </xf>
    <xf numFmtId="1" fontId="3" fillId="0" borderId="4" xfId="0" applyNumberFormat="1" applyFont="1" applyBorder="1"/>
    <xf numFmtId="2" fontId="3" fillId="0" borderId="5" xfId="0" applyNumberFormat="1" applyFont="1" applyBorder="1" applyAlignment="1">
      <alignment vertical="center"/>
    </xf>
    <xf numFmtId="164" fontId="0" fillId="0" borderId="0" xfId="0" applyNumberFormat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6" fillId="0" borderId="0" xfId="1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2" fontId="3" fillId="2" borderId="13" xfId="0" applyNumberFormat="1" applyFont="1" applyFill="1" applyBorder="1"/>
    <xf numFmtId="2" fontId="3" fillId="2" borderId="5" xfId="0" applyNumberFormat="1" applyFont="1" applyFill="1" applyBorder="1"/>
    <xf numFmtId="2" fontId="3" fillId="2" borderId="14" xfId="0" applyNumberFormat="1" applyFont="1" applyFill="1" applyBorder="1"/>
    <xf numFmtId="165" fontId="0" fillId="0" borderId="0" xfId="2" applyNumberFormat="1" applyFont="1"/>
    <xf numFmtId="0" fontId="5" fillId="2" borderId="1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4" fillId="0" borderId="11" xfId="0" applyFont="1" applyBorder="1" applyAlignment="1">
      <alignment horizontal="left" vertical="center" wrapText="1" indent="1"/>
    </xf>
    <xf numFmtId="0" fontId="3" fillId="0" borderId="5" xfId="0" applyFont="1" applyBorder="1" applyAlignment="1">
      <alignment horizontal="left" indent="1"/>
    </xf>
    <xf numFmtId="0" fontId="3" fillId="0" borderId="16" xfId="0" applyFont="1" applyBorder="1" applyAlignment="1">
      <alignment horizontal="left" indent="1"/>
    </xf>
    <xf numFmtId="164" fontId="2" fillId="0" borderId="6" xfId="0" applyNumberFormat="1" applyFont="1" applyBorder="1" applyAlignment="1">
      <alignment horizontal="center" vertical="center"/>
    </xf>
    <xf numFmtId="1" fontId="1" fillId="0" borderId="0" xfId="0" applyNumberFormat="1" applyFont="1"/>
    <xf numFmtId="1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0" fillId="0" borderId="4" xfId="0" applyNumberFormat="1" applyBorder="1" applyAlignment="1">
      <alignment horizontal="left" indent="1"/>
    </xf>
    <xf numFmtId="1" fontId="0" fillId="0" borderId="7" xfId="0" applyNumberFormat="1" applyBorder="1" applyAlignment="1">
      <alignment horizontal="left" indent="1"/>
    </xf>
    <xf numFmtId="1" fontId="0" fillId="0" borderId="0" xfId="0" applyNumberFormat="1" applyAlignment="1">
      <alignment horizontal="left" indent="1"/>
    </xf>
    <xf numFmtId="0" fontId="1" fillId="0" borderId="0" xfId="0" applyFont="1"/>
    <xf numFmtId="0" fontId="9" fillId="0" borderId="0" xfId="0" applyFont="1"/>
    <xf numFmtId="0" fontId="1" fillId="0" borderId="0" xfId="0" applyFont="1" applyAlignment="1">
      <alignment horizontal="center" vertical="center" wrapText="1"/>
    </xf>
    <xf numFmtId="2" fontId="3" fillId="2" borderId="4" xfId="0" applyNumberFormat="1" applyFont="1" applyFill="1" applyBorder="1"/>
    <xf numFmtId="2" fontId="3" fillId="2" borderId="7" xfId="0" applyNumberFormat="1" applyFont="1" applyFill="1" applyBorder="1"/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left" vertical="center" wrapText="1" indent="1"/>
    </xf>
    <xf numFmtId="0" fontId="3" fillId="7" borderId="13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left" indent="1"/>
    </xf>
    <xf numFmtId="0" fontId="3" fillId="7" borderId="15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left" indent="1"/>
    </xf>
    <xf numFmtId="0" fontId="2" fillId="9" borderId="26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/>
    </xf>
    <xf numFmtId="0" fontId="10" fillId="10" borderId="28" xfId="0" applyFont="1" applyFill="1" applyBorder="1" applyAlignment="1">
      <alignment horizontal="center" vertical="center" wrapText="1"/>
    </xf>
    <xf numFmtId="0" fontId="0" fillId="11" borderId="28" xfId="0" applyFill="1" applyBorder="1" applyAlignment="1">
      <alignment horizontal="center"/>
    </xf>
    <xf numFmtId="0" fontId="0" fillId="12" borderId="28" xfId="0" applyFill="1" applyBorder="1"/>
    <xf numFmtId="0" fontId="11" fillId="0" borderId="28" xfId="0" applyFont="1" applyBorder="1" applyAlignment="1">
      <alignment vertical="center" wrapText="1"/>
    </xf>
    <xf numFmtId="0" fontId="0" fillId="11" borderId="28" xfId="0" applyFill="1" applyBorder="1"/>
    <xf numFmtId="0" fontId="13" fillId="11" borderId="28" xfId="0" applyFont="1" applyFill="1" applyBorder="1" applyAlignment="1">
      <alignment vertical="center" wrapText="1"/>
    </xf>
    <xf numFmtId="0" fontId="12" fillId="6" borderId="28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center" vertical="center" wrapText="1"/>
    </xf>
    <xf numFmtId="0" fontId="12" fillId="6" borderId="28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43" fontId="0" fillId="0" borderId="28" xfId="0" applyNumberFormat="1" applyBorder="1"/>
    <xf numFmtId="0" fontId="1" fillId="0" borderId="29" xfId="0" applyFont="1" applyBorder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/>
    <xf numFmtId="0" fontId="1" fillId="0" borderId="0" xfId="0" applyFont="1" applyAlignment="1">
      <alignment vertical="center" wrapText="1"/>
    </xf>
    <xf numFmtId="2" fontId="0" fillId="2" borderId="5" xfId="0" applyNumberFormat="1" applyFill="1" applyBorder="1"/>
    <xf numFmtId="164" fontId="12" fillId="2" borderId="14" xfId="0" applyNumberFormat="1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167" fontId="0" fillId="5" borderId="0" xfId="0" applyNumberFormat="1" applyFill="1"/>
    <xf numFmtId="2" fontId="14" fillId="2" borderId="0" xfId="0" applyNumberFormat="1" applyFont="1" applyFill="1" applyAlignment="1">
      <alignment vertical="center"/>
    </xf>
    <xf numFmtId="0" fontId="6" fillId="0" borderId="19" xfId="1" applyBorder="1"/>
    <xf numFmtId="0" fontId="10" fillId="0" borderId="28" xfId="0" applyFont="1" applyBorder="1" applyAlignment="1">
      <alignment horizontal="center" vertical="center" wrapText="1"/>
    </xf>
    <xf numFmtId="166" fontId="11" fillId="0" borderId="28" xfId="3" applyNumberFormat="1" applyFont="1" applyFill="1" applyBorder="1" applyAlignment="1">
      <alignment horizontal="center" vertical="center"/>
    </xf>
    <xf numFmtId="166" fontId="10" fillId="13" borderId="28" xfId="3" applyNumberFormat="1" applyFont="1" applyFill="1" applyBorder="1" applyAlignment="1">
      <alignment horizontal="center" vertical="center"/>
    </xf>
    <xf numFmtId="166" fontId="10" fillId="13" borderId="28" xfId="3" applyNumberFormat="1" applyFont="1" applyFill="1" applyBorder="1" applyAlignment="1">
      <alignment horizontal="left"/>
    </xf>
    <xf numFmtId="166" fontId="10" fillId="0" borderId="28" xfId="3" applyNumberFormat="1" applyFont="1" applyFill="1" applyBorder="1" applyAlignment="1">
      <alignment horizontal="center" vertical="center"/>
    </xf>
    <xf numFmtId="0" fontId="15" fillId="14" borderId="0" xfId="0" applyFont="1" applyFill="1"/>
    <xf numFmtId="43" fontId="0" fillId="0" borderId="0" xfId="3" applyFont="1"/>
    <xf numFmtId="1" fontId="3" fillId="15" borderId="4" xfId="0" applyNumberFormat="1" applyFont="1" applyFill="1" applyBorder="1"/>
    <xf numFmtId="1" fontId="3" fillId="3" borderId="4" xfId="0" applyNumberFormat="1" applyFont="1" applyFill="1" applyBorder="1"/>
    <xf numFmtId="1" fontId="3" fillId="16" borderId="4" xfId="0" applyNumberFormat="1" applyFont="1" applyFill="1" applyBorder="1"/>
    <xf numFmtId="9" fontId="0" fillId="0" borderId="0" xfId="2" applyFont="1"/>
    <xf numFmtId="0" fontId="16" fillId="17" borderId="0" xfId="0" applyFont="1" applyFill="1"/>
    <xf numFmtId="0" fontId="1" fillId="17" borderId="0" xfId="0" applyFont="1" applyFill="1"/>
    <xf numFmtId="0" fontId="0" fillId="0" borderId="23" xfId="0" applyBorder="1"/>
    <xf numFmtId="169" fontId="0" fillId="0" borderId="25" xfId="0" applyNumberFormat="1" applyBorder="1"/>
    <xf numFmtId="43" fontId="0" fillId="0" borderId="23" xfId="3" applyFont="1" applyBorder="1"/>
    <xf numFmtId="0" fontId="0" fillId="0" borderId="21" xfId="0" applyBorder="1"/>
    <xf numFmtId="169" fontId="0" fillId="0" borderId="22" xfId="0" applyNumberFormat="1" applyBorder="1"/>
    <xf numFmtId="43" fontId="0" fillId="0" borderId="21" xfId="3" applyFont="1" applyBorder="1"/>
    <xf numFmtId="0" fontId="0" fillId="0" borderId="18" xfId="0" applyBorder="1"/>
    <xf numFmtId="43" fontId="1" fillId="15" borderId="0" xfId="3" applyFont="1" applyFill="1"/>
    <xf numFmtId="169" fontId="1" fillId="16" borderId="0" xfId="3" applyNumberFormat="1" applyFont="1" applyFill="1"/>
    <xf numFmtId="0" fontId="0" fillId="16" borderId="0" xfId="0" applyFill="1"/>
    <xf numFmtId="43" fontId="0" fillId="0" borderId="0" xfId="0" applyNumberFormat="1"/>
    <xf numFmtId="169" fontId="0" fillId="0" borderId="0" xfId="0" applyNumberFormat="1"/>
    <xf numFmtId="169" fontId="1" fillId="0" borderId="0" xfId="3" applyNumberFormat="1" applyFont="1"/>
    <xf numFmtId="169" fontId="1" fillId="18" borderId="0" xfId="3" applyNumberFormat="1" applyFont="1" applyFill="1"/>
    <xf numFmtId="169" fontId="0" fillId="0" borderId="0" xfId="3" applyNumberFormat="1" applyFont="1"/>
    <xf numFmtId="169" fontId="0" fillId="18" borderId="0" xfId="3" applyNumberFormat="1" applyFont="1" applyFill="1"/>
    <xf numFmtId="0" fontId="1" fillId="18" borderId="0" xfId="0" applyFont="1" applyFill="1"/>
    <xf numFmtId="0" fontId="1" fillId="0" borderId="23" xfId="0" applyFont="1" applyBorder="1" applyAlignment="1">
      <alignment horizontal="center" vertical="center" wrapText="1"/>
    </xf>
    <xf numFmtId="0" fontId="0" fillId="2" borderId="0" xfId="0" applyFill="1"/>
    <xf numFmtId="0" fontId="3" fillId="0" borderId="0" xfId="0" applyFont="1" applyAlignment="1">
      <alignment horizontal="left" indent="1"/>
    </xf>
    <xf numFmtId="0" fontId="0" fillId="0" borderId="31" xfId="0" applyBorder="1"/>
    <xf numFmtId="165" fontId="0" fillId="0" borderId="33" xfId="2" applyNumberFormat="1" applyFont="1" applyBorder="1"/>
    <xf numFmtId="0" fontId="1" fillId="0" borderId="34" xfId="0" applyFont="1" applyBorder="1" applyAlignment="1">
      <alignment horizontal="center" vertical="center" wrapText="1"/>
    </xf>
    <xf numFmtId="0" fontId="0" fillId="3" borderId="0" xfId="0" applyFill="1"/>
    <xf numFmtId="43" fontId="8" fillId="0" borderId="5" xfId="3" applyFont="1" applyBorder="1"/>
    <xf numFmtId="43" fontId="8" fillId="0" borderId="8" xfId="3" applyFont="1" applyBorder="1"/>
    <xf numFmtId="43" fontId="0" fillId="2" borderId="28" xfId="3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 vertical="center" wrapText="1"/>
    </xf>
    <xf numFmtId="0" fontId="0" fillId="15" borderId="0" xfId="0" applyFill="1"/>
    <xf numFmtId="43" fontId="0" fillId="2" borderId="14" xfId="3" applyFont="1" applyFill="1" applyBorder="1" applyAlignment="1">
      <alignment horizontal="center"/>
    </xf>
    <xf numFmtId="2" fontId="14" fillId="2" borderId="14" xfId="0" applyNumberFormat="1" applyFont="1" applyFill="1" applyBorder="1"/>
    <xf numFmtId="169" fontId="18" fillId="10" borderId="36" xfId="3" applyNumberFormat="1" applyFont="1" applyFill="1" applyBorder="1" applyAlignment="1">
      <alignment vertical="center"/>
    </xf>
    <xf numFmtId="0" fontId="0" fillId="8" borderId="0" xfId="0" applyFill="1"/>
    <xf numFmtId="0" fontId="19" fillId="0" borderId="0" xfId="0" applyFont="1"/>
    <xf numFmtId="2" fontId="14" fillId="2" borderId="13" xfId="0" applyNumberFormat="1" applyFont="1" applyFill="1" applyBorder="1"/>
    <xf numFmtId="2" fontId="3" fillId="0" borderId="0" xfId="0" applyNumberFormat="1" applyFont="1"/>
    <xf numFmtId="0" fontId="3" fillId="0" borderId="5" xfId="0" applyFont="1" applyBorder="1" applyAlignment="1">
      <alignment horizontal="left" vertical="center"/>
    </xf>
    <xf numFmtId="2" fontId="20" fillId="2" borderId="14" xfId="0" applyNumberFormat="1" applyFont="1" applyFill="1" applyBorder="1"/>
    <xf numFmtId="169" fontId="0" fillId="4" borderId="5" xfId="0" applyNumberFormat="1" applyFill="1" applyBorder="1" applyAlignment="1">
      <alignment horizontal="center"/>
    </xf>
    <xf numFmtId="169" fontId="0" fillId="4" borderId="8" xfId="0" applyNumberFormat="1" applyFill="1" applyBorder="1" applyAlignment="1">
      <alignment horizontal="center"/>
    </xf>
    <xf numFmtId="10" fontId="0" fillId="0" borderId="5" xfId="2" applyNumberFormat="1" applyFont="1" applyBorder="1"/>
    <xf numFmtId="165" fontId="0" fillId="2" borderId="32" xfId="2" applyNumberFormat="1" applyFont="1" applyFill="1" applyBorder="1"/>
    <xf numFmtId="165" fontId="0" fillId="2" borderId="33" xfId="2" applyNumberFormat="1" applyFont="1" applyFill="1" applyBorder="1"/>
    <xf numFmtId="165" fontId="17" fillId="2" borderId="0" xfId="2" applyNumberFormat="1" applyFont="1" applyFill="1"/>
    <xf numFmtId="165" fontId="0" fillId="0" borderId="0" xfId="0" applyNumberFormat="1"/>
    <xf numFmtId="0" fontId="11" fillId="0" borderId="28" xfId="0" applyFont="1" applyBorder="1" applyAlignment="1">
      <alignment vertical="center"/>
    </xf>
    <xf numFmtId="0" fontId="0" fillId="6" borderId="0" xfId="0" applyFill="1"/>
    <xf numFmtId="2" fontId="14" fillId="2" borderId="5" xfId="0" applyNumberFormat="1" applyFont="1" applyFill="1" applyBorder="1"/>
    <xf numFmtId="43" fontId="0" fillId="8" borderId="28" xfId="0" applyNumberFormat="1" applyFill="1" applyBorder="1"/>
    <xf numFmtId="0" fontId="0" fillId="0" borderId="0" xfId="0" applyAlignment="1">
      <alignment horizontal="right"/>
    </xf>
    <xf numFmtId="3" fontId="0" fillId="0" borderId="0" xfId="0" applyNumberFormat="1"/>
    <xf numFmtId="3" fontId="21" fillId="19" borderId="0" xfId="0" applyNumberFormat="1" applyFont="1" applyFill="1" applyAlignment="1">
      <alignment horizontal="right" vertical="center" wrapText="1"/>
    </xf>
    <xf numFmtId="166" fontId="0" fillId="0" borderId="0" xfId="3" applyNumberFormat="1" applyFont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14" fontId="0" fillId="0" borderId="0" xfId="0" applyNumberFormat="1"/>
  </cellXfs>
  <cellStyles count="5">
    <cellStyle name="Comma" xfId="3" builtinId="3"/>
    <cellStyle name="Comma 2 5" xfId="4" xr:uid="{00000000-0005-0000-0000-000001000000}"/>
    <cellStyle name="Hyperlink" xfId="1" builtinId="8"/>
    <cellStyle name="Normal" xfId="0" builtinId="0"/>
    <cellStyle name="Percent" xfId="2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ensolver.org/" TargetMode="External"/><Relationship Id="rId1" Type="http://schemas.openxmlformats.org/officeDocument/2006/relationships/hyperlink" Target="https://sourceforge.net/projects/opensolver/files/latest/downloa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I18" sqref="I18"/>
    </sheetView>
  </sheetViews>
  <sheetFormatPr defaultRowHeight="14.5" x14ac:dyDescent="0.35"/>
  <cols>
    <col min="1" max="1" width="3.453125" customWidth="1"/>
    <col min="2" max="2" width="3.54296875" style="6" customWidth="1"/>
    <col min="3" max="3" width="45.81640625" bestFit="1" customWidth="1"/>
    <col min="5" max="5" width="10.1796875" bestFit="1" customWidth="1"/>
  </cols>
  <sheetData>
    <row r="1" spans="2:8" ht="15" thickBot="1" x14ac:dyDescent="0.4"/>
    <row r="2" spans="2:8" x14ac:dyDescent="0.35">
      <c r="B2" s="53">
        <v>1</v>
      </c>
      <c r="C2" s="54" t="s">
        <v>0</v>
      </c>
      <c r="D2" s="115" t="s">
        <v>1</v>
      </c>
      <c r="E2" s="54"/>
      <c r="F2" s="54"/>
      <c r="G2" s="54"/>
      <c r="H2" s="55"/>
    </row>
    <row r="3" spans="2:8" x14ac:dyDescent="0.35">
      <c r="B3" s="56">
        <v>2</v>
      </c>
      <c r="C3" t="s">
        <v>2</v>
      </c>
      <c r="D3" s="57" t="s">
        <v>3</v>
      </c>
      <c r="H3" s="58"/>
    </row>
    <row r="4" spans="2:8" x14ac:dyDescent="0.35">
      <c r="B4" s="56">
        <v>3</v>
      </c>
      <c r="C4" t="s">
        <v>4</v>
      </c>
      <c r="H4" s="58"/>
    </row>
    <row r="5" spans="2:8" x14ac:dyDescent="0.35">
      <c r="B5" s="56">
        <v>4</v>
      </c>
      <c r="C5" t="s">
        <v>5</v>
      </c>
      <c r="H5" s="58"/>
    </row>
    <row r="6" spans="2:8" x14ac:dyDescent="0.35">
      <c r="B6" s="56">
        <v>5</v>
      </c>
      <c r="C6" t="s">
        <v>0</v>
      </c>
      <c r="D6" t="s">
        <v>6</v>
      </c>
      <c r="E6" t="s">
        <v>7</v>
      </c>
      <c r="F6" t="s">
        <v>8</v>
      </c>
      <c r="G6" t="s">
        <v>9</v>
      </c>
      <c r="H6" s="58" t="s">
        <v>10</v>
      </c>
    </row>
    <row r="7" spans="2:8" x14ac:dyDescent="0.35">
      <c r="B7" s="56">
        <v>6</v>
      </c>
      <c r="C7" t="s">
        <v>11</v>
      </c>
      <c r="D7" t="s">
        <v>12</v>
      </c>
      <c r="H7" s="58"/>
    </row>
    <row r="8" spans="2:8" x14ac:dyDescent="0.35">
      <c r="B8" s="56">
        <v>7</v>
      </c>
      <c r="C8" t="s">
        <v>13</v>
      </c>
      <c r="D8" t="s">
        <v>14</v>
      </c>
      <c r="H8" s="58"/>
    </row>
    <row r="9" spans="2:8" x14ac:dyDescent="0.35">
      <c r="B9" s="56">
        <v>8</v>
      </c>
      <c r="C9" t="s">
        <v>15</v>
      </c>
      <c r="H9" s="58"/>
    </row>
    <row r="10" spans="2:8" x14ac:dyDescent="0.35">
      <c r="B10" s="56">
        <v>9</v>
      </c>
      <c r="C10" t="s">
        <v>16</v>
      </c>
      <c r="H10" s="58"/>
    </row>
    <row r="11" spans="2:8" x14ac:dyDescent="0.35">
      <c r="B11" s="56">
        <v>10</v>
      </c>
      <c r="C11" t="s">
        <v>17</v>
      </c>
      <c r="H11" s="58"/>
    </row>
    <row r="12" spans="2:8" x14ac:dyDescent="0.35">
      <c r="B12" s="56">
        <v>11</v>
      </c>
      <c r="C12" t="s">
        <v>18</v>
      </c>
      <c r="H12" s="58"/>
    </row>
    <row r="13" spans="2:8" x14ac:dyDescent="0.35">
      <c r="B13" s="56">
        <v>12</v>
      </c>
      <c r="C13" t="s">
        <v>19</v>
      </c>
      <c r="H13" s="58"/>
    </row>
    <row r="14" spans="2:8" x14ac:dyDescent="0.35">
      <c r="B14" s="56">
        <v>13</v>
      </c>
      <c r="C14" t="s">
        <v>20</v>
      </c>
      <c r="H14" s="58"/>
    </row>
    <row r="15" spans="2:8" ht="15" thickBot="1" x14ac:dyDescent="0.4">
      <c r="B15" s="59">
        <v>14</v>
      </c>
      <c r="C15" s="60" t="s">
        <v>21</v>
      </c>
      <c r="D15" s="60"/>
      <c r="E15" s="60"/>
      <c r="F15" s="60"/>
      <c r="G15" s="60"/>
      <c r="H15" s="61"/>
    </row>
  </sheetData>
  <hyperlinks>
    <hyperlink ref="D3" r:id="rId1" display="https://sourceforge.net/projects/opensolver/files/latest/download" xr:uid="{00000000-0004-0000-0000-000000000000}"/>
    <hyperlink ref="D2" r:id="rId2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>
      <selection activeCell="A17" sqref="A17:E17"/>
    </sheetView>
  </sheetViews>
  <sheetFormatPr defaultRowHeight="14.5" x14ac:dyDescent="0.35"/>
  <cols>
    <col min="1" max="1" width="21.81640625" bestFit="1" customWidth="1"/>
    <col min="2" max="2" width="12.1796875" bestFit="1" customWidth="1"/>
    <col min="3" max="3" width="12" bestFit="1" customWidth="1"/>
    <col min="4" max="4" width="11.81640625" customWidth="1"/>
    <col min="5" max="5" width="12.1796875" bestFit="1" customWidth="1"/>
    <col min="6" max="6" width="10.1796875" bestFit="1" customWidth="1"/>
  </cols>
  <sheetData>
    <row r="1" spans="1:8" x14ac:dyDescent="0.35">
      <c r="A1" s="81" t="s">
        <v>131</v>
      </c>
      <c r="B1" t="s">
        <v>132</v>
      </c>
      <c r="C1" t="s">
        <v>33</v>
      </c>
      <c r="D1" t="s">
        <v>34</v>
      </c>
      <c r="E1" t="s">
        <v>35</v>
      </c>
      <c r="H1" s="81" t="s">
        <v>133</v>
      </c>
    </row>
    <row r="2" spans="1:8" x14ac:dyDescent="0.35">
      <c r="A2" t="s">
        <v>134</v>
      </c>
      <c r="B2" s="81">
        <v>88.84</v>
      </c>
      <c r="C2" s="81">
        <v>97.97</v>
      </c>
      <c r="D2" s="145">
        <v>83.46</v>
      </c>
      <c r="E2" s="81">
        <v>118.97</v>
      </c>
      <c r="G2" t="s">
        <v>135</v>
      </c>
      <c r="H2" s="141">
        <v>6.9</v>
      </c>
    </row>
    <row r="3" spans="1:8" x14ac:dyDescent="0.35">
      <c r="A3" t="s">
        <v>136</v>
      </c>
      <c r="B3" s="143">
        <f>(B2-D2)+D3</f>
        <v>131.43</v>
      </c>
      <c r="C3" s="143">
        <f>(C2-D2)+D3</f>
        <v>140.56</v>
      </c>
      <c r="D3" s="144">
        <v>126.05</v>
      </c>
      <c r="E3" s="143">
        <f>(E2-D2)+D3</f>
        <v>161.56</v>
      </c>
      <c r="G3" t="s">
        <v>137</v>
      </c>
      <c r="H3" s="143">
        <v>8.5</v>
      </c>
    </row>
    <row r="4" spans="1:8" x14ac:dyDescent="0.35">
      <c r="A4" t="s">
        <v>138</v>
      </c>
      <c r="B4" s="143">
        <f>(B3-D3)+D4</f>
        <v>148.69999999999999</v>
      </c>
      <c r="C4" s="143">
        <f>(C3-D3)+D4</f>
        <v>157.82999999999998</v>
      </c>
      <c r="D4" s="144">
        <v>143.32</v>
      </c>
      <c r="E4" s="143">
        <f>(E3-D3)+D4</f>
        <v>178.82999999999998</v>
      </c>
      <c r="G4" t="s">
        <v>139</v>
      </c>
      <c r="H4" s="143">
        <v>10</v>
      </c>
    </row>
    <row r="5" spans="1:8" x14ac:dyDescent="0.35">
      <c r="A5" t="s">
        <v>140</v>
      </c>
      <c r="B5" s="141">
        <f>(B4-D4)+D5</f>
        <v>129.67000000000002</v>
      </c>
      <c r="C5" s="141">
        <f>(C4-D4)+D5</f>
        <v>138.80000000000001</v>
      </c>
      <c r="D5" s="142">
        <v>124.29</v>
      </c>
      <c r="E5" s="141">
        <f>(E4-D4)+D5</f>
        <v>159.80000000000001</v>
      </c>
    </row>
    <row r="7" spans="1:8" x14ac:dyDescent="0.35">
      <c r="A7" s="81" t="s">
        <v>141</v>
      </c>
      <c r="B7" s="140">
        <f>(B3+B4)/2</f>
        <v>140.065</v>
      </c>
      <c r="C7" s="140">
        <f>(C3+C4)/2</f>
        <v>149.19499999999999</v>
      </c>
      <c r="D7" s="140">
        <f>(D3+D4)/2</f>
        <v>134.685</v>
      </c>
      <c r="E7" s="140">
        <f>(E3+E4)/2</f>
        <v>170.19499999999999</v>
      </c>
    </row>
    <row r="9" spans="1:8" x14ac:dyDescent="0.35">
      <c r="D9" s="139">
        <f>B5-D5</f>
        <v>5.3800000000000097</v>
      </c>
    </row>
    <row r="11" spans="1:8" x14ac:dyDescent="0.35">
      <c r="B11" s="122">
        <f>8.5/6.9*5.38</f>
        <v>6.6275362318840578</v>
      </c>
      <c r="C11" s="122">
        <f>8.5/6.9*C12</f>
        <v>17.874637681159424</v>
      </c>
      <c r="D11" s="122">
        <f>8.5/6.9*D12</f>
        <v>0</v>
      </c>
      <c r="E11" s="122">
        <f>8.5/6.9*E12</f>
        <v>43.744202898550725</v>
      </c>
    </row>
    <row r="12" spans="1:8" x14ac:dyDescent="0.35">
      <c r="B12" s="122">
        <f>B5-D5</f>
        <v>5.3800000000000097</v>
      </c>
      <c r="C12" s="122">
        <f>C5-D5</f>
        <v>14.510000000000005</v>
      </c>
      <c r="D12" s="122">
        <f>D5-D5</f>
        <v>0</v>
      </c>
      <c r="E12" s="122">
        <f>E5-D5</f>
        <v>35.510000000000005</v>
      </c>
    </row>
    <row r="13" spans="1:8" x14ac:dyDescent="0.35">
      <c r="A13" s="138" t="s">
        <v>140</v>
      </c>
      <c r="B13" s="137">
        <f>D5+B11</f>
        <v>130.91753623188407</v>
      </c>
      <c r="C13" s="137">
        <f>D13+C11</f>
        <v>142.16463768115943</v>
      </c>
      <c r="D13" s="137">
        <v>124.29</v>
      </c>
      <c r="E13" s="137">
        <f>D13+E11</f>
        <v>168.03420289855075</v>
      </c>
    </row>
    <row r="15" spans="1:8" x14ac:dyDescent="0.35">
      <c r="B15" t="s">
        <v>142</v>
      </c>
      <c r="C15" t="s">
        <v>142</v>
      </c>
    </row>
    <row r="16" spans="1:8" x14ac:dyDescent="0.35">
      <c r="A16" s="81" t="s">
        <v>143</v>
      </c>
      <c r="B16" s="81" t="s">
        <v>144</v>
      </c>
      <c r="C16" s="81" t="s">
        <v>145</v>
      </c>
      <c r="D16" s="81" t="s">
        <v>146</v>
      </c>
      <c r="E16" s="81" t="s">
        <v>147</v>
      </c>
    </row>
    <row r="17" spans="1:7" x14ac:dyDescent="0.35">
      <c r="A17" t="s">
        <v>137</v>
      </c>
      <c r="B17">
        <v>0.63</v>
      </c>
      <c r="C17">
        <v>0.38</v>
      </c>
      <c r="D17" s="136">
        <f>SUM(B17:C17)</f>
        <v>1.01</v>
      </c>
      <c r="E17">
        <v>144.85</v>
      </c>
    </row>
    <row r="18" spans="1:7" ht="15" thickBot="1" x14ac:dyDescent="0.4">
      <c r="B18" t="s">
        <v>148</v>
      </c>
      <c r="D18" t="s">
        <v>149</v>
      </c>
      <c r="F18" t="s">
        <v>150</v>
      </c>
    </row>
    <row r="19" spans="1:7" x14ac:dyDescent="0.35">
      <c r="A19" s="81" t="s">
        <v>122</v>
      </c>
      <c r="B19" s="135" t="s">
        <v>135</v>
      </c>
      <c r="C19" s="55" t="s">
        <v>137</v>
      </c>
      <c r="D19" s="135" t="s">
        <v>137</v>
      </c>
      <c r="E19" s="55" t="s">
        <v>135</v>
      </c>
      <c r="F19" s="135" t="s">
        <v>137</v>
      </c>
      <c r="G19" s="55" t="s">
        <v>135</v>
      </c>
    </row>
    <row r="20" spans="1:7" x14ac:dyDescent="0.35">
      <c r="A20" t="s">
        <v>132</v>
      </c>
      <c r="B20" s="134">
        <v>88.84</v>
      </c>
      <c r="C20" s="58">
        <v>130.9</v>
      </c>
      <c r="D20" s="132">
        <v>0.63</v>
      </c>
      <c r="E20" s="58">
        <v>22.6</v>
      </c>
      <c r="F20" s="132">
        <v>0</v>
      </c>
      <c r="G20" s="58">
        <v>23.84</v>
      </c>
    </row>
    <row r="21" spans="1:7" x14ac:dyDescent="0.35">
      <c r="A21" t="s">
        <v>34</v>
      </c>
      <c r="B21" s="134">
        <v>83.46</v>
      </c>
      <c r="C21" s="133">
        <f>D13</f>
        <v>124.29</v>
      </c>
      <c r="D21" s="132">
        <v>0.38</v>
      </c>
      <c r="E21" s="58">
        <v>18.329999999999998</v>
      </c>
      <c r="F21" s="132">
        <v>1.01</v>
      </c>
      <c r="G21" s="58">
        <v>17.190000000000001</v>
      </c>
    </row>
    <row r="22" spans="1:7" x14ac:dyDescent="0.35">
      <c r="A22" t="s">
        <v>33</v>
      </c>
      <c r="B22" s="134">
        <v>97.97</v>
      </c>
      <c r="C22" s="133">
        <f>C13</f>
        <v>142.16463768115943</v>
      </c>
      <c r="D22" s="132">
        <v>0</v>
      </c>
      <c r="E22" s="58">
        <v>15.2</v>
      </c>
      <c r="F22" s="132">
        <v>0</v>
      </c>
      <c r="G22" s="58">
        <v>14.87</v>
      </c>
    </row>
    <row r="23" spans="1:7" ht="15" thickBot="1" x14ac:dyDescent="0.4">
      <c r="A23" t="s">
        <v>35</v>
      </c>
      <c r="B23" s="131">
        <v>118.97</v>
      </c>
      <c r="C23" s="130">
        <f>E13</f>
        <v>168.03420289855075</v>
      </c>
      <c r="D23" s="129">
        <v>0</v>
      </c>
      <c r="E23" s="61">
        <v>11.9</v>
      </c>
      <c r="F23" s="129">
        <v>0</v>
      </c>
      <c r="G23" s="61">
        <v>12.1</v>
      </c>
    </row>
    <row r="25" spans="1:7" x14ac:dyDescent="0.35">
      <c r="C25" s="128" t="s">
        <v>150</v>
      </c>
      <c r="D25" s="128" t="s">
        <v>151</v>
      </c>
      <c r="E25" s="128" t="s">
        <v>152</v>
      </c>
    </row>
    <row r="26" spans="1:7" x14ac:dyDescent="0.35">
      <c r="A26" s="81" t="s">
        <v>153</v>
      </c>
      <c r="B26" s="81" t="s">
        <v>135</v>
      </c>
      <c r="C26">
        <v>7452.7</v>
      </c>
      <c r="D26">
        <v>7455.9</v>
      </c>
      <c r="E26">
        <f>C26-D26</f>
        <v>-3.1999999999998181</v>
      </c>
    </row>
    <row r="27" spans="1:7" x14ac:dyDescent="0.35">
      <c r="B27" s="81" t="s">
        <v>137</v>
      </c>
      <c r="C27">
        <v>156.69999999999999</v>
      </c>
      <c r="D27">
        <f>E17</f>
        <v>144.85</v>
      </c>
      <c r="E27">
        <f>C27-D27</f>
        <v>11.849999999999994</v>
      </c>
    </row>
    <row r="28" spans="1:7" ht="21" x14ac:dyDescent="0.5">
      <c r="C28" s="128">
        <f>C26+C27</f>
        <v>7609.4</v>
      </c>
      <c r="D28" s="128">
        <f>D26+D27</f>
        <v>7600.75</v>
      </c>
      <c r="E28" s="127">
        <f>C28-D28</f>
        <v>8.6499999999996362</v>
      </c>
      <c r="F28" t="s">
        <v>154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60"/>
  <sheetViews>
    <sheetView showGridLines="0" tabSelected="1" zoomScale="85" zoomScaleNormal="85" workbookViewId="0">
      <pane xSplit="4" ySplit="4" topLeftCell="P68" activePane="bottomRight" state="frozen"/>
      <selection pane="topRight" activeCell="E1" sqref="E1"/>
      <selection pane="bottomLeft" activeCell="A5" sqref="A5"/>
      <selection pane="bottomRight" activeCell="W90" sqref="W90"/>
    </sheetView>
  </sheetViews>
  <sheetFormatPr defaultRowHeight="14.5" x14ac:dyDescent="0.35"/>
  <cols>
    <col min="1" max="1" width="9.1796875" customWidth="1"/>
    <col min="2" max="2" width="6.54296875" customWidth="1"/>
    <col min="3" max="3" width="20.453125" style="69" customWidth="1"/>
    <col min="4" max="4" width="10.453125" style="6" customWidth="1"/>
    <col min="5" max="5" width="9" customWidth="1"/>
    <col min="6" max="6" width="9.54296875" customWidth="1"/>
    <col min="7" max="9" width="9.1796875" customWidth="1"/>
    <col min="10" max="10" width="8.1796875" customWidth="1"/>
    <col min="11" max="11" width="9.81640625" customWidth="1"/>
    <col min="12" max="12" width="13.6328125" bestFit="1" customWidth="1"/>
    <col min="14" max="14" width="9.81640625" customWidth="1"/>
    <col min="15" max="15" width="16.08984375" bestFit="1" customWidth="1"/>
    <col min="16" max="16" width="11.453125" customWidth="1"/>
    <col min="17" max="17" width="16" customWidth="1"/>
    <col min="18" max="18" width="10.453125" customWidth="1"/>
    <col min="19" max="19" width="11.453125" customWidth="1"/>
    <col min="20" max="20" width="7.54296875" customWidth="1"/>
    <col min="21" max="21" width="15.453125" style="5" bestFit="1" customWidth="1"/>
    <col min="22" max="22" width="8.1796875" style="7" customWidth="1"/>
    <col min="23" max="26" width="8.1796875" customWidth="1"/>
    <col min="27" max="27" width="14.54296875" style="8" customWidth="1"/>
    <col min="30" max="30" width="10.81640625" customWidth="1"/>
    <col min="31" max="31" width="9.1796875" customWidth="1"/>
  </cols>
  <sheetData>
    <row r="1" spans="1:32" ht="15" thickBot="1" x14ac:dyDescent="0.4"/>
    <row r="2" spans="1:32" ht="26.5" thickBot="1" x14ac:dyDescent="0.4">
      <c r="E2" s="27"/>
      <c r="F2" s="92" t="s">
        <v>22</v>
      </c>
      <c r="G2" s="93" t="s">
        <v>23</v>
      </c>
      <c r="H2" s="28"/>
      <c r="I2" s="28"/>
      <c r="J2" s="1" t="s">
        <v>24</v>
      </c>
      <c r="K2" s="114">
        <v>83.05</v>
      </c>
      <c r="L2" s="114">
        <v>79.400000000000006</v>
      </c>
      <c r="M2" s="114">
        <v>75.41</v>
      </c>
      <c r="N2" s="114">
        <v>71.069999999999993</v>
      </c>
    </row>
    <row r="3" spans="1:32" ht="15.5" thickTop="1" thickBot="1" x14ac:dyDescent="0.4">
      <c r="B3" s="161" t="s">
        <v>314</v>
      </c>
      <c r="C3" s="161" t="s">
        <v>315</v>
      </c>
      <c r="E3" s="2"/>
      <c r="F3" s="182" t="s">
        <v>25</v>
      </c>
      <c r="G3" s="183"/>
      <c r="H3" s="183"/>
      <c r="I3" s="184"/>
      <c r="J3" s="2"/>
      <c r="K3" s="185" t="s">
        <v>26</v>
      </c>
      <c r="L3" s="186"/>
      <c r="M3" s="186"/>
      <c r="N3" s="187"/>
      <c r="P3" s="185" t="s">
        <v>27</v>
      </c>
      <c r="Q3" s="186"/>
      <c r="R3" s="186"/>
      <c r="S3" s="187"/>
      <c r="U3" s="188" t="s">
        <v>28</v>
      </c>
      <c r="V3" s="189"/>
      <c r="W3" s="189"/>
      <c r="X3" s="189"/>
      <c r="Y3" s="189"/>
      <c r="Z3" s="189"/>
      <c r="AA3" s="190"/>
    </row>
    <row r="4" spans="1:32" s="4" customFormat="1" ht="72.5" x14ac:dyDescent="0.35">
      <c r="A4" s="15" t="s">
        <v>180</v>
      </c>
      <c r="B4" s="15" t="s">
        <v>29</v>
      </c>
      <c r="C4" s="70" t="s">
        <v>30</v>
      </c>
      <c r="D4" s="16" t="s">
        <v>31</v>
      </c>
      <c r="E4" s="3"/>
      <c r="F4" s="66" t="s">
        <v>32</v>
      </c>
      <c r="G4" s="67" t="s">
        <v>33</v>
      </c>
      <c r="H4" s="67" t="s">
        <v>34</v>
      </c>
      <c r="I4" s="156" t="s">
        <v>35</v>
      </c>
      <c r="J4" s="3"/>
      <c r="K4" s="22" t="str">
        <f>F4</f>
        <v>Bangalore</v>
      </c>
      <c r="L4" s="9" t="str">
        <f>G4</f>
        <v>Wada</v>
      </c>
      <c r="M4" s="9" t="str">
        <f>H4</f>
        <v>Jhagadia</v>
      </c>
      <c r="N4" s="23" t="str">
        <f>I4</f>
        <v>Vizag</v>
      </c>
      <c r="P4" s="30" t="s">
        <v>36</v>
      </c>
      <c r="Q4" s="31" t="s">
        <v>37</v>
      </c>
      <c r="R4" s="31" t="s">
        <v>38</v>
      </c>
      <c r="S4" s="32" t="s">
        <v>39</v>
      </c>
      <c r="U4" s="49" t="s">
        <v>30</v>
      </c>
      <c r="V4" s="51" t="s">
        <v>31</v>
      </c>
      <c r="W4" s="14" t="str">
        <f>F4</f>
        <v>Bangalore</v>
      </c>
      <c r="X4" s="14" t="str">
        <f>G4</f>
        <v>Wada</v>
      </c>
      <c r="Y4" s="14" t="str">
        <f>H4</f>
        <v>Jhagadia</v>
      </c>
      <c r="Z4" s="14" t="str">
        <f>I4</f>
        <v>Vizag</v>
      </c>
      <c r="AA4" s="73" t="s">
        <v>40</v>
      </c>
      <c r="AC4" s="83" t="s">
        <v>41</v>
      </c>
      <c r="AD4" s="83" t="s">
        <v>42</v>
      </c>
      <c r="AE4" s="109" t="s">
        <v>43</v>
      </c>
    </row>
    <row r="5" spans="1:32" x14ac:dyDescent="0.35">
      <c r="A5" s="162" t="str">
        <f>VLOOKUP(C5,'Regionwise Demand'!$B$1:$F$80,5,0)</f>
        <v>I406-Banglore</v>
      </c>
      <c r="B5" s="17">
        <v>1</v>
      </c>
      <c r="C5" s="71" t="s">
        <v>44</v>
      </c>
      <c r="D5" s="158">
        <f>VLOOKUP(C5,'Regionwise Demand'!$B$2:$C$80,2,0)</f>
        <v>1.28</v>
      </c>
      <c r="E5" s="2"/>
      <c r="F5" s="62">
        <v>3.8608306907553414</v>
      </c>
      <c r="G5" s="63">
        <v>31.269832803740233</v>
      </c>
      <c r="H5" s="63">
        <v>32.725268613993052</v>
      </c>
      <c r="I5" s="64">
        <v>26.062122402273104</v>
      </c>
      <c r="J5" s="164"/>
      <c r="K5" s="24">
        <f t="shared" ref="K5:K35" si="0">F5+K$2</f>
        <v>86.910830690755333</v>
      </c>
      <c r="L5" s="25">
        <f t="shared" ref="L5:L35" si="1">G5+L$2</f>
        <v>110.66983280374023</v>
      </c>
      <c r="M5" s="25">
        <f t="shared" ref="M5:M35" si="2">H5+M$2</f>
        <v>108.13526861399305</v>
      </c>
      <c r="N5" s="26">
        <f t="shared" ref="N5:N35" si="3">I5+N$2</f>
        <v>97.132122402273097</v>
      </c>
      <c r="O5" s="7"/>
      <c r="P5" s="33">
        <f>MIN(K5:O5)</f>
        <v>86.910830690755333</v>
      </c>
      <c r="Q5" s="34" t="str">
        <f t="shared" ref="Q5:Q35" si="4">IF(P5=K5,$K$4,IF(P5=L5,$L$4,IF(P5=M5,$M$4,IF(P5=N5,$N$4))))</f>
        <v>Bangalore</v>
      </c>
      <c r="R5" s="35">
        <f t="shared" ref="R5:R35" si="5">D5</f>
        <v>1.28</v>
      </c>
      <c r="S5" s="36">
        <f t="shared" ref="S5:S35" si="6">P5*R5</f>
        <v>111.24586328416683</v>
      </c>
      <c r="U5" s="50" t="str">
        <f t="shared" ref="U5:U35" si="7">C5</f>
        <v>BANGALORE</v>
      </c>
      <c r="V5" s="10">
        <f t="shared" ref="V5:V35" si="8">D5</f>
        <v>1.28</v>
      </c>
      <c r="W5" s="13">
        <v>1</v>
      </c>
      <c r="X5" s="13">
        <v>0</v>
      </c>
      <c r="Y5" s="13">
        <v>0</v>
      </c>
      <c r="Z5" s="13">
        <v>0</v>
      </c>
      <c r="AA5" s="11">
        <f t="shared" ref="AA5:AA35" si="9">SUMPRODUCT(W5:Z5,K5:N5)*V5</f>
        <v>111.24586328416683</v>
      </c>
      <c r="AB5">
        <f t="shared" ref="AB5:AB35" si="10">SUM(W5:Z5)</f>
        <v>1</v>
      </c>
      <c r="AC5" s="6" t="str">
        <f t="shared" ref="AC5:AC26" si="11">IF(W5:W78=1,$W$4,IF(X5:X78=1,$X$4,IF(Y5:Y78=1,$Y$4,IF(Z5:Z78=1,$Z$4,0))))</f>
        <v>Bangalore</v>
      </c>
      <c r="AD5" s="21">
        <f t="shared" ref="AD5:AD35" si="12">IF(AC5=$W$4,K5-N5,IF(AC5=$X$4,L5-N5,IF(AC5=$Y$4,M5-N5,IF(AC5=$Z$4,N5-N5,0))))</f>
        <v>-10.221291711517765</v>
      </c>
      <c r="AE5" s="8">
        <f t="shared" ref="AE5:AE35" si="13">AD5*V5</f>
        <v>-13.083253390742739</v>
      </c>
      <c r="AF5" s="7">
        <f t="shared" ref="AF5:AF37" si="14">V5</f>
        <v>1.28</v>
      </c>
    </row>
    <row r="6" spans="1:32" x14ac:dyDescent="0.35">
      <c r="A6" s="162" t="str">
        <f>VLOOKUP(C6,'Regionwise Demand'!$B$1:$F$80,5,0)</f>
        <v>I406-Banglore</v>
      </c>
      <c r="B6" s="17">
        <v>1</v>
      </c>
      <c r="C6" s="71" t="s">
        <v>45</v>
      </c>
      <c r="D6" s="158">
        <f>VLOOKUP(C6,'Regionwise Demand'!$B$2:$C$80,2,0)</f>
        <v>1.28</v>
      </c>
      <c r="E6" s="2"/>
      <c r="F6" s="62">
        <v>3.8608306907553414</v>
      </c>
      <c r="G6" s="63">
        <v>31.269832803740233</v>
      </c>
      <c r="H6" s="63">
        <v>32.725268613993052</v>
      </c>
      <c r="I6" s="64">
        <v>26.062122402273104</v>
      </c>
      <c r="J6" s="2"/>
      <c r="K6" s="24">
        <f t="shared" si="0"/>
        <v>86.910830690755333</v>
      </c>
      <c r="L6" s="25">
        <f t="shared" si="1"/>
        <v>110.66983280374023</v>
      </c>
      <c r="M6" s="25">
        <f t="shared" si="2"/>
        <v>108.13526861399305</v>
      </c>
      <c r="N6" s="26">
        <f t="shared" si="3"/>
        <v>97.132122402273097</v>
      </c>
      <c r="P6" s="33">
        <f t="shared" ref="P6:P35" si="15">MIN(K6:N6)</f>
        <v>86.910830690755333</v>
      </c>
      <c r="Q6" s="34" t="str">
        <f t="shared" si="4"/>
        <v>Bangalore</v>
      </c>
      <c r="R6" s="35">
        <f t="shared" si="5"/>
        <v>1.28</v>
      </c>
      <c r="S6" s="36">
        <f t="shared" si="6"/>
        <v>111.24586328416683</v>
      </c>
      <c r="U6" s="50" t="str">
        <f t="shared" si="7"/>
        <v>BANGALORE 2</v>
      </c>
      <c r="V6" s="10">
        <f t="shared" si="8"/>
        <v>1.28</v>
      </c>
      <c r="W6" s="13">
        <v>1</v>
      </c>
      <c r="X6" s="13">
        <v>0</v>
      </c>
      <c r="Y6" s="13">
        <v>0</v>
      </c>
      <c r="Z6" s="13">
        <v>0</v>
      </c>
      <c r="AA6" s="11">
        <f t="shared" si="9"/>
        <v>111.24586328416683</v>
      </c>
      <c r="AB6">
        <f t="shared" si="10"/>
        <v>1</v>
      </c>
      <c r="AC6" s="6" t="str">
        <f t="shared" si="11"/>
        <v>Bangalore</v>
      </c>
      <c r="AD6" s="21">
        <f t="shared" si="12"/>
        <v>-10.221291711517765</v>
      </c>
      <c r="AE6" s="8">
        <f t="shared" si="13"/>
        <v>-13.083253390742739</v>
      </c>
      <c r="AF6" s="7">
        <f t="shared" si="14"/>
        <v>1.28</v>
      </c>
    </row>
    <row r="7" spans="1:32" x14ac:dyDescent="0.35">
      <c r="A7" s="162" t="str">
        <f>VLOOKUP(C7,'Regionwise Demand'!$B$1:$F$80,5,0)</f>
        <v>I406-Banglore</v>
      </c>
      <c r="B7" s="17">
        <v>1</v>
      </c>
      <c r="C7" s="71" t="s">
        <v>46</v>
      </c>
      <c r="D7" s="158">
        <f>VLOOKUP(C7,'Regionwise Demand'!$B$2:$C$80,2,0)</f>
        <v>1.28</v>
      </c>
      <c r="E7" s="2"/>
      <c r="F7" s="62">
        <v>3.8608306907553414</v>
      </c>
      <c r="G7" s="63">
        <v>31.269832803740233</v>
      </c>
      <c r="H7" s="63">
        <v>32.725268613993052</v>
      </c>
      <c r="I7" s="64">
        <v>26.062122402273104</v>
      </c>
      <c r="J7" s="2"/>
      <c r="K7" s="24">
        <f t="shared" si="0"/>
        <v>86.910830690755333</v>
      </c>
      <c r="L7" s="25">
        <f t="shared" si="1"/>
        <v>110.66983280374023</v>
      </c>
      <c r="M7" s="25">
        <f t="shared" si="2"/>
        <v>108.13526861399305</v>
      </c>
      <c r="N7" s="26">
        <f t="shared" si="3"/>
        <v>97.132122402273097</v>
      </c>
      <c r="P7" s="33">
        <f t="shared" si="15"/>
        <v>86.910830690755333</v>
      </c>
      <c r="Q7" s="34" t="str">
        <f t="shared" si="4"/>
        <v>Bangalore</v>
      </c>
      <c r="R7" s="35">
        <f t="shared" si="5"/>
        <v>1.28</v>
      </c>
      <c r="S7" s="36">
        <f t="shared" si="6"/>
        <v>111.24586328416683</v>
      </c>
      <c r="U7" s="50" t="str">
        <f t="shared" si="7"/>
        <v>BANGALORE 3</v>
      </c>
      <c r="V7" s="10">
        <f t="shared" si="8"/>
        <v>1.28</v>
      </c>
      <c r="W7" s="13">
        <v>1</v>
      </c>
      <c r="X7" s="13">
        <v>0</v>
      </c>
      <c r="Y7" s="13">
        <v>0</v>
      </c>
      <c r="Z7" s="13">
        <v>0</v>
      </c>
      <c r="AA7" s="11">
        <f t="shared" si="9"/>
        <v>111.24586328416683</v>
      </c>
      <c r="AB7">
        <f t="shared" si="10"/>
        <v>1</v>
      </c>
      <c r="AC7" s="6" t="str">
        <f t="shared" si="11"/>
        <v>Bangalore</v>
      </c>
      <c r="AD7" s="21">
        <f t="shared" si="12"/>
        <v>-10.221291711517765</v>
      </c>
      <c r="AE7" s="8">
        <f t="shared" si="13"/>
        <v>-13.083253390742739</v>
      </c>
      <c r="AF7" s="7">
        <f t="shared" si="14"/>
        <v>1.28</v>
      </c>
    </row>
    <row r="8" spans="1:32" x14ac:dyDescent="0.35">
      <c r="A8" s="162" t="str">
        <f>VLOOKUP(C8,'Regionwise Demand'!$B$1:$F$80,5,0)</f>
        <v>I406-Banglore</v>
      </c>
      <c r="B8" s="17">
        <v>1</v>
      </c>
      <c r="C8" s="71" t="s">
        <v>47</v>
      </c>
      <c r="D8" s="158">
        <f>VLOOKUP(C8,'Regionwise Demand'!$B$2:$C$80,2,0)</f>
        <v>1.28</v>
      </c>
      <c r="E8" s="2"/>
      <c r="F8" s="62">
        <v>3.8608306907553414</v>
      </c>
      <c r="G8" s="63">
        <v>31.269832803740233</v>
      </c>
      <c r="H8" s="63">
        <v>32.725268613993052</v>
      </c>
      <c r="I8" s="64">
        <v>26.062122402273104</v>
      </c>
      <c r="J8" s="2"/>
      <c r="K8" s="24">
        <f t="shared" si="0"/>
        <v>86.910830690755333</v>
      </c>
      <c r="L8" s="25">
        <f t="shared" si="1"/>
        <v>110.66983280374023</v>
      </c>
      <c r="M8" s="25">
        <f t="shared" si="2"/>
        <v>108.13526861399305</v>
      </c>
      <c r="N8" s="26">
        <f t="shared" si="3"/>
        <v>97.132122402273097</v>
      </c>
      <c r="P8" s="33">
        <f t="shared" si="15"/>
        <v>86.910830690755333</v>
      </c>
      <c r="Q8" s="34" t="str">
        <f t="shared" si="4"/>
        <v>Bangalore</v>
      </c>
      <c r="R8" s="35">
        <f t="shared" si="5"/>
        <v>1.28</v>
      </c>
      <c r="S8" s="36">
        <f t="shared" si="6"/>
        <v>111.24586328416683</v>
      </c>
      <c r="U8" s="50" t="str">
        <f t="shared" si="7"/>
        <v>BANGALORE 4</v>
      </c>
      <c r="V8" s="10">
        <f t="shared" si="8"/>
        <v>1.28</v>
      </c>
      <c r="W8" s="13">
        <v>1</v>
      </c>
      <c r="X8" s="13">
        <v>0</v>
      </c>
      <c r="Y8" s="13">
        <v>0</v>
      </c>
      <c r="Z8" s="13">
        <v>0</v>
      </c>
      <c r="AA8" s="11">
        <f t="shared" si="9"/>
        <v>111.24586328416683</v>
      </c>
      <c r="AB8">
        <f t="shared" si="10"/>
        <v>1</v>
      </c>
      <c r="AC8" s="6" t="str">
        <f t="shared" si="11"/>
        <v>Bangalore</v>
      </c>
      <c r="AD8" s="21">
        <f t="shared" si="12"/>
        <v>-10.221291711517765</v>
      </c>
      <c r="AE8" s="8">
        <f t="shared" si="13"/>
        <v>-13.083253390742739</v>
      </c>
      <c r="AF8" s="7">
        <f t="shared" si="14"/>
        <v>1.28</v>
      </c>
    </row>
    <row r="9" spans="1:32" x14ac:dyDescent="0.35">
      <c r="A9" s="162" t="str">
        <f>VLOOKUP(C9,'Regionwise Demand'!$B$1:$F$80,5,0)</f>
        <v>I406-Banglore</v>
      </c>
      <c r="B9" s="17">
        <v>1</v>
      </c>
      <c r="C9" s="71" t="s">
        <v>48</v>
      </c>
      <c r="D9" s="158">
        <f>VLOOKUP(C9,'Regionwise Demand'!$B$2:$C$80,2,0)</f>
        <v>1.28</v>
      </c>
      <c r="E9" s="2"/>
      <c r="F9" s="62">
        <v>3.8608306907553414</v>
      </c>
      <c r="G9" s="63">
        <v>31.269832803740233</v>
      </c>
      <c r="H9" s="63">
        <v>32.725268613993052</v>
      </c>
      <c r="I9" s="64">
        <v>26.062122402273104</v>
      </c>
      <c r="J9" s="2"/>
      <c r="K9" s="24">
        <f t="shared" si="0"/>
        <v>86.910830690755333</v>
      </c>
      <c r="L9" s="25">
        <f t="shared" si="1"/>
        <v>110.66983280374023</v>
      </c>
      <c r="M9" s="25">
        <f t="shared" si="2"/>
        <v>108.13526861399305</v>
      </c>
      <c r="N9" s="26">
        <f t="shared" si="3"/>
        <v>97.132122402273097</v>
      </c>
      <c r="P9" s="33">
        <f t="shared" si="15"/>
        <v>86.910830690755333</v>
      </c>
      <c r="Q9" s="34" t="str">
        <f t="shared" si="4"/>
        <v>Bangalore</v>
      </c>
      <c r="R9" s="35">
        <f t="shared" si="5"/>
        <v>1.28</v>
      </c>
      <c r="S9" s="36">
        <f t="shared" si="6"/>
        <v>111.24586328416683</v>
      </c>
      <c r="U9" s="50" t="str">
        <f t="shared" si="7"/>
        <v>BANGALORE 5</v>
      </c>
      <c r="V9" s="10">
        <f t="shared" si="8"/>
        <v>1.28</v>
      </c>
      <c r="W9" s="13">
        <v>1</v>
      </c>
      <c r="X9" s="13">
        <v>0</v>
      </c>
      <c r="Y9" s="13">
        <v>0</v>
      </c>
      <c r="Z9" s="13">
        <v>0</v>
      </c>
      <c r="AA9" s="11">
        <f t="shared" si="9"/>
        <v>111.24586328416683</v>
      </c>
      <c r="AB9">
        <f t="shared" si="10"/>
        <v>1</v>
      </c>
      <c r="AC9" s="6" t="str">
        <f t="shared" si="11"/>
        <v>Bangalore</v>
      </c>
      <c r="AD9" s="21">
        <f t="shared" si="12"/>
        <v>-10.221291711517765</v>
      </c>
      <c r="AE9" s="8">
        <f t="shared" si="13"/>
        <v>-13.083253390742739</v>
      </c>
      <c r="AF9" s="7">
        <f t="shared" si="14"/>
        <v>1.28</v>
      </c>
    </row>
    <row r="10" spans="1:32" x14ac:dyDescent="0.35">
      <c r="A10" s="162" t="str">
        <f>VLOOKUP(C10,'Regionwise Demand'!$B$1:$F$80,5,0)</f>
        <v>I405-Hyderabad</v>
      </c>
      <c r="B10" s="17">
        <v>2</v>
      </c>
      <c r="C10" s="71" t="s">
        <v>49</v>
      </c>
      <c r="D10" s="158">
        <f>VLOOKUP(C10,'Regionwise Demand'!$B$2:$C$80,2,0)</f>
        <v>1.56</v>
      </c>
      <c r="E10" s="2"/>
      <c r="F10" s="62">
        <v>16.712480152936784</v>
      </c>
      <c r="G10" s="63">
        <v>25.295825551476788</v>
      </c>
      <c r="H10" s="63">
        <v>25.559681691947567</v>
      </c>
      <c r="I10" s="159">
        <v>13.3</v>
      </c>
      <c r="J10" s="2"/>
      <c r="K10" s="24">
        <f t="shared" si="0"/>
        <v>99.762480152936774</v>
      </c>
      <c r="L10" s="25">
        <f t="shared" si="1"/>
        <v>104.69582555147679</v>
      </c>
      <c r="M10" s="25">
        <f t="shared" si="2"/>
        <v>100.96968169194756</v>
      </c>
      <c r="N10" s="26">
        <f t="shared" si="3"/>
        <v>84.36999999999999</v>
      </c>
      <c r="P10" s="33">
        <f t="shared" si="15"/>
        <v>84.36999999999999</v>
      </c>
      <c r="Q10" s="34" t="str">
        <f t="shared" si="4"/>
        <v>Vizag</v>
      </c>
      <c r="R10" s="35">
        <f t="shared" si="5"/>
        <v>1.56</v>
      </c>
      <c r="S10" s="36">
        <f t="shared" si="6"/>
        <v>131.6172</v>
      </c>
      <c r="U10" s="50" t="str">
        <f t="shared" si="7"/>
        <v>HYDERABAD</v>
      </c>
      <c r="V10" s="10">
        <f t="shared" si="8"/>
        <v>1.56</v>
      </c>
      <c r="W10" s="13">
        <v>0</v>
      </c>
      <c r="X10" s="13">
        <v>0</v>
      </c>
      <c r="Y10" s="13">
        <v>0</v>
      </c>
      <c r="Z10" s="13">
        <v>1</v>
      </c>
      <c r="AA10" s="11">
        <f t="shared" si="9"/>
        <v>131.6172</v>
      </c>
      <c r="AB10">
        <f t="shared" si="10"/>
        <v>1</v>
      </c>
      <c r="AC10" s="6" t="str">
        <f t="shared" si="11"/>
        <v>Vizag</v>
      </c>
      <c r="AD10" s="21">
        <f t="shared" si="12"/>
        <v>0</v>
      </c>
      <c r="AE10" s="8">
        <f t="shared" si="13"/>
        <v>0</v>
      </c>
      <c r="AF10" s="7">
        <f t="shared" si="14"/>
        <v>1.56</v>
      </c>
    </row>
    <row r="11" spans="1:32" x14ac:dyDescent="0.35">
      <c r="A11" s="162" t="str">
        <f>VLOOKUP(C11,'Regionwise Demand'!$B$1:$F$80,5,0)</f>
        <v>I405-Hyderabad</v>
      </c>
      <c r="B11" s="17">
        <v>2</v>
      </c>
      <c r="C11" s="71" t="s">
        <v>50</v>
      </c>
      <c r="D11" s="158">
        <f>VLOOKUP(C11,'Regionwise Demand'!$B$2:$C$80,2,0)</f>
        <v>1.56</v>
      </c>
      <c r="E11" s="2"/>
      <c r="F11" s="62">
        <v>16.712480152936784</v>
      </c>
      <c r="G11" s="63">
        <v>25.295825551476788</v>
      </c>
      <c r="H11" s="63">
        <v>25.559681691947567</v>
      </c>
      <c r="I11" s="64">
        <v>14.88</v>
      </c>
      <c r="J11" s="2"/>
      <c r="K11" s="24">
        <f t="shared" si="0"/>
        <v>99.762480152936774</v>
      </c>
      <c r="L11" s="25">
        <f t="shared" si="1"/>
        <v>104.69582555147679</v>
      </c>
      <c r="M11" s="25">
        <f t="shared" si="2"/>
        <v>100.96968169194756</v>
      </c>
      <c r="N11" s="26">
        <f t="shared" si="3"/>
        <v>85.949999999999989</v>
      </c>
      <c r="P11" s="33">
        <f t="shared" si="15"/>
        <v>85.949999999999989</v>
      </c>
      <c r="Q11" s="34" t="str">
        <f t="shared" si="4"/>
        <v>Vizag</v>
      </c>
      <c r="R11" s="35">
        <f t="shared" si="5"/>
        <v>1.56</v>
      </c>
      <c r="S11" s="36">
        <f t="shared" si="6"/>
        <v>134.08199999999999</v>
      </c>
      <c r="U11" s="50" t="str">
        <f t="shared" si="7"/>
        <v>HYDERABAD 2</v>
      </c>
      <c r="V11" s="10">
        <f t="shared" si="8"/>
        <v>1.56</v>
      </c>
      <c r="W11" s="13">
        <v>0</v>
      </c>
      <c r="X11" s="13">
        <v>0</v>
      </c>
      <c r="Y11" s="13">
        <v>0</v>
      </c>
      <c r="Z11" s="13">
        <v>1</v>
      </c>
      <c r="AA11" s="11">
        <f t="shared" si="9"/>
        <v>134.08199999999999</v>
      </c>
      <c r="AB11">
        <f t="shared" si="10"/>
        <v>1</v>
      </c>
      <c r="AC11" s="6" t="str">
        <f t="shared" si="11"/>
        <v>Vizag</v>
      </c>
      <c r="AD11" s="21">
        <f t="shared" si="12"/>
        <v>0</v>
      </c>
      <c r="AE11" s="8">
        <f t="shared" si="13"/>
        <v>0</v>
      </c>
      <c r="AF11" s="7">
        <f t="shared" si="14"/>
        <v>1.56</v>
      </c>
    </row>
    <row r="12" spans="1:32" x14ac:dyDescent="0.35">
      <c r="A12" s="162" t="str">
        <f>VLOOKUP(C12,'Regionwise Demand'!$B$1:$F$80,5,0)</f>
        <v>I405-Hyderabad</v>
      </c>
      <c r="B12" s="17">
        <v>2</v>
      </c>
      <c r="C12" s="71" t="s">
        <v>51</v>
      </c>
      <c r="D12" s="158">
        <f>VLOOKUP(C12,'Regionwise Demand'!$B$2:$C$80,2,0)</f>
        <v>1.56</v>
      </c>
      <c r="E12" s="2"/>
      <c r="F12" s="62">
        <v>16.712480152936784</v>
      </c>
      <c r="G12" s="63">
        <v>25.295825551476788</v>
      </c>
      <c r="H12" s="63">
        <v>25.559681691947567</v>
      </c>
      <c r="I12" s="64">
        <v>14.88</v>
      </c>
      <c r="J12" s="2"/>
      <c r="K12" s="24">
        <f t="shared" si="0"/>
        <v>99.762480152936774</v>
      </c>
      <c r="L12" s="25">
        <f t="shared" si="1"/>
        <v>104.69582555147679</v>
      </c>
      <c r="M12" s="25">
        <f t="shared" si="2"/>
        <v>100.96968169194756</v>
      </c>
      <c r="N12" s="26">
        <f t="shared" si="3"/>
        <v>85.949999999999989</v>
      </c>
      <c r="P12" s="33">
        <f t="shared" si="15"/>
        <v>85.949999999999989</v>
      </c>
      <c r="Q12" s="34" t="str">
        <f t="shared" si="4"/>
        <v>Vizag</v>
      </c>
      <c r="R12" s="35">
        <f t="shared" si="5"/>
        <v>1.56</v>
      </c>
      <c r="S12" s="36">
        <f t="shared" si="6"/>
        <v>134.08199999999999</v>
      </c>
      <c r="U12" s="50" t="str">
        <f t="shared" si="7"/>
        <v>HYDERABAD 3</v>
      </c>
      <c r="V12" s="10">
        <f t="shared" si="8"/>
        <v>1.56</v>
      </c>
      <c r="W12" s="13">
        <v>0</v>
      </c>
      <c r="X12" s="13">
        <v>0</v>
      </c>
      <c r="Y12" s="13">
        <v>0</v>
      </c>
      <c r="Z12" s="13">
        <v>1</v>
      </c>
      <c r="AA12" s="11">
        <f t="shared" si="9"/>
        <v>134.08199999999999</v>
      </c>
      <c r="AB12">
        <f t="shared" si="10"/>
        <v>1</v>
      </c>
      <c r="AC12" s="6" t="str">
        <f t="shared" si="11"/>
        <v>Vizag</v>
      </c>
      <c r="AD12" s="21">
        <f t="shared" si="12"/>
        <v>0</v>
      </c>
      <c r="AE12" s="8">
        <f t="shared" si="13"/>
        <v>0</v>
      </c>
      <c r="AF12" s="7">
        <f t="shared" si="14"/>
        <v>1.56</v>
      </c>
    </row>
    <row r="13" spans="1:32" x14ac:dyDescent="0.35">
      <c r="A13" s="162" t="str">
        <f>VLOOKUP(C13,'Regionwise Demand'!$B$1:$F$80,5,0)</f>
        <v>I405-Hyderabad</v>
      </c>
      <c r="B13" s="17">
        <v>3</v>
      </c>
      <c r="C13" s="71" t="s">
        <v>52</v>
      </c>
      <c r="D13" s="158">
        <f>VLOOKUP(C13,'Regionwise Demand'!$B$2:$C$80,2,0)</f>
        <v>1.56</v>
      </c>
      <c r="E13" s="2"/>
      <c r="F13" s="62">
        <v>16.712480152936784</v>
      </c>
      <c r="G13" s="63">
        <v>25.295825551476788</v>
      </c>
      <c r="H13" s="63">
        <v>25.559681691947567</v>
      </c>
      <c r="I13" s="64">
        <v>14.88</v>
      </c>
      <c r="J13" s="2"/>
      <c r="K13" s="24">
        <f t="shared" si="0"/>
        <v>99.762480152936774</v>
      </c>
      <c r="L13" s="25">
        <f t="shared" si="1"/>
        <v>104.69582555147679</v>
      </c>
      <c r="M13" s="25">
        <f t="shared" si="2"/>
        <v>100.96968169194756</v>
      </c>
      <c r="N13" s="26">
        <f t="shared" si="3"/>
        <v>85.949999999999989</v>
      </c>
      <c r="P13" s="33">
        <f t="shared" si="15"/>
        <v>85.949999999999989</v>
      </c>
      <c r="Q13" s="34" t="str">
        <f t="shared" si="4"/>
        <v>Vizag</v>
      </c>
      <c r="R13" s="35">
        <f t="shared" si="5"/>
        <v>1.56</v>
      </c>
      <c r="S13" s="36">
        <f t="shared" si="6"/>
        <v>134.08199999999999</v>
      </c>
      <c r="U13" s="50" t="str">
        <f t="shared" si="7"/>
        <v>Hyderabad 4</v>
      </c>
      <c r="V13" s="10">
        <f t="shared" si="8"/>
        <v>1.56</v>
      </c>
      <c r="W13" s="13">
        <v>0</v>
      </c>
      <c r="X13" s="13">
        <v>0</v>
      </c>
      <c r="Y13" s="13">
        <v>0</v>
      </c>
      <c r="Z13" s="13">
        <v>1</v>
      </c>
      <c r="AA13" s="11">
        <f t="shared" si="9"/>
        <v>134.08199999999999</v>
      </c>
      <c r="AB13">
        <f t="shared" si="10"/>
        <v>1</v>
      </c>
      <c r="AC13" s="6" t="str">
        <f t="shared" si="11"/>
        <v>Vizag</v>
      </c>
      <c r="AD13" s="21">
        <f t="shared" si="12"/>
        <v>0</v>
      </c>
      <c r="AE13" s="8">
        <f t="shared" si="13"/>
        <v>0</v>
      </c>
      <c r="AF13" s="7">
        <f t="shared" si="14"/>
        <v>1.56</v>
      </c>
    </row>
    <row r="14" spans="1:32" x14ac:dyDescent="0.35">
      <c r="A14" s="162" t="str">
        <f>VLOOKUP(C14,'Regionwise Demand'!$B$1:$F$80,5,0)</f>
        <v>I304-Mumbai</v>
      </c>
      <c r="B14" s="17">
        <v>4</v>
      </c>
      <c r="C14" t="s">
        <v>53</v>
      </c>
      <c r="D14" s="158">
        <f>VLOOKUP(C14,'Regionwise Demand'!$B$2:$C$80,2,0)</f>
        <v>0.41599999999999998</v>
      </c>
      <c r="E14" s="2"/>
      <c r="F14" s="62">
        <v>28.543251696919416</v>
      </c>
      <c r="G14" s="63">
        <v>5.4389738567954389</v>
      </c>
      <c r="H14" s="63">
        <v>14.063688020059118</v>
      </c>
      <c r="I14" s="64">
        <v>39.323975650839216</v>
      </c>
      <c r="J14" s="2"/>
      <c r="K14" s="24">
        <f t="shared" si="0"/>
        <v>111.59325169691941</v>
      </c>
      <c r="L14" s="25">
        <f t="shared" si="1"/>
        <v>84.838973856795448</v>
      </c>
      <c r="M14" s="25">
        <f t="shared" si="2"/>
        <v>89.473688020059114</v>
      </c>
      <c r="N14" s="26">
        <f t="shared" si="3"/>
        <v>110.39397565083921</v>
      </c>
      <c r="P14" s="33">
        <f t="shared" si="15"/>
        <v>84.838973856795448</v>
      </c>
      <c r="Q14" s="34" t="str">
        <f t="shared" si="4"/>
        <v>Wada</v>
      </c>
      <c r="R14" s="35">
        <f t="shared" si="5"/>
        <v>0.41599999999999998</v>
      </c>
      <c r="S14" s="36">
        <f t="shared" si="6"/>
        <v>35.293013124426906</v>
      </c>
      <c r="U14" s="50" t="str">
        <f t="shared" si="7"/>
        <v>MUMBAI UPCOUNTRY</v>
      </c>
      <c r="V14" s="10">
        <f t="shared" si="8"/>
        <v>0.41599999999999998</v>
      </c>
      <c r="W14" s="13">
        <v>0</v>
      </c>
      <c r="X14" s="13">
        <v>1</v>
      </c>
      <c r="Y14" s="13">
        <v>0</v>
      </c>
      <c r="Z14" s="13">
        <v>0</v>
      </c>
      <c r="AA14" s="11">
        <f t="shared" si="9"/>
        <v>35.293013124426906</v>
      </c>
      <c r="AB14">
        <f t="shared" si="10"/>
        <v>1</v>
      </c>
      <c r="AC14" s="6" t="str">
        <f t="shared" si="11"/>
        <v>Wada</v>
      </c>
      <c r="AD14" s="21">
        <f t="shared" si="12"/>
        <v>-25.555001794043761</v>
      </c>
      <c r="AE14" s="8">
        <f t="shared" si="13"/>
        <v>-10.630880746322203</v>
      </c>
      <c r="AF14" s="7">
        <f t="shared" si="14"/>
        <v>0.41599999999999998</v>
      </c>
    </row>
    <row r="15" spans="1:32" x14ac:dyDescent="0.35">
      <c r="A15" s="162" t="str">
        <f>VLOOKUP(C15,'Regionwise Demand'!$B$1:$F$80,5,0)</f>
        <v>I304-Mumbai</v>
      </c>
      <c r="B15" s="17">
        <v>5</v>
      </c>
      <c r="C15" t="s">
        <v>54</v>
      </c>
      <c r="D15" s="158">
        <f>VLOOKUP(C15,'Regionwise Demand'!$B$2:$C$80,2,0)</f>
        <v>2.1333333333333333</v>
      </c>
      <c r="E15" s="2"/>
      <c r="F15" s="62">
        <v>28.543251696919416</v>
      </c>
      <c r="G15" s="63">
        <v>5.4389738567954389</v>
      </c>
      <c r="H15" s="63">
        <v>14.063688020059118</v>
      </c>
      <c r="I15" s="64">
        <v>39.323975650839216</v>
      </c>
      <c r="J15" s="2"/>
      <c r="K15" s="24">
        <f t="shared" si="0"/>
        <v>111.59325169691941</v>
      </c>
      <c r="L15" s="25">
        <f t="shared" si="1"/>
        <v>84.838973856795448</v>
      </c>
      <c r="M15" s="25">
        <f t="shared" si="2"/>
        <v>89.473688020059114</v>
      </c>
      <c r="N15" s="26">
        <f t="shared" si="3"/>
        <v>110.39397565083921</v>
      </c>
      <c r="P15" s="33">
        <f t="shared" si="15"/>
        <v>84.838973856795448</v>
      </c>
      <c r="Q15" s="34" t="str">
        <f t="shared" si="4"/>
        <v>Wada</v>
      </c>
      <c r="R15" s="35">
        <f t="shared" si="5"/>
        <v>2.1333333333333333</v>
      </c>
      <c r="S15" s="36">
        <f t="shared" si="6"/>
        <v>180.98981089449694</v>
      </c>
      <c r="U15" s="50" t="str">
        <f t="shared" si="7"/>
        <v>MUMBAI</v>
      </c>
      <c r="V15" s="10">
        <f t="shared" si="8"/>
        <v>2.1333333333333333</v>
      </c>
      <c r="W15" s="13">
        <v>0</v>
      </c>
      <c r="X15" s="13">
        <v>1</v>
      </c>
      <c r="Y15" s="13">
        <v>0</v>
      </c>
      <c r="Z15" s="13">
        <v>0</v>
      </c>
      <c r="AA15" s="11">
        <f t="shared" si="9"/>
        <v>180.98981089449694</v>
      </c>
      <c r="AB15">
        <f t="shared" si="10"/>
        <v>1</v>
      </c>
      <c r="AC15" s="6" t="str">
        <f t="shared" si="11"/>
        <v>Wada</v>
      </c>
      <c r="AD15" s="21">
        <f t="shared" si="12"/>
        <v>-25.555001794043761</v>
      </c>
      <c r="AE15" s="8">
        <f t="shared" si="13"/>
        <v>-54.517337160626688</v>
      </c>
      <c r="AF15" s="7">
        <f t="shared" si="14"/>
        <v>2.1333333333333333</v>
      </c>
    </row>
    <row r="16" spans="1:32" x14ac:dyDescent="0.35">
      <c r="A16" s="162" t="str">
        <f>VLOOKUP(C16,'Regionwise Demand'!$B$1:$F$80,5,0)</f>
        <v>I304-Mumbai</v>
      </c>
      <c r="B16" s="17">
        <v>5</v>
      </c>
      <c r="C16" t="s">
        <v>55</v>
      </c>
      <c r="D16" s="158">
        <f>VLOOKUP(C16,'Regionwise Demand'!$B$2:$C$80,2,0)</f>
        <v>2.1333333333333333</v>
      </c>
      <c r="E16" s="2"/>
      <c r="F16" s="62">
        <v>28.543251696919416</v>
      </c>
      <c r="G16" s="63">
        <v>5.4389738567954389</v>
      </c>
      <c r="H16" s="63">
        <v>14.063688020059118</v>
      </c>
      <c r="I16" s="64">
        <v>39.323975650839216</v>
      </c>
      <c r="J16" s="2"/>
      <c r="K16" s="24">
        <f t="shared" si="0"/>
        <v>111.59325169691941</v>
      </c>
      <c r="L16" s="25">
        <f t="shared" si="1"/>
        <v>84.838973856795448</v>
      </c>
      <c r="M16" s="25">
        <f t="shared" si="2"/>
        <v>89.473688020059114</v>
      </c>
      <c r="N16" s="26">
        <f t="shared" si="3"/>
        <v>110.39397565083921</v>
      </c>
      <c r="P16" s="33">
        <f t="shared" si="15"/>
        <v>84.838973856795448</v>
      </c>
      <c r="Q16" s="34" t="str">
        <f t="shared" si="4"/>
        <v>Wada</v>
      </c>
      <c r="R16" s="35">
        <f t="shared" si="5"/>
        <v>2.1333333333333333</v>
      </c>
      <c r="S16" s="36">
        <f t="shared" si="6"/>
        <v>180.98981089449694</v>
      </c>
      <c r="U16" s="50" t="str">
        <f t="shared" si="7"/>
        <v>MUMBAI 2</v>
      </c>
      <c r="V16" s="10">
        <f t="shared" si="8"/>
        <v>2.1333333333333333</v>
      </c>
      <c r="W16" s="13">
        <v>0</v>
      </c>
      <c r="X16" s="13">
        <v>1</v>
      </c>
      <c r="Y16" s="13">
        <v>0</v>
      </c>
      <c r="Z16" s="13">
        <v>0</v>
      </c>
      <c r="AA16" s="11">
        <f t="shared" si="9"/>
        <v>180.98981089449694</v>
      </c>
      <c r="AB16">
        <f t="shared" si="10"/>
        <v>1</v>
      </c>
      <c r="AC16" s="6" t="str">
        <f t="shared" si="11"/>
        <v>Wada</v>
      </c>
      <c r="AD16" s="21">
        <f t="shared" si="12"/>
        <v>-25.555001794043761</v>
      </c>
      <c r="AE16" s="8">
        <f t="shared" si="13"/>
        <v>-54.517337160626688</v>
      </c>
      <c r="AF16" s="7">
        <f t="shared" si="14"/>
        <v>2.1333333333333333</v>
      </c>
    </row>
    <row r="17" spans="1:32" x14ac:dyDescent="0.35">
      <c r="A17" s="162" t="str">
        <f>VLOOKUP(C17,'Regionwise Demand'!$B$1:$F$80,5,0)</f>
        <v>I304-Mumbai</v>
      </c>
      <c r="B17" s="17">
        <v>5</v>
      </c>
      <c r="C17" t="s">
        <v>56</v>
      </c>
      <c r="D17" s="158">
        <f>VLOOKUP(C17,'Regionwise Demand'!$B$2:$C$80,2,0)</f>
        <v>2.1333333333333333</v>
      </c>
      <c r="E17" s="2"/>
      <c r="F17" s="62">
        <v>28.543251696919416</v>
      </c>
      <c r="G17" s="63">
        <v>5.4389738567954389</v>
      </c>
      <c r="H17" s="63">
        <v>14.063688020059118</v>
      </c>
      <c r="I17" s="64">
        <v>39.323975650839216</v>
      </c>
      <c r="J17" s="2"/>
      <c r="K17" s="24">
        <f t="shared" si="0"/>
        <v>111.59325169691941</v>
      </c>
      <c r="L17" s="25">
        <f t="shared" si="1"/>
        <v>84.838973856795448</v>
      </c>
      <c r="M17" s="25">
        <f t="shared" si="2"/>
        <v>89.473688020059114</v>
      </c>
      <c r="N17" s="26">
        <f t="shared" si="3"/>
        <v>110.39397565083921</v>
      </c>
      <c r="P17" s="33">
        <f t="shared" si="15"/>
        <v>84.838973856795448</v>
      </c>
      <c r="Q17" s="34" t="str">
        <f t="shared" si="4"/>
        <v>Wada</v>
      </c>
      <c r="R17" s="35">
        <f t="shared" si="5"/>
        <v>2.1333333333333333</v>
      </c>
      <c r="S17" s="36">
        <f t="shared" si="6"/>
        <v>180.98981089449694</v>
      </c>
      <c r="U17" s="50" t="str">
        <f t="shared" si="7"/>
        <v>MUMBAI 3</v>
      </c>
      <c r="V17" s="10">
        <f t="shared" si="8"/>
        <v>2.1333333333333333</v>
      </c>
      <c r="W17" s="13">
        <v>0</v>
      </c>
      <c r="X17" s="13">
        <v>1</v>
      </c>
      <c r="Y17" s="13">
        <v>0</v>
      </c>
      <c r="Z17" s="13">
        <v>0</v>
      </c>
      <c r="AA17" s="11">
        <f t="shared" si="9"/>
        <v>180.98981089449694</v>
      </c>
      <c r="AB17">
        <f t="shared" si="10"/>
        <v>1</v>
      </c>
      <c r="AC17" s="6" t="str">
        <f t="shared" si="11"/>
        <v>Wada</v>
      </c>
      <c r="AD17" s="21">
        <f t="shared" si="12"/>
        <v>-25.555001794043761</v>
      </c>
      <c r="AE17" s="8">
        <f t="shared" si="13"/>
        <v>-54.517337160626688</v>
      </c>
      <c r="AF17" s="7">
        <f t="shared" si="14"/>
        <v>2.1333333333333333</v>
      </c>
    </row>
    <row r="18" spans="1:32" x14ac:dyDescent="0.35">
      <c r="A18" s="162" t="str">
        <f>VLOOKUP(C18,'Regionwise Demand'!$B$1:$F$80,5,0)</f>
        <v>I305-Rest Of Maharashtra</v>
      </c>
      <c r="B18" s="17">
        <v>6</v>
      </c>
      <c r="C18" s="71" t="s">
        <v>57</v>
      </c>
      <c r="D18" s="158">
        <f>VLOOKUP(C18,'Regionwise Demand'!$B$2:$C$80,2,0)</f>
        <v>2.8000000000000003</v>
      </c>
      <c r="E18" s="2"/>
      <c r="F18" s="62">
        <v>17.860755483284855</v>
      </c>
      <c r="G18" s="63">
        <v>7.6815285751305664</v>
      </c>
      <c r="H18" s="63">
        <v>16.306242738394246</v>
      </c>
      <c r="I18" s="64">
        <v>41.566530369174338</v>
      </c>
      <c r="J18" s="2"/>
      <c r="K18" s="24">
        <f t="shared" si="0"/>
        <v>100.91075548328485</v>
      </c>
      <c r="L18" s="25">
        <f t="shared" si="1"/>
        <v>87.081528575130577</v>
      </c>
      <c r="M18" s="25">
        <f t="shared" si="2"/>
        <v>91.716242738394243</v>
      </c>
      <c r="N18" s="26">
        <f t="shared" si="3"/>
        <v>112.63653036917432</v>
      </c>
      <c r="P18" s="33">
        <f t="shared" si="15"/>
        <v>87.081528575130577</v>
      </c>
      <c r="Q18" s="34" t="str">
        <f t="shared" si="4"/>
        <v>Wada</v>
      </c>
      <c r="R18" s="35">
        <f t="shared" si="5"/>
        <v>2.8000000000000003</v>
      </c>
      <c r="S18" s="36">
        <f t="shared" si="6"/>
        <v>243.82828001036563</v>
      </c>
      <c r="U18" s="50" t="str">
        <f t="shared" si="7"/>
        <v>PUNE</v>
      </c>
      <c r="V18" s="10">
        <f t="shared" si="8"/>
        <v>2.8000000000000003</v>
      </c>
      <c r="W18" s="13">
        <v>0</v>
      </c>
      <c r="X18" s="13">
        <v>1</v>
      </c>
      <c r="Y18" s="13">
        <v>0</v>
      </c>
      <c r="Z18" s="13">
        <v>0</v>
      </c>
      <c r="AA18" s="11">
        <f t="shared" si="9"/>
        <v>243.82828001036563</v>
      </c>
      <c r="AB18">
        <f t="shared" si="10"/>
        <v>1</v>
      </c>
      <c r="AC18" s="6" t="str">
        <f t="shared" si="11"/>
        <v>Wada</v>
      </c>
      <c r="AD18" s="21">
        <f t="shared" si="12"/>
        <v>-25.555001794043747</v>
      </c>
      <c r="AE18" s="8">
        <f t="shared" si="13"/>
        <v>-71.554005023322503</v>
      </c>
      <c r="AF18" s="7">
        <f t="shared" si="14"/>
        <v>2.8000000000000003</v>
      </c>
    </row>
    <row r="19" spans="1:32" x14ac:dyDescent="0.35">
      <c r="A19" s="162" t="str">
        <f>VLOOKUP(C19,'Regionwise Demand'!$B$1:$F$80,5,0)</f>
        <v>I305-Rest Of Maharashtra</v>
      </c>
      <c r="B19" s="17">
        <v>7</v>
      </c>
      <c r="C19" s="71" t="s">
        <v>58</v>
      </c>
      <c r="D19" s="158">
        <f>VLOOKUP(C19,'Regionwise Demand'!$B$2:$C$80,2,0)</f>
        <v>2.8000000000000003</v>
      </c>
      <c r="E19" s="2"/>
      <c r="F19" s="62">
        <v>17.860755483284855</v>
      </c>
      <c r="G19" s="63">
        <v>7.6815285751305664</v>
      </c>
      <c r="H19" s="63">
        <v>16.306242738394246</v>
      </c>
      <c r="I19" s="64">
        <v>41.566530369174338</v>
      </c>
      <c r="J19" s="2"/>
      <c r="K19" s="24">
        <f t="shared" si="0"/>
        <v>100.91075548328485</v>
      </c>
      <c r="L19" s="25">
        <f t="shared" si="1"/>
        <v>87.081528575130577</v>
      </c>
      <c r="M19" s="25">
        <f t="shared" si="2"/>
        <v>91.716242738394243</v>
      </c>
      <c r="N19" s="26">
        <f t="shared" si="3"/>
        <v>112.63653036917432</v>
      </c>
      <c r="P19" s="33">
        <f t="shared" si="15"/>
        <v>87.081528575130577</v>
      </c>
      <c r="Q19" s="34" t="str">
        <f t="shared" si="4"/>
        <v>Wada</v>
      </c>
      <c r="R19" s="35">
        <f t="shared" si="5"/>
        <v>2.8000000000000003</v>
      </c>
      <c r="S19" s="36">
        <f t="shared" si="6"/>
        <v>243.82828001036563</v>
      </c>
      <c r="U19" s="50" t="str">
        <f t="shared" si="7"/>
        <v>Pune 2</v>
      </c>
      <c r="V19" s="10">
        <f t="shared" si="8"/>
        <v>2.8000000000000003</v>
      </c>
      <c r="W19" s="13">
        <v>0</v>
      </c>
      <c r="X19" s="13">
        <v>1</v>
      </c>
      <c r="Y19" s="13">
        <v>0</v>
      </c>
      <c r="Z19" s="13">
        <v>0</v>
      </c>
      <c r="AA19" s="11">
        <f t="shared" si="9"/>
        <v>243.82828001036563</v>
      </c>
      <c r="AB19">
        <f t="shared" si="10"/>
        <v>1</v>
      </c>
      <c r="AC19" s="6" t="str">
        <f t="shared" si="11"/>
        <v>Wada</v>
      </c>
      <c r="AD19" s="21">
        <f t="shared" si="12"/>
        <v>-25.555001794043747</v>
      </c>
      <c r="AE19" s="8">
        <f t="shared" si="13"/>
        <v>-71.554005023322503</v>
      </c>
      <c r="AF19" s="7">
        <f t="shared" si="14"/>
        <v>2.8000000000000003</v>
      </c>
    </row>
    <row r="20" spans="1:32" x14ac:dyDescent="0.35">
      <c r="A20" s="162" t="str">
        <f>VLOOKUP(C20,'Regionwise Demand'!$B$1:$F$80,5,0)</f>
        <v>I404-Chennai</v>
      </c>
      <c r="B20" s="17">
        <v>8</v>
      </c>
      <c r="C20" s="71" t="s">
        <v>59</v>
      </c>
      <c r="D20" s="158">
        <f>VLOOKUP(C20,'Regionwise Demand'!$B$2:$C$80,2,0)</f>
        <v>2.72</v>
      </c>
      <c r="E20" s="2"/>
      <c r="F20" s="163">
        <v>8.41</v>
      </c>
      <c r="G20" s="63">
        <v>36.252301932053669</v>
      </c>
      <c r="H20" s="63">
        <v>37.707737742306485</v>
      </c>
      <c r="I20" s="159">
        <v>16.3</v>
      </c>
      <c r="K20" s="24">
        <f t="shared" si="0"/>
        <v>91.46</v>
      </c>
      <c r="L20" s="25">
        <f t="shared" si="1"/>
        <v>115.65230193205367</v>
      </c>
      <c r="M20" s="25">
        <f t="shared" si="2"/>
        <v>113.11773774230647</v>
      </c>
      <c r="N20" s="26">
        <f t="shared" si="3"/>
        <v>87.36999999999999</v>
      </c>
      <c r="P20" s="33">
        <f t="shared" si="15"/>
        <v>87.36999999999999</v>
      </c>
      <c r="Q20" s="34" t="str">
        <f t="shared" si="4"/>
        <v>Vizag</v>
      </c>
      <c r="R20" s="35">
        <f t="shared" si="5"/>
        <v>2.72</v>
      </c>
      <c r="S20" s="36">
        <f t="shared" si="6"/>
        <v>237.6464</v>
      </c>
      <c r="U20" s="50" t="str">
        <f t="shared" si="7"/>
        <v>CHENNAI</v>
      </c>
      <c r="V20" s="10">
        <f t="shared" si="8"/>
        <v>2.72</v>
      </c>
      <c r="W20" s="13">
        <v>0</v>
      </c>
      <c r="X20" s="13">
        <v>0</v>
      </c>
      <c r="Y20" s="13">
        <v>0</v>
      </c>
      <c r="Z20" s="13">
        <v>1</v>
      </c>
      <c r="AA20" s="11">
        <f t="shared" si="9"/>
        <v>237.6464</v>
      </c>
      <c r="AB20">
        <f t="shared" si="10"/>
        <v>1</v>
      </c>
      <c r="AC20" s="6" t="str">
        <f t="shared" si="11"/>
        <v>Vizag</v>
      </c>
      <c r="AD20" s="21">
        <f t="shared" si="12"/>
        <v>0</v>
      </c>
      <c r="AE20" s="8">
        <f t="shared" si="13"/>
        <v>0</v>
      </c>
      <c r="AF20" s="7">
        <f t="shared" si="14"/>
        <v>2.72</v>
      </c>
    </row>
    <row r="21" spans="1:32" x14ac:dyDescent="0.35">
      <c r="A21" s="162" t="str">
        <f>VLOOKUP(C21,'Regionwise Demand'!$B$1:$F$80,5,0)</f>
        <v>I301-Gujarat</v>
      </c>
      <c r="B21" s="17">
        <v>9</v>
      </c>
      <c r="C21" s="71" t="s">
        <v>60</v>
      </c>
      <c r="D21" s="158">
        <f>VLOOKUP(C21,'Regionwise Demand'!$B$2:$C$80,2,0)</f>
        <v>2.16</v>
      </c>
      <c r="E21" s="2"/>
      <c r="F21" s="62">
        <v>40.044478244083741</v>
      </c>
      <c r="G21" s="63">
        <v>16.296980650380554</v>
      </c>
      <c r="H21" s="63">
        <v>6.7305269908160232</v>
      </c>
      <c r="I21" s="64">
        <v>41.109246783959925</v>
      </c>
      <c r="J21" s="2"/>
      <c r="K21" s="24">
        <f t="shared" si="0"/>
        <v>123.09447824408375</v>
      </c>
      <c r="L21" s="25">
        <f t="shared" si="1"/>
        <v>95.696980650380567</v>
      </c>
      <c r="M21" s="25">
        <f t="shared" si="2"/>
        <v>82.140526990816014</v>
      </c>
      <c r="N21" s="26">
        <f t="shared" si="3"/>
        <v>112.17924678395991</v>
      </c>
      <c r="P21" s="33">
        <f t="shared" si="15"/>
        <v>82.140526990816014</v>
      </c>
      <c r="Q21" s="34" t="str">
        <f t="shared" si="4"/>
        <v>Jhagadia</v>
      </c>
      <c r="R21" s="35">
        <f t="shared" si="5"/>
        <v>2.16</v>
      </c>
      <c r="S21" s="36">
        <f t="shared" si="6"/>
        <v>177.42353830016259</v>
      </c>
      <c r="U21" s="50" t="str">
        <f t="shared" si="7"/>
        <v>AHEMDABAD</v>
      </c>
      <c r="V21" s="10">
        <f t="shared" si="8"/>
        <v>2.16</v>
      </c>
      <c r="W21" s="13">
        <v>0</v>
      </c>
      <c r="X21" s="13">
        <v>0</v>
      </c>
      <c r="Y21" s="13">
        <v>1</v>
      </c>
      <c r="Z21" s="13">
        <v>0</v>
      </c>
      <c r="AA21" s="11">
        <f t="shared" si="9"/>
        <v>177.42353830016259</v>
      </c>
      <c r="AB21">
        <f t="shared" si="10"/>
        <v>1</v>
      </c>
      <c r="AC21" s="6" t="str">
        <f t="shared" si="11"/>
        <v>Jhagadia</v>
      </c>
      <c r="AD21" s="21">
        <f t="shared" si="12"/>
        <v>-30.038719793143898</v>
      </c>
      <c r="AE21" s="8">
        <f t="shared" si="13"/>
        <v>-64.883634753190819</v>
      </c>
      <c r="AF21" s="7">
        <f t="shared" si="14"/>
        <v>2.16</v>
      </c>
    </row>
    <row r="22" spans="1:32" x14ac:dyDescent="0.35">
      <c r="A22" s="162" t="str">
        <f>VLOOKUP(C22,'Regionwise Demand'!$B$1:$F$80,5,0)</f>
        <v>I401-Andhra Pradesh</v>
      </c>
      <c r="B22" s="17">
        <v>10</v>
      </c>
      <c r="C22" s="71" t="s">
        <v>61</v>
      </c>
      <c r="D22" s="158">
        <f>VLOOKUP(C22,'Regionwise Demand'!$B$2:$C$80,2,0)</f>
        <v>1.44</v>
      </c>
      <c r="E22" s="2"/>
      <c r="F22" s="62">
        <v>20.085075444261893</v>
      </c>
      <c r="G22" s="63">
        <v>28.668420842801897</v>
      </c>
      <c r="H22" s="63">
        <v>28.932276983272676</v>
      </c>
      <c r="I22" s="64">
        <v>6.8658055256548254</v>
      </c>
      <c r="J22" s="2"/>
      <c r="K22" s="24">
        <f t="shared" si="0"/>
        <v>103.13507544426189</v>
      </c>
      <c r="L22" s="25">
        <f t="shared" si="1"/>
        <v>108.0684208428019</v>
      </c>
      <c r="M22" s="25">
        <f t="shared" si="2"/>
        <v>104.34227698327267</v>
      </c>
      <c r="N22" s="26">
        <f t="shared" si="3"/>
        <v>77.935805525654814</v>
      </c>
      <c r="P22" s="33">
        <f t="shared" si="15"/>
        <v>77.935805525654814</v>
      </c>
      <c r="Q22" s="34" t="str">
        <f t="shared" si="4"/>
        <v>Vizag</v>
      </c>
      <c r="R22" s="35">
        <f t="shared" si="5"/>
        <v>1.44</v>
      </c>
      <c r="S22" s="36">
        <f t="shared" si="6"/>
        <v>112.22755995694293</v>
      </c>
      <c r="U22" s="50" t="str">
        <f t="shared" si="7"/>
        <v>VISHAKHAPATNAM</v>
      </c>
      <c r="V22" s="10">
        <f t="shared" si="8"/>
        <v>1.44</v>
      </c>
      <c r="W22" s="13">
        <v>0</v>
      </c>
      <c r="X22" s="13">
        <v>0</v>
      </c>
      <c r="Y22" s="13">
        <v>0</v>
      </c>
      <c r="Z22" s="13">
        <v>1</v>
      </c>
      <c r="AA22" s="11">
        <f t="shared" si="9"/>
        <v>112.22755995694293</v>
      </c>
      <c r="AB22">
        <f t="shared" si="10"/>
        <v>1</v>
      </c>
      <c r="AC22" s="6" t="str">
        <f t="shared" si="11"/>
        <v>Vizag</v>
      </c>
      <c r="AD22" s="21">
        <f t="shared" si="12"/>
        <v>0</v>
      </c>
      <c r="AE22" s="8">
        <f t="shared" si="13"/>
        <v>0</v>
      </c>
      <c r="AF22" s="7">
        <f t="shared" si="14"/>
        <v>1.44</v>
      </c>
    </row>
    <row r="23" spans="1:32" x14ac:dyDescent="0.35">
      <c r="A23" s="162" t="str">
        <f>VLOOKUP(C23,'Regionwise Demand'!$B$1:$F$80,5,0)</f>
        <v>I407-Kerala North</v>
      </c>
      <c r="B23" s="17">
        <v>11</v>
      </c>
      <c r="C23" s="71" t="s">
        <v>62</v>
      </c>
      <c r="D23" s="158">
        <f>VLOOKUP(C23,'Regionwise Demand'!$B$2:$C$80,2,0)</f>
        <v>1.2</v>
      </c>
      <c r="E23" s="2"/>
      <c r="F23" s="62">
        <v>15.051359274442893</v>
      </c>
      <c r="G23" s="63">
        <v>42.460361387427781</v>
      </c>
      <c r="H23" s="63">
        <v>43.915797197680604</v>
      </c>
      <c r="I23" s="64">
        <v>37.252650985960656</v>
      </c>
      <c r="J23" s="2"/>
      <c r="K23" s="24">
        <f t="shared" si="0"/>
        <v>98.101359274442885</v>
      </c>
      <c r="L23" s="25">
        <f t="shared" si="1"/>
        <v>121.86036138742779</v>
      </c>
      <c r="M23" s="25">
        <f t="shared" si="2"/>
        <v>119.3257971976806</v>
      </c>
      <c r="N23" s="26">
        <f t="shared" si="3"/>
        <v>108.32265098596065</v>
      </c>
      <c r="P23" s="33">
        <f t="shared" si="15"/>
        <v>98.101359274442885</v>
      </c>
      <c r="Q23" s="34" t="str">
        <f t="shared" si="4"/>
        <v>Bangalore</v>
      </c>
      <c r="R23" s="35">
        <f t="shared" si="5"/>
        <v>1.2</v>
      </c>
      <c r="S23" s="36">
        <f t="shared" si="6"/>
        <v>117.72163112933146</v>
      </c>
      <c r="U23" s="50" t="str">
        <f t="shared" si="7"/>
        <v>CALICUT</v>
      </c>
      <c r="V23" s="10">
        <f t="shared" si="8"/>
        <v>1.2</v>
      </c>
      <c r="W23" s="13">
        <v>1</v>
      </c>
      <c r="X23" s="13">
        <v>0</v>
      </c>
      <c r="Y23" s="13">
        <v>0</v>
      </c>
      <c r="Z23" s="13">
        <v>0</v>
      </c>
      <c r="AA23" s="11">
        <f t="shared" si="9"/>
        <v>117.72163112933146</v>
      </c>
      <c r="AB23">
        <f t="shared" si="10"/>
        <v>1</v>
      </c>
      <c r="AC23" s="6" t="str">
        <f t="shared" si="11"/>
        <v>Bangalore</v>
      </c>
      <c r="AD23" s="21">
        <f t="shared" si="12"/>
        <v>-10.221291711517765</v>
      </c>
      <c r="AE23" s="8">
        <f t="shared" si="13"/>
        <v>-12.265550053821316</v>
      </c>
      <c r="AF23" s="7">
        <f t="shared" si="14"/>
        <v>1.2</v>
      </c>
    </row>
    <row r="24" spans="1:32" x14ac:dyDescent="0.35">
      <c r="A24" s="162" t="str">
        <f>VLOOKUP(C24,'Regionwise Demand'!$B$1:$F$80,5,0)</f>
        <v>I412-Rest of Tamilnadu</v>
      </c>
      <c r="B24" s="17">
        <v>12</v>
      </c>
      <c r="C24" s="71" t="s">
        <v>63</v>
      </c>
      <c r="D24" s="158">
        <f>VLOOKUP(C24,'Regionwise Demand'!$B$2:$C$80,2,0)</f>
        <v>1.6</v>
      </c>
      <c r="E24" s="2"/>
      <c r="F24" s="62">
        <v>10.97694043591029</v>
      </c>
      <c r="G24" s="63">
        <v>38.38594254889518</v>
      </c>
      <c r="H24" s="63">
        <v>39.841378359147996</v>
      </c>
      <c r="I24" s="64">
        <v>33.178232147428048</v>
      </c>
      <c r="J24" s="2"/>
      <c r="K24" s="24">
        <f t="shared" si="0"/>
        <v>94.026940435910291</v>
      </c>
      <c r="L24" s="25">
        <f t="shared" si="1"/>
        <v>117.78594254889518</v>
      </c>
      <c r="M24" s="25">
        <f t="shared" si="2"/>
        <v>115.25137835914799</v>
      </c>
      <c r="N24" s="26">
        <f t="shared" si="3"/>
        <v>104.24823214742804</v>
      </c>
      <c r="P24" s="33">
        <f t="shared" si="15"/>
        <v>94.026940435910291</v>
      </c>
      <c r="Q24" s="34" t="str">
        <f t="shared" si="4"/>
        <v>Bangalore</v>
      </c>
      <c r="R24" s="35">
        <f t="shared" si="5"/>
        <v>1.6</v>
      </c>
      <c r="S24" s="36">
        <f t="shared" si="6"/>
        <v>150.44310469745648</v>
      </c>
      <c r="U24" s="50" t="str">
        <f t="shared" si="7"/>
        <v>COIMBATORE</v>
      </c>
      <c r="V24" s="10">
        <f t="shared" si="8"/>
        <v>1.6</v>
      </c>
      <c r="W24" s="13">
        <v>1</v>
      </c>
      <c r="X24" s="13">
        <v>0</v>
      </c>
      <c r="Y24" s="13">
        <v>0</v>
      </c>
      <c r="Z24" s="13">
        <v>0</v>
      </c>
      <c r="AA24" s="11">
        <f t="shared" si="9"/>
        <v>150.44310469745648</v>
      </c>
      <c r="AB24">
        <f t="shared" si="10"/>
        <v>1</v>
      </c>
      <c r="AC24" s="6" t="str">
        <f t="shared" si="11"/>
        <v>Bangalore</v>
      </c>
      <c r="AD24" s="21">
        <f t="shared" si="12"/>
        <v>-10.22129171151775</v>
      </c>
      <c r="AE24" s="8">
        <f t="shared" si="13"/>
        <v>-16.354066738428401</v>
      </c>
      <c r="AF24" s="7">
        <f t="shared" si="14"/>
        <v>1.6</v>
      </c>
    </row>
    <row r="25" spans="1:32" x14ac:dyDescent="0.35">
      <c r="A25" s="162" t="str">
        <f>VLOOKUP(C25,'Regionwise Demand'!$B$1:$F$80,5,0)</f>
        <v>I303-Madhya Pradesh</v>
      </c>
      <c r="B25" s="17" t="s">
        <v>329</v>
      </c>
      <c r="C25" s="71" t="s">
        <v>64</v>
      </c>
      <c r="D25" s="158">
        <f>VLOOKUP(C25,'Regionwise Demand'!$B$2:$C$80,2,0)</f>
        <v>1.232</v>
      </c>
      <c r="E25" s="2"/>
      <c r="F25" s="62">
        <v>43.666596050050003</v>
      </c>
      <c r="G25" s="63">
        <v>20.612417836612234</v>
      </c>
      <c r="H25" s="63">
        <v>15.661302348543263</v>
      </c>
      <c r="I25" s="64">
        <v>35.44</v>
      </c>
      <c r="J25" s="2"/>
      <c r="K25" s="24">
        <f t="shared" si="0"/>
        <v>126.71659605005</v>
      </c>
      <c r="L25" s="25">
        <f t="shared" si="1"/>
        <v>100.01241783661224</v>
      </c>
      <c r="M25" s="25">
        <f t="shared" si="2"/>
        <v>91.071302348543256</v>
      </c>
      <c r="N25" s="26">
        <f t="shared" si="3"/>
        <v>106.50999999999999</v>
      </c>
      <c r="P25" s="33">
        <f t="shared" si="15"/>
        <v>91.071302348543256</v>
      </c>
      <c r="Q25" s="34" t="str">
        <f t="shared" si="4"/>
        <v>Jhagadia</v>
      </c>
      <c r="R25" s="35">
        <f t="shared" si="5"/>
        <v>1.232</v>
      </c>
      <c r="S25" s="36">
        <f t="shared" si="6"/>
        <v>112.19984449340529</v>
      </c>
      <c r="U25" s="50" t="str">
        <f t="shared" si="7"/>
        <v>INDORE</v>
      </c>
      <c r="V25" s="10">
        <f t="shared" si="8"/>
        <v>1.232</v>
      </c>
      <c r="W25" s="13">
        <v>0</v>
      </c>
      <c r="X25" s="13">
        <v>0</v>
      </c>
      <c r="Y25" s="13">
        <v>1</v>
      </c>
      <c r="Z25" s="13">
        <v>0</v>
      </c>
      <c r="AA25" s="11">
        <f t="shared" si="9"/>
        <v>112.19984449340529</v>
      </c>
      <c r="AB25">
        <f t="shared" si="10"/>
        <v>1</v>
      </c>
      <c r="AC25" s="6" t="str">
        <f t="shared" si="11"/>
        <v>Jhagadia</v>
      </c>
      <c r="AD25" s="21">
        <f t="shared" si="12"/>
        <v>-15.438697651456735</v>
      </c>
      <c r="AE25" s="8">
        <f t="shared" si="13"/>
        <v>-19.020475506594696</v>
      </c>
      <c r="AF25" s="7">
        <f t="shared" si="14"/>
        <v>1.232</v>
      </c>
    </row>
    <row r="26" spans="1:32" x14ac:dyDescent="0.35">
      <c r="A26" s="162" t="str">
        <f>VLOOKUP(C26,'Regionwise Demand'!$B$1:$F$80,5,0)</f>
        <v>I303-Madhya Pradesh</v>
      </c>
      <c r="B26" s="17" t="s">
        <v>330</v>
      </c>
      <c r="C26" s="71" t="s">
        <v>320</v>
      </c>
      <c r="D26" s="158">
        <f>VLOOKUP(C26,'Regionwise Demand'!$B$2:$C$80,2,0)</f>
        <v>1.232</v>
      </c>
      <c r="E26" s="2"/>
      <c r="F26" s="163">
        <v>43.666596050050003</v>
      </c>
      <c r="G26" s="176">
        <v>20.612417836612234</v>
      </c>
      <c r="H26" s="176">
        <v>15.661302348543263</v>
      </c>
      <c r="I26" s="159">
        <v>32</v>
      </c>
      <c r="J26" s="2"/>
      <c r="K26" s="24">
        <f t="shared" ref="K26" si="16">F26+K$2</f>
        <v>126.71659605005</v>
      </c>
      <c r="L26" s="25">
        <f t="shared" ref="L26" si="17">G26+L$2</f>
        <v>100.01241783661224</v>
      </c>
      <c r="M26" s="25">
        <f t="shared" ref="M26" si="18">H26+M$2</f>
        <v>91.071302348543256</v>
      </c>
      <c r="N26" s="26">
        <f t="shared" ref="N26" si="19">I26+N$2</f>
        <v>103.07</v>
      </c>
      <c r="P26" s="33">
        <f t="shared" ref="P26" si="20">MIN(K26:N26)</f>
        <v>91.071302348543256</v>
      </c>
      <c r="Q26" s="34" t="str">
        <f t="shared" ref="Q26" si="21">IF(P26=K26,$K$4,IF(P26=L26,$L$4,IF(P26=M26,$M$4,IF(P26=N26,$N$4))))</f>
        <v>Jhagadia</v>
      </c>
      <c r="R26" s="35">
        <f t="shared" ref="R26" si="22">D26</f>
        <v>1.232</v>
      </c>
      <c r="S26" s="36">
        <f t="shared" ref="S26" si="23">P26*R26</f>
        <v>112.19984449340529</v>
      </c>
      <c r="U26" s="50" t="str">
        <f t="shared" ref="U26" si="24">C26</f>
        <v>BHOPAL</v>
      </c>
      <c r="V26" s="10">
        <f t="shared" ref="V26" si="25">D26</f>
        <v>1.232</v>
      </c>
      <c r="W26" s="13">
        <v>0</v>
      </c>
      <c r="X26" s="13">
        <v>0</v>
      </c>
      <c r="Y26" s="13">
        <v>1</v>
      </c>
      <c r="Z26" s="13">
        <v>0</v>
      </c>
      <c r="AA26" s="11">
        <f t="shared" ref="AA26" si="26">SUMPRODUCT(W26:Z26,K26:N26)*V26</f>
        <v>112.19984449340529</v>
      </c>
      <c r="AB26">
        <f t="shared" ref="AB26" si="27">SUM(W26:Z26)</f>
        <v>1</v>
      </c>
      <c r="AC26" s="6" t="str">
        <f t="shared" si="11"/>
        <v>Jhagadia</v>
      </c>
      <c r="AD26" s="21">
        <f t="shared" ref="AD26" si="28">IF(AC26=$W$4,K26-N26,IF(AC26=$X$4,L26-N26,IF(AC26=$Y$4,M26-N26,IF(AC26=$Z$4,N26-N26,0))))</f>
        <v>-11.998697651456737</v>
      </c>
      <c r="AE26" s="8">
        <f t="shared" ref="AE26" si="29">AD26*V26</f>
        <v>-14.7823955065947</v>
      </c>
      <c r="AF26" s="7">
        <f t="shared" ref="AF26" si="30">V26</f>
        <v>1.232</v>
      </c>
    </row>
    <row r="27" spans="1:32" x14ac:dyDescent="0.35">
      <c r="A27" s="162" t="str">
        <f>VLOOKUP(C27,'Regionwise Demand'!$B$1:$F$80,5,0)</f>
        <v>I403-Kerala Central</v>
      </c>
      <c r="B27" s="17">
        <v>14</v>
      </c>
      <c r="C27" s="71" t="s">
        <v>65</v>
      </c>
      <c r="D27" s="158">
        <f>VLOOKUP(C27,'Regionwise Demand'!$B$2:$C$80,2,0)</f>
        <v>2.4</v>
      </c>
      <c r="E27" s="2"/>
      <c r="F27" s="62">
        <v>15.057084946064172</v>
      </c>
      <c r="G27" s="63">
        <v>42.466087059049059</v>
      </c>
      <c r="H27" s="63">
        <v>43.921522869301882</v>
      </c>
      <c r="I27" s="64">
        <v>37.258376657581934</v>
      </c>
      <c r="J27" s="2"/>
      <c r="K27" s="24">
        <f t="shared" si="0"/>
        <v>98.107084946064163</v>
      </c>
      <c r="L27" s="25">
        <f t="shared" si="1"/>
        <v>121.86608705904906</v>
      </c>
      <c r="M27" s="25">
        <f t="shared" si="2"/>
        <v>119.33152286930188</v>
      </c>
      <c r="N27" s="26">
        <f t="shared" si="3"/>
        <v>108.32837665758193</v>
      </c>
      <c r="P27" s="33">
        <f t="shared" si="15"/>
        <v>98.107084946064163</v>
      </c>
      <c r="Q27" s="34" t="str">
        <f t="shared" si="4"/>
        <v>Bangalore</v>
      </c>
      <c r="R27" s="35">
        <f t="shared" si="5"/>
        <v>2.4</v>
      </c>
      <c r="S27" s="36">
        <f t="shared" si="6"/>
        <v>235.45700387055399</v>
      </c>
      <c r="U27" s="50" t="str">
        <f t="shared" si="7"/>
        <v>COCHIN</v>
      </c>
      <c r="V27" s="10">
        <f t="shared" si="8"/>
        <v>2.4</v>
      </c>
      <c r="W27" s="13">
        <v>1</v>
      </c>
      <c r="X27" s="13">
        <v>0</v>
      </c>
      <c r="Y27" s="13">
        <v>0</v>
      </c>
      <c r="Z27" s="13">
        <v>0</v>
      </c>
      <c r="AA27" s="11">
        <f t="shared" si="9"/>
        <v>235.45700387055399</v>
      </c>
      <c r="AB27">
        <f t="shared" si="10"/>
        <v>1</v>
      </c>
      <c r="AC27" s="6" t="str">
        <f t="shared" ref="AC27:AC37" si="31">IF(W27:W99=1,$W$4,IF(X27:X99=1,$X$4,IF(Y27:Y99=1,$Y$4,IF(Z27:Z99=1,$Z$4,0))))</f>
        <v>Bangalore</v>
      </c>
      <c r="AD27" s="21">
        <f t="shared" si="12"/>
        <v>-10.221291711517765</v>
      </c>
      <c r="AE27" s="8">
        <f t="shared" si="13"/>
        <v>-24.531100107642633</v>
      </c>
      <c r="AF27" s="7">
        <f t="shared" si="14"/>
        <v>2.4</v>
      </c>
    </row>
    <row r="28" spans="1:32" x14ac:dyDescent="0.35">
      <c r="A28" s="162" t="str">
        <f>VLOOKUP(C28,'Regionwise Demand'!$B$1:$F$80,5,0)</f>
        <v>I101-Uttar Pradesh</v>
      </c>
      <c r="B28" s="17">
        <v>15</v>
      </c>
      <c r="C28" s="71" t="s">
        <v>66</v>
      </c>
      <c r="D28" s="158">
        <f>VLOOKUP(C28,'Regionwise Demand'!$B$2:$C$80,2,0)</f>
        <v>1.6</v>
      </c>
      <c r="E28" s="2"/>
      <c r="F28" s="62">
        <v>65.937411980355122</v>
      </c>
      <c r="G28" s="63">
        <v>53.015763979377944</v>
      </c>
      <c r="H28" s="63">
        <v>35.341184654166213</v>
      </c>
      <c r="I28" s="64">
        <v>58.69650498307545</v>
      </c>
      <c r="J28" s="2"/>
      <c r="K28" s="24">
        <f t="shared" si="0"/>
        <v>148.98741198035512</v>
      </c>
      <c r="L28" s="25">
        <f t="shared" si="1"/>
        <v>132.41576397937794</v>
      </c>
      <c r="M28" s="25">
        <f t="shared" si="2"/>
        <v>110.75118465416621</v>
      </c>
      <c r="N28" s="26">
        <f t="shared" si="3"/>
        <v>129.76650498307544</v>
      </c>
      <c r="P28" s="33">
        <f t="shared" si="15"/>
        <v>110.75118465416621</v>
      </c>
      <c r="Q28" s="34" t="str">
        <f t="shared" si="4"/>
        <v>Jhagadia</v>
      </c>
      <c r="R28" s="35">
        <f t="shared" si="5"/>
        <v>1.6</v>
      </c>
      <c r="S28" s="36">
        <f t="shared" si="6"/>
        <v>177.20189544666596</v>
      </c>
      <c r="U28" s="50" t="str">
        <f t="shared" si="7"/>
        <v>LUCKNOW</v>
      </c>
      <c r="V28" s="10">
        <f t="shared" si="8"/>
        <v>1.6</v>
      </c>
      <c r="W28" s="13">
        <v>0</v>
      </c>
      <c r="X28" s="13">
        <v>0</v>
      </c>
      <c r="Y28" s="13">
        <v>1</v>
      </c>
      <c r="Z28" s="13">
        <v>0</v>
      </c>
      <c r="AA28" s="11">
        <f t="shared" si="9"/>
        <v>177.20189544666596</v>
      </c>
      <c r="AB28">
        <f t="shared" si="10"/>
        <v>1</v>
      </c>
      <c r="AC28" s="6" t="str">
        <f t="shared" si="31"/>
        <v>Jhagadia</v>
      </c>
      <c r="AD28" s="21">
        <f t="shared" si="12"/>
        <v>-19.015320328909226</v>
      </c>
      <c r="AE28" s="8">
        <f t="shared" si="13"/>
        <v>-30.424512526254762</v>
      </c>
      <c r="AF28" s="7">
        <f t="shared" si="14"/>
        <v>1.6</v>
      </c>
    </row>
    <row r="29" spans="1:32" x14ac:dyDescent="0.35">
      <c r="A29" s="162" t="str">
        <f>VLOOKUP(C29,'Regionwise Demand'!$B$1:$F$80,5,0)</f>
        <v>I401-Andhra Pradesh</v>
      </c>
      <c r="B29" s="17">
        <v>16</v>
      </c>
      <c r="C29" s="71" t="s">
        <v>67</v>
      </c>
      <c r="D29" s="158">
        <f>VLOOKUP(C29,'Regionwise Demand'!$B$2:$C$80,2,0)</f>
        <v>0.87999999999999989</v>
      </c>
      <c r="E29" s="2"/>
      <c r="F29" s="62">
        <v>13.355129056638344</v>
      </c>
      <c r="G29" s="63">
        <v>31.929543914204842</v>
      </c>
      <c r="H29" s="63">
        <v>32.193400054675621</v>
      </c>
      <c r="I29" s="64">
        <v>10.126928597057768</v>
      </c>
      <c r="J29" s="2"/>
      <c r="K29" s="24">
        <f t="shared" si="0"/>
        <v>96.405129056638344</v>
      </c>
      <c r="L29" s="25">
        <f t="shared" si="1"/>
        <v>111.32954391420485</v>
      </c>
      <c r="M29" s="25">
        <f t="shared" si="2"/>
        <v>107.60340005467562</v>
      </c>
      <c r="N29" s="26">
        <f t="shared" si="3"/>
        <v>81.196928597057763</v>
      </c>
      <c r="P29" s="33">
        <f t="shared" si="15"/>
        <v>81.196928597057763</v>
      </c>
      <c r="Q29" s="34" t="str">
        <f t="shared" si="4"/>
        <v>Vizag</v>
      </c>
      <c r="R29" s="35">
        <f t="shared" si="5"/>
        <v>0.87999999999999989</v>
      </c>
      <c r="S29" s="36">
        <f t="shared" si="6"/>
        <v>71.453297165410817</v>
      </c>
      <c r="U29" s="124" t="str">
        <f t="shared" si="7"/>
        <v>VIJAYAWADA</v>
      </c>
      <c r="V29" s="10">
        <f t="shared" si="8"/>
        <v>0.87999999999999989</v>
      </c>
      <c r="W29" s="13">
        <v>0</v>
      </c>
      <c r="X29" s="13">
        <v>0</v>
      </c>
      <c r="Y29" s="13">
        <v>0</v>
      </c>
      <c r="Z29" s="13">
        <v>1</v>
      </c>
      <c r="AA29" s="11">
        <f t="shared" si="9"/>
        <v>71.453297165410817</v>
      </c>
      <c r="AB29">
        <f t="shared" si="10"/>
        <v>1</v>
      </c>
      <c r="AC29" s="6" t="str">
        <f t="shared" si="31"/>
        <v>Vizag</v>
      </c>
      <c r="AD29" s="21">
        <f t="shared" si="12"/>
        <v>0</v>
      </c>
      <c r="AE29" s="8">
        <f t="shared" si="13"/>
        <v>0</v>
      </c>
      <c r="AF29" s="7">
        <f t="shared" si="14"/>
        <v>0.87999999999999989</v>
      </c>
    </row>
    <row r="30" spans="1:32" x14ac:dyDescent="0.35">
      <c r="A30" s="162" t="str">
        <f>VLOOKUP(C30,'Regionwise Demand'!$B$1:$F$80,5,0)</f>
        <v>I203-Orissa</v>
      </c>
      <c r="B30" s="17">
        <v>17</v>
      </c>
      <c r="C30" s="71" t="s">
        <v>68</v>
      </c>
      <c r="D30" s="158">
        <f>VLOOKUP(C30,'Regionwise Demand'!$B$2:$C$80,2,0)</f>
        <v>1.544</v>
      </c>
      <c r="E30" s="2"/>
      <c r="F30" s="62">
        <v>29.793244323582549</v>
      </c>
      <c r="G30" s="63">
        <v>38.376589722122553</v>
      </c>
      <c r="H30" s="63">
        <v>38.640445862593332</v>
      </c>
      <c r="I30" s="64">
        <v>16.57397440497548</v>
      </c>
      <c r="J30" s="2"/>
      <c r="K30" s="24">
        <f t="shared" si="0"/>
        <v>112.84324432358255</v>
      </c>
      <c r="L30" s="25">
        <f t="shared" si="1"/>
        <v>117.77658972212257</v>
      </c>
      <c r="M30" s="25">
        <f t="shared" si="2"/>
        <v>114.05044586259334</v>
      </c>
      <c r="N30" s="26">
        <f t="shared" si="3"/>
        <v>87.643974404975467</v>
      </c>
      <c r="P30" s="33">
        <f t="shared" si="15"/>
        <v>87.643974404975467</v>
      </c>
      <c r="Q30" s="34" t="str">
        <f t="shared" si="4"/>
        <v>Vizag</v>
      </c>
      <c r="R30" s="35">
        <f t="shared" si="5"/>
        <v>1.544</v>
      </c>
      <c r="S30" s="36">
        <f t="shared" si="6"/>
        <v>135.32229648128214</v>
      </c>
      <c r="U30" s="50" t="str">
        <f t="shared" si="7"/>
        <v>BHUBANESWAR</v>
      </c>
      <c r="V30" s="10">
        <f t="shared" si="8"/>
        <v>1.544</v>
      </c>
      <c r="W30" s="13">
        <v>0</v>
      </c>
      <c r="X30" s="13">
        <v>0</v>
      </c>
      <c r="Y30" s="13">
        <v>0</v>
      </c>
      <c r="Z30" s="13">
        <v>1</v>
      </c>
      <c r="AA30" s="11">
        <f t="shared" si="9"/>
        <v>135.32229648128214</v>
      </c>
      <c r="AB30">
        <f t="shared" si="10"/>
        <v>1</v>
      </c>
      <c r="AC30" s="6" t="str">
        <f t="shared" si="31"/>
        <v>Vizag</v>
      </c>
      <c r="AD30" s="21">
        <f t="shared" si="12"/>
        <v>0</v>
      </c>
      <c r="AE30" s="8">
        <f t="shared" si="13"/>
        <v>0</v>
      </c>
      <c r="AF30" s="7">
        <f t="shared" si="14"/>
        <v>1.544</v>
      </c>
    </row>
    <row r="31" spans="1:32" x14ac:dyDescent="0.35">
      <c r="A31" s="162" t="str">
        <f>VLOOKUP(C31,'Regionwise Demand'!$B$1:$F$80,5,0)</f>
        <v>I201-West Bengal</v>
      </c>
      <c r="B31" s="17">
        <v>18</v>
      </c>
      <c r="C31" s="71" t="s">
        <v>69</v>
      </c>
      <c r="D31" s="158">
        <f>VLOOKUP(C31,'Regionwise Demand'!$B$2:$C$80,2,0)</f>
        <v>0.8</v>
      </c>
      <c r="F31" s="62">
        <v>61.911750022400433</v>
      </c>
      <c r="G31" s="63">
        <v>62.702711500741515</v>
      </c>
      <c r="H31" s="63">
        <v>56.362997485038477</v>
      </c>
      <c r="I31" s="64">
        <v>42.978966902252935</v>
      </c>
      <c r="K31" s="24">
        <f t="shared" si="0"/>
        <v>144.96175002240042</v>
      </c>
      <c r="L31" s="25">
        <f t="shared" si="1"/>
        <v>142.10271150074152</v>
      </c>
      <c r="M31" s="25">
        <f t="shared" si="2"/>
        <v>131.77299748503847</v>
      </c>
      <c r="N31" s="26">
        <f t="shared" si="3"/>
        <v>114.04896690225293</v>
      </c>
      <c r="P31" s="33">
        <f t="shared" si="15"/>
        <v>114.04896690225293</v>
      </c>
      <c r="Q31" s="34" t="str">
        <f t="shared" si="4"/>
        <v>Vizag</v>
      </c>
      <c r="R31" s="35">
        <f t="shared" si="5"/>
        <v>0.8</v>
      </c>
      <c r="S31" s="36">
        <f t="shared" si="6"/>
        <v>91.239173521802343</v>
      </c>
      <c r="U31" s="50" t="str">
        <f t="shared" si="7"/>
        <v>SILIGURI</v>
      </c>
      <c r="V31" s="10">
        <f t="shared" si="8"/>
        <v>0.8</v>
      </c>
      <c r="W31" s="13">
        <v>0</v>
      </c>
      <c r="X31" s="13">
        <v>0</v>
      </c>
      <c r="Y31" s="13">
        <v>0</v>
      </c>
      <c r="Z31" s="13">
        <v>1</v>
      </c>
      <c r="AA31" s="11">
        <f t="shared" si="9"/>
        <v>91.239173521802343</v>
      </c>
      <c r="AB31">
        <f t="shared" si="10"/>
        <v>1</v>
      </c>
      <c r="AC31" s="6" t="str">
        <f t="shared" si="31"/>
        <v>Vizag</v>
      </c>
      <c r="AD31" s="21">
        <f t="shared" si="12"/>
        <v>0</v>
      </c>
      <c r="AE31" s="8">
        <f t="shared" si="13"/>
        <v>0</v>
      </c>
      <c r="AF31" s="7">
        <f t="shared" si="14"/>
        <v>0.8</v>
      </c>
    </row>
    <row r="32" spans="1:32" x14ac:dyDescent="0.35">
      <c r="A32" s="162" t="str">
        <f>VLOOKUP(C32,'Regionwise Demand'!$B$1:$F$80,5,0)</f>
        <v>I201-West Bengal</v>
      </c>
      <c r="B32" s="17">
        <v>19</v>
      </c>
      <c r="C32" s="71" t="s">
        <v>70</v>
      </c>
      <c r="D32" s="158">
        <f>VLOOKUP(C32,'Regionwise Demand'!$B$2:$C$80,2,0)</f>
        <v>1.1200000000000001</v>
      </c>
      <c r="E32" s="2"/>
      <c r="F32" s="62">
        <v>47.29454230990067</v>
      </c>
      <c r="G32" s="63">
        <v>48.085503788241752</v>
      </c>
      <c r="H32" s="63">
        <v>41.745789772538714</v>
      </c>
      <c r="I32" s="64">
        <v>22.56</v>
      </c>
      <c r="J32" s="2"/>
      <c r="K32" s="24">
        <f t="shared" si="0"/>
        <v>130.34454230990067</v>
      </c>
      <c r="L32" s="25">
        <f t="shared" si="1"/>
        <v>127.48550378824176</v>
      </c>
      <c r="M32" s="25">
        <f t="shared" si="2"/>
        <v>117.15578977253871</v>
      </c>
      <c r="N32" s="26">
        <f t="shared" si="3"/>
        <v>93.63</v>
      </c>
      <c r="P32" s="33">
        <f t="shared" si="15"/>
        <v>93.63</v>
      </c>
      <c r="Q32" s="34" t="str">
        <f t="shared" si="4"/>
        <v>Vizag</v>
      </c>
      <c r="R32" s="35">
        <f t="shared" si="5"/>
        <v>1.1200000000000001</v>
      </c>
      <c r="S32" s="36">
        <f t="shared" si="6"/>
        <v>104.8656</v>
      </c>
      <c r="U32" s="125" t="str">
        <f t="shared" si="7"/>
        <v>CALCUTTA</v>
      </c>
      <c r="V32" s="10">
        <f t="shared" si="8"/>
        <v>1.1200000000000001</v>
      </c>
      <c r="W32" s="13">
        <v>0</v>
      </c>
      <c r="X32" s="13">
        <v>0</v>
      </c>
      <c r="Y32" s="13">
        <v>0</v>
      </c>
      <c r="Z32" s="13">
        <v>1</v>
      </c>
      <c r="AA32" s="11">
        <f t="shared" si="9"/>
        <v>104.8656</v>
      </c>
      <c r="AB32">
        <f t="shared" si="10"/>
        <v>1</v>
      </c>
      <c r="AC32" s="6" t="str">
        <f t="shared" si="31"/>
        <v>Vizag</v>
      </c>
      <c r="AD32" s="21">
        <f t="shared" si="12"/>
        <v>0</v>
      </c>
      <c r="AE32" s="8">
        <f t="shared" si="13"/>
        <v>0</v>
      </c>
      <c r="AF32" s="7">
        <f t="shared" si="14"/>
        <v>1.1200000000000001</v>
      </c>
    </row>
    <row r="33" spans="1:32" x14ac:dyDescent="0.35">
      <c r="A33" s="162" t="str">
        <f>VLOOKUP(C33,'Regionwise Demand'!$B$1:$F$80,5,0)</f>
        <v>I202-North-East(7 States)</v>
      </c>
      <c r="B33" s="17">
        <v>20</v>
      </c>
      <c r="C33" s="71" t="s">
        <v>71</v>
      </c>
      <c r="D33" s="158">
        <f>VLOOKUP(C33,'Regionwise Demand'!$B$2:$C$80,2,0)</f>
        <v>1.7680000000000002</v>
      </c>
      <c r="E33" s="2"/>
      <c r="F33" s="62">
        <v>72.679019639510713</v>
      </c>
      <c r="G33" s="63">
        <v>86.85204498260569</v>
      </c>
      <c r="H33" s="63">
        <v>59.254391923667789</v>
      </c>
      <c r="I33" s="64">
        <v>48.54</v>
      </c>
      <c r="J33" s="2"/>
      <c r="K33" s="24">
        <f t="shared" si="0"/>
        <v>155.72901963951071</v>
      </c>
      <c r="L33" s="25">
        <f t="shared" si="1"/>
        <v>166.2520449826057</v>
      </c>
      <c r="M33" s="25">
        <f t="shared" si="2"/>
        <v>134.66439192366778</v>
      </c>
      <c r="N33" s="26">
        <f t="shared" si="3"/>
        <v>119.60999999999999</v>
      </c>
      <c r="P33" s="33">
        <f t="shared" si="15"/>
        <v>119.60999999999999</v>
      </c>
      <c r="Q33" s="34" t="str">
        <f t="shared" si="4"/>
        <v>Vizag</v>
      </c>
      <c r="R33" s="35">
        <f t="shared" si="5"/>
        <v>1.7680000000000002</v>
      </c>
      <c r="S33" s="36">
        <f t="shared" si="6"/>
        <v>211.47048000000001</v>
      </c>
      <c r="U33" s="50" t="str">
        <f t="shared" si="7"/>
        <v>GUWAHATI</v>
      </c>
      <c r="V33" s="10">
        <f t="shared" si="8"/>
        <v>1.7680000000000002</v>
      </c>
      <c r="W33" s="13">
        <v>0</v>
      </c>
      <c r="X33" s="13">
        <v>0</v>
      </c>
      <c r="Y33" s="13">
        <v>0</v>
      </c>
      <c r="Z33" s="13">
        <v>1</v>
      </c>
      <c r="AA33" s="11">
        <f t="shared" si="9"/>
        <v>211.47048000000001</v>
      </c>
      <c r="AB33">
        <f t="shared" si="10"/>
        <v>1</v>
      </c>
      <c r="AC33" s="6" t="str">
        <f t="shared" si="31"/>
        <v>Vizag</v>
      </c>
      <c r="AD33" s="21">
        <f t="shared" si="12"/>
        <v>0</v>
      </c>
      <c r="AE33" s="8">
        <f t="shared" si="13"/>
        <v>0</v>
      </c>
      <c r="AF33" s="7">
        <f t="shared" si="14"/>
        <v>1.7680000000000002</v>
      </c>
    </row>
    <row r="34" spans="1:32" x14ac:dyDescent="0.35">
      <c r="A34" s="162" t="str">
        <f>VLOOKUP(C34,'Regionwise Demand'!$B$1:$F$80,5,0)</f>
        <v>I401-Andhra Pradesh</v>
      </c>
      <c r="B34" s="17">
        <v>21</v>
      </c>
      <c r="C34" s="71" t="s">
        <v>72</v>
      </c>
      <c r="D34" s="158">
        <f>VLOOKUP(C34,'Regionwise Demand'!$B$2:$C$80,2,0)</f>
        <v>0.82400000000000007</v>
      </c>
      <c r="E34" s="2"/>
      <c r="F34" s="62">
        <v>12.413842274651195</v>
      </c>
      <c r="G34" s="63">
        <v>33.084908105091102</v>
      </c>
      <c r="H34" s="63">
        <v>33.348764245561881</v>
      </c>
      <c r="I34" s="64">
        <v>11.282292787944026</v>
      </c>
      <c r="J34" s="2"/>
      <c r="K34" s="24">
        <f t="shared" si="0"/>
        <v>95.463842274651199</v>
      </c>
      <c r="L34" s="25">
        <f t="shared" si="1"/>
        <v>112.48490810509111</v>
      </c>
      <c r="M34" s="25">
        <f t="shared" si="2"/>
        <v>108.75876424556188</v>
      </c>
      <c r="N34" s="26">
        <f t="shared" si="3"/>
        <v>82.352292787944023</v>
      </c>
      <c r="P34" s="33">
        <f t="shared" si="15"/>
        <v>82.352292787944023</v>
      </c>
      <c r="Q34" s="34" t="str">
        <f t="shared" si="4"/>
        <v>Vizag</v>
      </c>
      <c r="R34" s="35">
        <f t="shared" si="5"/>
        <v>0.82400000000000007</v>
      </c>
      <c r="S34" s="36">
        <f t="shared" si="6"/>
        <v>67.858289257265881</v>
      </c>
      <c r="U34" s="124" t="str">
        <f t="shared" si="7"/>
        <v>GUNTUR</v>
      </c>
      <c r="V34" s="10">
        <f t="shared" si="8"/>
        <v>0.82400000000000007</v>
      </c>
      <c r="W34" s="13">
        <v>0</v>
      </c>
      <c r="X34" s="13">
        <v>0</v>
      </c>
      <c r="Y34" s="13">
        <v>0</v>
      </c>
      <c r="Z34" s="13">
        <v>1</v>
      </c>
      <c r="AA34" s="11">
        <f t="shared" si="9"/>
        <v>67.858289257265881</v>
      </c>
      <c r="AB34">
        <f t="shared" si="10"/>
        <v>1</v>
      </c>
      <c r="AC34" s="6" t="str">
        <f t="shared" si="31"/>
        <v>Vizag</v>
      </c>
      <c r="AD34" s="21">
        <f t="shared" si="12"/>
        <v>0</v>
      </c>
      <c r="AE34" s="8">
        <f t="shared" si="13"/>
        <v>0</v>
      </c>
      <c r="AF34" s="7">
        <f t="shared" si="14"/>
        <v>0.82400000000000007</v>
      </c>
    </row>
    <row r="35" spans="1:32" x14ac:dyDescent="0.35">
      <c r="A35" s="162" t="str">
        <f>VLOOKUP(C35,'Regionwise Demand'!$B$1:$F$80,5,0)</f>
        <v>I412-Rest of Tamilnadu</v>
      </c>
      <c r="B35" s="17">
        <v>22</v>
      </c>
      <c r="C35" s="71" t="s">
        <v>73</v>
      </c>
      <c r="D35" s="158">
        <f>VLOOKUP(C35,'Regionwise Demand'!$B$2:$C$80,2,0)</f>
        <v>0.96</v>
      </c>
      <c r="E35" s="2"/>
      <c r="F35" s="62">
        <v>10.34315313281486</v>
      </c>
      <c r="G35" s="63">
        <v>37.752155245799749</v>
      </c>
      <c r="H35" s="63">
        <v>39.207591056052571</v>
      </c>
      <c r="I35" s="64">
        <v>30.803553660812668</v>
      </c>
      <c r="J35" s="2"/>
      <c r="K35" s="24">
        <f t="shared" si="0"/>
        <v>93.393153132814859</v>
      </c>
      <c r="L35" s="25">
        <f t="shared" si="1"/>
        <v>117.15215524579975</v>
      </c>
      <c r="M35" s="25">
        <f t="shared" si="2"/>
        <v>114.61759105605256</v>
      </c>
      <c r="N35" s="26">
        <f t="shared" si="3"/>
        <v>101.87355366081266</v>
      </c>
      <c r="P35" s="33">
        <f t="shared" si="15"/>
        <v>93.393153132814859</v>
      </c>
      <c r="Q35" s="34" t="str">
        <f t="shared" si="4"/>
        <v>Bangalore</v>
      </c>
      <c r="R35" s="35">
        <f t="shared" si="5"/>
        <v>0.96</v>
      </c>
      <c r="S35" s="36">
        <f t="shared" si="6"/>
        <v>89.657427007502264</v>
      </c>
      <c r="U35" s="50" t="str">
        <f t="shared" si="7"/>
        <v>TRICHY</v>
      </c>
      <c r="V35" s="10">
        <f t="shared" si="8"/>
        <v>0.96</v>
      </c>
      <c r="W35" s="13">
        <v>1</v>
      </c>
      <c r="X35" s="13">
        <v>0</v>
      </c>
      <c r="Y35" s="13">
        <v>0</v>
      </c>
      <c r="Z35" s="13">
        <v>0</v>
      </c>
      <c r="AA35" s="11">
        <f t="shared" si="9"/>
        <v>89.657427007502264</v>
      </c>
      <c r="AB35">
        <f t="shared" si="10"/>
        <v>1</v>
      </c>
      <c r="AC35" s="6" t="str">
        <f t="shared" si="31"/>
        <v>Bangalore</v>
      </c>
      <c r="AD35" s="21">
        <f t="shared" si="12"/>
        <v>-8.4804005279978014</v>
      </c>
      <c r="AE35" s="8">
        <f t="shared" si="13"/>
        <v>-8.1411845068778899</v>
      </c>
      <c r="AF35" s="7">
        <f t="shared" si="14"/>
        <v>0.96</v>
      </c>
    </row>
    <row r="36" spans="1:32" x14ac:dyDescent="0.35">
      <c r="A36" s="162" t="str">
        <f>VLOOKUP(C36,'Regionwise Demand'!$B$1:$F$80,5,0)</f>
        <v>I408-Kerala South</v>
      </c>
      <c r="B36" s="17">
        <v>23</v>
      </c>
      <c r="C36" s="71" t="s">
        <v>74</v>
      </c>
      <c r="D36" s="158">
        <f>VLOOKUP(C36,'Regionwise Demand'!$B$2:$C$80,2,0)</f>
        <v>1.04</v>
      </c>
      <c r="E36" s="2"/>
      <c r="F36" s="62">
        <v>19.12278893647558</v>
      </c>
      <c r="G36" s="63">
        <v>46.531791049460466</v>
      </c>
      <c r="H36" s="63">
        <v>47.987226859713289</v>
      </c>
      <c r="I36" s="159">
        <v>22.91</v>
      </c>
      <c r="J36" s="2"/>
      <c r="K36" s="24">
        <f t="shared" ref="K36:K66" si="32">F36+K$2</f>
        <v>102.17278893647557</v>
      </c>
      <c r="L36" s="25">
        <f t="shared" ref="L36:L66" si="33">G36+L$2</f>
        <v>125.93179104946047</v>
      </c>
      <c r="M36" s="25">
        <f t="shared" ref="M36:M66" si="34">H36+M$2</f>
        <v>123.39722685971329</v>
      </c>
      <c r="N36" s="26">
        <f t="shared" ref="N36:N66" si="35">I36+N$2</f>
        <v>93.97999999999999</v>
      </c>
      <c r="P36" s="33">
        <f t="shared" ref="P36:P66" si="36">MIN(K36:N36)</f>
        <v>93.97999999999999</v>
      </c>
      <c r="Q36" s="34" t="str">
        <f t="shared" ref="Q36:Q66" si="37">IF(P36=K36,$K$4,IF(P36=L36,$L$4,IF(P36=M36,$M$4,IF(P36=N36,$N$4))))</f>
        <v>Vizag</v>
      </c>
      <c r="R36" s="35">
        <f t="shared" ref="R36:R66" si="38">D36</f>
        <v>1.04</v>
      </c>
      <c r="S36" s="36">
        <f t="shared" ref="S36:S66" si="39">P36*R36</f>
        <v>97.739199999999997</v>
      </c>
      <c r="U36" s="50" t="str">
        <f t="shared" ref="U36:U66" si="40">C36</f>
        <v>TRIVANDRUM</v>
      </c>
      <c r="V36" s="10">
        <f t="shared" ref="V36:V66" si="41">D36</f>
        <v>1.04</v>
      </c>
      <c r="W36" s="13">
        <v>0</v>
      </c>
      <c r="X36" s="13">
        <v>0</v>
      </c>
      <c r="Y36" s="13">
        <v>0</v>
      </c>
      <c r="Z36" s="13">
        <v>1</v>
      </c>
      <c r="AA36" s="11">
        <f t="shared" ref="AA36:AA66" si="42">SUMPRODUCT(W36:Z36,K36:N36)*V36</f>
        <v>97.739199999999997</v>
      </c>
      <c r="AB36">
        <f t="shared" ref="AB36:AB66" si="43">SUM(W36:Z36)</f>
        <v>1</v>
      </c>
      <c r="AC36" s="6" t="str">
        <f t="shared" si="31"/>
        <v>Vizag</v>
      </c>
      <c r="AD36" s="21">
        <f t="shared" ref="AD36:AD66" si="44">IF(AC36=$W$4,K36-N36,IF(AC36=$X$4,L36-N36,IF(AC36=$Y$4,M36-N36,IF(AC36=$Z$4,N36-N36,0))))</f>
        <v>0</v>
      </c>
      <c r="AE36" s="8">
        <f t="shared" ref="AE36:AE66" si="45">AD36*V36</f>
        <v>0</v>
      </c>
      <c r="AF36" s="7">
        <f t="shared" si="14"/>
        <v>1.04</v>
      </c>
    </row>
    <row r="37" spans="1:32" x14ac:dyDescent="0.35">
      <c r="A37" s="162" t="str">
        <f>VLOOKUP(C37,'Regionwise Demand'!$B$1:$F$80,5,0)</f>
        <v>I301-Gujarat</v>
      </c>
      <c r="B37" s="17">
        <v>24</v>
      </c>
      <c r="C37" s="71" t="s">
        <v>75</v>
      </c>
      <c r="D37" s="158">
        <f>VLOOKUP(C37,'Regionwise Demand'!$B$2:$C$80,2,0)</f>
        <v>1.04</v>
      </c>
      <c r="F37" s="62">
        <v>40.942931549323113</v>
      </c>
      <c r="G37" s="63">
        <v>17.195433955619926</v>
      </c>
      <c r="H37" s="63">
        <v>7.6289802960553939</v>
      </c>
      <c r="I37" s="64">
        <v>42.007700089199297</v>
      </c>
      <c r="K37" s="24">
        <f t="shared" si="32"/>
        <v>123.99293154932312</v>
      </c>
      <c r="L37" s="25">
        <f t="shared" si="33"/>
        <v>96.595433955619939</v>
      </c>
      <c r="M37" s="25">
        <f t="shared" si="34"/>
        <v>83.038980296055385</v>
      </c>
      <c r="N37" s="26">
        <f t="shared" si="35"/>
        <v>113.07770008919928</v>
      </c>
      <c r="P37" s="33">
        <f t="shared" si="36"/>
        <v>83.038980296055385</v>
      </c>
      <c r="Q37" s="34" t="str">
        <f t="shared" si="37"/>
        <v>Jhagadia</v>
      </c>
      <c r="R37" s="35">
        <f t="shared" si="38"/>
        <v>1.04</v>
      </c>
      <c r="S37" s="36">
        <f t="shared" si="39"/>
        <v>86.360539507897599</v>
      </c>
      <c r="U37" s="50" t="str">
        <f t="shared" si="40"/>
        <v>VAPI</v>
      </c>
      <c r="V37" s="10">
        <f t="shared" si="41"/>
        <v>1.04</v>
      </c>
      <c r="W37" s="13">
        <v>0</v>
      </c>
      <c r="X37" s="13">
        <v>0</v>
      </c>
      <c r="Y37" s="13">
        <v>1</v>
      </c>
      <c r="Z37" s="13">
        <v>0</v>
      </c>
      <c r="AA37" s="11">
        <f t="shared" si="42"/>
        <v>86.360539507897599</v>
      </c>
      <c r="AB37">
        <f t="shared" si="43"/>
        <v>1</v>
      </c>
      <c r="AC37" s="6" t="str">
        <f t="shared" si="31"/>
        <v>Jhagadia</v>
      </c>
      <c r="AD37" s="21">
        <f t="shared" si="44"/>
        <v>-30.038719793143898</v>
      </c>
      <c r="AE37" s="8">
        <f t="shared" si="45"/>
        <v>-31.240268584869654</v>
      </c>
      <c r="AF37" s="7">
        <f t="shared" si="14"/>
        <v>1.04</v>
      </c>
    </row>
    <row r="38" spans="1:32" x14ac:dyDescent="0.35">
      <c r="A38" s="162" t="str">
        <f>VLOOKUP(C38,'Regionwise Demand'!$B$1:$F$80,5,0)</f>
        <v>I407-Kerala North</v>
      </c>
      <c r="B38" s="17">
        <v>25</v>
      </c>
      <c r="C38" s="71" t="s">
        <v>76</v>
      </c>
      <c r="D38" s="158">
        <f>VLOOKUP(C38,'Regionwise Demand'!$B$2:$C$80,2,0)</f>
        <v>0.64</v>
      </c>
      <c r="F38" s="62">
        <v>15.055734280605089</v>
      </c>
      <c r="G38" s="63">
        <v>42.46473639358998</v>
      </c>
      <c r="H38" s="63">
        <v>43.920172203842796</v>
      </c>
      <c r="I38" s="64">
        <v>37.257025992122848</v>
      </c>
      <c r="K38" s="24">
        <f t="shared" si="32"/>
        <v>98.105734280605091</v>
      </c>
      <c r="L38" s="25">
        <f t="shared" si="33"/>
        <v>121.86473639358999</v>
      </c>
      <c r="M38" s="25">
        <f t="shared" si="34"/>
        <v>119.33017220384279</v>
      </c>
      <c r="N38" s="26">
        <f t="shared" si="35"/>
        <v>108.32702599212284</v>
      </c>
      <c r="P38" s="33">
        <f t="shared" si="36"/>
        <v>98.105734280605091</v>
      </c>
      <c r="Q38" s="34" t="str">
        <f t="shared" si="37"/>
        <v>Bangalore</v>
      </c>
      <c r="R38" s="35">
        <f t="shared" si="38"/>
        <v>0.64</v>
      </c>
      <c r="S38" s="36">
        <f t="shared" si="39"/>
        <v>62.787669939587261</v>
      </c>
      <c r="U38" s="50" t="str">
        <f t="shared" si="40"/>
        <v>KANNUR</v>
      </c>
      <c r="V38" s="10">
        <f t="shared" si="41"/>
        <v>0.64</v>
      </c>
      <c r="W38" s="13">
        <v>1</v>
      </c>
      <c r="X38" s="13">
        <v>0</v>
      </c>
      <c r="Y38" s="13">
        <v>0</v>
      </c>
      <c r="Z38" s="13">
        <v>0</v>
      </c>
      <c r="AA38" s="11">
        <f t="shared" si="42"/>
        <v>62.787669939587261</v>
      </c>
      <c r="AB38">
        <f t="shared" si="43"/>
        <v>1</v>
      </c>
      <c r="AC38" s="6" t="str">
        <f t="shared" ref="AC38:AC69" si="46">IF(W38:W110=1,$W$4,IF(X38:X110=1,$X$4,IF(Y38:Y110=1,$Y$4,IF(Z38:Z110=1,$Z$4,0))))</f>
        <v>Bangalore</v>
      </c>
      <c r="AD38" s="21">
        <f t="shared" si="44"/>
        <v>-10.22129171151775</v>
      </c>
      <c r="AE38" s="8">
        <f t="shared" si="45"/>
        <v>-6.5416266953713604</v>
      </c>
      <c r="AF38" s="7">
        <f t="shared" ref="AF38:AF69" si="47">V38</f>
        <v>0.64</v>
      </c>
    </row>
    <row r="39" spans="1:32" x14ac:dyDescent="0.35">
      <c r="A39" s="162" t="str">
        <f>VLOOKUP(C39,'Regionwise Demand'!$B$1:$F$80,5,0)</f>
        <v>I305-Rest Of Maharashtra</v>
      </c>
      <c r="B39" s="17">
        <v>26</v>
      </c>
      <c r="C39" s="71" t="s">
        <v>77</v>
      </c>
      <c r="D39" s="158">
        <f>VLOOKUP(C39,'Regionwise Demand'!$B$2:$C$80,2,0)</f>
        <v>0.76</v>
      </c>
      <c r="E39" s="2"/>
      <c r="F39" s="62">
        <v>29.243271381566387</v>
      </c>
      <c r="G39" s="63">
        <v>6.1389935414424111</v>
      </c>
      <c r="H39" s="63">
        <v>14.763707704706089</v>
      </c>
      <c r="I39" s="64">
        <v>40.023995335486184</v>
      </c>
      <c r="J39" s="2"/>
      <c r="K39" s="24">
        <f t="shared" si="32"/>
        <v>112.29327138156638</v>
      </c>
      <c r="L39" s="25">
        <f t="shared" si="33"/>
        <v>85.538993541442423</v>
      </c>
      <c r="M39" s="25">
        <f t="shared" si="34"/>
        <v>90.173707704706089</v>
      </c>
      <c r="N39" s="26">
        <f t="shared" si="35"/>
        <v>111.09399533548617</v>
      </c>
      <c r="P39" s="33">
        <f t="shared" si="36"/>
        <v>85.538993541442423</v>
      </c>
      <c r="Q39" s="34" t="str">
        <f t="shared" si="37"/>
        <v>Wada</v>
      </c>
      <c r="R39" s="35">
        <f t="shared" si="38"/>
        <v>0.76</v>
      </c>
      <c r="S39" s="36">
        <f t="shared" si="39"/>
        <v>65.009635091496236</v>
      </c>
      <c r="U39" s="50" t="str">
        <f t="shared" si="40"/>
        <v>NASHIK</v>
      </c>
      <c r="V39" s="10">
        <f t="shared" si="41"/>
        <v>0.76</v>
      </c>
      <c r="W39" s="13">
        <v>0</v>
      </c>
      <c r="X39" s="13">
        <v>1</v>
      </c>
      <c r="Y39" s="13">
        <v>0</v>
      </c>
      <c r="Z39" s="13">
        <v>0</v>
      </c>
      <c r="AA39" s="11">
        <f t="shared" si="42"/>
        <v>65.009635091496236</v>
      </c>
      <c r="AB39">
        <f t="shared" si="43"/>
        <v>1</v>
      </c>
      <c r="AC39" s="6" t="str">
        <f t="shared" si="46"/>
        <v>Wada</v>
      </c>
      <c r="AD39" s="21">
        <f t="shared" si="44"/>
        <v>-25.555001794043747</v>
      </c>
      <c r="AE39" s="8">
        <f t="shared" si="45"/>
        <v>-19.421801363473246</v>
      </c>
      <c r="AF39" s="7">
        <f t="shared" si="47"/>
        <v>0.76</v>
      </c>
    </row>
    <row r="40" spans="1:32" x14ac:dyDescent="0.35">
      <c r="A40" s="162" t="str">
        <f>VLOOKUP(C40,'Regionwise Demand'!$B$1:$F$80,5,0)</f>
        <v>I305-Rest Of Maharashtra</v>
      </c>
      <c r="B40" s="17">
        <v>27</v>
      </c>
      <c r="C40" s="71" t="s">
        <v>78</v>
      </c>
      <c r="D40" s="158">
        <f>VLOOKUP(C40,'Regionwise Demand'!$B$2:$C$80,2,0)</f>
        <v>1.6</v>
      </c>
      <c r="E40" s="2"/>
      <c r="F40" s="62">
        <v>25.858620121300554</v>
      </c>
      <c r="G40" s="63">
        <v>17.991880553807487</v>
      </c>
      <c r="H40" s="63">
        <v>24.968717455294552</v>
      </c>
      <c r="I40" s="159">
        <v>23.607166376305369</v>
      </c>
      <c r="J40" s="2"/>
      <c r="K40" s="24">
        <f t="shared" si="32"/>
        <v>108.90862012130054</v>
      </c>
      <c r="L40" s="25">
        <f t="shared" si="33"/>
        <v>97.391880553807496</v>
      </c>
      <c r="M40" s="25">
        <f t="shared" si="34"/>
        <v>100.37871745529455</v>
      </c>
      <c r="N40" s="26">
        <f t="shared" si="35"/>
        <v>94.677166376305365</v>
      </c>
      <c r="P40" s="33">
        <f t="shared" si="36"/>
        <v>94.677166376305365</v>
      </c>
      <c r="Q40" s="34" t="str">
        <f t="shared" si="37"/>
        <v>Vizag</v>
      </c>
      <c r="R40" s="35">
        <f t="shared" si="38"/>
        <v>1.6</v>
      </c>
      <c r="S40" s="36">
        <f t="shared" si="39"/>
        <v>151.48346620208858</v>
      </c>
      <c r="U40" s="50" t="str">
        <f t="shared" si="40"/>
        <v>NAGPUR</v>
      </c>
      <c r="V40" s="10">
        <f t="shared" si="41"/>
        <v>1.6</v>
      </c>
      <c r="W40" s="13">
        <v>0</v>
      </c>
      <c r="X40" s="13">
        <v>0</v>
      </c>
      <c r="Y40" s="13">
        <v>0</v>
      </c>
      <c r="Z40" s="13">
        <v>1</v>
      </c>
      <c r="AA40" s="11">
        <f t="shared" si="42"/>
        <v>151.48346620208858</v>
      </c>
      <c r="AB40">
        <f t="shared" si="43"/>
        <v>1</v>
      </c>
      <c r="AC40" s="6" t="str">
        <f t="shared" si="46"/>
        <v>Vizag</v>
      </c>
      <c r="AD40" s="21">
        <f t="shared" si="44"/>
        <v>0</v>
      </c>
      <c r="AE40" s="8">
        <f t="shared" si="45"/>
        <v>0</v>
      </c>
      <c r="AF40" s="7">
        <f t="shared" si="47"/>
        <v>1.6</v>
      </c>
    </row>
    <row r="41" spans="1:32" x14ac:dyDescent="0.35">
      <c r="A41" s="162" t="str">
        <f>VLOOKUP(C41,'Regionwise Demand'!$B$1:$F$80,5,0)</f>
        <v>I412-Rest of Tamilnadu</v>
      </c>
      <c r="B41" s="17">
        <v>28</v>
      </c>
      <c r="C41" s="71" t="s">
        <v>79</v>
      </c>
      <c r="D41" s="158">
        <f>VLOOKUP(C41,'Regionwise Demand'!$B$2:$C$80,2,0)</f>
        <v>0.64</v>
      </c>
      <c r="F41" s="62">
        <v>13.04083552193814</v>
      </c>
      <c r="G41" s="63">
        <v>40.449837634923028</v>
      </c>
      <c r="H41" s="63">
        <v>41.905273445175851</v>
      </c>
      <c r="I41" s="159">
        <v>22.91</v>
      </c>
      <c r="K41" s="24">
        <f t="shared" si="32"/>
        <v>96.090835521938132</v>
      </c>
      <c r="L41" s="25">
        <f t="shared" si="33"/>
        <v>119.84983763492303</v>
      </c>
      <c r="M41" s="25">
        <f t="shared" si="34"/>
        <v>117.31527344517585</v>
      </c>
      <c r="N41" s="26">
        <f t="shared" si="35"/>
        <v>93.97999999999999</v>
      </c>
      <c r="P41" s="33">
        <f t="shared" si="36"/>
        <v>93.97999999999999</v>
      </c>
      <c r="Q41" s="34" t="str">
        <f t="shared" si="37"/>
        <v>Vizag</v>
      </c>
      <c r="R41" s="35">
        <f t="shared" si="38"/>
        <v>0.64</v>
      </c>
      <c r="S41" s="36">
        <f t="shared" si="39"/>
        <v>60.147199999999998</v>
      </c>
      <c r="U41" s="50" t="str">
        <f t="shared" si="40"/>
        <v>MADURAI</v>
      </c>
      <c r="V41" s="10">
        <f t="shared" si="41"/>
        <v>0.64</v>
      </c>
      <c r="W41" s="13">
        <v>0</v>
      </c>
      <c r="X41" s="13">
        <v>0</v>
      </c>
      <c r="Y41" s="13">
        <v>0</v>
      </c>
      <c r="Z41" s="13">
        <v>1</v>
      </c>
      <c r="AA41" s="11">
        <f t="shared" si="42"/>
        <v>60.147199999999998</v>
      </c>
      <c r="AB41">
        <f t="shared" si="43"/>
        <v>1</v>
      </c>
      <c r="AC41" s="6" t="str">
        <f t="shared" si="46"/>
        <v>Vizag</v>
      </c>
      <c r="AD41" s="21">
        <f t="shared" si="44"/>
        <v>0</v>
      </c>
      <c r="AE41" s="8">
        <f t="shared" si="45"/>
        <v>0</v>
      </c>
      <c r="AF41" s="7">
        <f t="shared" si="47"/>
        <v>0.64</v>
      </c>
    </row>
    <row r="42" spans="1:32" x14ac:dyDescent="0.35">
      <c r="A42" s="162" t="str">
        <f>VLOOKUP(C42,'Regionwise Demand'!$B$1:$F$80,5,0)</f>
        <v>I402-Rest of Karnataka</v>
      </c>
      <c r="B42" s="17">
        <v>29</v>
      </c>
      <c r="C42" s="71" t="s">
        <v>80</v>
      </c>
      <c r="D42" s="158">
        <f>VLOOKUP(C42,'Regionwise Demand'!$B$2:$C$80,2,0)</f>
        <v>1.04</v>
      </c>
      <c r="E42" s="2"/>
      <c r="F42" s="62">
        <v>11.566810953591522</v>
      </c>
      <c r="G42" s="63">
        <v>38.975813066576414</v>
      </c>
      <c r="H42" s="63">
        <v>40.43124887682923</v>
      </c>
      <c r="I42" s="64">
        <v>33.768102665109282</v>
      </c>
      <c r="J42" s="2"/>
      <c r="K42" s="24">
        <f t="shared" si="32"/>
        <v>94.616810953591525</v>
      </c>
      <c r="L42" s="25">
        <f t="shared" si="33"/>
        <v>118.37581306657643</v>
      </c>
      <c r="M42" s="25">
        <f t="shared" si="34"/>
        <v>115.84124887682923</v>
      </c>
      <c r="N42" s="26">
        <f t="shared" si="35"/>
        <v>104.83810266510928</v>
      </c>
      <c r="P42" s="33">
        <f t="shared" si="36"/>
        <v>94.616810953591525</v>
      </c>
      <c r="Q42" s="34" t="str">
        <f t="shared" si="37"/>
        <v>Bangalore</v>
      </c>
      <c r="R42" s="35">
        <f t="shared" si="38"/>
        <v>1.04</v>
      </c>
      <c r="S42" s="36">
        <f t="shared" si="39"/>
        <v>98.401483391735184</v>
      </c>
      <c r="U42" s="50" t="str">
        <f t="shared" si="40"/>
        <v>MANGALORE</v>
      </c>
      <c r="V42" s="10">
        <f t="shared" si="41"/>
        <v>1.04</v>
      </c>
      <c r="W42" s="13">
        <v>1</v>
      </c>
      <c r="X42" s="13">
        <v>0</v>
      </c>
      <c r="Y42" s="13">
        <v>0</v>
      </c>
      <c r="Z42" s="13">
        <v>0</v>
      </c>
      <c r="AA42" s="11">
        <f t="shared" si="42"/>
        <v>98.401483391735184</v>
      </c>
      <c r="AB42">
        <f t="shared" si="43"/>
        <v>1</v>
      </c>
      <c r="AC42" s="6" t="str">
        <f t="shared" si="46"/>
        <v>Bangalore</v>
      </c>
      <c r="AD42" s="21">
        <f t="shared" si="44"/>
        <v>-10.22129171151775</v>
      </c>
      <c r="AE42" s="8">
        <f t="shared" si="45"/>
        <v>-10.630143379978461</v>
      </c>
      <c r="AF42" s="7">
        <f t="shared" si="47"/>
        <v>1.04</v>
      </c>
    </row>
    <row r="43" spans="1:32" x14ac:dyDescent="0.35">
      <c r="A43" s="162" t="str">
        <f>VLOOKUP(C43,'Regionwise Demand'!$B$1:$F$80,5,0)</f>
        <v>I402-Rest of Karnataka</v>
      </c>
      <c r="B43" s="17">
        <v>30</v>
      </c>
      <c r="C43" s="71" t="s">
        <v>81</v>
      </c>
      <c r="D43" s="158">
        <f>VLOOKUP(C43,'Regionwise Demand'!$B$2:$C$80,2,0)</f>
        <v>0.8</v>
      </c>
      <c r="F43" s="62">
        <v>5.2905205780638065</v>
      </c>
      <c r="G43" s="63">
        <v>32.699522691048699</v>
      </c>
      <c r="H43" s="63">
        <v>34.154958501301515</v>
      </c>
      <c r="I43" s="64">
        <v>27.491812289581567</v>
      </c>
      <c r="K43" s="24">
        <f t="shared" si="32"/>
        <v>88.340520578063803</v>
      </c>
      <c r="L43" s="25">
        <f t="shared" si="33"/>
        <v>112.0995226910487</v>
      </c>
      <c r="M43" s="25">
        <f t="shared" si="34"/>
        <v>109.5649585013015</v>
      </c>
      <c r="N43" s="26">
        <f t="shared" si="35"/>
        <v>98.561812289581553</v>
      </c>
      <c r="P43" s="33">
        <f t="shared" si="36"/>
        <v>88.340520578063803</v>
      </c>
      <c r="Q43" s="34" t="str">
        <f t="shared" si="37"/>
        <v>Bangalore</v>
      </c>
      <c r="R43" s="35">
        <f t="shared" si="38"/>
        <v>0.8</v>
      </c>
      <c r="S43" s="36">
        <f t="shared" si="39"/>
        <v>70.672416462451039</v>
      </c>
      <c r="U43" s="50" t="str">
        <f t="shared" si="40"/>
        <v>MYSORE</v>
      </c>
      <c r="V43" s="10">
        <f t="shared" si="41"/>
        <v>0.8</v>
      </c>
      <c r="W43" s="13">
        <v>1</v>
      </c>
      <c r="X43" s="13">
        <v>0</v>
      </c>
      <c r="Y43" s="13">
        <v>0</v>
      </c>
      <c r="Z43" s="13">
        <v>0</v>
      </c>
      <c r="AA43" s="11">
        <f t="shared" si="42"/>
        <v>70.672416462451039</v>
      </c>
      <c r="AB43">
        <f t="shared" si="43"/>
        <v>1</v>
      </c>
      <c r="AC43" s="6" t="str">
        <f t="shared" si="46"/>
        <v>Bangalore</v>
      </c>
      <c r="AD43" s="21">
        <f t="shared" si="44"/>
        <v>-10.22129171151775</v>
      </c>
      <c r="AE43" s="8">
        <f t="shared" si="45"/>
        <v>-8.1770333692142003</v>
      </c>
      <c r="AF43" s="7">
        <f t="shared" si="47"/>
        <v>0.8</v>
      </c>
    </row>
    <row r="44" spans="1:32" x14ac:dyDescent="0.35">
      <c r="A44" s="162" t="str">
        <f>VLOOKUP(C44,'Regionwise Demand'!$B$1:$F$80,5,0)</f>
        <v>I204-Bihar</v>
      </c>
      <c r="B44" s="17">
        <v>31</v>
      </c>
      <c r="C44" s="71" t="s">
        <v>82</v>
      </c>
      <c r="D44" s="158">
        <f>VLOOKUP(C44,'Regionwise Demand'!$B$2:$C$80,2,0)</f>
        <v>1.512</v>
      </c>
      <c r="F44" s="62">
        <v>85.341411753739067</v>
      </c>
      <c r="G44" s="63">
        <v>72.419763752761881</v>
      </c>
      <c r="H44" s="63">
        <v>54.745184427550157</v>
      </c>
      <c r="I44" s="64">
        <v>38.694034981493019</v>
      </c>
      <c r="K44" s="24">
        <f t="shared" si="32"/>
        <v>168.39141175373908</v>
      </c>
      <c r="L44" s="25">
        <f t="shared" si="33"/>
        <v>151.8197637527619</v>
      </c>
      <c r="M44" s="25">
        <f t="shared" si="34"/>
        <v>130.15518442755015</v>
      </c>
      <c r="N44" s="26">
        <f t="shared" si="35"/>
        <v>109.76403498149301</v>
      </c>
      <c r="P44" s="33">
        <f t="shared" si="36"/>
        <v>109.76403498149301</v>
      </c>
      <c r="Q44" s="34" t="str">
        <f t="shared" si="37"/>
        <v>Vizag</v>
      </c>
      <c r="R44" s="35">
        <f t="shared" si="38"/>
        <v>1.512</v>
      </c>
      <c r="S44" s="36">
        <f t="shared" si="39"/>
        <v>165.96322089201743</v>
      </c>
      <c r="U44" s="50" t="str">
        <f t="shared" si="40"/>
        <v>PATNA</v>
      </c>
      <c r="V44" s="10">
        <f t="shared" si="41"/>
        <v>1.512</v>
      </c>
      <c r="W44" s="13">
        <v>0</v>
      </c>
      <c r="X44" s="13">
        <v>0</v>
      </c>
      <c r="Y44" s="13">
        <v>0</v>
      </c>
      <c r="Z44" s="13">
        <v>1</v>
      </c>
      <c r="AA44" s="11">
        <f t="shared" si="42"/>
        <v>165.96322089201743</v>
      </c>
      <c r="AB44">
        <f t="shared" si="43"/>
        <v>1</v>
      </c>
      <c r="AC44" s="6" t="str">
        <f t="shared" si="46"/>
        <v>Vizag</v>
      </c>
      <c r="AD44" s="21">
        <f t="shared" si="44"/>
        <v>0</v>
      </c>
      <c r="AE44" s="8">
        <f t="shared" si="45"/>
        <v>0</v>
      </c>
      <c r="AF44" s="7">
        <f t="shared" si="47"/>
        <v>1.512</v>
      </c>
    </row>
    <row r="45" spans="1:32" x14ac:dyDescent="0.35">
      <c r="A45" s="162" t="str">
        <f>VLOOKUP(C45,'Regionwise Demand'!$B$1:$F$80,5,0)</f>
        <v>I301-Gujarat</v>
      </c>
      <c r="B45" s="17">
        <v>32</v>
      </c>
      <c r="C45" s="71" t="s">
        <v>83</v>
      </c>
      <c r="D45" s="158">
        <f>VLOOKUP(C45,'Regionwise Demand'!$B$2:$C$80,2,0)</f>
        <v>0.8</v>
      </c>
      <c r="F45" s="62">
        <v>38.368287876953673</v>
      </c>
      <c r="G45" s="63">
        <v>14.620790283250489</v>
      </c>
      <c r="H45" s="63">
        <v>5.0543366236859582</v>
      </c>
      <c r="I45" s="64">
        <v>39.433056416829857</v>
      </c>
      <c r="K45" s="24">
        <f t="shared" si="32"/>
        <v>121.41828787695367</v>
      </c>
      <c r="L45" s="25">
        <f t="shared" si="33"/>
        <v>94.020790283250491</v>
      </c>
      <c r="M45" s="25">
        <f t="shared" si="34"/>
        <v>80.464336623685952</v>
      </c>
      <c r="N45" s="26">
        <f t="shared" si="35"/>
        <v>110.50305641682985</v>
      </c>
      <c r="P45" s="33">
        <f t="shared" si="36"/>
        <v>80.464336623685952</v>
      </c>
      <c r="Q45" s="34" t="str">
        <f t="shared" si="37"/>
        <v>Jhagadia</v>
      </c>
      <c r="R45" s="35">
        <f t="shared" si="38"/>
        <v>0.8</v>
      </c>
      <c r="S45" s="36">
        <f t="shared" si="39"/>
        <v>64.371469298948767</v>
      </c>
      <c r="U45" s="50" t="str">
        <f t="shared" si="40"/>
        <v>VADODARA</v>
      </c>
      <c r="V45" s="10">
        <f t="shared" si="41"/>
        <v>0.8</v>
      </c>
      <c r="W45" s="13">
        <v>0</v>
      </c>
      <c r="X45" s="13">
        <v>0</v>
      </c>
      <c r="Y45" s="13">
        <v>1</v>
      </c>
      <c r="Z45" s="13">
        <v>0</v>
      </c>
      <c r="AA45" s="11">
        <f t="shared" si="42"/>
        <v>64.371469298948767</v>
      </c>
      <c r="AB45">
        <f t="shared" si="43"/>
        <v>1</v>
      </c>
      <c r="AC45" s="6" t="str">
        <f t="shared" si="46"/>
        <v>Jhagadia</v>
      </c>
      <c r="AD45" s="21">
        <f t="shared" si="44"/>
        <v>-30.038719793143898</v>
      </c>
      <c r="AE45" s="8">
        <f t="shared" si="45"/>
        <v>-24.030975834515118</v>
      </c>
      <c r="AF45" s="7">
        <f t="shared" si="47"/>
        <v>0.8</v>
      </c>
    </row>
    <row r="46" spans="1:32" x14ac:dyDescent="0.35">
      <c r="A46" s="162" t="str">
        <f>VLOOKUP(C46,'Regionwise Demand'!$B$1:$F$80,5,0)</f>
        <v>I401-Andhra Pradesh</v>
      </c>
      <c r="B46" s="17">
        <v>33</v>
      </c>
      <c r="C46" s="71" t="s">
        <v>84</v>
      </c>
      <c r="D46" s="158">
        <f>VLOOKUP(C46,'Regionwise Demand'!$B$2:$C$80,2,0)</f>
        <v>0.8</v>
      </c>
      <c r="F46" s="62">
        <v>19.143202462561138</v>
      </c>
      <c r="G46" s="63">
        <v>27.726547861101146</v>
      </c>
      <c r="H46" s="63">
        <v>27.990404001571925</v>
      </c>
      <c r="I46" s="64">
        <v>5.9239325439540726</v>
      </c>
      <c r="K46" s="24">
        <f t="shared" si="32"/>
        <v>102.19320246256113</v>
      </c>
      <c r="L46" s="25">
        <f t="shared" si="33"/>
        <v>107.12654786110116</v>
      </c>
      <c r="M46" s="25">
        <f t="shared" si="34"/>
        <v>103.40040400157193</v>
      </c>
      <c r="N46" s="26">
        <f t="shared" si="35"/>
        <v>76.99393254395406</v>
      </c>
      <c r="P46" s="33">
        <f t="shared" si="36"/>
        <v>76.99393254395406</v>
      </c>
      <c r="Q46" s="34" t="str">
        <f t="shared" si="37"/>
        <v>Vizag</v>
      </c>
      <c r="R46" s="35">
        <f t="shared" si="38"/>
        <v>0.8</v>
      </c>
      <c r="S46" s="36">
        <f t="shared" si="39"/>
        <v>61.595146035163253</v>
      </c>
      <c r="U46" s="124" t="str">
        <f t="shared" si="40"/>
        <v>GAJUWAKA</v>
      </c>
      <c r="V46" s="10">
        <f t="shared" si="41"/>
        <v>0.8</v>
      </c>
      <c r="W46" s="13">
        <v>0</v>
      </c>
      <c r="X46" s="13">
        <v>0</v>
      </c>
      <c r="Y46" s="13">
        <v>0</v>
      </c>
      <c r="Z46" s="13">
        <v>1</v>
      </c>
      <c r="AA46" s="11">
        <f t="shared" si="42"/>
        <v>61.595146035163253</v>
      </c>
      <c r="AB46">
        <f t="shared" si="43"/>
        <v>1</v>
      </c>
      <c r="AC46" s="6" t="str">
        <f t="shared" si="46"/>
        <v>Vizag</v>
      </c>
      <c r="AD46" s="21">
        <f t="shared" si="44"/>
        <v>0</v>
      </c>
      <c r="AE46" s="8">
        <f t="shared" si="45"/>
        <v>0</v>
      </c>
      <c r="AF46" s="7">
        <f t="shared" si="47"/>
        <v>0.8</v>
      </c>
    </row>
    <row r="47" spans="1:32" x14ac:dyDescent="0.35">
      <c r="A47" s="162" t="str">
        <f>VLOOKUP(C47,'Regionwise Demand'!$B$1:$F$80,5,0)</f>
        <v>I306-Goa</v>
      </c>
      <c r="B47" s="17">
        <v>34</v>
      </c>
      <c r="C47" s="71" t="s">
        <v>85</v>
      </c>
      <c r="D47" s="158">
        <f>VLOOKUP(C47,'Regionwise Demand'!$B$2:$C$80,2,0)</f>
        <v>0.2</v>
      </c>
      <c r="E47" s="2"/>
      <c r="F47" s="62">
        <v>17.70043667788898</v>
      </c>
      <c r="G47" s="63">
        <v>24.278279092137506</v>
      </c>
      <c r="H47" s="63">
        <v>32.85289362871498</v>
      </c>
      <c r="I47" s="64">
        <v>58.113181259495072</v>
      </c>
      <c r="J47" s="2"/>
      <c r="K47" s="24">
        <f t="shared" si="32"/>
        <v>100.75043667788898</v>
      </c>
      <c r="L47" s="25">
        <f t="shared" si="33"/>
        <v>103.67827909213752</v>
      </c>
      <c r="M47" s="25">
        <f t="shared" si="34"/>
        <v>108.26289362871498</v>
      </c>
      <c r="N47" s="26">
        <f t="shared" si="35"/>
        <v>129.18318125949506</v>
      </c>
      <c r="P47" s="33">
        <f t="shared" si="36"/>
        <v>100.75043667788898</v>
      </c>
      <c r="Q47" s="34" t="str">
        <f t="shared" si="37"/>
        <v>Bangalore</v>
      </c>
      <c r="R47" s="35">
        <f t="shared" si="38"/>
        <v>0.2</v>
      </c>
      <c r="S47" s="36">
        <f t="shared" si="39"/>
        <v>20.150087335577798</v>
      </c>
      <c r="U47" s="50" t="str">
        <f t="shared" si="40"/>
        <v>GOA</v>
      </c>
      <c r="V47" s="10">
        <f t="shared" si="41"/>
        <v>0.2</v>
      </c>
      <c r="W47" s="13">
        <v>1</v>
      </c>
      <c r="X47" s="13">
        <v>0</v>
      </c>
      <c r="Y47" s="13">
        <v>0</v>
      </c>
      <c r="Z47" s="13">
        <v>0</v>
      </c>
      <c r="AA47" s="11">
        <f t="shared" si="42"/>
        <v>20.150087335577798</v>
      </c>
      <c r="AB47">
        <f t="shared" si="43"/>
        <v>1</v>
      </c>
      <c r="AC47" s="6" t="str">
        <f t="shared" si="46"/>
        <v>Bangalore</v>
      </c>
      <c r="AD47" s="21">
        <f t="shared" si="44"/>
        <v>-28.432744581606073</v>
      </c>
      <c r="AE47" s="8">
        <f t="shared" si="45"/>
        <v>-5.6865489163212146</v>
      </c>
      <c r="AF47" s="7">
        <f t="shared" si="47"/>
        <v>0.2</v>
      </c>
    </row>
    <row r="48" spans="1:32" x14ac:dyDescent="0.35">
      <c r="A48" s="162" t="str">
        <f>VLOOKUP(C48,'Regionwise Demand'!$B$1:$F$80,5,0)</f>
        <v>I401-Andhra Pradesh</v>
      </c>
      <c r="B48" s="17">
        <v>35</v>
      </c>
      <c r="C48" s="71" t="s">
        <v>86</v>
      </c>
      <c r="D48" s="158">
        <f>VLOOKUP(C48,'Regionwise Demand'!$B$2:$C$80,2,0)</f>
        <v>0.48</v>
      </c>
      <c r="F48" s="62">
        <v>20.92199686514456</v>
      </c>
      <c r="G48" s="63">
        <v>29.505342263684568</v>
      </c>
      <c r="H48" s="63">
        <v>29.769198404155347</v>
      </c>
      <c r="I48" s="64">
        <v>7.7027269465374948</v>
      </c>
      <c r="K48" s="24">
        <f t="shared" si="32"/>
        <v>103.97199686514456</v>
      </c>
      <c r="L48" s="25">
        <f t="shared" si="33"/>
        <v>108.90534226368457</v>
      </c>
      <c r="M48" s="25">
        <f t="shared" si="34"/>
        <v>105.17919840415534</v>
      </c>
      <c r="N48" s="26">
        <f t="shared" si="35"/>
        <v>78.772726946537489</v>
      </c>
      <c r="P48" s="33">
        <f t="shared" si="36"/>
        <v>78.772726946537489</v>
      </c>
      <c r="Q48" s="34" t="str">
        <f t="shared" si="37"/>
        <v>Vizag</v>
      </c>
      <c r="R48" s="35">
        <f t="shared" si="38"/>
        <v>0.48</v>
      </c>
      <c r="S48" s="36">
        <f t="shared" si="39"/>
        <v>37.810908934337995</v>
      </c>
      <c r="U48" s="124" t="str">
        <f t="shared" si="40"/>
        <v>VIZIANAGARAM</v>
      </c>
      <c r="V48" s="10">
        <f t="shared" si="41"/>
        <v>0.48</v>
      </c>
      <c r="W48" s="13">
        <v>0</v>
      </c>
      <c r="X48" s="13">
        <v>0</v>
      </c>
      <c r="Y48" s="13">
        <v>0</v>
      </c>
      <c r="Z48" s="13">
        <v>1</v>
      </c>
      <c r="AA48" s="11">
        <f t="shared" si="42"/>
        <v>37.810908934337995</v>
      </c>
      <c r="AB48">
        <f t="shared" si="43"/>
        <v>1</v>
      </c>
      <c r="AC48" s="6" t="str">
        <f t="shared" si="46"/>
        <v>Vizag</v>
      </c>
      <c r="AD48" s="21">
        <f t="shared" si="44"/>
        <v>0</v>
      </c>
      <c r="AE48" s="8">
        <f t="shared" si="45"/>
        <v>0</v>
      </c>
      <c r="AF48" s="7">
        <f t="shared" si="47"/>
        <v>0.48</v>
      </c>
    </row>
    <row r="49" spans="1:32" x14ac:dyDescent="0.35">
      <c r="A49" s="162" t="str">
        <f>VLOOKUP(C49,'Regionwise Demand'!$B$1:$F$80,5,0)</f>
        <v>I401-Andhra Pradesh</v>
      </c>
      <c r="B49" s="17">
        <v>36</v>
      </c>
      <c r="C49" s="71" t="s">
        <v>87</v>
      </c>
      <c r="D49" s="158">
        <f>VLOOKUP(C49,'Regionwise Demand'!$B$2:$C$80,2,0)</f>
        <v>0.64</v>
      </c>
      <c r="F49" s="62">
        <v>12.13365244409836</v>
      </c>
      <c r="G49" s="63">
        <v>34.501754176135229</v>
      </c>
      <c r="H49" s="63">
        <v>34.765610316606008</v>
      </c>
      <c r="I49" s="64">
        <v>12.699138858988158</v>
      </c>
      <c r="K49" s="24">
        <f t="shared" si="32"/>
        <v>95.183652444098357</v>
      </c>
      <c r="L49" s="25">
        <f t="shared" si="33"/>
        <v>113.90175417613523</v>
      </c>
      <c r="M49" s="25">
        <f t="shared" si="34"/>
        <v>110.175610316606</v>
      </c>
      <c r="N49" s="26">
        <f t="shared" si="35"/>
        <v>83.769138858988157</v>
      </c>
      <c r="P49" s="33">
        <f t="shared" si="36"/>
        <v>83.769138858988157</v>
      </c>
      <c r="Q49" s="34" t="str">
        <f t="shared" si="37"/>
        <v>Vizag</v>
      </c>
      <c r="R49" s="35">
        <f t="shared" si="38"/>
        <v>0.64</v>
      </c>
      <c r="S49" s="36">
        <f t="shared" si="39"/>
        <v>53.61224886975242</v>
      </c>
      <c r="U49" s="124" t="str">
        <f t="shared" si="40"/>
        <v>ONGOLE</v>
      </c>
      <c r="V49" s="10">
        <f t="shared" si="41"/>
        <v>0.64</v>
      </c>
      <c r="W49" s="13">
        <v>0</v>
      </c>
      <c r="X49" s="13">
        <v>0</v>
      </c>
      <c r="Y49" s="13">
        <v>0</v>
      </c>
      <c r="Z49" s="13">
        <v>1</v>
      </c>
      <c r="AA49" s="11">
        <f t="shared" si="42"/>
        <v>53.61224886975242</v>
      </c>
      <c r="AB49">
        <f t="shared" si="43"/>
        <v>1</v>
      </c>
      <c r="AC49" s="6" t="str">
        <f t="shared" si="46"/>
        <v>Vizag</v>
      </c>
      <c r="AD49" s="21">
        <f t="shared" si="44"/>
        <v>0</v>
      </c>
      <c r="AE49" s="8">
        <f t="shared" si="45"/>
        <v>0</v>
      </c>
      <c r="AF49" s="7">
        <f t="shared" si="47"/>
        <v>0.64</v>
      </c>
    </row>
    <row r="50" spans="1:32" x14ac:dyDescent="0.35">
      <c r="A50" s="162" t="str">
        <f>VLOOKUP(C50,'Regionwise Demand'!$B$1:$F$80,5,0)</f>
        <v>I403-Kerala Central</v>
      </c>
      <c r="B50" s="17">
        <v>37</v>
      </c>
      <c r="C50" s="71" t="s">
        <v>88</v>
      </c>
      <c r="D50" s="158">
        <f>VLOOKUP(C50,'Regionwise Demand'!$B$2:$C$80,2,0)</f>
        <v>0.64</v>
      </c>
      <c r="F50" s="62">
        <v>14.126475178395568</v>
      </c>
      <c r="G50" s="63">
        <v>41.53547729138046</v>
      </c>
      <c r="H50" s="63">
        <v>42.990913101633275</v>
      </c>
      <c r="I50" s="64">
        <v>36.327766889913327</v>
      </c>
      <c r="K50" s="24">
        <f t="shared" si="32"/>
        <v>97.176475178395563</v>
      </c>
      <c r="L50" s="25">
        <f t="shared" si="33"/>
        <v>120.93547729138047</v>
      </c>
      <c r="M50" s="25">
        <f t="shared" si="34"/>
        <v>118.40091310163328</v>
      </c>
      <c r="N50" s="26">
        <f t="shared" si="35"/>
        <v>107.39776688991333</v>
      </c>
      <c r="P50" s="33">
        <f t="shared" si="36"/>
        <v>97.176475178395563</v>
      </c>
      <c r="Q50" s="34" t="str">
        <f t="shared" si="37"/>
        <v>Bangalore</v>
      </c>
      <c r="R50" s="35">
        <f t="shared" si="38"/>
        <v>0.64</v>
      </c>
      <c r="S50" s="36">
        <f t="shared" si="39"/>
        <v>62.192944114173159</v>
      </c>
      <c r="U50" s="50" t="str">
        <f t="shared" si="40"/>
        <v>THRISSUR</v>
      </c>
      <c r="V50" s="10">
        <f t="shared" si="41"/>
        <v>0.64</v>
      </c>
      <c r="W50" s="13">
        <v>1</v>
      </c>
      <c r="X50" s="13">
        <v>0</v>
      </c>
      <c r="Y50" s="13">
        <v>0</v>
      </c>
      <c r="Z50" s="13">
        <v>0</v>
      </c>
      <c r="AA50" s="11">
        <f t="shared" si="42"/>
        <v>62.192944114173159</v>
      </c>
      <c r="AB50">
        <f t="shared" si="43"/>
        <v>1</v>
      </c>
      <c r="AC50" s="6" t="str">
        <f t="shared" si="46"/>
        <v>Bangalore</v>
      </c>
      <c r="AD50" s="21">
        <f t="shared" si="44"/>
        <v>-10.221291711517765</v>
      </c>
      <c r="AE50" s="8">
        <f t="shared" si="45"/>
        <v>-6.5416266953713693</v>
      </c>
      <c r="AF50" s="7">
        <f t="shared" si="47"/>
        <v>0.64</v>
      </c>
    </row>
    <row r="51" spans="1:32" x14ac:dyDescent="0.35">
      <c r="A51" s="162" t="str">
        <f>VLOOKUP(C51,'Regionwise Demand'!$B$1:$F$80,5,0)</f>
        <v>I105-Rajasthan</v>
      </c>
      <c r="B51" s="17">
        <v>38</v>
      </c>
      <c r="C51" s="71" t="s">
        <v>89</v>
      </c>
      <c r="D51" s="158">
        <f>VLOOKUP(C51,'Regionwise Demand'!$B$2:$C$80,2,0)</f>
        <v>1.4000000000000001</v>
      </c>
      <c r="F51" s="62">
        <v>56.211806254522777</v>
      </c>
      <c r="G51" s="63">
        <v>43.290158253545599</v>
      </c>
      <c r="H51" s="63">
        <v>25.615578928333871</v>
      </c>
      <c r="I51" s="64">
        <v>48.970899257243104</v>
      </c>
      <c r="K51" s="24">
        <f t="shared" si="32"/>
        <v>139.26180625452278</v>
      </c>
      <c r="L51" s="25">
        <f t="shared" si="33"/>
        <v>122.6901582535456</v>
      </c>
      <c r="M51" s="25">
        <f t="shared" si="34"/>
        <v>101.02557892833387</v>
      </c>
      <c r="N51" s="26">
        <f t="shared" si="35"/>
        <v>120.0408992572431</v>
      </c>
      <c r="P51" s="33">
        <f t="shared" si="36"/>
        <v>101.02557892833387</v>
      </c>
      <c r="Q51" s="34" t="str">
        <f t="shared" si="37"/>
        <v>Jhagadia</v>
      </c>
      <c r="R51" s="35">
        <f t="shared" si="38"/>
        <v>1.4000000000000001</v>
      </c>
      <c r="S51" s="36">
        <f t="shared" si="39"/>
        <v>141.43581049966744</v>
      </c>
      <c r="U51" s="50" t="str">
        <f t="shared" si="40"/>
        <v>JAIPUR</v>
      </c>
      <c r="V51" s="10">
        <f t="shared" si="41"/>
        <v>1.4000000000000001</v>
      </c>
      <c r="W51" s="13">
        <v>0</v>
      </c>
      <c r="X51" s="13">
        <v>0</v>
      </c>
      <c r="Y51" s="13">
        <v>1</v>
      </c>
      <c r="Z51" s="13">
        <v>0</v>
      </c>
      <c r="AA51" s="11">
        <f t="shared" si="42"/>
        <v>141.43581049966744</v>
      </c>
      <c r="AB51">
        <f t="shared" si="43"/>
        <v>1</v>
      </c>
      <c r="AC51" s="6" t="str">
        <f t="shared" si="46"/>
        <v>Jhagadia</v>
      </c>
      <c r="AD51" s="21">
        <f t="shared" si="44"/>
        <v>-19.015320328909226</v>
      </c>
      <c r="AE51" s="8">
        <f t="shared" si="45"/>
        <v>-26.621448460472919</v>
      </c>
      <c r="AF51" s="7">
        <f t="shared" si="47"/>
        <v>1.4000000000000001</v>
      </c>
    </row>
    <row r="52" spans="1:32" x14ac:dyDescent="0.35">
      <c r="A52" s="162" t="str">
        <f>VLOOKUP(C52,'Regionwise Demand'!$B$1:$F$80,5,0)</f>
        <v>I408-Kerala South</v>
      </c>
      <c r="B52" s="17">
        <v>39</v>
      </c>
      <c r="C52" s="71" t="s">
        <v>90</v>
      </c>
      <c r="D52" s="158">
        <f>VLOOKUP(C52,'Regionwise Demand'!$B$2:$C$80,2,0)</f>
        <v>0.41152263374485576</v>
      </c>
      <c r="F52" s="62">
        <v>17.973875668949301</v>
      </c>
      <c r="G52" s="63">
        <v>45.382877781934191</v>
      </c>
      <c r="H52" s="63">
        <v>46.838313592187006</v>
      </c>
      <c r="I52" s="159">
        <v>22.91</v>
      </c>
      <c r="K52" s="24">
        <f t="shared" si="32"/>
        <v>101.0238756689493</v>
      </c>
      <c r="L52" s="25">
        <f t="shared" si="33"/>
        <v>124.78287778193419</v>
      </c>
      <c r="M52" s="25">
        <f t="shared" si="34"/>
        <v>122.248313592187</v>
      </c>
      <c r="N52" s="26">
        <f t="shared" si="35"/>
        <v>93.97999999999999</v>
      </c>
      <c r="P52" s="33">
        <f t="shared" si="36"/>
        <v>93.97999999999999</v>
      </c>
      <c r="Q52" s="34" t="str">
        <f t="shared" si="37"/>
        <v>Vizag</v>
      </c>
      <c r="R52" s="35">
        <f t="shared" si="38"/>
        <v>0.41152263374485576</v>
      </c>
      <c r="S52" s="36">
        <f t="shared" si="39"/>
        <v>38.674897119341537</v>
      </c>
      <c r="U52" s="50" t="str">
        <f t="shared" si="40"/>
        <v>KOLLAM</v>
      </c>
      <c r="V52" s="10">
        <f t="shared" si="41"/>
        <v>0.41152263374485576</v>
      </c>
      <c r="W52" s="13">
        <v>0</v>
      </c>
      <c r="X52" s="13">
        <v>0</v>
      </c>
      <c r="Y52" s="13">
        <v>0</v>
      </c>
      <c r="Z52" s="13">
        <v>1</v>
      </c>
      <c r="AA52" s="11">
        <f t="shared" si="42"/>
        <v>38.674897119341537</v>
      </c>
      <c r="AB52">
        <f t="shared" si="43"/>
        <v>1</v>
      </c>
      <c r="AC52" s="6" t="str">
        <f t="shared" si="46"/>
        <v>Vizag</v>
      </c>
      <c r="AD52" s="21">
        <f t="shared" si="44"/>
        <v>0</v>
      </c>
      <c r="AE52" s="8">
        <f t="shared" si="45"/>
        <v>0</v>
      </c>
      <c r="AF52" s="7">
        <f t="shared" si="47"/>
        <v>0.41152263374485576</v>
      </c>
    </row>
    <row r="53" spans="1:32" x14ac:dyDescent="0.35">
      <c r="A53" s="162" t="str">
        <f>VLOOKUP(C53,'Regionwise Demand'!$B$1:$F$80,5,0)</f>
        <v>I401-Andhra Pradesh</v>
      </c>
      <c r="B53" s="17">
        <v>40</v>
      </c>
      <c r="C53" s="71" t="s">
        <v>91</v>
      </c>
      <c r="D53" s="158">
        <f>VLOOKUP(C53,'Regionwise Demand'!$B$2:$C$80,2,0)</f>
        <v>0.4</v>
      </c>
      <c r="F53" s="62">
        <v>8.9322276788781618</v>
      </c>
      <c r="G53" s="63">
        <v>36.34122979186305</v>
      </c>
      <c r="H53" s="63">
        <v>37.796665602115873</v>
      </c>
      <c r="I53" s="64">
        <v>31.133519390395925</v>
      </c>
      <c r="K53" s="24">
        <f t="shared" si="32"/>
        <v>91.982227678878161</v>
      </c>
      <c r="L53" s="25">
        <f t="shared" si="33"/>
        <v>115.74122979186305</v>
      </c>
      <c r="M53" s="25">
        <f t="shared" si="34"/>
        <v>113.20666560211586</v>
      </c>
      <c r="N53" s="26">
        <f t="shared" si="35"/>
        <v>102.20351939039591</v>
      </c>
      <c r="P53" s="33">
        <f t="shared" si="36"/>
        <v>91.982227678878161</v>
      </c>
      <c r="Q53" s="34" t="str">
        <f t="shared" si="37"/>
        <v>Bangalore</v>
      </c>
      <c r="R53" s="35">
        <f t="shared" si="38"/>
        <v>0.4</v>
      </c>
      <c r="S53" s="36">
        <f t="shared" si="39"/>
        <v>36.792891071551267</v>
      </c>
      <c r="U53" s="123" t="str">
        <f t="shared" si="40"/>
        <v>PRODDUTTUR</v>
      </c>
      <c r="V53" s="10">
        <f t="shared" si="41"/>
        <v>0.4</v>
      </c>
      <c r="W53" s="13">
        <v>1</v>
      </c>
      <c r="X53" s="13">
        <v>0</v>
      </c>
      <c r="Y53" s="13">
        <v>0</v>
      </c>
      <c r="Z53" s="13">
        <v>0</v>
      </c>
      <c r="AA53" s="11">
        <f t="shared" si="42"/>
        <v>36.792891071551267</v>
      </c>
      <c r="AB53">
        <f t="shared" si="43"/>
        <v>1</v>
      </c>
      <c r="AC53" s="6" t="str">
        <f t="shared" si="46"/>
        <v>Bangalore</v>
      </c>
      <c r="AD53" s="21">
        <f t="shared" si="44"/>
        <v>-10.22129171151775</v>
      </c>
      <c r="AE53" s="8">
        <f t="shared" si="45"/>
        <v>-4.0885166846071002</v>
      </c>
      <c r="AF53" s="7">
        <f t="shared" si="47"/>
        <v>0.4</v>
      </c>
    </row>
    <row r="54" spans="1:32" x14ac:dyDescent="0.35">
      <c r="A54" s="162" t="str">
        <f>VLOOKUP(C54,'Regionwise Demand'!$B$1:$F$80,5,0)</f>
        <v>I305-Rest Of Maharashtra</v>
      </c>
      <c r="B54" s="17">
        <v>41</v>
      </c>
      <c r="C54" s="71" t="s">
        <v>92</v>
      </c>
      <c r="D54" s="158">
        <f>VLOOKUP(C54,'Regionwise Demand'!$B$2:$C$80,2,0)</f>
        <v>0.96</v>
      </c>
      <c r="F54" s="62">
        <v>34.511247127621402</v>
      </c>
      <c r="G54" s="63">
        <v>11.457068914183633</v>
      </c>
      <c r="H54" s="63">
        <v>20.031683450761101</v>
      </c>
      <c r="I54" s="64">
        <v>45.291971081541199</v>
      </c>
      <c r="K54" s="24">
        <f t="shared" si="32"/>
        <v>117.5612471276214</v>
      </c>
      <c r="L54" s="25">
        <f t="shared" si="33"/>
        <v>90.857068914183643</v>
      </c>
      <c r="M54" s="25">
        <f t="shared" si="34"/>
        <v>95.441683450761104</v>
      </c>
      <c r="N54" s="26">
        <f t="shared" si="35"/>
        <v>116.36197108154118</v>
      </c>
      <c r="P54" s="33">
        <f t="shared" si="36"/>
        <v>90.857068914183643</v>
      </c>
      <c r="Q54" s="34" t="str">
        <f t="shared" si="37"/>
        <v>Wada</v>
      </c>
      <c r="R54" s="35">
        <f t="shared" si="38"/>
        <v>0.96</v>
      </c>
      <c r="S54" s="36">
        <f t="shared" si="39"/>
        <v>87.222786157616298</v>
      </c>
      <c r="U54" s="50" t="str">
        <f t="shared" si="40"/>
        <v>AURANGABAD</v>
      </c>
      <c r="V54" s="10">
        <f t="shared" si="41"/>
        <v>0.96</v>
      </c>
      <c r="W54" s="13">
        <v>0</v>
      </c>
      <c r="X54" s="13">
        <v>1</v>
      </c>
      <c r="Y54" s="13">
        <v>0</v>
      </c>
      <c r="Z54" s="13">
        <v>0</v>
      </c>
      <c r="AA54" s="11">
        <f t="shared" si="42"/>
        <v>87.222786157616298</v>
      </c>
      <c r="AB54">
        <f t="shared" si="43"/>
        <v>1</v>
      </c>
      <c r="AC54" s="6" t="str">
        <f t="shared" si="46"/>
        <v>Wada</v>
      </c>
      <c r="AD54" s="21">
        <f t="shared" si="44"/>
        <v>-25.504902167357542</v>
      </c>
      <c r="AE54" s="8">
        <f t="shared" si="45"/>
        <v>-24.484706080663241</v>
      </c>
      <c r="AF54" s="7">
        <f t="shared" si="47"/>
        <v>0.96</v>
      </c>
    </row>
    <row r="55" spans="1:32" x14ac:dyDescent="0.35">
      <c r="A55" s="162" t="str">
        <f>VLOOKUP(C55,'Regionwise Demand'!$B$1:$F$80,5,0)</f>
        <v>I408-Kerala South</v>
      </c>
      <c r="B55" s="17">
        <v>42</v>
      </c>
      <c r="C55" s="71" t="s">
        <v>93</v>
      </c>
      <c r="D55" s="158">
        <f>VLOOKUP(C55,'Regionwise Demand'!$B$2:$C$80,2,0)</f>
        <v>0.4</v>
      </c>
      <c r="F55" s="62">
        <v>19.12278893647558</v>
      </c>
      <c r="G55" s="63">
        <v>46.531791049460466</v>
      </c>
      <c r="H55" s="63">
        <v>47.987226859713289</v>
      </c>
      <c r="I55" s="159">
        <v>22.91</v>
      </c>
      <c r="K55" s="24">
        <f t="shared" si="32"/>
        <v>102.17278893647557</v>
      </c>
      <c r="L55" s="25">
        <f t="shared" si="33"/>
        <v>125.93179104946047</v>
      </c>
      <c r="M55" s="25">
        <f t="shared" si="34"/>
        <v>123.39722685971329</v>
      </c>
      <c r="N55" s="26">
        <f t="shared" si="35"/>
        <v>93.97999999999999</v>
      </c>
      <c r="P55" s="33">
        <f t="shared" si="36"/>
        <v>93.97999999999999</v>
      </c>
      <c r="Q55" s="34" t="str">
        <f t="shared" si="37"/>
        <v>Vizag</v>
      </c>
      <c r="R55" s="35">
        <f t="shared" si="38"/>
        <v>0.4</v>
      </c>
      <c r="S55" s="36">
        <f t="shared" si="39"/>
        <v>37.591999999999999</v>
      </c>
      <c r="U55" s="50" t="str">
        <f t="shared" si="40"/>
        <v>ATTINGAL</v>
      </c>
      <c r="V55" s="10">
        <f t="shared" si="41"/>
        <v>0.4</v>
      </c>
      <c r="W55" s="13">
        <v>0</v>
      </c>
      <c r="X55" s="13">
        <v>0</v>
      </c>
      <c r="Y55" s="13">
        <v>0</v>
      </c>
      <c r="Z55" s="13">
        <v>1</v>
      </c>
      <c r="AA55" s="11">
        <f t="shared" si="42"/>
        <v>37.591999999999999</v>
      </c>
      <c r="AB55">
        <f t="shared" si="43"/>
        <v>1</v>
      </c>
      <c r="AC55" s="6" t="str">
        <f t="shared" si="46"/>
        <v>Vizag</v>
      </c>
      <c r="AD55" s="21">
        <f t="shared" si="44"/>
        <v>0</v>
      </c>
      <c r="AE55" s="8">
        <f t="shared" si="45"/>
        <v>0</v>
      </c>
      <c r="AF55" s="7">
        <f t="shared" si="47"/>
        <v>0.4</v>
      </c>
    </row>
    <row r="56" spans="1:32" x14ac:dyDescent="0.35">
      <c r="A56" s="162" t="str">
        <f>VLOOKUP(C56,'Regionwise Demand'!$B$1:$F$80,5,0)</f>
        <v>I301-Gujarat</v>
      </c>
      <c r="B56" s="17">
        <v>43</v>
      </c>
      <c r="C56" s="71" t="s">
        <v>94</v>
      </c>
      <c r="D56" s="158">
        <f>VLOOKUP(C56,'Regionwise Demand'!$B$2:$C$80,2,0)</f>
        <v>0.8</v>
      </c>
      <c r="F56" s="62">
        <v>43.256102884320704</v>
      </c>
      <c r="G56" s="63">
        <v>19.50860529061752</v>
      </c>
      <c r="H56" s="63">
        <v>9.9421516310529885</v>
      </c>
      <c r="I56" s="64">
        <v>44.320871424196888</v>
      </c>
      <c r="K56" s="24">
        <f t="shared" si="32"/>
        <v>126.30610288432069</v>
      </c>
      <c r="L56" s="25">
        <f t="shared" si="33"/>
        <v>98.90860529061753</v>
      </c>
      <c r="M56" s="25">
        <f t="shared" si="34"/>
        <v>85.35215163105299</v>
      </c>
      <c r="N56" s="26">
        <f t="shared" si="35"/>
        <v>115.39087142419689</v>
      </c>
      <c r="P56" s="33">
        <f t="shared" si="36"/>
        <v>85.35215163105299</v>
      </c>
      <c r="Q56" s="34" t="str">
        <f t="shared" si="37"/>
        <v>Jhagadia</v>
      </c>
      <c r="R56" s="35">
        <f t="shared" si="38"/>
        <v>0.8</v>
      </c>
      <c r="S56" s="36">
        <f t="shared" si="39"/>
        <v>68.281721304842392</v>
      </c>
      <c r="U56" s="50" t="str">
        <f t="shared" si="40"/>
        <v>GANDHI DHAM</v>
      </c>
      <c r="V56" s="10">
        <f t="shared" si="41"/>
        <v>0.8</v>
      </c>
      <c r="W56" s="13">
        <v>0</v>
      </c>
      <c r="X56" s="13">
        <v>0</v>
      </c>
      <c r="Y56" s="13">
        <v>1</v>
      </c>
      <c r="Z56" s="13">
        <v>0</v>
      </c>
      <c r="AA56" s="11">
        <f t="shared" si="42"/>
        <v>68.281721304842392</v>
      </c>
      <c r="AB56">
        <f t="shared" si="43"/>
        <v>1</v>
      </c>
      <c r="AC56" s="6" t="str">
        <f t="shared" si="46"/>
        <v>Jhagadia</v>
      </c>
      <c r="AD56" s="21">
        <f t="shared" si="44"/>
        <v>-30.038719793143898</v>
      </c>
      <c r="AE56" s="8">
        <f t="shared" si="45"/>
        <v>-24.030975834515118</v>
      </c>
      <c r="AF56" s="7">
        <f t="shared" si="47"/>
        <v>0.8</v>
      </c>
    </row>
    <row r="57" spans="1:32" x14ac:dyDescent="0.35">
      <c r="A57" s="162" t="str">
        <f>VLOOKUP(C57,'Regionwise Demand'!$B$1:$F$80,5,0)</f>
        <v>I407-Kerala North</v>
      </c>
      <c r="B57" s="17">
        <v>44</v>
      </c>
      <c r="C57" s="71" t="s">
        <v>95</v>
      </c>
      <c r="D57" s="158">
        <f>VLOOKUP(C57,'Regionwise Demand'!$B$2:$C$80,2,0)</f>
        <v>0.4</v>
      </c>
      <c r="F57" s="62">
        <v>15.065304112945375</v>
      </c>
      <c r="G57" s="63">
        <v>42.474306225930263</v>
      </c>
      <c r="H57" s="63">
        <v>43.929742036183086</v>
      </c>
      <c r="I57" s="64">
        <v>37.266595824463138</v>
      </c>
      <c r="K57" s="24">
        <f t="shared" si="32"/>
        <v>98.115304112945367</v>
      </c>
      <c r="L57" s="25">
        <f t="shared" si="33"/>
        <v>121.87430622593027</v>
      </c>
      <c r="M57" s="25">
        <f t="shared" si="34"/>
        <v>119.33974203618308</v>
      </c>
      <c r="N57" s="26">
        <f t="shared" si="35"/>
        <v>108.33659582446313</v>
      </c>
      <c r="P57" s="33">
        <f t="shared" si="36"/>
        <v>98.115304112945367</v>
      </c>
      <c r="Q57" s="34" t="str">
        <f t="shared" si="37"/>
        <v>Bangalore</v>
      </c>
      <c r="R57" s="35">
        <f t="shared" si="38"/>
        <v>0.4</v>
      </c>
      <c r="S57" s="36">
        <f t="shared" si="39"/>
        <v>39.24612164517815</v>
      </c>
      <c r="U57" s="50" t="str">
        <f t="shared" si="40"/>
        <v>VADAKARA</v>
      </c>
      <c r="V57" s="10">
        <f t="shared" si="41"/>
        <v>0.4</v>
      </c>
      <c r="W57" s="13">
        <v>1</v>
      </c>
      <c r="X57" s="13">
        <v>0</v>
      </c>
      <c r="Y57" s="13">
        <v>0</v>
      </c>
      <c r="Z57" s="13">
        <v>0</v>
      </c>
      <c r="AA57" s="11">
        <f t="shared" si="42"/>
        <v>39.24612164517815</v>
      </c>
      <c r="AB57">
        <f t="shared" si="43"/>
        <v>1</v>
      </c>
      <c r="AC57" s="6" t="str">
        <f t="shared" si="46"/>
        <v>Bangalore</v>
      </c>
      <c r="AD57" s="21">
        <f t="shared" si="44"/>
        <v>-10.221291711517765</v>
      </c>
      <c r="AE57" s="8">
        <f t="shared" si="45"/>
        <v>-4.0885166846071064</v>
      </c>
      <c r="AF57" s="7">
        <f t="shared" si="47"/>
        <v>0.4</v>
      </c>
    </row>
    <row r="58" spans="1:32" x14ac:dyDescent="0.35">
      <c r="A58" s="162" t="str">
        <f>VLOOKUP(C58,'Regionwise Demand'!$B$1:$F$80,5,0)</f>
        <v>I104-Delhi NCR</v>
      </c>
      <c r="B58" s="17">
        <v>45</v>
      </c>
      <c r="C58" s="71" t="s">
        <v>96</v>
      </c>
      <c r="D58" s="158">
        <f>VLOOKUP(C58,'Regionwise Demand'!$B$2:$C$80,2,0)</f>
        <v>1.92</v>
      </c>
      <c r="E58" s="2"/>
      <c r="F58" s="62">
        <v>56.967193107014609</v>
      </c>
      <c r="G58" s="63">
        <v>44.04554510603743</v>
      </c>
      <c r="H58" s="63">
        <v>26.370965780825703</v>
      </c>
      <c r="I58" s="64">
        <v>49.726286109734936</v>
      </c>
      <c r="J58" s="2"/>
      <c r="K58" s="24">
        <f t="shared" si="32"/>
        <v>140.01719310701461</v>
      </c>
      <c r="L58" s="25">
        <f t="shared" si="33"/>
        <v>123.44554510603743</v>
      </c>
      <c r="M58" s="25">
        <f t="shared" si="34"/>
        <v>101.7809657808257</v>
      </c>
      <c r="N58" s="26">
        <f t="shared" si="35"/>
        <v>120.79628610973492</v>
      </c>
      <c r="P58" s="33">
        <f t="shared" si="36"/>
        <v>101.7809657808257</v>
      </c>
      <c r="Q58" s="34" t="str">
        <f t="shared" si="37"/>
        <v>Jhagadia</v>
      </c>
      <c r="R58" s="35">
        <f t="shared" si="38"/>
        <v>1.92</v>
      </c>
      <c r="S58" s="36">
        <f t="shared" si="39"/>
        <v>195.41945429918533</v>
      </c>
      <c r="U58" s="50" t="str">
        <f t="shared" si="40"/>
        <v>New Delhi</v>
      </c>
      <c r="V58" s="10">
        <f t="shared" si="41"/>
        <v>1.92</v>
      </c>
      <c r="W58" s="13">
        <v>0</v>
      </c>
      <c r="X58" s="13">
        <v>0</v>
      </c>
      <c r="Y58" s="13">
        <v>1</v>
      </c>
      <c r="Z58" s="13">
        <v>0</v>
      </c>
      <c r="AA58" s="11">
        <f t="shared" si="42"/>
        <v>195.41945429918533</v>
      </c>
      <c r="AB58">
        <f t="shared" si="43"/>
        <v>1</v>
      </c>
      <c r="AC58" s="6" t="str">
        <f t="shared" si="46"/>
        <v>Jhagadia</v>
      </c>
      <c r="AD58" s="21">
        <f t="shared" si="44"/>
        <v>-19.015320328909226</v>
      </c>
      <c r="AE58" s="8">
        <f t="shared" si="45"/>
        <v>-36.509415031505711</v>
      </c>
      <c r="AF58" s="7">
        <f t="shared" si="47"/>
        <v>1.92</v>
      </c>
    </row>
    <row r="59" spans="1:32" x14ac:dyDescent="0.35">
      <c r="A59" s="162" t="str">
        <f>VLOOKUP(C59,'Regionwise Demand'!$B$1:$F$80,5,0)</f>
        <v>I104-Delhi NCR</v>
      </c>
      <c r="B59" s="17">
        <v>46</v>
      </c>
      <c r="C59" s="71" t="s">
        <v>97</v>
      </c>
      <c r="D59" s="158">
        <f>VLOOKUP(C59,'Regionwise Demand'!$B$2:$C$80,2,0)</f>
        <v>0.56000000000000005</v>
      </c>
      <c r="E59" s="2"/>
      <c r="F59" s="62">
        <v>57.259101909320627</v>
      </c>
      <c r="G59" s="63">
        <v>44.337453908343448</v>
      </c>
      <c r="H59" s="63">
        <v>26.662874583131721</v>
      </c>
      <c r="I59" s="64">
        <v>50.018194912040954</v>
      </c>
      <c r="J59" s="2"/>
      <c r="K59" s="24">
        <f t="shared" si="32"/>
        <v>140.30910190932062</v>
      </c>
      <c r="L59" s="25">
        <f t="shared" si="33"/>
        <v>123.73745390834345</v>
      </c>
      <c r="M59" s="25">
        <f t="shared" si="34"/>
        <v>102.07287458313172</v>
      </c>
      <c r="N59" s="26">
        <f t="shared" si="35"/>
        <v>121.08819491204095</v>
      </c>
      <c r="P59" s="33">
        <f t="shared" si="36"/>
        <v>102.07287458313172</v>
      </c>
      <c r="Q59" s="34" t="str">
        <f t="shared" si="37"/>
        <v>Jhagadia</v>
      </c>
      <c r="R59" s="35">
        <f t="shared" si="38"/>
        <v>0.56000000000000005</v>
      </c>
      <c r="S59" s="36">
        <f t="shared" si="39"/>
        <v>57.160809766553768</v>
      </c>
      <c r="U59" s="50" t="str">
        <f t="shared" si="40"/>
        <v>Noida</v>
      </c>
      <c r="V59" s="10">
        <f t="shared" si="41"/>
        <v>0.56000000000000005</v>
      </c>
      <c r="W59" s="13">
        <v>0</v>
      </c>
      <c r="X59" s="13">
        <v>0</v>
      </c>
      <c r="Y59" s="13">
        <v>1</v>
      </c>
      <c r="Z59" s="13">
        <v>0</v>
      </c>
      <c r="AA59" s="11">
        <f t="shared" si="42"/>
        <v>57.160809766553768</v>
      </c>
      <c r="AB59">
        <f t="shared" si="43"/>
        <v>1</v>
      </c>
      <c r="AC59" s="6" t="str">
        <f t="shared" si="46"/>
        <v>Jhagadia</v>
      </c>
      <c r="AD59" s="21">
        <f t="shared" si="44"/>
        <v>-19.015320328909226</v>
      </c>
      <c r="AE59" s="8">
        <f t="shared" si="45"/>
        <v>-10.648579384189167</v>
      </c>
      <c r="AF59" s="7">
        <f t="shared" si="47"/>
        <v>0.56000000000000005</v>
      </c>
    </row>
    <row r="60" spans="1:32" x14ac:dyDescent="0.35">
      <c r="A60" s="162" t="str">
        <f>VLOOKUP(C60,'Regionwise Demand'!$B$1:$F$80,5,0)</f>
        <v>I302-Chattisgarh</v>
      </c>
      <c r="B60" s="17">
        <v>47</v>
      </c>
      <c r="C60" s="71" t="s">
        <v>98</v>
      </c>
      <c r="D60" s="158">
        <f>VLOOKUP(C60,'Regionwise Demand'!$B$2:$C$80,2,0)</f>
        <v>0.45600000000000002</v>
      </c>
      <c r="E60" s="2"/>
      <c r="F60" s="62">
        <v>33.460340241825712</v>
      </c>
      <c r="G60" s="63">
        <v>25.593600674332642</v>
      </c>
      <c r="H60" s="63">
        <v>32.57043757581971</v>
      </c>
      <c r="I60" s="64">
        <v>31.208886496830523</v>
      </c>
      <c r="J60" s="2"/>
      <c r="K60" s="24">
        <f t="shared" si="32"/>
        <v>116.5103402418257</v>
      </c>
      <c r="L60" s="25">
        <f t="shared" si="33"/>
        <v>104.99360067433264</v>
      </c>
      <c r="M60" s="25">
        <f t="shared" si="34"/>
        <v>107.98043757581971</v>
      </c>
      <c r="N60" s="26">
        <f t="shared" si="35"/>
        <v>102.27888649683052</v>
      </c>
      <c r="P60" s="33">
        <f t="shared" si="36"/>
        <v>102.27888649683052</v>
      </c>
      <c r="Q60" s="34" t="str">
        <f t="shared" si="37"/>
        <v>Vizag</v>
      </c>
      <c r="R60" s="35">
        <f t="shared" si="38"/>
        <v>0.45600000000000002</v>
      </c>
      <c r="S60" s="36">
        <f t="shared" si="39"/>
        <v>46.639172242554721</v>
      </c>
      <c r="U60" s="50" t="str">
        <f t="shared" si="40"/>
        <v>RAIPUR</v>
      </c>
      <c r="V60" s="10">
        <f t="shared" si="41"/>
        <v>0.45600000000000002</v>
      </c>
      <c r="W60" s="13">
        <v>0</v>
      </c>
      <c r="X60" s="13">
        <v>0</v>
      </c>
      <c r="Y60" s="13">
        <v>0</v>
      </c>
      <c r="Z60" s="13">
        <v>1</v>
      </c>
      <c r="AA60" s="11">
        <f t="shared" si="42"/>
        <v>46.639172242554721</v>
      </c>
      <c r="AB60">
        <f t="shared" si="43"/>
        <v>1</v>
      </c>
      <c r="AC60" s="6" t="str">
        <f t="shared" si="46"/>
        <v>Vizag</v>
      </c>
      <c r="AD60" s="21">
        <f t="shared" si="44"/>
        <v>0</v>
      </c>
      <c r="AE60" s="8">
        <f t="shared" si="45"/>
        <v>0</v>
      </c>
      <c r="AF60" s="7">
        <f t="shared" si="47"/>
        <v>0.45600000000000002</v>
      </c>
    </row>
    <row r="61" spans="1:32" x14ac:dyDescent="0.35">
      <c r="A61" s="162" t="str">
        <f>VLOOKUP(C61,'Regionwise Demand'!$B$1:$F$80,5,0)</f>
        <v>I401-Andhra Pradesh</v>
      </c>
      <c r="B61" s="17">
        <v>48</v>
      </c>
      <c r="C61" s="71" t="s">
        <v>99</v>
      </c>
      <c r="D61" s="158">
        <f>VLOOKUP(C61,'Regionwise Demand'!$B$2:$C$80,2,0)</f>
        <v>0.48</v>
      </c>
      <c r="E61" s="2"/>
      <c r="F61" s="62">
        <v>8.5312507157089517</v>
      </c>
      <c r="G61" s="63">
        <v>43.697345027275404</v>
      </c>
      <c r="H61" s="63">
        <v>43.961201167746182</v>
      </c>
      <c r="I61" s="64">
        <v>21.894729710128331</v>
      </c>
      <c r="J61" s="2"/>
      <c r="K61" s="24">
        <f t="shared" si="32"/>
        <v>91.581250715708947</v>
      </c>
      <c r="L61" s="25">
        <f t="shared" si="33"/>
        <v>123.09734502727541</v>
      </c>
      <c r="M61" s="25">
        <f t="shared" si="34"/>
        <v>119.37120116774618</v>
      </c>
      <c r="N61" s="26">
        <f t="shared" si="35"/>
        <v>92.964729710128324</v>
      </c>
      <c r="P61" s="33">
        <f t="shared" si="36"/>
        <v>91.581250715708947</v>
      </c>
      <c r="Q61" s="34" t="str">
        <f t="shared" si="37"/>
        <v>Bangalore</v>
      </c>
      <c r="R61" s="35">
        <f t="shared" si="38"/>
        <v>0.48</v>
      </c>
      <c r="S61" s="36">
        <f t="shared" si="39"/>
        <v>43.959000343540296</v>
      </c>
      <c r="U61" s="50" t="str">
        <f t="shared" si="40"/>
        <v>TIRUPATI</v>
      </c>
      <c r="V61" s="110">
        <f t="shared" si="41"/>
        <v>0.48</v>
      </c>
      <c r="W61" s="13">
        <v>1</v>
      </c>
      <c r="X61" s="13">
        <v>0</v>
      </c>
      <c r="Y61" s="13">
        <v>0</v>
      </c>
      <c r="Z61" s="13">
        <v>0</v>
      </c>
      <c r="AA61" s="11">
        <f t="shared" si="42"/>
        <v>43.959000343540296</v>
      </c>
      <c r="AB61">
        <f t="shared" si="43"/>
        <v>1</v>
      </c>
      <c r="AC61" s="6" t="str">
        <f t="shared" si="46"/>
        <v>Bangalore</v>
      </c>
      <c r="AD61" s="21">
        <f t="shared" si="44"/>
        <v>-1.3834789944193773</v>
      </c>
      <c r="AE61" s="8">
        <f t="shared" si="45"/>
        <v>-0.66406991732130105</v>
      </c>
      <c r="AF61" s="7">
        <f t="shared" si="47"/>
        <v>0.48</v>
      </c>
    </row>
    <row r="62" spans="1:32" x14ac:dyDescent="0.35">
      <c r="A62" s="162" t="str">
        <f>VLOOKUP(C62,'Regionwise Demand'!$B$1:$F$80,5,0)</f>
        <v>I104-Delhi NCR</v>
      </c>
      <c r="B62" s="17">
        <v>49</v>
      </c>
      <c r="C62" s="71" t="s">
        <v>100</v>
      </c>
      <c r="D62" s="158">
        <f>VLOOKUP(C62,'Regionwise Demand'!$B$2:$C$80,2,0)</f>
        <v>0.48</v>
      </c>
      <c r="E62" s="2"/>
      <c r="F62" s="62">
        <v>54.442548610952066</v>
      </c>
      <c r="G62" s="63">
        <v>41.520900609974888</v>
      </c>
      <c r="H62" s="63">
        <v>23.846321284763157</v>
      </c>
      <c r="I62" s="64">
        <v>47.201641613672393</v>
      </c>
      <c r="J62" s="2"/>
      <c r="K62" s="24">
        <f t="shared" si="32"/>
        <v>137.49254861095207</v>
      </c>
      <c r="L62" s="25">
        <f t="shared" si="33"/>
        <v>120.92090060997489</v>
      </c>
      <c r="M62" s="25">
        <f t="shared" si="34"/>
        <v>99.256321284763146</v>
      </c>
      <c r="N62" s="26">
        <f t="shared" si="35"/>
        <v>118.27164161367239</v>
      </c>
      <c r="P62" s="33">
        <f t="shared" si="36"/>
        <v>99.256321284763146</v>
      </c>
      <c r="Q62" s="34" t="str">
        <f t="shared" si="37"/>
        <v>Jhagadia</v>
      </c>
      <c r="R62" s="35">
        <f t="shared" si="38"/>
        <v>0.48</v>
      </c>
      <c r="S62" s="36">
        <f t="shared" si="39"/>
        <v>47.64303421668631</v>
      </c>
      <c r="U62" s="50" t="str">
        <f t="shared" si="40"/>
        <v>GURGAON</v>
      </c>
      <c r="V62" s="10">
        <f t="shared" si="41"/>
        <v>0.48</v>
      </c>
      <c r="W62" s="13">
        <v>0</v>
      </c>
      <c r="X62" s="13">
        <v>0</v>
      </c>
      <c r="Y62" s="13">
        <v>1</v>
      </c>
      <c r="Z62" s="13">
        <v>0</v>
      </c>
      <c r="AA62" s="11">
        <f t="shared" si="42"/>
        <v>47.64303421668631</v>
      </c>
      <c r="AB62">
        <f t="shared" si="43"/>
        <v>1</v>
      </c>
      <c r="AC62" s="6" t="str">
        <f t="shared" si="46"/>
        <v>Jhagadia</v>
      </c>
      <c r="AD62" s="21">
        <f t="shared" si="44"/>
        <v>-19.01532032890924</v>
      </c>
      <c r="AE62" s="8">
        <f t="shared" si="45"/>
        <v>-9.1273537578764348</v>
      </c>
      <c r="AF62" s="7">
        <f t="shared" si="47"/>
        <v>0.48</v>
      </c>
    </row>
    <row r="63" spans="1:32" x14ac:dyDescent="0.35">
      <c r="A63" s="162" t="str">
        <f>VLOOKUP(C63,'Regionwise Demand'!$B$1:$F$80,5,0)</f>
        <v>I301-Gujarat</v>
      </c>
      <c r="B63" s="17">
        <v>50</v>
      </c>
      <c r="C63" s="71" t="s">
        <v>101</v>
      </c>
      <c r="D63" s="158">
        <f>VLOOKUP(C63,'Regionwise Demand'!$B$2:$C$80,2,0)</f>
        <v>0.48</v>
      </c>
      <c r="E63" s="2"/>
      <c r="F63" s="62">
        <v>41.339434309096831</v>
      </c>
      <c r="G63" s="63">
        <v>17.591936715393651</v>
      </c>
      <c r="H63" s="63">
        <v>8.0254830558291168</v>
      </c>
      <c r="I63" s="64">
        <v>42.404202848973014</v>
      </c>
      <c r="J63" s="2"/>
      <c r="K63" s="24">
        <f t="shared" si="32"/>
        <v>124.38943430909683</v>
      </c>
      <c r="L63" s="25">
        <f t="shared" si="33"/>
        <v>96.991936715393649</v>
      </c>
      <c r="M63" s="25">
        <f t="shared" si="34"/>
        <v>83.43548305582911</v>
      </c>
      <c r="N63" s="26">
        <f t="shared" si="35"/>
        <v>113.47420284897301</v>
      </c>
      <c r="P63" s="33">
        <f t="shared" si="36"/>
        <v>83.43548305582911</v>
      </c>
      <c r="Q63" s="34" t="str">
        <f t="shared" si="37"/>
        <v>Jhagadia</v>
      </c>
      <c r="R63" s="35">
        <f t="shared" si="38"/>
        <v>0.48</v>
      </c>
      <c r="S63" s="36">
        <f t="shared" si="39"/>
        <v>40.049031866797968</v>
      </c>
      <c r="U63" s="123" t="str">
        <f t="shared" si="40"/>
        <v>BOTAD</v>
      </c>
      <c r="V63" s="10">
        <f t="shared" si="41"/>
        <v>0.48</v>
      </c>
      <c r="W63" s="13">
        <v>0</v>
      </c>
      <c r="X63" s="13">
        <v>0</v>
      </c>
      <c r="Y63" s="13">
        <v>1</v>
      </c>
      <c r="Z63" s="13">
        <v>0</v>
      </c>
      <c r="AA63" s="11">
        <f t="shared" si="42"/>
        <v>40.049031866797968</v>
      </c>
      <c r="AB63">
        <f t="shared" si="43"/>
        <v>1</v>
      </c>
      <c r="AC63" s="6" t="str">
        <f t="shared" si="46"/>
        <v>Jhagadia</v>
      </c>
      <c r="AD63" s="21">
        <f t="shared" si="44"/>
        <v>-30.038719793143898</v>
      </c>
      <c r="AE63" s="8">
        <f t="shared" si="45"/>
        <v>-14.418585500709071</v>
      </c>
      <c r="AF63" s="7">
        <f t="shared" si="47"/>
        <v>0.48</v>
      </c>
    </row>
    <row r="64" spans="1:32" x14ac:dyDescent="0.35">
      <c r="A64" s="162" t="str">
        <f>VLOOKUP(C64,'Regionwise Demand'!$B$1:$F$80,5,0)</f>
        <v>I301-Gujarat</v>
      </c>
      <c r="B64" s="17">
        <v>51</v>
      </c>
      <c r="C64" s="71" t="s">
        <v>102</v>
      </c>
      <c r="D64" s="158">
        <f>VLOOKUP(C64,'Regionwise Demand'!$B$2:$C$80,2,0)</f>
        <v>0.30178326474622758</v>
      </c>
      <c r="E64" s="2"/>
      <c r="F64" s="62">
        <v>41.996455127638846</v>
      </c>
      <c r="G64" s="63">
        <v>18.248957533935663</v>
      </c>
      <c r="H64" s="63">
        <v>8.6825038743711307</v>
      </c>
      <c r="I64" s="64">
        <v>43.06122366751503</v>
      </c>
      <c r="J64" s="2"/>
      <c r="K64" s="24">
        <f t="shared" si="32"/>
        <v>125.04645512763884</v>
      </c>
      <c r="L64" s="25">
        <f t="shared" si="33"/>
        <v>97.648957533935672</v>
      </c>
      <c r="M64" s="25">
        <f t="shared" si="34"/>
        <v>84.092503874371133</v>
      </c>
      <c r="N64" s="26">
        <f t="shared" si="35"/>
        <v>114.13122366751503</v>
      </c>
      <c r="P64" s="33">
        <f t="shared" si="36"/>
        <v>84.092503874371133</v>
      </c>
      <c r="Q64" s="34" t="str">
        <f t="shared" si="37"/>
        <v>Jhagadia</v>
      </c>
      <c r="R64" s="35">
        <f t="shared" si="38"/>
        <v>0.30178326474622758</v>
      </c>
      <c r="S64" s="36">
        <f t="shared" si="39"/>
        <v>25.377710359892511</v>
      </c>
      <c r="U64" s="50" t="str">
        <f t="shared" si="40"/>
        <v>MEHSANA</v>
      </c>
      <c r="V64" s="10">
        <f t="shared" si="41"/>
        <v>0.30178326474622758</v>
      </c>
      <c r="W64" s="13">
        <v>0</v>
      </c>
      <c r="X64" s="13">
        <v>0</v>
      </c>
      <c r="Y64" s="13">
        <v>1</v>
      </c>
      <c r="Z64" s="13">
        <v>0</v>
      </c>
      <c r="AA64" s="11">
        <f t="shared" si="42"/>
        <v>25.377710359892511</v>
      </c>
      <c r="AB64">
        <f t="shared" si="43"/>
        <v>1</v>
      </c>
      <c r="AC64" s="6" t="str">
        <f t="shared" si="46"/>
        <v>Jhagadia</v>
      </c>
      <c r="AD64" s="21">
        <f t="shared" si="44"/>
        <v>-30.038719793143898</v>
      </c>
      <c r="AE64" s="8">
        <f t="shared" si="45"/>
        <v>-9.0651829279720921</v>
      </c>
      <c r="AF64" s="7">
        <f t="shared" si="47"/>
        <v>0.30178326474622758</v>
      </c>
    </row>
    <row r="65" spans="1:35" x14ac:dyDescent="0.35">
      <c r="A65" s="162" t="str">
        <f>VLOOKUP(C65,'Regionwise Demand'!$B$1:$F$80,5,0)</f>
        <v>I407-Kerala North</v>
      </c>
      <c r="B65" s="17">
        <v>52</v>
      </c>
      <c r="C65" s="71" t="s">
        <v>103</v>
      </c>
      <c r="D65" s="158">
        <f>VLOOKUP(C65,'Regionwise Demand'!$B$2:$C$80,2,0)</f>
        <v>0.36</v>
      </c>
      <c r="E65" s="2"/>
      <c r="F65" s="62">
        <v>15.051359274442893</v>
      </c>
      <c r="G65" s="63">
        <v>42.460361387427781</v>
      </c>
      <c r="H65" s="63">
        <f>43.9157971976806+3</f>
        <v>46.915797197680597</v>
      </c>
      <c r="I65" s="64">
        <v>37.252650985960656</v>
      </c>
      <c r="J65" s="2"/>
      <c r="K65" s="24">
        <f t="shared" si="32"/>
        <v>98.101359274442885</v>
      </c>
      <c r="L65" s="25">
        <f t="shared" si="33"/>
        <v>121.86036138742779</v>
      </c>
      <c r="M65" s="25">
        <f t="shared" si="34"/>
        <v>122.3257971976806</v>
      </c>
      <c r="N65" s="26">
        <f t="shared" si="35"/>
        <v>108.32265098596065</v>
      </c>
      <c r="P65" s="33">
        <f t="shared" si="36"/>
        <v>98.101359274442885</v>
      </c>
      <c r="Q65" s="34" t="str">
        <f t="shared" si="37"/>
        <v>Bangalore</v>
      </c>
      <c r="R65" s="35">
        <f t="shared" si="38"/>
        <v>0.36</v>
      </c>
      <c r="S65" s="36">
        <f t="shared" si="39"/>
        <v>35.316489338799435</v>
      </c>
      <c r="U65" s="50" t="str">
        <f t="shared" si="40"/>
        <v>KOYILANDY</v>
      </c>
      <c r="V65" s="10">
        <f t="shared" si="41"/>
        <v>0.36</v>
      </c>
      <c r="W65" s="13">
        <v>1</v>
      </c>
      <c r="X65" s="13">
        <v>0</v>
      </c>
      <c r="Y65" s="13">
        <v>0</v>
      </c>
      <c r="Z65" s="13">
        <v>0</v>
      </c>
      <c r="AA65" s="11">
        <f t="shared" si="42"/>
        <v>35.316489338799435</v>
      </c>
      <c r="AB65">
        <f t="shared" si="43"/>
        <v>1</v>
      </c>
      <c r="AC65" s="6" t="str">
        <f t="shared" si="46"/>
        <v>Bangalore</v>
      </c>
      <c r="AD65" s="21">
        <f t="shared" si="44"/>
        <v>-10.221291711517765</v>
      </c>
      <c r="AE65" s="8">
        <f t="shared" si="45"/>
        <v>-3.6796650161463953</v>
      </c>
      <c r="AF65" s="7">
        <f t="shared" si="47"/>
        <v>0.36</v>
      </c>
    </row>
    <row r="66" spans="1:35" x14ac:dyDescent="0.35">
      <c r="A66" s="162" t="str">
        <f>VLOOKUP(C66,'Regionwise Demand'!$B$1:$F$80,5,0)</f>
        <v>Export</v>
      </c>
      <c r="B66" s="17">
        <v>53</v>
      </c>
      <c r="C66" s="71" t="s">
        <v>104</v>
      </c>
      <c r="D66" s="158">
        <f>VLOOKUP(C66,'Regionwise Demand'!$B$2:$C$80,2,0)</f>
        <v>0.8</v>
      </c>
      <c r="F66" s="62">
        <v>62.93515104321736</v>
      </c>
      <c r="G66" s="63">
        <v>50.893705769186717</v>
      </c>
      <c r="H66" s="176">
        <f>(32*5500)/(2070*2.23)</f>
        <v>38.127423582678013</v>
      </c>
      <c r="I66" s="176">
        <f>(32*6300)/(2070*2.23)</f>
        <v>43.673230649249362</v>
      </c>
      <c r="K66" s="24">
        <f t="shared" si="32"/>
        <v>145.98515104321734</v>
      </c>
      <c r="L66" s="25">
        <f t="shared" si="33"/>
        <v>130.29370576918672</v>
      </c>
      <c r="M66" s="25">
        <f t="shared" si="34"/>
        <v>113.537423582678</v>
      </c>
      <c r="N66" s="26">
        <f t="shared" si="35"/>
        <v>114.74323064924936</v>
      </c>
      <c r="P66" s="33">
        <f t="shared" si="36"/>
        <v>113.537423582678</v>
      </c>
      <c r="Q66" s="34" t="str">
        <f t="shared" si="37"/>
        <v>Jhagadia</v>
      </c>
      <c r="R66" s="35">
        <f t="shared" si="38"/>
        <v>0.8</v>
      </c>
      <c r="S66" s="36">
        <f t="shared" si="39"/>
        <v>90.829938866142413</v>
      </c>
      <c r="U66" s="50" t="str">
        <f t="shared" si="40"/>
        <v>NEPAL</v>
      </c>
      <c r="V66" s="10">
        <f t="shared" si="41"/>
        <v>0.8</v>
      </c>
      <c r="W66" s="13">
        <v>0</v>
      </c>
      <c r="X66" s="13">
        <v>0</v>
      </c>
      <c r="Y66" s="13">
        <v>1</v>
      </c>
      <c r="Z66" s="13">
        <v>0</v>
      </c>
      <c r="AA66" s="11">
        <f t="shared" si="42"/>
        <v>90.829938866142413</v>
      </c>
      <c r="AB66">
        <f t="shared" si="43"/>
        <v>1</v>
      </c>
      <c r="AC66" s="6" t="str">
        <f t="shared" si="46"/>
        <v>Jhagadia</v>
      </c>
      <c r="AD66" s="21">
        <f t="shared" si="44"/>
        <v>-1.2058070665713529</v>
      </c>
      <c r="AE66" s="8">
        <f t="shared" si="45"/>
        <v>-0.9646456532570824</v>
      </c>
      <c r="AF66" s="7">
        <f t="shared" si="47"/>
        <v>0.8</v>
      </c>
    </row>
    <row r="67" spans="1:35" x14ac:dyDescent="0.35">
      <c r="A67" s="162" t="str">
        <f>VLOOKUP(C67,'Regionwise Demand'!$B$1:$F$80,5,0)</f>
        <v>I103-Upper North</v>
      </c>
      <c r="B67" s="17">
        <v>54</v>
      </c>
      <c r="C67" s="71" t="s">
        <v>105</v>
      </c>
      <c r="D67" s="158">
        <f>VLOOKUP(C67,'Regionwise Demand'!$B$2:$C$80,2,0)</f>
        <v>1.5680000000000001</v>
      </c>
      <c r="F67" s="62">
        <v>60.545838320694664</v>
      </c>
      <c r="G67" s="63">
        <v>47.624190319717485</v>
      </c>
      <c r="H67" s="63">
        <v>29.949610994505761</v>
      </c>
      <c r="I67" s="64">
        <v>53.304931323414991</v>
      </c>
      <c r="K67" s="24">
        <f t="shared" ref="K67:K83" si="48">F67+K$2</f>
        <v>143.59583832069467</v>
      </c>
      <c r="L67" s="25">
        <f t="shared" ref="L67:L83" si="49">G67+L$2</f>
        <v>127.02419031971749</v>
      </c>
      <c r="M67" s="25">
        <f t="shared" ref="M67:M83" si="50">H67+M$2</f>
        <v>105.35961099450576</v>
      </c>
      <c r="N67" s="26">
        <f t="shared" ref="N67:N83" si="51">I67+N$2</f>
        <v>124.37493132341498</v>
      </c>
      <c r="P67" s="33">
        <f t="shared" ref="P67:P83" si="52">MIN(K67:N67)</f>
        <v>105.35961099450576</v>
      </c>
      <c r="Q67" s="34" t="str">
        <f t="shared" ref="Q67:Q83" si="53">IF(P67=K67,$K$4,IF(P67=L67,$L$4,IF(P67=M67,$M$4,IF(P67=N67,$N$4))))</f>
        <v>Jhagadia</v>
      </c>
      <c r="R67" s="35">
        <f t="shared" ref="R67:R83" si="54">D67</f>
        <v>1.5680000000000001</v>
      </c>
      <c r="S67" s="36">
        <f t="shared" ref="S67:S83" si="55">P67*R67</f>
        <v>165.20387003938504</v>
      </c>
      <c r="U67" s="123" t="str">
        <f t="shared" ref="U67:U83" si="56">C67</f>
        <v>CHANDIGARH</v>
      </c>
      <c r="V67" s="10">
        <f t="shared" ref="V67:V83" si="57">D67</f>
        <v>1.5680000000000001</v>
      </c>
      <c r="W67" s="13">
        <v>0</v>
      </c>
      <c r="X67" s="13">
        <v>0</v>
      </c>
      <c r="Y67" s="13">
        <v>1</v>
      </c>
      <c r="Z67" s="13">
        <v>0</v>
      </c>
      <c r="AA67" s="11">
        <f t="shared" ref="AA67:AA83" si="58">SUMPRODUCT(W67:Z67,K67:N67)*V67</f>
        <v>165.20387003938504</v>
      </c>
      <c r="AB67">
        <f t="shared" ref="AB67:AB83" si="59">SUM(W67:Z67)</f>
        <v>1</v>
      </c>
      <c r="AC67" s="6" t="str">
        <f t="shared" si="46"/>
        <v>Jhagadia</v>
      </c>
      <c r="AD67" s="21">
        <f t="shared" ref="AD67:AD83" si="60">IF(AC67=$W$4,K67-N67,IF(AC67=$X$4,L67-N67,IF(AC67=$Y$4,M67-N67,IF(AC67=$Z$4,N67-N67,0))))</f>
        <v>-19.015320328909226</v>
      </c>
      <c r="AE67" s="8">
        <f t="shared" ref="AE67:AE83" si="61">AD67*V67</f>
        <v>-29.816022275729669</v>
      </c>
      <c r="AF67" s="7">
        <f t="shared" si="47"/>
        <v>1.5680000000000001</v>
      </c>
    </row>
    <row r="68" spans="1:35" x14ac:dyDescent="0.35">
      <c r="A68" s="162" t="str">
        <f>VLOOKUP(C68,'Regionwise Demand'!$B$1:$F$80,5,0)</f>
        <v>I401-Andhra Pradesh</v>
      </c>
      <c r="B68" s="17">
        <v>55</v>
      </c>
      <c r="C68" s="71" t="s">
        <v>106</v>
      </c>
      <c r="D68" s="158">
        <f>VLOOKUP(C68,'Regionwise Demand'!$B$2:$C$80,2,0)</f>
        <v>0.32921810699588466</v>
      </c>
      <c r="F68" s="62">
        <v>10.079567749963738</v>
      </c>
      <c r="G68" s="63">
        <v>41.328348393970316</v>
      </c>
      <c r="H68" s="63">
        <v>41.592204534441095</v>
      </c>
      <c r="I68" s="64">
        <v>19.525733076823244</v>
      </c>
      <c r="K68" s="24">
        <f t="shared" si="48"/>
        <v>93.129567749963741</v>
      </c>
      <c r="L68" s="25">
        <f t="shared" si="49"/>
        <v>120.72834839397032</v>
      </c>
      <c r="M68" s="25">
        <f t="shared" si="50"/>
        <v>117.00220453444109</v>
      </c>
      <c r="N68" s="26">
        <f t="shared" si="51"/>
        <v>90.595733076823237</v>
      </c>
      <c r="P68" s="33">
        <f t="shared" si="52"/>
        <v>90.595733076823237</v>
      </c>
      <c r="Q68" s="34" t="str">
        <f t="shared" si="53"/>
        <v>Vizag</v>
      </c>
      <c r="R68" s="35">
        <f t="shared" si="54"/>
        <v>0.32921810699588466</v>
      </c>
      <c r="S68" s="36">
        <f t="shared" si="55"/>
        <v>29.825755745456199</v>
      </c>
      <c r="U68" s="50" t="str">
        <f t="shared" si="56"/>
        <v>NELLORE</v>
      </c>
      <c r="V68" s="10">
        <f t="shared" si="57"/>
        <v>0.32921810699588466</v>
      </c>
      <c r="W68" s="13">
        <v>0</v>
      </c>
      <c r="X68" s="13">
        <v>0</v>
      </c>
      <c r="Y68" s="13">
        <v>0</v>
      </c>
      <c r="Z68" s="13">
        <v>1</v>
      </c>
      <c r="AA68" s="11">
        <f t="shared" si="58"/>
        <v>29.825755745456199</v>
      </c>
      <c r="AB68">
        <f t="shared" si="59"/>
        <v>1</v>
      </c>
      <c r="AC68" s="6" t="str">
        <f t="shared" si="46"/>
        <v>Vizag</v>
      </c>
      <c r="AD68" s="21">
        <f t="shared" si="60"/>
        <v>0</v>
      </c>
      <c r="AE68" s="8">
        <f t="shared" si="61"/>
        <v>0</v>
      </c>
      <c r="AF68" s="7">
        <f t="shared" si="47"/>
        <v>0.32921810699588466</v>
      </c>
    </row>
    <row r="69" spans="1:35" x14ac:dyDescent="0.35">
      <c r="A69" s="162" t="str">
        <f>VLOOKUP(C69,'Regionwise Demand'!$B$1:$F$80,5,0)</f>
        <v>I301-Gujarat</v>
      </c>
      <c r="B69" s="17">
        <v>56</v>
      </c>
      <c r="C69" s="71" t="s">
        <v>107</v>
      </c>
      <c r="D69" s="158">
        <f>VLOOKUP(C69,'Regionwise Demand'!$B$2:$C$80,2,0)</f>
        <v>0.48</v>
      </c>
      <c r="F69" s="62">
        <v>39.074931182880128</v>
      </c>
      <c r="G69" s="63">
        <v>15.327433589176941</v>
      </c>
      <c r="H69" s="63">
        <v>5.76097992961241</v>
      </c>
      <c r="I69" s="64">
        <v>40.139699722756312</v>
      </c>
      <c r="K69" s="24">
        <f t="shared" si="48"/>
        <v>122.12493118288012</v>
      </c>
      <c r="L69" s="25">
        <f t="shared" si="49"/>
        <v>94.72743358917694</v>
      </c>
      <c r="M69" s="25">
        <f t="shared" si="50"/>
        <v>81.1709799296124</v>
      </c>
      <c r="N69" s="26">
        <f t="shared" si="51"/>
        <v>111.20969972275631</v>
      </c>
      <c r="P69" s="33">
        <f t="shared" si="52"/>
        <v>81.1709799296124</v>
      </c>
      <c r="Q69" s="34" t="str">
        <f t="shared" si="53"/>
        <v>Jhagadia</v>
      </c>
      <c r="R69" s="35">
        <f t="shared" si="54"/>
        <v>0.48</v>
      </c>
      <c r="S69" s="36">
        <f t="shared" si="55"/>
        <v>38.96207036621395</v>
      </c>
      <c r="U69" s="50" t="str">
        <f t="shared" si="56"/>
        <v>SURAT</v>
      </c>
      <c r="V69" s="10">
        <f t="shared" si="57"/>
        <v>0.48</v>
      </c>
      <c r="W69" s="13">
        <v>0</v>
      </c>
      <c r="X69" s="13">
        <v>0</v>
      </c>
      <c r="Y69" s="13">
        <v>1</v>
      </c>
      <c r="Z69" s="13">
        <v>0</v>
      </c>
      <c r="AA69" s="11">
        <f t="shared" si="58"/>
        <v>38.96207036621395</v>
      </c>
      <c r="AB69">
        <f t="shared" si="59"/>
        <v>1</v>
      </c>
      <c r="AC69" s="6" t="str">
        <f t="shared" si="46"/>
        <v>Jhagadia</v>
      </c>
      <c r="AD69" s="21">
        <f t="shared" si="60"/>
        <v>-30.038719793143912</v>
      </c>
      <c r="AE69" s="8">
        <f t="shared" si="61"/>
        <v>-14.418585500709078</v>
      </c>
      <c r="AF69" s="7">
        <f t="shared" si="47"/>
        <v>0.48</v>
      </c>
    </row>
    <row r="70" spans="1:35" x14ac:dyDescent="0.35">
      <c r="A70" s="162" t="str">
        <f>VLOOKUP(C70,'Regionwise Demand'!$B$1:$F$80,5,0)</f>
        <v>I102-Uttaranchal</v>
      </c>
      <c r="B70" s="17">
        <v>57</v>
      </c>
      <c r="C70" s="71" t="s">
        <v>108</v>
      </c>
      <c r="D70" s="158">
        <f>VLOOKUP(C70,'Regionwise Demand'!$B$2:$C$80,2,0)</f>
        <v>0.20799999999999999</v>
      </c>
      <c r="F70" s="62">
        <v>57.262919023734817</v>
      </c>
      <c r="G70" s="63">
        <v>44.341271022757638</v>
      </c>
      <c r="H70" s="63">
        <v>26.666691697545911</v>
      </c>
      <c r="I70" s="64">
        <v>50.022012026455144</v>
      </c>
      <c r="K70" s="24">
        <f t="shared" si="48"/>
        <v>140.31291902373482</v>
      </c>
      <c r="L70" s="25">
        <f t="shared" si="49"/>
        <v>123.74127102275764</v>
      </c>
      <c r="M70" s="25">
        <f t="shared" si="50"/>
        <v>102.07669169754591</v>
      </c>
      <c r="N70" s="26">
        <f t="shared" si="51"/>
        <v>121.09201202645514</v>
      </c>
      <c r="P70" s="33">
        <f t="shared" si="52"/>
        <v>102.07669169754591</v>
      </c>
      <c r="Q70" s="34" t="str">
        <f t="shared" si="53"/>
        <v>Jhagadia</v>
      </c>
      <c r="R70" s="35">
        <f t="shared" si="54"/>
        <v>0.20799999999999999</v>
      </c>
      <c r="S70" s="36">
        <f t="shared" si="55"/>
        <v>21.23195187308955</v>
      </c>
      <c r="U70" s="50" t="str">
        <f t="shared" si="56"/>
        <v>GHAZIABAD</v>
      </c>
      <c r="V70" s="10">
        <f t="shared" si="57"/>
        <v>0.20799999999999999</v>
      </c>
      <c r="W70" s="13">
        <v>0</v>
      </c>
      <c r="X70" s="13">
        <v>0</v>
      </c>
      <c r="Y70" s="13">
        <v>1</v>
      </c>
      <c r="Z70" s="13">
        <v>0</v>
      </c>
      <c r="AA70" s="11">
        <f t="shared" si="58"/>
        <v>21.23195187308955</v>
      </c>
      <c r="AB70">
        <f t="shared" si="59"/>
        <v>1</v>
      </c>
      <c r="AC70" s="6" t="str">
        <f t="shared" ref="AC70:AC72" si="62">IF(W70:W142=1,$W$4,IF(X70:X142=1,$X$4,IF(Y70:Y142=1,$Y$4,IF(Z70:Z142=1,$Z$4,0))))</f>
        <v>Jhagadia</v>
      </c>
      <c r="AD70" s="21">
        <f t="shared" si="60"/>
        <v>-19.015320328909226</v>
      </c>
      <c r="AE70" s="8">
        <f t="shared" si="61"/>
        <v>-3.9551866284131187</v>
      </c>
      <c r="AF70" s="7">
        <f t="shared" ref="AF70:AF83" si="63">V70</f>
        <v>0.20799999999999999</v>
      </c>
    </row>
    <row r="71" spans="1:35" x14ac:dyDescent="0.35">
      <c r="A71" s="162" t="str">
        <f>VLOOKUP(C71,'Regionwise Demand'!$B$1:$F$80,5,0)</f>
        <v>I409-Rest of Telangana</v>
      </c>
      <c r="B71" s="17">
        <v>58</v>
      </c>
      <c r="C71" s="71" t="s">
        <v>109</v>
      </c>
      <c r="D71" s="158">
        <f>VLOOKUP(C71,'Regionwise Demand'!$B$2:$C$80,2,0)</f>
        <v>0.72</v>
      </c>
      <c r="F71" s="62">
        <v>19.731823771729594</v>
      </c>
      <c r="G71" s="63">
        <v>28.315169170269598</v>
      </c>
      <c r="H71" s="63">
        <v>28.579025310740377</v>
      </c>
      <c r="I71" s="64">
        <v>19.901306319932718</v>
      </c>
      <c r="K71" s="24">
        <f t="shared" si="48"/>
        <v>102.78182377172959</v>
      </c>
      <c r="L71" s="25">
        <f t="shared" si="49"/>
        <v>107.7151691702696</v>
      </c>
      <c r="M71" s="25">
        <f t="shared" si="50"/>
        <v>103.98902531074037</v>
      </c>
      <c r="N71" s="26">
        <f t="shared" si="51"/>
        <v>90.971306319932708</v>
      </c>
      <c r="P71" s="33">
        <f t="shared" si="52"/>
        <v>90.971306319932708</v>
      </c>
      <c r="Q71" s="34" t="str">
        <f t="shared" si="53"/>
        <v>Vizag</v>
      </c>
      <c r="R71" s="35">
        <f t="shared" si="54"/>
        <v>0.72</v>
      </c>
      <c r="S71" s="36">
        <f t="shared" si="55"/>
        <v>65.499340550351548</v>
      </c>
      <c r="U71" s="50" t="str">
        <f t="shared" si="56"/>
        <v>HANMONKONDA</v>
      </c>
      <c r="V71" s="10">
        <f t="shared" si="57"/>
        <v>0.72</v>
      </c>
      <c r="W71" s="13">
        <v>0</v>
      </c>
      <c r="X71" s="13">
        <v>0</v>
      </c>
      <c r="Y71" s="13">
        <v>0</v>
      </c>
      <c r="Z71" s="13">
        <v>1</v>
      </c>
      <c r="AA71" s="11">
        <f t="shared" si="58"/>
        <v>65.499340550351548</v>
      </c>
      <c r="AB71">
        <f t="shared" si="59"/>
        <v>1</v>
      </c>
      <c r="AC71" s="6" t="str">
        <f t="shared" si="62"/>
        <v>Vizag</v>
      </c>
      <c r="AD71" s="21">
        <f t="shared" si="60"/>
        <v>0</v>
      </c>
      <c r="AE71" s="8">
        <f t="shared" si="61"/>
        <v>0</v>
      </c>
      <c r="AF71" s="7">
        <f t="shared" si="63"/>
        <v>0.72</v>
      </c>
    </row>
    <row r="72" spans="1:35" x14ac:dyDescent="0.35">
      <c r="A72" s="162" t="str">
        <f>VLOOKUP(C72,'Regionwise Demand'!$B$1:$F$80,5,0)</f>
        <v>I412-Rest of Tamilnadu</v>
      </c>
      <c r="B72" s="17">
        <v>59</v>
      </c>
      <c r="C72" s="71" t="s">
        <v>110</v>
      </c>
      <c r="D72" s="158">
        <f>VLOOKUP(C72,'Regionwise Demand'!$B$2:$C$80,2,0)</f>
        <v>0.48</v>
      </c>
      <c r="F72" s="163">
        <v>15.57</v>
      </c>
      <c r="G72" s="63">
        <v>41.752763802897782</v>
      </c>
      <c r="H72" s="63">
        <v>43.208199613150605</v>
      </c>
      <c r="I72" s="166">
        <v>16.7</v>
      </c>
      <c r="K72" s="24">
        <f t="shared" si="48"/>
        <v>98.62</v>
      </c>
      <c r="L72" s="25">
        <f t="shared" si="49"/>
        <v>121.15276380289779</v>
      </c>
      <c r="M72" s="25">
        <f t="shared" si="50"/>
        <v>118.61819961315061</v>
      </c>
      <c r="N72" s="26">
        <f t="shared" si="51"/>
        <v>87.77</v>
      </c>
      <c r="P72" s="33">
        <f t="shared" si="52"/>
        <v>87.77</v>
      </c>
      <c r="Q72" s="34" t="str">
        <f t="shared" si="53"/>
        <v>Vizag</v>
      </c>
      <c r="R72" s="35">
        <f t="shared" si="54"/>
        <v>0.48</v>
      </c>
      <c r="S72" s="36">
        <f t="shared" si="55"/>
        <v>42.129599999999996</v>
      </c>
      <c r="U72" s="50" t="str">
        <f t="shared" si="56"/>
        <v>TUTICORIN</v>
      </c>
      <c r="V72" s="10">
        <f t="shared" si="57"/>
        <v>0.48</v>
      </c>
      <c r="W72" s="13">
        <v>0</v>
      </c>
      <c r="X72" s="13">
        <v>0</v>
      </c>
      <c r="Y72" s="13">
        <v>0</v>
      </c>
      <c r="Z72" s="13">
        <v>1</v>
      </c>
      <c r="AA72" s="11">
        <f t="shared" si="58"/>
        <v>42.129599999999996</v>
      </c>
      <c r="AB72">
        <f t="shared" si="59"/>
        <v>1</v>
      </c>
      <c r="AC72" s="6" t="str">
        <f t="shared" si="62"/>
        <v>Vizag</v>
      </c>
      <c r="AD72" s="21">
        <f t="shared" si="60"/>
        <v>0</v>
      </c>
      <c r="AE72" s="8">
        <f t="shared" si="61"/>
        <v>0</v>
      </c>
      <c r="AF72" s="7">
        <f t="shared" si="63"/>
        <v>0.48</v>
      </c>
    </row>
    <row r="73" spans="1:35" x14ac:dyDescent="0.35">
      <c r="A73" s="162" t="str">
        <f>VLOOKUP(C73,'Regionwise Demand'!$B$1:$F$80,5,0)</f>
        <v>I412-Rest of Tamilnadu</v>
      </c>
      <c r="B73" s="17">
        <v>60</v>
      </c>
      <c r="C73" s="71" t="s">
        <v>111</v>
      </c>
      <c r="D73" s="158">
        <f>VLOOKUP(C73,'Regionwise Demand'!$B$2:$C$80,2,0)</f>
        <v>0.43999999999999995</v>
      </c>
      <c r="F73" s="62">
        <v>8.2368557665147453</v>
      </c>
      <c r="G73" s="63">
        <v>35.645857879499637</v>
      </c>
      <c r="H73" s="63">
        <v>37.101293689752453</v>
      </c>
      <c r="I73" s="159">
        <v>22.91</v>
      </c>
      <c r="K73" s="24">
        <f t="shared" si="48"/>
        <v>91.286855766514748</v>
      </c>
      <c r="L73" s="25">
        <f t="shared" si="49"/>
        <v>115.04585787949964</v>
      </c>
      <c r="M73" s="25">
        <f t="shared" si="50"/>
        <v>112.51129368975245</v>
      </c>
      <c r="N73" s="26">
        <f t="shared" si="51"/>
        <v>93.97999999999999</v>
      </c>
      <c r="P73" s="33">
        <f t="shared" si="52"/>
        <v>91.286855766514748</v>
      </c>
      <c r="Q73" s="34" t="str">
        <f t="shared" si="53"/>
        <v>Bangalore</v>
      </c>
      <c r="R73" s="35">
        <f t="shared" si="54"/>
        <v>0.43999999999999995</v>
      </c>
      <c r="S73" s="36">
        <f t="shared" si="55"/>
        <v>40.166216537266486</v>
      </c>
      <c r="U73" s="50" t="str">
        <f t="shared" si="56"/>
        <v>SALEM</v>
      </c>
      <c r="V73" s="10">
        <f t="shared" si="57"/>
        <v>0.43999999999999995</v>
      </c>
      <c r="W73" s="13">
        <v>1</v>
      </c>
      <c r="X73" s="13">
        <v>0</v>
      </c>
      <c r="Y73" s="13">
        <v>0</v>
      </c>
      <c r="Z73" s="13">
        <v>0</v>
      </c>
      <c r="AA73" s="11">
        <f t="shared" si="58"/>
        <v>40.166216537266486</v>
      </c>
      <c r="AB73">
        <f t="shared" si="59"/>
        <v>1</v>
      </c>
      <c r="AC73" s="6" t="str">
        <f t="shared" ref="AC73:AC83" si="64">IF(W73:W145=1,$W$4,IF(X73:X145=1,$X$4,IF(Y73:Y145=1,$Y$4,IF(Z73:Z145=1,$Z$4,0))))</f>
        <v>Bangalore</v>
      </c>
      <c r="AD73" s="21">
        <f t="shared" si="60"/>
        <v>-2.693144233485242</v>
      </c>
      <c r="AE73" s="8">
        <f t="shared" si="61"/>
        <v>-1.1849834627335063</v>
      </c>
      <c r="AF73" s="7">
        <f t="shared" si="63"/>
        <v>0.43999999999999995</v>
      </c>
    </row>
    <row r="74" spans="1:35" x14ac:dyDescent="0.35">
      <c r="A74" s="162" t="str">
        <f>VLOOKUP(C74,'Regionwise Demand'!$B$1:$F$80,5,0)</f>
        <v>I407-Kerala North</v>
      </c>
      <c r="B74" s="17">
        <v>61</v>
      </c>
      <c r="C74" s="71" t="s">
        <v>112</v>
      </c>
      <c r="D74" s="158">
        <f>VLOOKUP(C74,'Regionwise Demand'!$B$2:$C$80,2,0)</f>
        <v>0.36</v>
      </c>
      <c r="F74" s="62">
        <v>15.051359274442893</v>
      </c>
      <c r="G74" s="63">
        <v>42.460361387427781</v>
      </c>
      <c r="H74" s="63">
        <v>43.915797197680604</v>
      </c>
      <c r="I74" s="64">
        <v>37.252650985960656</v>
      </c>
      <c r="K74" s="24">
        <f t="shared" si="48"/>
        <v>98.101359274442885</v>
      </c>
      <c r="L74" s="25">
        <f t="shared" si="49"/>
        <v>121.86036138742779</v>
      </c>
      <c r="M74" s="25">
        <f t="shared" si="50"/>
        <v>119.3257971976806</v>
      </c>
      <c r="N74" s="26">
        <f t="shared" si="51"/>
        <v>108.32265098596065</v>
      </c>
      <c r="P74" s="33">
        <f t="shared" si="52"/>
        <v>98.101359274442885</v>
      </c>
      <c r="Q74" s="34" t="str">
        <f t="shared" si="53"/>
        <v>Bangalore</v>
      </c>
      <c r="R74" s="35">
        <f t="shared" si="54"/>
        <v>0.36</v>
      </c>
      <c r="S74" s="36">
        <f t="shared" si="55"/>
        <v>35.316489338799435</v>
      </c>
      <c r="U74" s="124" t="str">
        <f t="shared" si="56"/>
        <v>THAMARASSERY</v>
      </c>
      <c r="V74" s="10">
        <f t="shared" si="57"/>
        <v>0.36</v>
      </c>
      <c r="W74" s="13">
        <v>1</v>
      </c>
      <c r="X74" s="13">
        <v>0</v>
      </c>
      <c r="Y74" s="13">
        <v>0</v>
      </c>
      <c r="Z74" s="13">
        <v>0</v>
      </c>
      <c r="AA74" s="11">
        <f t="shared" si="58"/>
        <v>35.316489338799435</v>
      </c>
      <c r="AB74">
        <f t="shared" si="59"/>
        <v>1</v>
      </c>
      <c r="AC74" s="6" t="str">
        <f t="shared" si="64"/>
        <v>Bangalore</v>
      </c>
      <c r="AD74" s="21">
        <f t="shared" si="60"/>
        <v>-10.221291711517765</v>
      </c>
      <c r="AE74" s="8">
        <f t="shared" si="61"/>
        <v>-3.6796650161463953</v>
      </c>
      <c r="AF74" s="7">
        <f t="shared" si="63"/>
        <v>0.36</v>
      </c>
    </row>
    <row r="75" spans="1:35" x14ac:dyDescent="0.35">
      <c r="A75" s="162" t="str">
        <f>VLOOKUP(C75,'Regionwise Demand'!$B$1:$F$80,5,0)</f>
        <v>I409-Rest of Telangana</v>
      </c>
      <c r="B75" s="17">
        <v>62</v>
      </c>
      <c r="C75" s="71" t="s">
        <v>113</v>
      </c>
      <c r="D75" s="158">
        <f>VLOOKUP(C75,'Regionwise Demand'!$B$2:$C$80,2,0)</f>
        <v>0.56000000000000005</v>
      </c>
      <c r="F75" s="62">
        <v>19.95051261837575</v>
      </c>
      <c r="G75" s="63">
        <v>28.533858016915755</v>
      </c>
      <c r="H75" s="63">
        <v>28.797714157386533</v>
      </c>
      <c r="I75" s="64">
        <v>20.119995166578875</v>
      </c>
      <c r="K75" s="24">
        <f t="shared" si="48"/>
        <v>103.00051261837575</v>
      </c>
      <c r="L75" s="25">
        <f t="shared" si="49"/>
        <v>107.93385801691576</v>
      </c>
      <c r="M75" s="25">
        <f t="shared" si="50"/>
        <v>104.20771415738653</v>
      </c>
      <c r="N75" s="26">
        <f t="shared" si="51"/>
        <v>91.189995166578868</v>
      </c>
      <c r="P75" s="33">
        <f t="shared" si="52"/>
        <v>91.189995166578868</v>
      </c>
      <c r="Q75" s="34" t="str">
        <f t="shared" si="53"/>
        <v>Vizag</v>
      </c>
      <c r="R75" s="35">
        <f t="shared" si="54"/>
        <v>0.56000000000000005</v>
      </c>
      <c r="S75" s="36">
        <f t="shared" si="55"/>
        <v>51.066397293284169</v>
      </c>
      <c r="U75" s="50" t="str">
        <f t="shared" si="56"/>
        <v>MAHABUB NAGAR</v>
      </c>
      <c r="V75" s="10">
        <f t="shared" si="57"/>
        <v>0.56000000000000005</v>
      </c>
      <c r="W75" s="13">
        <v>0</v>
      </c>
      <c r="X75" s="13">
        <v>0</v>
      </c>
      <c r="Y75" s="13">
        <v>0</v>
      </c>
      <c r="Z75" s="13">
        <v>1</v>
      </c>
      <c r="AA75" s="11">
        <f t="shared" si="58"/>
        <v>51.066397293284169</v>
      </c>
      <c r="AB75">
        <f t="shared" si="59"/>
        <v>1</v>
      </c>
      <c r="AC75" s="6" t="str">
        <f t="shared" si="64"/>
        <v>Vizag</v>
      </c>
      <c r="AD75" s="21">
        <f t="shared" si="60"/>
        <v>0</v>
      </c>
      <c r="AE75" s="8">
        <f t="shared" si="61"/>
        <v>0</v>
      </c>
      <c r="AF75" s="7">
        <f t="shared" si="63"/>
        <v>0.56000000000000005</v>
      </c>
    </row>
    <row r="76" spans="1:35" x14ac:dyDescent="0.35">
      <c r="A76" s="162" t="str">
        <f>VLOOKUP(C76,'Regionwise Demand'!$B$1:$F$80,5,0)</f>
        <v>I409-Rest of Telangana</v>
      </c>
      <c r="B76" s="17">
        <v>63</v>
      </c>
      <c r="C76" s="71" t="s">
        <v>114</v>
      </c>
      <c r="D76" s="158">
        <f>VLOOKUP(C76,'Regionwise Demand'!$B$2:$C$80,2,0)</f>
        <v>0.56000000000000005</v>
      </c>
      <c r="F76" s="62">
        <v>19.294446078437282</v>
      </c>
      <c r="G76" s="63">
        <v>27.877791476977286</v>
      </c>
      <c r="H76" s="63">
        <v>28.141647617448065</v>
      </c>
      <c r="I76" s="64">
        <v>19.463928626640406</v>
      </c>
      <c r="K76" s="24">
        <f t="shared" si="48"/>
        <v>102.34444607843727</v>
      </c>
      <c r="L76" s="25">
        <f t="shared" si="49"/>
        <v>107.27779147697728</v>
      </c>
      <c r="M76" s="25">
        <f t="shared" si="50"/>
        <v>103.55164761744805</v>
      </c>
      <c r="N76" s="26">
        <f t="shared" si="51"/>
        <v>90.533928626640403</v>
      </c>
      <c r="P76" s="33">
        <f t="shared" si="52"/>
        <v>90.533928626640403</v>
      </c>
      <c r="Q76" s="34" t="str">
        <f t="shared" si="53"/>
        <v>Vizag</v>
      </c>
      <c r="R76" s="35">
        <f t="shared" si="54"/>
        <v>0.56000000000000005</v>
      </c>
      <c r="S76" s="36">
        <f t="shared" si="55"/>
        <v>50.699000030918633</v>
      </c>
      <c r="U76" s="50" t="str">
        <f t="shared" si="56"/>
        <v>KARIMNAGAR</v>
      </c>
      <c r="V76" s="10">
        <f t="shared" si="57"/>
        <v>0.56000000000000005</v>
      </c>
      <c r="W76" s="13">
        <v>0</v>
      </c>
      <c r="X76" s="13">
        <v>0</v>
      </c>
      <c r="Y76" s="13">
        <v>0</v>
      </c>
      <c r="Z76" s="13">
        <v>1</v>
      </c>
      <c r="AA76" s="11">
        <f t="shared" si="58"/>
        <v>50.699000030918633</v>
      </c>
      <c r="AB76">
        <f t="shared" si="59"/>
        <v>1</v>
      </c>
      <c r="AC76" s="6" t="str">
        <f t="shared" si="64"/>
        <v>Vizag</v>
      </c>
      <c r="AD76" s="21">
        <f t="shared" si="60"/>
        <v>0</v>
      </c>
      <c r="AE76" s="8">
        <f t="shared" si="61"/>
        <v>0</v>
      </c>
      <c r="AF76" s="7">
        <f t="shared" si="63"/>
        <v>0.56000000000000005</v>
      </c>
      <c r="AH76" s="8"/>
      <c r="AI76" s="8"/>
    </row>
    <row r="77" spans="1:35" x14ac:dyDescent="0.35">
      <c r="A77" s="162" t="str">
        <f>VLOOKUP(C77,'Regionwise Demand'!$B$1:$F$80,5,0)</f>
        <v>I402-Rest of Karnataka</v>
      </c>
      <c r="B77" s="17">
        <v>64</v>
      </c>
      <c r="C77" s="71" t="s">
        <v>115</v>
      </c>
      <c r="D77" s="158">
        <f>VLOOKUP(C77,'Regionwise Demand'!$B$2:$C$80,2,0)</f>
        <v>0.56000000000000005</v>
      </c>
      <c r="F77" s="62">
        <v>12.744867889670124</v>
      </c>
      <c r="G77" s="63">
        <v>40.153870002655012</v>
      </c>
      <c r="H77" s="63">
        <v>41.609305812907834</v>
      </c>
      <c r="I77" s="64">
        <v>34.946159601187887</v>
      </c>
      <c r="K77" s="24">
        <f t="shared" si="48"/>
        <v>95.794867889670115</v>
      </c>
      <c r="L77" s="25">
        <f t="shared" si="49"/>
        <v>119.55387000265502</v>
      </c>
      <c r="M77" s="25">
        <f t="shared" si="50"/>
        <v>117.01930581290783</v>
      </c>
      <c r="N77" s="26">
        <f t="shared" si="51"/>
        <v>106.01615960118788</v>
      </c>
      <c r="P77" s="33">
        <f t="shared" si="52"/>
        <v>95.794867889670115</v>
      </c>
      <c r="Q77" s="34" t="str">
        <f t="shared" si="53"/>
        <v>Bangalore</v>
      </c>
      <c r="R77" s="35">
        <f t="shared" si="54"/>
        <v>0.56000000000000005</v>
      </c>
      <c r="S77" s="36">
        <f t="shared" si="55"/>
        <v>53.645126018215272</v>
      </c>
      <c r="U77" s="50" t="str">
        <f t="shared" si="56"/>
        <v>BELGAUM</v>
      </c>
      <c r="V77" s="10">
        <f t="shared" si="57"/>
        <v>0.56000000000000005</v>
      </c>
      <c r="W77" s="13">
        <v>1</v>
      </c>
      <c r="X77" s="13">
        <v>0</v>
      </c>
      <c r="Y77" s="13">
        <v>0</v>
      </c>
      <c r="Z77" s="13">
        <v>0</v>
      </c>
      <c r="AA77" s="11">
        <f t="shared" si="58"/>
        <v>53.645126018215272</v>
      </c>
      <c r="AB77">
        <f t="shared" si="59"/>
        <v>1</v>
      </c>
      <c r="AC77" s="6" t="str">
        <f t="shared" si="64"/>
        <v>Bangalore</v>
      </c>
      <c r="AD77" s="21">
        <f t="shared" si="60"/>
        <v>-10.221291711517765</v>
      </c>
      <c r="AE77" s="8">
        <f t="shared" si="61"/>
        <v>-5.7239233584499489</v>
      </c>
      <c r="AF77" s="7">
        <f t="shared" si="63"/>
        <v>0.56000000000000005</v>
      </c>
    </row>
    <row r="78" spans="1:35" x14ac:dyDescent="0.35">
      <c r="A78" s="162" t="str">
        <f>VLOOKUP(C78,'Regionwise Demand'!$B$1:$F$80,5,0)</f>
        <v>I402-Rest of Karnataka</v>
      </c>
      <c r="B78" s="17">
        <v>65</v>
      </c>
      <c r="C78" s="71" t="s">
        <v>116</v>
      </c>
      <c r="D78" s="158">
        <f>VLOOKUP(C78,'Regionwise Demand'!$B$2:$C$80,2,0)</f>
        <v>0.4</v>
      </c>
      <c r="F78" s="62">
        <v>13.116559405751628</v>
      </c>
      <c r="G78" s="63">
        <v>40.525561518736517</v>
      </c>
      <c r="H78" s="63">
        <v>41.980997328989339</v>
      </c>
      <c r="I78" s="64">
        <v>35.317851117269392</v>
      </c>
      <c r="K78" s="24">
        <f t="shared" si="48"/>
        <v>96.166559405751627</v>
      </c>
      <c r="L78" s="25">
        <f t="shared" si="49"/>
        <v>119.92556151873652</v>
      </c>
      <c r="M78" s="25">
        <f t="shared" si="50"/>
        <v>117.39099732898933</v>
      </c>
      <c r="N78" s="26">
        <f t="shared" si="51"/>
        <v>106.38785111726938</v>
      </c>
      <c r="P78" s="33">
        <f t="shared" si="52"/>
        <v>96.166559405751627</v>
      </c>
      <c r="Q78" s="34" t="str">
        <f t="shared" si="53"/>
        <v>Bangalore</v>
      </c>
      <c r="R78" s="35">
        <f t="shared" si="54"/>
        <v>0.4</v>
      </c>
      <c r="S78" s="36">
        <f t="shared" si="55"/>
        <v>38.466623762300657</v>
      </c>
      <c r="U78" s="50" t="str">
        <f t="shared" si="56"/>
        <v>GULBARGA</v>
      </c>
      <c r="V78" s="10">
        <f t="shared" si="57"/>
        <v>0.4</v>
      </c>
      <c r="W78" s="13">
        <v>1</v>
      </c>
      <c r="X78" s="13">
        <v>0</v>
      </c>
      <c r="Y78" s="13">
        <v>0</v>
      </c>
      <c r="Z78" s="13">
        <v>0</v>
      </c>
      <c r="AA78" s="11">
        <f t="shared" si="58"/>
        <v>38.466623762300657</v>
      </c>
      <c r="AB78">
        <f t="shared" si="59"/>
        <v>1</v>
      </c>
      <c r="AC78" s="6" t="str">
        <f t="shared" si="64"/>
        <v>Bangalore</v>
      </c>
      <c r="AD78" s="21">
        <f t="shared" si="60"/>
        <v>-10.22129171151775</v>
      </c>
      <c r="AE78" s="8">
        <f t="shared" si="61"/>
        <v>-4.0885166846071002</v>
      </c>
      <c r="AF78" s="7">
        <f t="shared" si="63"/>
        <v>0.4</v>
      </c>
    </row>
    <row r="79" spans="1:35" x14ac:dyDescent="0.35">
      <c r="A79" s="162" t="str">
        <f>VLOOKUP(C79,'Regionwise Demand'!$B$1:$F$80,5,0)</f>
        <v>I409-Rest of Telangana</v>
      </c>
      <c r="B79" s="17">
        <v>66</v>
      </c>
      <c r="C79" s="71" t="s">
        <v>117</v>
      </c>
      <c r="D79" s="158">
        <f>VLOOKUP(C79,'Regionwise Demand'!$B$2:$C$80,2,0)</f>
        <v>0.56000000000000005</v>
      </c>
      <c r="F79" s="62">
        <v>21.370399657236518</v>
      </c>
      <c r="G79" s="63">
        <v>29.953745055776523</v>
      </c>
      <c r="H79" s="63">
        <v>30.217601196247301</v>
      </c>
      <c r="I79" s="64">
        <v>21.539882205439643</v>
      </c>
      <c r="K79" s="24">
        <f t="shared" si="48"/>
        <v>104.42039965723652</v>
      </c>
      <c r="L79" s="25">
        <f t="shared" si="49"/>
        <v>109.35374505577653</v>
      </c>
      <c r="M79" s="25">
        <f t="shared" si="50"/>
        <v>105.6276011962473</v>
      </c>
      <c r="N79" s="26">
        <f t="shared" si="51"/>
        <v>92.609882205439632</v>
      </c>
      <c r="P79" s="33">
        <f t="shared" si="52"/>
        <v>92.609882205439632</v>
      </c>
      <c r="Q79" s="34" t="str">
        <f t="shared" si="53"/>
        <v>Vizag</v>
      </c>
      <c r="R79" s="35">
        <f t="shared" si="54"/>
        <v>0.56000000000000005</v>
      </c>
      <c r="S79" s="36">
        <f t="shared" si="55"/>
        <v>51.861534035046198</v>
      </c>
      <c r="U79" s="50" t="str">
        <f t="shared" si="56"/>
        <v>KHAMMAM (AP)</v>
      </c>
      <c r="V79" s="10">
        <f t="shared" si="57"/>
        <v>0.56000000000000005</v>
      </c>
      <c r="W79" s="13">
        <v>0</v>
      </c>
      <c r="X79" s="13">
        <v>0</v>
      </c>
      <c r="Y79" s="13">
        <v>0</v>
      </c>
      <c r="Z79" s="13">
        <v>1</v>
      </c>
      <c r="AA79" s="11">
        <f t="shared" si="58"/>
        <v>51.861534035046198</v>
      </c>
      <c r="AB79">
        <f t="shared" si="59"/>
        <v>1</v>
      </c>
      <c r="AC79" s="6" t="str">
        <f t="shared" si="64"/>
        <v>Vizag</v>
      </c>
      <c r="AD79" s="21">
        <f t="shared" si="60"/>
        <v>0</v>
      </c>
      <c r="AE79" s="8">
        <f t="shared" si="61"/>
        <v>0</v>
      </c>
      <c r="AF79" s="7">
        <f t="shared" si="63"/>
        <v>0.56000000000000005</v>
      </c>
    </row>
    <row r="80" spans="1:35" x14ac:dyDescent="0.35">
      <c r="A80" s="162" t="str">
        <f>VLOOKUP(C80,'Regionwise Demand'!$B$1:$F$80,5,0)</f>
        <v>I401-Andhra Pradesh</v>
      </c>
      <c r="B80" s="17">
        <v>67</v>
      </c>
      <c r="C80" t="s">
        <v>118</v>
      </c>
      <c r="D80" s="158">
        <f>VLOOKUP(C80,'Regionwise Demand'!$B$2:$C$80,2,0)</f>
        <v>0.12</v>
      </c>
      <c r="F80" s="62">
        <v>6.7667895777508038</v>
      </c>
      <c r="G80" s="63">
        <v>43.35062380132004</v>
      </c>
      <c r="H80" s="63">
        <v>43.614479941790819</v>
      </c>
      <c r="I80" s="64">
        <v>21.548008484172971</v>
      </c>
      <c r="K80" s="24">
        <f t="shared" si="48"/>
        <v>89.816789577750797</v>
      </c>
      <c r="L80" s="25">
        <f t="shared" si="49"/>
        <v>122.75062380132005</v>
      </c>
      <c r="M80" s="25">
        <f t="shared" si="50"/>
        <v>119.02447994179082</v>
      </c>
      <c r="N80" s="26">
        <f t="shared" si="51"/>
        <v>92.618008484172961</v>
      </c>
      <c r="P80" s="33">
        <f t="shared" si="52"/>
        <v>89.816789577750797</v>
      </c>
      <c r="Q80" s="34" t="str">
        <f t="shared" si="53"/>
        <v>Bangalore</v>
      </c>
      <c r="R80" s="35">
        <f t="shared" si="54"/>
        <v>0.12</v>
      </c>
      <c r="S80" s="36">
        <f t="shared" si="55"/>
        <v>10.778014749330096</v>
      </c>
      <c r="U80" s="124" t="str">
        <f t="shared" si="56"/>
        <v>MADANAPALLI</v>
      </c>
      <c r="V80" s="10">
        <f t="shared" si="57"/>
        <v>0.12</v>
      </c>
      <c r="W80" s="13">
        <v>1</v>
      </c>
      <c r="X80" s="13">
        <v>0</v>
      </c>
      <c r="Y80" s="13">
        <v>0</v>
      </c>
      <c r="Z80" s="13">
        <v>0</v>
      </c>
      <c r="AA80" s="11">
        <f t="shared" si="58"/>
        <v>10.778014749330096</v>
      </c>
      <c r="AB80">
        <f t="shared" si="59"/>
        <v>1</v>
      </c>
      <c r="AC80" s="6" t="str">
        <f t="shared" si="64"/>
        <v>Bangalore</v>
      </c>
      <c r="AD80" s="21">
        <f t="shared" si="60"/>
        <v>-2.8012189064221644</v>
      </c>
      <c r="AE80" s="8">
        <f t="shared" si="61"/>
        <v>-0.33614626877065973</v>
      </c>
      <c r="AF80" s="7">
        <f t="shared" si="63"/>
        <v>0.12</v>
      </c>
    </row>
    <row r="81" spans="1:32" x14ac:dyDescent="0.35">
      <c r="A81" s="162" t="str">
        <f>VLOOKUP(C81,'Regionwise Demand'!$B$1:$F$80,5,0)</f>
        <v>I305-Rest Of Maharashtra</v>
      </c>
      <c r="B81" s="17">
        <v>68</v>
      </c>
      <c r="C81" t="s">
        <v>119</v>
      </c>
      <c r="D81" s="158">
        <f>VLOOKUP(C81,'Regionwise Demand'!$B$2:$C$80,2,0)</f>
        <v>0.32</v>
      </c>
      <c r="F81" s="62">
        <v>32.410879921214757</v>
      </c>
      <c r="G81" s="63">
        <v>9.4139584239898007</v>
      </c>
      <c r="H81" s="63">
        <v>17.931316244354456</v>
      </c>
      <c r="I81" s="64">
        <v>43.191603875134554</v>
      </c>
      <c r="K81" s="24">
        <f t="shared" si="48"/>
        <v>115.46087992121475</v>
      </c>
      <c r="L81" s="25">
        <f t="shared" si="49"/>
        <v>88.813958423989803</v>
      </c>
      <c r="M81" s="25">
        <f t="shared" si="50"/>
        <v>93.341316244354459</v>
      </c>
      <c r="N81" s="26">
        <f t="shared" si="51"/>
        <v>114.26160387513454</v>
      </c>
      <c r="P81" s="33">
        <f t="shared" si="52"/>
        <v>88.813958423989803</v>
      </c>
      <c r="Q81" s="34" t="str">
        <f t="shared" si="53"/>
        <v>Wada</v>
      </c>
      <c r="R81" s="35">
        <f t="shared" si="54"/>
        <v>0.32</v>
      </c>
      <c r="S81" s="36">
        <f t="shared" si="55"/>
        <v>28.420466695676737</v>
      </c>
      <c r="U81" s="50" t="str">
        <f t="shared" si="56"/>
        <v>SHIRDI</v>
      </c>
      <c r="V81" s="10">
        <f t="shared" si="57"/>
        <v>0.32</v>
      </c>
      <c r="W81" s="13">
        <v>0</v>
      </c>
      <c r="X81" s="13">
        <v>0</v>
      </c>
      <c r="Y81" s="13">
        <v>1</v>
      </c>
      <c r="Z81" s="13">
        <v>0</v>
      </c>
      <c r="AA81" s="11">
        <f t="shared" si="58"/>
        <v>29.869221198193429</v>
      </c>
      <c r="AB81">
        <f t="shared" si="59"/>
        <v>1</v>
      </c>
      <c r="AC81" s="6" t="str">
        <f t="shared" si="64"/>
        <v>Jhagadia</v>
      </c>
      <c r="AD81" s="21">
        <f t="shared" si="60"/>
        <v>-20.920287630780081</v>
      </c>
      <c r="AE81" s="8">
        <f t="shared" si="61"/>
        <v>-6.6944920418496263</v>
      </c>
      <c r="AF81" s="7">
        <f t="shared" si="63"/>
        <v>0.32</v>
      </c>
    </row>
    <row r="82" spans="1:32" x14ac:dyDescent="0.35">
      <c r="A82" s="162" t="str">
        <f>VLOOKUP(C82,'Regionwise Demand'!$B$1:$F$80,5,0)</f>
        <v>I301-Gujarat</v>
      </c>
      <c r="B82" s="17">
        <v>69</v>
      </c>
      <c r="C82" s="165" t="s">
        <v>120</v>
      </c>
      <c r="D82" s="158">
        <f>VLOOKUP(C82,'Regionwise Demand'!$B$2:$C$80,2,0)</f>
        <v>0.32</v>
      </c>
      <c r="F82" s="62">
        <v>41.327028687250724</v>
      </c>
      <c r="G82" s="63">
        <v>17.579531093547537</v>
      </c>
      <c r="H82" s="63">
        <v>8.0130774339830069</v>
      </c>
      <c r="I82" s="64">
        <v>42.391797227126908</v>
      </c>
      <c r="K82" s="24">
        <f t="shared" si="48"/>
        <v>124.37702868725071</v>
      </c>
      <c r="L82" s="25">
        <f t="shared" si="49"/>
        <v>96.979531093547536</v>
      </c>
      <c r="M82" s="25">
        <f t="shared" si="50"/>
        <v>83.423077433982996</v>
      </c>
      <c r="N82" s="26">
        <f t="shared" si="51"/>
        <v>113.46179722712691</v>
      </c>
      <c r="P82" s="33">
        <f t="shared" si="52"/>
        <v>83.423077433982996</v>
      </c>
      <c r="Q82" s="34" t="str">
        <f t="shared" si="53"/>
        <v>Jhagadia</v>
      </c>
      <c r="R82" s="35">
        <f t="shared" si="54"/>
        <v>0.32</v>
      </c>
      <c r="S82" s="36">
        <f t="shared" si="55"/>
        <v>26.695384778874558</v>
      </c>
      <c r="U82" s="50" t="str">
        <f t="shared" si="56"/>
        <v>SURENDRANAGAR</v>
      </c>
      <c r="V82" s="10">
        <f t="shared" si="57"/>
        <v>0.32</v>
      </c>
      <c r="W82" s="13">
        <v>0</v>
      </c>
      <c r="X82" s="13">
        <v>0</v>
      </c>
      <c r="Y82" s="13">
        <v>1</v>
      </c>
      <c r="Z82" s="13">
        <v>0</v>
      </c>
      <c r="AA82" s="11">
        <f t="shared" si="58"/>
        <v>26.695384778874558</v>
      </c>
      <c r="AB82">
        <f t="shared" si="59"/>
        <v>1</v>
      </c>
      <c r="AC82" s="6" t="str">
        <f t="shared" si="64"/>
        <v>Jhagadia</v>
      </c>
      <c r="AD82" s="21">
        <f t="shared" si="60"/>
        <v>-30.038719793143912</v>
      </c>
      <c r="AE82" s="8">
        <f t="shared" si="61"/>
        <v>-9.6123903338060526</v>
      </c>
      <c r="AF82" s="7">
        <f t="shared" si="63"/>
        <v>0.32</v>
      </c>
    </row>
    <row r="83" spans="1:32" x14ac:dyDescent="0.35">
      <c r="A83" s="162" t="str">
        <f>VLOOKUP(C83,'Regionwise Demand'!$B$1:$F$80,5,0)</f>
        <v>I401-Andhra Pradesh</v>
      </c>
      <c r="B83" s="17">
        <v>70</v>
      </c>
      <c r="C83" t="s">
        <v>121</v>
      </c>
      <c r="D83" s="158">
        <f>VLOOKUP(C83,'Regionwise Demand'!$B$2:$C$80,2,0)</f>
        <v>0.24</v>
      </c>
      <c r="F83" s="62">
        <v>25.775667784076688</v>
      </c>
      <c r="G83" s="63">
        <v>34.359013182616692</v>
      </c>
      <c r="H83" s="63">
        <v>34.622869323087471</v>
      </c>
      <c r="I83" s="64">
        <v>12.55639786546962</v>
      </c>
      <c r="K83" s="24">
        <f t="shared" si="48"/>
        <v>108.82566778407669</v>
      </c>
      <c r="L83" s="25">
        <f t="shared" si="49"/>
        <v>113.7590131826167</v>
      </c>
      <c r="M83" s="25">
        <f t="shared" si="50"/>
        <v>110.03286932308747</v>
      </c>
      <c r="N83" s="26">
        <f t="shared" si="51"/>
        <v>83.626397865469613</v>
      </c>
      <c r="P83" s="33">
        <f t="shared" si="52"/>
        <v>83.626397865469613</v>
      </c>
      <c r="Q83" s="34" t="str">
        <f t="shared" si="53"/>
        <v>Vizag</v>
      </c>
      <c r="R83" s="35">
        <f t="shared" si="54"/>
        <v>0.24</v>
      </c>
      <c r="S83" s="36">
        <f t="shared" si="55"/>
        <v>20.070335487712708</v>
      </c>
      <c r="U83" s="50" t="str">
        <f t="shared" si="56"/>
        <v>AMARAVATI</v>
      </c>
      <c r="V83" s="110">
        <f t="shared" si="57"/>
        <v>0.24</v>
      </c>
      <c r="W83" s="13">
        <v>0</v>
      </c>
      <c r="X83" s="13">
        <v>0</v>
      </c>
      <c r="Y83" s="13">
        <v>0</v>
      </c>
      <c r="Z83" s="13">
        <v>1</v>
      </c>
      <c r="AA83" s="11">
        <f t="shared" si="58"/>
        <v>20.070335487712708</v>
      </c>
      <c r="AB83">
        <f t="shared" si="59"/>
        <v>1</v>
      </c>
      <c r="AC83" s="6" t="str">
        <f t="shared" si="64"/>
        <v>Vizag</v>
      </c>
      <c r="AD83" s="21">
        <f t="shared" si="60"/>
        <v>0</v>
      </c>
      <c r="AE83" s="8">
        <f t="shared" si="61"/>
        <v>0</v>
      </c>
      <c r="AF83" s="7">
        <f t="shared" si="63"/>
        <v>0.24</v>
      </c>
    </row>
    <row r="84" spans="1:32" x14ac:dyDescent="0.35">
      <c r="D84" s="52">
        <f>SUM(D5:D83)</f>
        <v>80.00252400548699</v>
      </c>
      <c r="P84" s="2"/>
      <c r="Q84" s="2"/>
      <c r="R84" s="2"/>
      <c r="S84" s="29">
        <f>SUM(S5:S83)</f>
        <v>7320.3755905461694</v>
      </c>
      <c r="W84" s="48">
        <f>SUMPRODUCT(W5:W83,$V$5:$V$83)</f>
        <v>19.399999999999999</v>
      </c>
      <c r="X84" s="48">
        <f>SUMPRODUCT(X5:X83,$V$5:$V$83)</f>
        <v>14.135999999999999</v>
      </c>
      <c r="Y84" s="48">
        <f>SUMPRODUCT(Y5:Y83,$V$5:$V$83)</f>
        <v>17.701783264746229</v>
      </c>
      <c r="Z84" s="48">
        <f>SUMPRODUCT(Z5:Z83,$V$5:$V$83)</f>
        <v>28.764740740740741</v>
      </c>
      <c r="AA84" s="113">
        <f>SUM(AA5:AA83)</f>
        <v>7321.8243450486862</v>
      </c>
      <c r="AE84" s="8">
        <f>SUM(AE5:AE83)</f>
        <v>-933.28168627213859</v>
      </c>
      <c r="AF84" s="8">
        <f>SUM(AF5:AF83)</f>
        <v>80.00252400548699</v>
      </c>
    </row>
    <row r="85" spans="1:32" ht="15" thickBot="1" x14ac:dyDescent="0.4">
      <c r="D85" s="21"/>
      <c r="S85" s="8">
        <f>S84/$D$84</f>
        <v>91.501807993509047</v>
      </c>
      <c r="AA85" s="8">
        <f>AA84/$D$84</f>
        <v>91.519916853454745</v>
      </c>
    </row>
    <row r="86" spans="1:32" ht="15.5" thickTop="1" thickBot="1" x14ac:dyDescent="0.4">
      <c r="H86" s="7"/>
      <c r="L86" s="7"/>
      <c r="M86" s="7"/>
      <c r="N86" s="7"/>
      <c r="Q86" s="38" t="s">
        <v>122</v>
      </c>
      <c r="R86" s="39" t="s">
        <v>123</v>
      </c>
      <c r="S86" s="40" t="s">
        <v>124</v>
      </c>
      <c r="W86" s="81" t="s">
        <v>125</v>
      </c>
    </row>
    <row r="87" spans="1:32" ht="15" thickBot="1" x14ac:dyDescent="0.4">
      <c r="I87" s="7"/>
      <c r="M87" t="s">
        <v>318</v>
      </c>
      <c r="N87" s="7">
        <f>K10-N10</f>
        <v>15.392480152936784</v>
      </c>
      <c r="Q87" s="41" t="str">
        <f>K4</f>
        <v>Bangalore</v>
      </c>
      <c r="R87" s="167">
        <f>W88</f>
        <v>27.12</v>
      </c>
      <c r="S87" s="42">
        <f>SUMIF($Q$5:$Q$83,Q87,$R$5:$R$83)</f>
        <v>19.399999999999999</v>
      </c>
      <c r="T87" s="126">
        <f>S87/SUM($S$87:$S$90)</f>
        <v>0.24249234934974612</v>
      </c>
      <c r="W87" s="45" t="str">
        <f>F4</f>
        <v>Bangalore</v>
      </c>
      <c r="X87" s="46" t="str">
        <f>G4</f>
        <v>Wada</v>
      </c>
      <c r="Y87" s="46" t="str">
        <f>H4</f>
        <v>Jhagadia</v>
      </c>
      <c r="Z87" s="47" t="str">
        <f>I4</f>
        <v>Vizag</v>
      </c>
    </row>
    <row r="88" spans="1:32" ht="15.5" x14ac:dyDescent="0.35">
      <c r="K88" s="7"/>
      <c r="L88" s="7"/>
      <c r="M88" s="7" t="s">
        <v>319</v>
      </c>
      <c r="N88" s="7">
        <f>K20-N20</f>
        <v>4.0900000000000034</v>
      </c>
      <c r="Q88" s="41" t="str">
        <f>L4</f>
        <v>Wada</v>
      </c>
      <c r="R88" s="167">
        <f>X88</f>
        <v>14.34</v>
      </c>
      <c r="S88" s="42">
        <f>SUMIF($Q$5:$Q$83,Q88,$R$5:$R$83)</f>
        <v>14.456</v>
      </c>
      <c r="T88" s="126">
        <f t="shared" ref="T88:T90" si="65">S88/SUM($S$87:$S$90)</f>
        <v>0.18069429908247062</v>
      </c>
      <c r="W88" s="160">
        <f>SUM(W89:W90)</f>
        <v>27.12</v>
      </c>
      <c r="X88" s="160">
        <f t="shared" ref="X88:Z88" si="66">SUM(X89:X90)</f>
        <v>14.34</v>
      </c>
      <c r="Y88" s="160">
        <f t="shared" si="66"/>
        <v>25.25</v>
      </c>
      <c r="Z88" s="160">
        <f t="shared" si="66"/>
        <v>51.92</v>
      </c>
      <c r="AA88" s="8">
        <f>SUM(W88:Z88)</f>
        <v>118.63000000000001</v>
      </c>
      <c r="AB88" s="140"/>
    </row>
    <row r="89" spans="1:32" x14ac:dyDescent="0.35">
      <c r="H89" s="7"/>
      <c r="M89" s="7"/>
      <c r="N89" s="7"/>
      <c r="Q89" s="41" t="str">
        <f>M4</f>
        <v>Jhagadia</v>
      </c>
      <c r="R89" s="167">
        <f>Y88</f>
        <v>25.25</v>
      </c>
      <c r="S89" s="42">
        <f>SUMIF($Q$5:$Q$83,Q89,$R$5:$R$83)</f>
        <v>17.381783264746229</v>
      </c>
      <c r="T89" s="126">
        <f t="shared" si="65"/>
        <v>0.21726543606991822</v>
      </c>
      <c r="V89" s="7" t="s">
        <v>333</v>
      </c>
      <c r="W89">
        <v>23</v>
      </c>
      <c r="X89">
        <v>10.6</v>
      </c>
      <c r="Y89">
        <v>21.1</v>
      </c>
      <c r="Z89">
        <v>36</v>
      </c>
      <c r="AA89" s="8">
        <f>SUM(W89:Z89)</f>
        <v>90.7</v>
      </c>
      <c r="AD89">
        <f>30/12</f>
        <v>2.5</v>
      </c>
    </row>
    <row r="90" spans="1:32" ht="15" thickBot="1" x14ac:dyDescent="0.4">
      <c r="Q90" s="43" t="str">
        <f>N4</f>
        <v>Vizag</v>
      </c>
      <c r="R90" s="168">
        <f>Z88</f>
        <v>51.92</v>
      </c>
      <c r="S90" s="44">
        <f>SUMIF($Q$5:$Q$83,Q90,$R$5:$R$83)</f>
        <v>28.764740740740741</v>
      </c>
      <c r="T90" s="126">
        <f t="shared" si="65"/>
        <v>0.35954791549786491</v>
      </c>
      <c r="V90" s="7" t="s">
        <v>334</v>
      </c>
      <c r="W90">
        <v>4.12</v>
      </c>
      <c r="X90">
        <v>3.74</v>
      </c>
      <c r="Y90">
        <v>4.1500000000000004</v>
      </c>
      <c r="Z90">
        <v>15.92</v>
      </c>
      <c r="AA90" s="8">
        <f>SUM(W90:Z90)</f>
        <v>27.93</v>
      </c>
    </row>
    <row r="91" spans="1:32" ht="15.5" thickTop="1" thickBot="1" x14ac:dyDescent="0.4">
      <c r="F91" s="82"/>
      <c r="L91" t="s">
        <v>331</v>
      </c>
      <c r="M91" t="s">
        <v>332</v>
      </c>
      <c r="N91" t="s">
        <v>337</v>
      </c>
      <c r="Q91" s="37"/>
      <c r="R91" s="37"/>
      <c r="S91" s="7"/>
      <c r="W91" s="7"/>
      <c r="X91" s="8"/>
    </row>
    <row r="92" spans="1:32" ht="15" thickBot="1" x14ac:dyDescent="0.4">
      <c r="B92" s="15"/>
      <c r="C92" s="70"/>
      <c r="D92" s="16"/>
      <c r="E92" s="83"/>
      <c r="F92" s="83"/>
      <c r="J92" t="s">
        <v>316</v>
      </c>
      <c r="L92" s="122">
        <f>L2+(4805/504/2.23)</f>
        <v>83.675215317816225</v>
      </c>
      <c r="M92" s="7">
        <f>M2+M93</f>
        <v>86.41</v>
      </c>
      <c r="N92" s="139">
        <f>M92-L92</f>
        <v>2.734784682183772</v>
      </c>
      <c r="U92" s="74" t="s">
        <v>126</v>
      </c>
      <c r="W92" s="7"/>
      <c r="X92" s="8"/>
      <c r="Y92" s="8"/>
      <c r="Z92" s="8"/>
      <c r="AB92" s="7"/>
      <c r="AC92" s="8"/>
    </row>
    <row r="93" spans="1:32" ht="73" thickTop="1" x14ac:dyDescent="0.35">
      <c r="B93" s="17"/>
      <c r="C93" s="71"/>
      <c r="D93" s="19"/>
      <c r="E93" s="65"/>
      <c r="F93" s="7"/>
      <c r="L93" s="122">
        <f>(4805/504/2.23)</f>
        <v>4.2752153178162144</v>
      </c>
      <c r="M93" s="7">
        <f>11</f>
        <v>11</v>
      </c>
      <c r="U93" s="75" t="s">
        <v>122</v>
      </c>
      <c r="V93" s="76" t="s">
        <v>127</v>
      </c>
      <c r="W93" s="77" t="s">
        <v>128</v>
      </c>
      <c r="X93" s="77" t="s">
        <v>129</v>
      </c>
      <c r="Z93" s="178"/>
      <c r="AB93" s="7"/>
      <c r="AC93" s="8"/>
    </row>
    <row r="94" spans="1:32" x14ac:dyDescent="0.35">
      <c r="B94" s="17"/>
      <c r="C94" s="71"/>
      <c r="D94" s="19"/>
      <c r="E94" s="65"/>
      <c r="F94" s="7"/>
      <c r="K94" t="s">
        <v>338</v>
      </c>
      <c r="L94" t="s">
        <v>331</v>
      </c>
      <c r="M94" t="s">
        <v>332</v>
      </c>
      <c r="N94" t="s">
        <v>339</v>
      </c>
      <c r="U94" s="78" t="s">
        <v>32</v>
      </c>
      <c r="V94" s="10">
        <f>W88</f>
        <v>27.12</v>
      </c>
      <c r="W94" s="153">
        <f>W84</f>
        <v>19.399999999999999</v>
      </c>
      <c r="X94" s="10">
        <f>S87</f>
        <v>19.399999999999999</v>
      </c>
      <c r="Z94" s="178"/>
    </row>
    <row r="95" spans="1:32" x14ac:dyDescent="0.35">
      <c r="B95" s="17"/>
      <c r="C95" s="71"/>
      <c r="D95" s="19"/>
      <c r="E95" s="65"/>
      <c r="F95" s="7"/>
      <c r="K95" s="7">
        <f>K2</f>
        <v>83.05</v>
      </c>
      <c r="L95" s="7">
        <f>L2</f>
        <v>79.400000000000006</v>
      </c>
      <c r="M95" s="7">
        <f>M2</f>
        <v>75.41</v>
      </c>
      <c r="N95" s="7">
        <f>N2</f>
        <v>71.069999999999993</v>
      </c>
      <c r="U95" s="78" t="s">
        <v>33</v>
      </c>
      <c r="V95" s="10">
        <f>X88</f>
        <v>14.34</v>
      </c>
      <c r="W95" s="153">
        <f>X84</f>
        <v>14.135999999999999</v>
      </c>
      <c r="X95" s="10">
        <f>S88</f>
        <v>14.456</v>
      </c>
      <c r="Z95" s="178"/>
    </row>
    <row r="96" spans="1:32" x14ac:dyDescent="0.35">
      <c r="B96" s="17"/>
      <c r="C96" s="71"/>
      <c r="D96" s="19"/>
      <c r="E96" s="65"/>
      <c r="F96" s="7"/>
      <c r="J96" t="s">
        <v>317</v>
      </c>
      <c r="K96" s="7">
        <f>K2+K97</f>
        <v>100.1</v>
      </c>
      <c r="L96" s="7">
        <f>L2+L97</f>
        <v>86.4</v>
      </c>
      <c r="M96" s="7">
        <f>M2+M97</f>
        <v>90.41</v>
      </c>
      <c r="N96" s="7">
        <f>N2+N97</f>
        <v>93.795086117868038</v>
      </c>
      <c r="P96" s="7">
        <f>N96-L96</f>
        <v>7.3950861178680327</v>
      </c>
      <c r="U96" s="78" t="s">
        <v>34</v>
      </c>
      <c r="V96" s="10">
        <f>Y88</f>
        <v>25.25</v>
      </c>
      <c r="W96" s="153">
        <f>Y84</f>
        <v>17.701783264746229</v>
      </c>
      <c r="X96" s="10">
        <f>S89</f>
        <v>17.381783264746229</v>
      </c>
      <c r="Z96" s="178"/>
    </row>
    <row r="97" spans="2:26" ht="15" thickBot="1" x14ac:dyDescent="0.4">
      <c r="B97" s="17"/>
      <c r="C97" s="71"/>
      <c r="D97" s="19"/>
      <c r="E97" s="65"/>
      <c r="F97" s="7"/>
      <c r="K97" s="7">
        <v>17.05</v>
      </c>
      <c r="L97">
        <v>7</v>
      </c>
      <c r="M97">
        <v>15</v>
      </c>
      <c r="N97" s="122">
        <v>22.725086117868045</v>
      </c>
      <c r="U97" s="79" t="s">
        <v>35</v>
      </c>
      <c r="V97" s="12">
        <f>Z88</f>
        <v>51.92</v>
      </c>
      <c r="W97" s="154">
        <f>Z84</f>
        <v>28.764740740740741</v>
      </c>
      <c r="X97" s="12">
        <f>S90</f>
        <v>28.764740740740741</v>
      </c>
      <c r="Z97" s="178"/>
    </row>
    <row r="98" spans="2:26" ht="15" thickTop="1" x14ac:dyDescent="0.35">
      <c r="B98" s="17"/>
      <c r="C98" s="71"/>
      <c r="D98" s="19"/>
      <c r="E98" s="65"/>
      <c r="F98" s="7"/>
      <c r="U98" s="80" t="s">
        <v>130</v>
      </c>
      <c r="V98" s="7">
        <f>SUM(V94:V97)</f>
        <v>118.63000000000001</v>
      </c>
      <c r="W98" s="7">
        <f>SUM(W94:W97)</f>
        <v>80.002524005486976</v>
      </c>
      <c r="X98" s="7">
        <f>SUM(X94:X97)</f>
        <v>80.002524005486976</v>
      </c>
      <c r="Z98" s="178"/>
    </row>
    <row r="99" spans="2:26" x14ac:dyDescent="0.35">
      <c r="B99" s="17"/>
      <c r="C99" s="71"/>
      <c r="D99" s="19"/>
      <c r="E99" s="65"/>
      <c r="F99" s="7"/>
      <c r="J99" s="147" t="s">
        <v>335</v>
      </c>
      <c r="K99" s="147"/>
      <c r="L99" s="147"/>
      <c r="M99" s="147" t="s">
        <v>340</v>
      </c>
      <c r="O99" t="s">
        <v>341</v>
      </c>
      <c r="W99" s="7"/>
    </row>
    <row r="100" spans="2:26" x14ac:dyDescent="0.35">
      <c r="B100" s="17"/>
      <c r="C100" s="71"/>
      <c r="D100" s="19"/>
      <c r="E100" s="65"/>
      <c r="F100" s="7"/>
      <c r="J100" t="s">
        <v>317</v>
      </c>
      <c r="L100" s="7">
        <f>L2+L97+(5000/560/2.23)</f>
        <v>90.403843689942349</v>
      </c>
      <c r="W100">
        <f>SUMIF(B5:B83,"A",D5:D84)</f>
        <v>0</v>
      </c>
    </row>
    <row r="101" spans="2:26" x14ac:dyDescent="0.35">
      <c r="B101" s="17"/>
      <c r="C101" s="71"/>
      <c r="D101" s="19"/>
      <c r="E101" s="65"/>
      <c r="F101" s="7"/>
      <c r="J101" t="s">
        <v>336</v>
      </c>
      <c r="L101" s="7">
        <f>N2+13.11+(24000/560/2.23)</f>
        <v>103.39844971172325</v>
      </c>
      <c r="M101" s="7">
        <f>L101-L100</f>
        <v>12.994606021780896</v>
      </c>
      <c r="N101" s="7"/>
      <c r="O101" s="181">
        <f>M101*32000</f>
        <v>415827.39269698865</v>
      </c>
    </row>
    <row r="102" spans="2:26" x14ac:dyDescent="0.35">
      <c r="B102" s="17"/>
      <c r="C102" s="71"/>
      <c r="D102" s="19"/>
      <c r="E102" s="65"/>
      <c r="F102" s="7"/>
      <c r="J102" t="s">
        <v>338</v>
      </c>
      <c r="L102" s="7">
        <f>K2+17.5</f>
        <v>100.55</v>
      </c>
      <c r="M102" s="7">
        <f>L102-L100</f>
        <v>10.146156310057648</v>
      </c>
      <c r="O102" s="181">
        <f>M102*32000</f>
        <v>324677.00192184473</v>
      </c>
    </row>
    <row r="103" spans="2:26" x14ac:dyDescent="0.35">
      <c r="B103" s="17"/>
      <c r="C103" s="71"/>
      <c r="D103" s="19"/>
      <c r="E103" s="65"/>
      <c r="F103" s="7"/>
      <c r="J103" t="s">
        <v>339</v>
      </c>
      <c r="L103" s="7">
        <f>N2+22.73+(5000/560/2.23)</f>
        <v>97.80384368994234</v>
      </c>
    </row>
    <row r="104" spans="2:26" x14ac:dyDescent="0.35">
      <c r="B104" s="17"/>
      <c r="C104" s="71"/>
      <c r="D104" s="19"/>
      <c r="E104" s="65"/>
      <c r="F104" s="7"/>
      <c r="O104">
        <f>64000*167</f>
        <v>10688000</v>
      </c>
    </row>
    <row r="105" spans="2:26" x14ac:dyDescent="0.35">
      <c r="B105" s="17"/>
      <c r="C105" s="71"/>
      <c r="D105" s="19"/>
      <c r="E105" s="65"/>
      <c r="F105" s="7"/>
    </row>
    <row r="106" spans="2:26" x14ac:dyDescent="0.35">
      <c r="B106" s="17"/>
      <c r="C106" s="71"/>
      <c r="D106" s="19"/>
      <c r="E106" s="65"/>
      <c r="F106" s="7"/>
    </row>
    <row r="107" spans="2:26" x14ac:dyDescent="0.35">
      <c r="B107" s="17"/>
      <c r="C107" s="71"/>
      <c r="D107" s="19"/>
      <c r="E107" s="65"/>
      <c r="F107" s="7"/>
    </row>
    <row r="108" spans="2:26" x14ac:dyDescent="0.35">
      <c r="B108" s="17"/>
      <c r="C108" s="71"/>
      <c r="D108" s="19"/>
      <c r="E108" s="65"/>
      <c r="F108" s="7"/>
      <c r="J108" s="180">
        <v>6235024</v>
      </c>
      <c r="K108" s="180">
        <v>1090515207</v>
      </c>
      <c r="L108" s="180">
        <v>2487025</v>
      </c>
      <c r="M108" s="180">
        <v>353959889</v>
      </c>
    </row>
    <row r="109" spans="2:26" x14ac:dyDescent="0.35">
      <c r="B109" s="17"/>
      <c r="C109" s="71"/>
      <c r="D109" s="19"/>
      <c r="E109" s="65"/>
      <c r="F109" s="7"/>
      <c r="J109" s="179">
        <f>J108+L108</f>
        <v>8722049</v>
      </c>
      <c r="K109" s="179">
        <f>K108+M108</f>
        <v>1444475096</v>
      </c>
      <c r="L109">
        <f>K109/J109</f>
        <v>165.61189876369647</v>
      </c>
    </row>
    <row r="110" spans="2:26" x14ac:dyDescent="0.35">
      <c r="B110" s="17"/>
      <c r="C110" s="71"/>
      <c r="D110" s="19"/>
      <c r="E110" s="65"/>
      <c r="F110" s="7"/>
      <c r="L110" s="181">
        <f>64000*L109</f>
        <v>10599161.520876573</v>
      </c>
    </row>
    <row r="111" spans="2:26" x14ac:dyDescent="0.35">
      <c r="B111" s="17"/>
      <c r="C111" s="71"/>
      <c r="D111" s="19"/>
      <c r="E111" s="65"/>
      <c r="F111" s="7"/>
    </row>
    <row r="112" spans="2:26" x14ac:dyDescent="0.35">
      <c r="B112" s="17"/>
      <c r="C112" s="71"/>
      <c r="D112" s="19"/>
      <c r="E112" s="65"/>
      <c r="F112" s="7"/>
    </row>
    <row r="113" spans="2:6" x14ac:dyDescent="0.35">
      <c r="B113" s="17"/>
      <c r="C113" s="71"/>
      <c r="D113" s="19"/>
      <c r="E113" s="65"/>
      <c r="F113" s="7"/>
    </row>
    <row r="114" spans="2:6" x14ac:dyDescent="0.35">
      <c r="B114" s="17"/>
      <c r="C114" s="71"/>
      <c r="D114" s="19"/>
      <c r="E114" s="65"/>
      <c r="F114" s="7"/>
    </row>
    <row r="115" spans="2:6" x14ac:dyDescent="0.35">
      <c r="B115" s="17"/>
      <c r="C115" s="71"/>
      <c r="D115" s="19"/>
      <c r="E115" s="65"/>
      <c r="F115" s="7"/>
    </row>
    <row r="116" spans="2:6" x14ac:dyDescent="0.35">
      <c r="B116" s="17"/>
      <c r="C116" s="71"/>
      <c r="D116" s="19"/>
      <c r="E116" s="65"/>
      <c r="F116" s="7"/>
    </row>
    <row r="117" spans="2:6" x14ac:dyDescent="0.35">
      <c r="B117" s="17"/>
      <c r="C117" s="71"/>
      <c r="D117" s="19"/>
      <c r="E117" s="65"/>
      <c r="F117" s="7"/>
    </row>
    <row r="118" spans="2:6" x14ac:dyDescent="0.35">
      <c r="B118" s="17"/>
      <c r="C118" s="71"/>
      <c r="D118" s="19"/>
      <c r="E118" s="65"/>
      <c r="F118" s="7"/>
    </row>
    <row r="119" spans="2:6" x14ac:dyDescent="0.35">
      <c r="B119" s="17"/>
      <c r="C119" s="71"/>
      <c r="D119" s="19"/>
      <c r="E119" s="65"/>
      <c r="F119" s="7"/>
    </row>
    <row r="120" spans="2:6" x14ac:dyDescent="0.35">
      <c r="B120" s="17"/>
      <c r="C120" s="71"/>
      <c r="D120" s="19"/>
      <c r="E120" s="65"/>
      <c r="F120" s="7"/>
    </row>
    <row r="121" spans="2:6" x14ac:dyDescent="0.35">
      <c r="B121" s="17"/>
      <c r="C121" s="71"/>
      <c r="D121" s="19"/>
      <c r="E121" s="65"/>
      <c r="F121" s="7"/>
    </row>
    <row r="122" spans="2:6" x14ac:dyDescent="0.35">
      <c r="B122" s="17"/>
      <c r="C122" s="71"/>
      <c r="D122" s="19"/>
      <c r="E122" s="65"/>
      <c r="F122" s="7"/>
    </row>
    <row r="123" spans="2:6" x14ac:dyDescent="0.35">
      <c r="B123" s="17"/>
      <c r="C123" s="71"/>
      <c r="D123" s="19"/>
      <c r="E123" s="65"/>
      <c r="F123" s="7"/>
    </row>
    <row r="124" spans="2:6" x14ac:dyDescent="0.35">
      <c r="B124" s="17"/>
      <c r="C124" s="71"/>
      <c r="D124" s="19"/>
      <c r="E124" s="65"/>
      <c r="F124" s="7"/>
    </row>
    <row r="125" spans="2:6" x14ac:dyDescent="0.35">
      <c r="B125" s="17"/>
      <c r="C125" s="71"/>
      <c r="D125" s="19"/>
      <c r="E125" s="65"/>
      <c r="F125" s="7"/>
    </row>
    <row r="126" spans="2:6" x14ac:dyDescent="0.35">
      <c r="B126" s="17"/>
      <c r="C126" s="71"/>
      <c r="D126" s="19"/>
      <c r="E126" s="65"/>
      <c r="F126" s="7"/>
    </row>
    <row r="127" spans="2:6" x14ac:dyDescent="0.35">
      <c r="B127" s="17"/>
      <c r="C127" s="71"/>
      <c r="D127" s="19"/>
      <c r="E127" s="65"/>
      <c r="F127" s="7"/>
    </row>
    <row r="128" spans="2:6" x14ac:dyDescent="0.35">
      <c r="B128" s="17"/>
      <c r="C128" s="71"/>
      <c r="D128" s="19"/>
      <c r="E128" s="65"/>
      <c r="F128" s="7"/>
    </row>
    <row r="129" spans="2:6" x14ac:dyDescent="0.35">
      <c r="B129" s="17"/>
      <c r="C129" s="71"/>
      <c r="D129" s="19"/>
      <c r="E129" s="65"/>
      <c r="F129" s="7"/>
    </row>
    <row r="130" spans="2:6" x14ac:dyDescent="0.35">
      <c r="B130" s="17"/>
      <c r="C130" s="71"/>
      <c r="D130" s="19"/>
      <c r="E130" s="65"/>
      <c r="F130" s="7"/>
    </row>
    <row r="131" spans="2:6" x14ac:dyDescent="0.35">
      <c r="B131" s="17"/>
      <c r="C131" s="71"/>
      <c r="D131" s="19"/>
      <c r="E131" s="65"/>
      <c r="F131" s="7"/>
    </row>
    <row r="132" spans="2:6" x14ac:dyDescent="0.35">
      <c r="B132" s="17"/>
      <c r="C132" s="71"/>
      <c r="D132" s="19"/>
      <c r="E132" s="65"/>
      <c r="F132" s="7"/>
    </row>
    <row r="133" spans="2:6" x14ac:dyDescent="0.35">
      <c r="B133" s="17"/>
      <c r="C133" s="71"/>
      <c r="D133" s="19"/>
      <c r="E133" s="65"/>
      <c r="F133" s="7"/>
    </row>
    <row r="134" spans="2:6" x14ac:dyDescent="0.35">
      <c r="B134" s="17"/>
      <c r="C134" s="71"/>
      <c r="D134" s="19"/>
      <c r="E134" s="65"/>
      <c r="F134" s="7"/>
    </row>
    <row r="135" spans="2:6" x14ac:dyDescent="0.35">
      <c r="B135" s="17"/>
      <c r="C135" s="71"/>
      <c r="D135" s="19"/>
      <c r="E135" s="65"/>
      <c r="F135" s="7"/>
    </row>
    <row r="136" spans="2:6" x14ac:dyDescent="0.35">
      <c r="B136" s="17"/>
      <c r="C136" s="71"/>
      <c r="D136" s="19"/>
      <c r="E136" s="65"/>
      <c r="F136" s="7"/>
    </row>
    <row r="137" spans="2:6" x14ac:dyDescent="0.35">
      <c r="B137" s="17"/>
      <c r="C137" s="71"/>
      <c r="D137" s="19"/>
      <c r="E137" s="65"/>
      <c r="F137" s="7"/>
    </row>
    <row r="138" spans="2:6" x14ac:dyDescent="0.35">
      <c r="B138" s="17"/>
      <c r="C138" s="71"/>
      <c r="D138" s="19"/>
      <c r="E138" s="65"/>
      <c r="F138" s="7"/>
    </row>
    <row r="139" spans="2:6" x14ac:dyDescent="0.35">
      <c r="B139" s="17"/>
      <c r="C139" s="71"/>
      <c r="D139" s="19"/>
      <c r="E139" s="65"/>
      <c r="F139" s="7"/>
    </row>
    <row r="140" spans="2:6" x14ac:dyDescent="0.35">
      <c r="B140" s="17"/>
      <c r="C140" s="71"/>
      <c r="D140" s="19"/>
      <c r="E140" s="65"/>
      <c r="F140" s="7"/>
    </row>
    <row r="141" spans="2:6" x14ac:dyDescent="0.35">
      <c r="B141" s="17"/>
      <c r="C141" s="71"/>
      <c r="D141" s="19"/>
      <c r="E141" s="65"/>
      <c r="F141" s="7"/>
    </row>
    <row r="142" spans="2:6" x14ac:dyDescent="0.35">
      <c r="B142" s="17"/>
      <c r="C142" s="71"/>
      <c r="D142" s="19"/>
      <c r="E142" s="65"/>
      <c r="F142" s="7"/>
    </row>
    <row r="143" spans="2:6" x14ac:dyDescent="0.35">
      <c r="B143" s="17"/>
      <c r="C143" s="71"/>
      <c r="D143" s="19"/>
      <c r="E143" s="65"/>
      <c r="F143" s="7"/>
    </row>
    <row r="144" spans="2:6" x14ac:dyDescent="0.35">
      <c r="B144" s="17"/>
      <c r="C144" s="71"/>
      <c r="D144" s="19"/>
      <c r="E144" s="65"/>
      <c r="F144" s="7"/>
    </row>
    <row r="145" spans="2:6" x14ac:dyDescent="0.35">
      <c r="B145" s="17"/>
      <c r="C145" s="71"/>
      <c r="D145" s="111"/>
      <c r="E145" s="65"/>
      <c r="F145" s="7"/>
    </row>
    <row r="146" spans="2:6" x14ac:dyDescent="0.35">
      <c r="B146" s="17"/>
      <c r="C146" s="71"/>
      <c r="D146" s="19"/>
      <c r="E146" s="65"/>
      <c r="F146" s="7"/>
    </row>
    <row r="147" spans="2:6" x14ac:dyDescent="0.35">
      <c r="B147" s="17"/>
      <c r="C147" s="71"/>
      <c r="D147" s="19"/>
      <c r="E147" s="65"/>
      <c r="F147" s="7"/>
    </row>
    <row r="148" spans="2:6" x14ac:dyDescent="0.35">
      <c r="B148" s="17"/>
      <c r="C148" s="71"/>
      <c r="D148" s="19"/>
      <c r="E148" s="65"/>
      <c r="F148" s="7"/>
    </row>
    <row r="149" spans="2:6" x14ac:dyDescent="0.35">
      <c r="B149" s="17"/>
      <c r="C149" s="71"/>
      <c r="D149" s="19"/>
      <c r="E149" s="65"/>
      <c r="F149" s="7"/>
    </row>
    <row r="150" spans="2:6" x14ac:dyDescent="0.35">
      <c r="B150" s="17"/>
      <c r="C150" s="71"/>
      <c r="D150" s="19"/>
      <c r="E150" s="65"/>
      <c r="F150" s="7"/>
    </row>
    <row r="151" spans="2:6" x14ac:dyDescent="0.35">
      <c r="B151" s="17"/>
      <c r="C151" s="71"/>
      <c r="D151" s="19"/>
      <c r="E151" s="65"/>
      <c r="F151" s="7"/>
    </row>
    <row r="152" spans="2:6" x14ac:dyDescent="0.35">
      <c r="B152" s="17"/>
      <c r="C152" s="71"/>
      <c r="D152" s="19"/>
      <c r="E152" s="65"/>
      <c r="F152" s="7"/>
    </row>
    <row r="153" spans="2:6" x14ac:dyDescent="0.35">
      <c r="B153" s="17"/>
      <c r="C153" s="71"/>
      <c r="D153" s="19"/>
      <c r="E153" s="65"/>
      <c r="F153" s="7"/>
    </row>
    <row r="154" spans="2:6" x14ac:dyDescent="0.35">
      <c r="B154" s="17"/>
      <c r="C154" s="71"/>
      <c r="D154" s="19"/>
      <c r="E154" s="65"/>
      <c r="F154" s="7"/>
    </row>
    <row r="155" spans="2:6" x14ac:dyDescent="0.35">
      <c r="B155" s="17"/>
      <c r="C155" s="71"/>
      <c r="D155" s="19"/>
      <c r="E155" s="65"/>
      <c r="F155" s="7"/>
    </row>
    <row r="156" spans="2:6" x14ac:dyDescent="0.35">
      <c r="B156" s="17"/>
      <c r="C156" s="71"/>
      <c r="D156" s="19"/>
      <c r="E156" s="65"/>
      <c r="F156" s="7"/>
    </row>
    <row r="157" spans="2:6" x14ac:dyDescent="0.35">
      <c r="B157" s="17"/>
      <c r="C157" s="71"/>
      <c r="D157" s="19"/>
      <c r="E157" s="65"/>
      <c r="F157" s="7"/>
    </row>
    <row r="158" spans="2:6" x14ac:dyDescent="0.35">
      <c r="B158" s="17"/>
      <c r="C158" s="71"/>
      <c r="D158" s="19"/>
      <c r="E158" s="65"/>
      <c r="F158" s="7"/>
    </row>
    <row r="159" spans="2:6" ht="15" thickBot="1" x14ac:dyDescent="0.4">
      <c r="B159" s="18"/>
      <c r="C159" s="72"/>
      <c r="D159" s="20"/>
      <c r="E159" s="65"/>
      <c r="F159" s="7"/>
    </row>
    <row r="160" spans="2:6" x14ac:dyDescent="0.35">
      <c r="D160" s="52"/>
      <c r="E160" s="65"/>
      <c r="F160" s="7"/>
    </row>
  </sheetData>
  <autoFilter ref="A4:AE84" xr:uid="{00000000-0001-0000-0100-000000000000}"/>
  <sortState xmlns:xlrd2="http://schemas.microsoft.com/office/spreadsheetml/2017/richdata2" ref="B5:AG83">
    <sortCondition ref="B5:B83"/>
  </sortState>
  <mergeCells count="4">
    <mergeCell ref="F3:I3"/>
    <mergeCell ref="K3:N3"/>
    <mergeCell ref="P3:S3"/>
    <mergeCell ref="U3:AA3"/>
  </mergeCells>
  <conditionalFormatting sqref="S87:S90">
    <cfRule type="expression" dxfId="0" priority="1">
      <formula>S87&gt;R87</formula>
    </cfRule>
  </conditionalFormatting>
  <dataValidations disablePrompts="1" count="1">
    <dataValidation type="list" allowBlank="1" showInputMessage="1" showErrorMessage="1" sqref="G2" xr:uid="{00000000-0002-0000-0100-000000000000}">
      <formula1>"Gyproc,E&amp;Y"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81"/>
  <sheetViews>
    <sheetView zoomScale="70" zoomScaleNormal="90" workbookViewId="0">
      <selection activeCell="E19" sqref="E19"/>
    </sheetView>
  </sheetViews>
  <sheetFormatPr defaultRowHeight="14.5" x14ac:dyDescent="0.35"/>
  <cols>
    <col min="1" max="1" width="22.81640625" bestFit="1" customWidth="1"/>
    <col min="2" max="2" width="19.7265625" bestFit="1" customWidth="1"/>
    <col min="3" max="3" width="13.08984375" bestFit="1" customWidth="1"/>
    <col min="4" max="5" width="14.453125" bestFit="1" customWidth="1"/>
    <col min="6" max="6" width="22.81640625" bestFit="1" customWidth="1"/>
    <col min="7" max="7" width="10.1796875" customWidth="1"/>
    <col min="10" max="10" width="14.54296875" customWidth="1"/>
    <col min="12" max="12" width="25.1796875" customWidth="1"/>
    <col min="13" max="13" width="12.54296875" customWidth="1"/>
    <col min="15" max="15" width="11.1796875" bestFit="1" customWidth="1"/>
    <col min="18" max="18" width="20.1796875" bestFit="1" customWidth="1"/>
    <col min="19" max="19" width="12.453125" bestFit="1" customWidth="1"/>
  </cols>
  <sheetData>
    <row r="1" spans="1:22" ht="15" thickBot="1" x14ac:dyDescent="0.4">
      <c r="A1" s="107" t="s">
        <v>158</v>
      </c>
      <c r="B1" s="146" t="s">
        <v>30</v>
      </c>
      <c r="C1" s="151" t="s">
        <v>31</v>
      </c>
      <c r="D1" s="112" t="s">
        <v>155</v>
      </c>
      <c r="E1" s="106" t="s">
        <v>156</v>
      </c>
      <c r="F1" s="107" t="str">
        <f>A1</f>
        <v>STATE</v>
      </c>
      <c r="G1" s="107"/>
      <c r="P1" s="126"/>
    </row>
    <row r="2" spans="1:22" x14ac:dyDescent="0.35">
      <c r="A2" t="s">
        <v>159</v>
      </c>
      <c r="B2" t="s">
        <v>44</v>
      </c>
      <c r="C2" s="155">
        <f t="shared" ref="C2:C14" si="0">D2*$N$36</f>
        <v>1.28</v>
      </c>
      <c r="D2" s="170">
        <f>0.08/5</f>
        <v>1.6E-2</v>
      </c>
      <c r="E2" s="169">
        <f>D2/SUMIF($F$2:$F$80,A2,$D$2:$D$80)</f>
        <v>0.2</v>
      </c>
      <c r="F2" s="6" t="str">
        <f t="shared" ref="F2:F66" si="1">A2</f>
        <v>I406-Banglore</v>
      </c>
      <c r="R2" s="81"/>
      <c r="S2" s="81"/>
      <c r="T2" s="81"/>
      <c r="V2" s="81"/>
    </row>
    <row r="3" spans="1:22" ht="30" x14ac:dyDescent="0.35">
      <c r="A3" t="s">
        <v>159</v>
      </c>
      <c r="B3" t="s">
        <v>45</v>
      </c>
      <c r="C3" s="155">
        <f t="shared" si="0"/>
        <v>1.28</v>
      </c>
      <c r="D3" s="170">
        <f>D2</f>
        <v>1.6E-2</v>
      </c>
      <c r="E3" s="169">
        <f t="shared" ref="E3:E66" si="2">D3/SUMIF($F$2:$F$80,A3,$D$2:$D$80)</f>
        <v>0.2</v>
      </c>
      <c r="F3" s="6" t="str">
        <f t="shared" si="1"/>
        <v>I406-Banglore</v>
      </c>
      <c r="I3" s="94" t="s">
        <v>180</v>
      </c>
      <c r="J3" s="94"/>
      <c r="K3" s="94" t="s">
        <v>157</v>
      </c>
      <c r="L3" s="94" t="s">
        <v>181</v>
      </c>
      <c r="M3" s="116" t="s">
        <v>182</v>
      </c>
      <c r="N3" s="94" t="s">
        <v>183</v>
      </c>
      <c r="S3" s="65"/>
    </row>
    <row r="4" spans="1:22" ht="15.5" x14ac:dyDescent="0.35">
      <c r="A4" t="s">
        <v>159</v>
      </c>
      <c r="B4" t="s">
        <v>46</v>
      </c>
      <c r="C4" s="155">
        <f t="shared" si="0"/>
        <v>1.28</v>
      </c>
      <c r="D4" s="170">
        <f>D3</f>
        <v>1.6E-2</v>
      </c>
      <c r="E4" s="169">
        <f t="shared" si="2"/>
        <v>0.2</v>
      </c>
      <c r="F4" s="6" t="str">
        <f t="shared" si="1"/>
        <v>I406-Banglore</v>
      </c>
      <c r="I4" s="95"/>
      <c r="J4" s="96"/>
      <c r="K4" s="96"/>
      <c r="L4" s="97" t="s">
        <v>166</v>
      </c>
      <c r="M4" s="117">
        <f t="shared" ref="M4:M10" si="3">O4*$N$36*100000</f>
        <v>160000</v>
      </c>
      <c r="N4" s="105">
        <f>M4/100000</f>
        <v>1.6</v>
      </c>
      <c r="O4" s="65">
        <f t="shared" ref="O4:O10" si="4">SUMIF($A$2:$A$80,L4,$D$2:$D$80)</f>
        <v>0.02</v>
      </c>
      <c r="S4" s="65"/>
    </row>
    <row r="5" spans="1:22" ht="15.5" x14ac:dyDescent="0.35">
      <c r="A5" t="s">
        <v>159</v>
      </c>
      <c r="B5" s="157" t="s">
        <v>47</v>
      </c>
      <c r="C5" s="155">
        <f t="shared" si="0"/>
        <v>1.28</v>
      </c>
      <c r="D5" s="170">
        <f>D4</f>
        <v>1.6E-2</v>
      </c>
      <c r="E5" s="169">
        <f t="shared" si="2"/>
        <v>0.2</v>
      </c>
      <c r="F5" s="6" t="str">
        <f t="shared" si="1"/>
        <v>I406-Banglore</v>
      </c>
      <c r="I5" s="95"/>
      <c r="J5" s="96"/>
      <c r="K5" s="96"/>
      <c r="L5" s="97" t="s">
        <v>179</v>
      </c>
      <c r="M5" s="117">
        <f t="shared" si="3"/>
        <v>20800</v>
      </c>
      <c r="N5" s="105">
        <f t="shared" ref="N5:N35" si="5">M5/100000</f>
        <v>0.20799999999999999</v>
      </c>
      <c r="O5" s="65">
        <f t="shared" si="4"/>
        <v>2.5999999999999999E-3</v>
      </c>
      <c r="S5" s="65"/>
    </row>
    <row r="6" spans="1:22" ht="15.5" x14ac:dyDescent="0.35">
      <c r="A6" t="s">
        <v>159</v>
      </c>
      <c r="B6" s="157" t="s">
        <v>48</v>
      </c>
      <c r="C6" s="155">
        <f t="shared" si="0"/>
        <v>1.28</v>
      </c>
      <c r="D6" s="170">
        <f>D5</f>
        <v>1.6E-2</v>
      </c>
      <c r="E6" s="169">
        <f t="shared" si="2"/>
        <v>0.2</v>
      </c>
      <c r="F6" s="6" t="str">
        <f t="shared" si="1"/>
        <v>I406-Banglore</v>
      </c>
      <c r="I6" s="95" t="s">
        <v>185</v>
      </c>
      <c r="J6" s="96"/>
      <c r="K6" s="96"/>
      <c r="L6" s="97" t="s">
        <v>177</v>
      </c>
      <c r="M6" s="117">
        <f t="shared" si="3"/>
        <v>156800</v>
      </c>
      <c r="N6" s="105">
        <f t="shared" si="5"/>
        <v>1.5680000000000001</v>
      </c>
      <c r="O6" s="65">
        <f t="shared" si="4"/>
        <v>1.9599999999999999E-2</v>
      </c>
      <c r="S6" s="65"/>
    </row>
    <row r="7" spans="1:22" ht="15.5" x14ac:dyDescent="0.35">
      <c r="A7" t="s">
        <v>327</v>
      </c>
      <c r="B7" t="s">
        <v>49</v>
      </c>
      <c r="C7" s="155">
        <f t="shared" si="0"/>
        <v>1.56</v>
      </c>
      <c r="D7" s="170">
        <f>0.078/4</f>
        <v>1.95E-2</v>
      </c>
      <c r="E7" s="169">
        <f t="shared" si="2"/>
        <v>0.25</v>
      </c>
      <c r="F7" s="6" t="str">
        <f t="shared" si="1"/>
        <v>I405-Hyderabad</v>
      </c>
      <c r="I7" s="95"/>
      <c r="J7" s="96"/>
      <c r="K7" s="96"/>
      <c r="L7" s="97" t="s">
        <v>174</v>
      </c>
      <c r="M7" s="117">
        <f t="shared" si="3"/>
        <v>296000</v>
      </c>
      <c r="N7" s="105">
        <f t="shared" si="5"/>
        <v>2.96</v>
      </c>
      <c r="O7" s="65">
        <f t="shared" si="4"/>
        <v>3.6999999999999998E-2</v>
      </c>
      <c r="S7" s="65"/>
    </row>
    <row r="8" spans="1:22" ht="15.5" x14ac:dyDescent="0.35">
      <c r="A8" t="s">
        <v>327</v>
      </c>
      <c r="B8" t="s">
        <v>50</v>
      </c>
      <c r="C8" s="155">
        <f t="shared" si="0"/>
        <v>1.56</v>
      </c>
      <c r="D8" s="170">
        <f>D7</f>
        <v>1.95E-2</v>
      </c>
      <c r="E8" s="169">
        <f t="shared" si="2"/>
        <v>0.25</v>
      </c>
      <c r="F8" s="6" t="str">
        <f t="shared" si="1"/>
        <v>I405-Hyderabad</v>
      </c>
      <c r="I8" s="95"/>
      <c r="J8" s="96"/>
      <c r="K8" s="96"/>
      <c r="L8" s="97" t="s">
        <v>172</v>
      </c>
      <c r="M8" s="117">
        <f t="shared" si="3"/>
        <v>140000</v>
      </c>
      <c r="N8" s="105">
        <f t="shared" si="5"/>
        <v>1.4</v>
      </c>
      <c r="O8" s="65">
        <f t="shared" si="4"/>
        <v>1.7500000000000002E-2</v>
      </c>
      <c r="S8" s="65"/>
      <c r="T8" s="147"/>
    </row>
    <row r="9" spans="1:22" ht="15.5" x14ac:dyDescent="0.35">
      <c r="A9" t="s">
        <v>327</v>
      </c>
      <c r="B9" t="s">
        <v>51</v>
      </c>
      <c r="C9" s="155">
        <f t="shared" si="0"/>
        <v>1.56</v>
      </c>
      <c r="D9" s="170">
        <f>D8</f>
        <v>1.95E-2</v>
      </c>
      <c r="E9" s="169">
        <f t="shared" si="2"/>
        <v>0.25</v>
      </c>
      <c r="F9" s="6" t="str">
        <f t="shared" si="1"/>
        <v>I405-Hyderabad</v>
      </c>
      <c r="I9" s="98"/>
      <c r="J9" s="96"/>
      <c r="K9" s="96"/>
      <c r="L9" s="99" t="s">
        <v>176</v>
      </c>
      <c r="M9" s="117">
        <f t="shared" si="3"/>
        <v>45600</v>
      </c>
      <c r="N9" s="105">
        <f t="shared" si="5"/>
        <v>0.45600000000000002</v>
      </c>
      <c r="O9" s="65">
        <f t="shared" si="4"/>
        <v>5.7000000000000002E-3</v>
      </c>
      <c r="S9" s="65"/>
    </row>
    <row r="10" spans="1:22" ht="15.5" x14ac:dyDescent="0.35">
      <c r="A10" t="s">
        <v>327</v>
      </c>
      <c r="B10" t="s">
        <v>160</v>
      </c>
      <c r="C10" s="155">
        <f t="shared" si="0"/>
        <v>1.56</v>
      </c>
      <c r="D10" s="170">
        <f>D9</f>
        <v>1.95E-2</v>
      </c>
      <c r="E10" s="169">
        <f t="shared" si="2"/>
        <v>0.25</v>
      </c>
      <c r="F10" s="6" t="str">
        <f t="shared" si="1"/>
        <v>I405-Hyderabad</v>
      </c>
      <c r="I10" s="98"/>
      <c r="J10" s="96"/>
      <c r="K10" s="96"/>
      <c r="L10" s="99" t="s">
        <v>165</v>
      </c>
      <c r="M10" s="117">
        <f t="shared" si="3"/>
        <v>246400</v>
      </c>
      <c r="N10" s="105">
        <f t="shared" si="5"/>
        <v>2.464</v>
      </c>
      <c r="O10" s="65">
        <f t="shared" si="4"/>
        <v>3.0800000000000001E-2</v>
      </c>
      <c r="S10" s="65"/>
    </row>
    <row r="11" spans="1:22" ht="15.5" x14ac:dyDescent="0.35">
      <c r="A11" t="s">
        <v>161</v>
      </c>
      <c r="B11" t="s">
        <v>54</v>
      </c>
      <c r="C11" s="155">
        <f t="shared" si="0"/>
        <v>2.1333333333333333</v>
      </c>
      <c r="D11" s="171">
        <f>8/3/100</f>
        <v>2.6666666666666665E-2</v>
      </c>
      <c r="E11" s="169">
        <f t="shared" si="2"/>
        <v>0.3129890453834116</v>
      </c>
      <c r="F11" s="6" t="str">
        <f t="shared" si="1"/>
        <v>I304-Mumbai</v>
      </c>
      <c r="I11" s="100"/>
      <c r="J11" s="100"/>
      <c r="K11" s="100"/>
      <c r="L11" s="101" t="s">
        <v>185</v>
      </c>
      <c r="M11" s="118">
        <f>SUM(M4:M10)</f>
        <v>1065600</v>
      </c>
      <c r="N11" s="105"/>
      <c r="O11" s="173"/>
      <c r="S11" s="65"/>
    </row>
    <row r="12" spans="1:22" ht="15.5" x14ac:dyDescent="0.35">
      <c r="A12" t="s">
        <v>161</v>
      </c>
      <c r="B12" t="s">
        <v>55</v>
      </c>
      <c r="C12" s="155">
        <f t="shared" si="0"/>
        <v>2.1333333333333333</v>
      </c>
      <c r="D12" s="171">
        <f>D11</f>
        <v>2.6666666666666665E-2</v>
      </c>
      <c r="E12" s="169">
        <f t="shared" si="2"/>
        <v>0.3129890453834116</v>
      </c>
      <c r="F12" s="6" t="str">
        <f t="shared" si="1"/>
        <v>I304-Mumbai</v>
      </c>
      <c r="I12" s="98"/>
      <c r="J12" s="96"/>
      <c r="K12" s="96"/>
      <c r="L12" s="99" t="s">
        <v>168</v>
      </c>
      <c r="M12" s="117">
        <f>O12*$N$36*100000</f>
        <v>192000</v>
      </c>
      <c r="N12" s="105">
        <f t="shared" si="5"/>
        <v>1.92</v>
      </c>
      <c r="O12" s="65">
        <f>SUMIF($A$2:$A$80,L12,$D$2:$D$80)</f>
        <v>2.4E-2</v>
      </c>
      <c r="S12" s="65"/>
    </row>
    <row r="13" spans="1:22" ht="15.5" x14ac:dyDescent="0.35">
      <c r="A13" t="s">
        <v>161</v>
      </c>
      <c r="B13" t="s">
        <v>56</v>
      </c>
      <c r="C13" s="155">
        <f t="shared" si="0"/>
        <v>2.1333333333333333</v>
      </c>
      <c r="D13" s="171">
        <f>D12</f>
        <v>2.6666666666666665E-2</v>
      </c>
      <c r="E13" s="169">
        <f t="shared" si="2"/>
        <v>0.3129890453834116</v>
      </c>
      <c r="F13" s="6" t="str">
        <f t="shared" si="1"/>
        <v>I304-Mumbai</v>
      </c>
      <c r="I13" s="98"/>
      <c r="J13" s="96"/>
      <c r="K13" s="96"/>
      <c r="L13" s="99" t="s">
        <v>169</v>
      </c>
      <c r="M13" s="117">
        <f>O13*$N$36*100000</f>
        <v>176800.00000000003</v>
      </c>
      <c r="N13" s="105">
        <f t="shared" si="5"/>
        <v>1.7680000000000002</v>
      </c>
      <c r="O13" s="65">
        <f>SUMIF($A$2:$A$80,L13,$D$2:$D$80)</f>
        <v>2.2100000000000002E-2</v>
      </c>
      <c r="S13" s="65"/>
    </row>
    <row r="14" spans="1:22" ht="15.5" x14ac:dyDescent="0.35">
      <c r="A14" t="s">
        <v>162</v>
      </c>
      <c r="B14" t="s">
        <v>57</v>
      </c>
      <c r="C14" s="155">
        <f t="shared" si="0"/>
        <v>2.8000000000000003</v>
      </c>
      <c r="D14" s="172">
        <v>3.5000000000000003E-2</v>
      </c>
      <c r="E14" s="169">
        <f t="shared" si="2"/>
        <v>0.30303030303030304</v>
      </c>
      <c r="F14" s="6" t="str">
        <f t="shared" si="1"/>
        <v>I305-Rest Of Maharashtra</v>
      </c>
      <c r="I14" s="95" t="s">
        <v>187</v>
      </c>
      <c r="J14" s="96"/>
      <c r="K14" s="96"/>
      <c r="L14" s="99" t="s">
        <v>167</v>
      </c>
      <c r="M14" s="117">
        <f>O14*$N$36*100000</f>
        <v>154400</v>
      </c>
      <c r="N14" s="105">
        <f t="shared" si="5"/>
        <v>1.544</v>
      </c>
      <c r="O14" s="65">
        <f>SUMIF($A$2:$A$80,L14,$D$2:$D$80)</f>
        <v>1.9300000000000001E-2</v>
      </c>
      <c r="S14" s="65"/>
    </row>
    <row r="15" spans="1:22" ht="15.5" x14ac:dyDescent="0.35">
      <c r="A15" t="s">
        <v>162</v>
      </c>
      <c r="B15" t="s">
        <v>58</v>
      </c>
      <c r="C15" s="155">
        <f>D14*$N$36</f>
        <v>2.8000000000000003</v>
      </c>
      <c r="D15" s="172">
        <f>D14</f>
        <v>3.5000000000000003E-2</v>
      </c>
      <c r="E15" s="169">
        <f t="shared" si="2"/>
        <v>0.30303030303030304</v>
      </c>
      <c r="F15" s="6" t="str">
        <f t="shared" si="1"/>
        <v>I305-Rest Of Maharashtra</v>
      </c>
      <c r="I15" s="98"/>
      <c r="J15" s="96"/>
      <c r="K15" s="96"/>
      <c r="L15" s="99" t="s">
        <v>170</v>
      </c>
      <c r="M15" s="117">
        <f>O15*$N$36*100000</f>
        <v>75600</v>
      </c>
      <c r="N15" s="105">
        <f t="shared" si="5"/>
        <v>0.75600000000000001</v>
      </c>
      <c r="O15" s="65">
        <f>SUMIF($A$2:$A$80,L15,$D$2:$D$80)/2</f>
        <v>9.4500000000000001E-3</v>
      </c>
      <c r="S15" s="65"/>
    </row>
    <row r="16" spans="1:22" ht="15.5" x14ac:dyDescent="0.35">
      <c r="A16" t="s">
        <v>323</v>
      </c>
      <c r="B16" t="s">
        <v>59</v>
      </c>
      <c r="C16" s="155">
        <f t="shared" ref="C16:C48" si="6">D16*$N$36</f>
        <v>2.72</v>
      </c>
      <c r="D16" s="150">
        <v>3.4000000000000002E-2</v>
      </c>
      <c r="E16" s="169">
        <f t="shared" si="2"/>
        <v>1</v>
      </c>
      <c r="F16" s="6" t="str">
        <f t="shared" si="1"/>
        <v>I404-Chennai</v>
      </c>
      <c r="I16" s="95"/>
      <c r="J16" s="96"/>
      <c r="K16" s="96"/>
      <c r="L16" s="99" t="s">
        <v>188</v>
      </c>
      <c r="M16" s="117">
        <f>O16*$N$36*100000</f>
        <v>75600</v>
      </c>
      <c r="N16" s="105">
        <f t="shared" si="5"/>
        <v>0.75600000000000001</v>
      </c>
      <c r="O16" s="65">
        <f>O15</f>
        <v>9.4500000000000001E-3</v>
      </c>
      <c r="S16" s="65"/>
    </row>
    <row r="17" spans="1:20" ht="15.5" x14ac:dyDescent="0.35">
      <c r="A17" t="s">
        <v>163</v>
      </c>
      <c r="B17" t="s">
        <v>60</v>
      </c>
      <c r="C17" s="155">
        <f t="shared" si="6"/>
        <v>2.16</v>
      </c>
      <c r="D17" s="150">
        <v>2.7E-2</v>
      </c>
      <c r="E17" s="169">
        <f t="shared" si="2"/>
        <v>0.33846339030849121</v>
      </c>
      <c r="F17" s="6" t="str">
        <f t="shared" si="1"/>
        <v>I301-Gujarat</v>
      </c>
      <c r="I17" s="100"/>
      <c r="J17" s="100"/>
      <c r="K17" s="100"/>
      <c r="L17" s="101" t="s">
        <v>187</v>
      </c>
      <c r="M17" s="118">
        <f>SUM(M12:M16)</f>
        <v>674400</v>
      </c>
      <c r="N17" s="105"/>
      <c r="O17" s="173"/>
      <c r="R17" s="191"/>
      <c r="S17" s="65"/>
    </row>
    <row r="18" spans="1:20" ht="15.5" x14ac:dyDescent="0.35">
      <c r="A18" t="s">
        <v>164</v>
      </c>
      <c r="B18" t="s">
        <v>61</v>
      </c>
      <c r="C18" s="155">
        <f t="shared" si="6"/>
        <v>1.44</v>
      </c>
      <c r="D18" s="169">
        <v>1.7999999999999999E-2</v>
      </c>
      <c r="E18" s="169">
        <f t="shared" si="2"/>
        <v>0.21708919814972899</v>
      </c>
      <c r="F18" s="6" t="str">
        <f t="shared" si="1"/>
        <v>I401-Andhra Pradesh</v>
      </c>
      <c r="I18" s="95" t="s">
        <v>189</v>
      </c>
      <c r="J18" s="96"/>
      <c r="K18" s="96"/>
      <c r="L18" s="99" t="s">
        <v>163</v>
      </c>
      <c r="M18" s="117">
        <f>O18*$N$36*100000</f>
        <v>638178.32647462282</v>
      </c>
      <c r="N18" s="105">
        <f t="shared" si="5"/>
        <v>6.381783264746228</v>
      </c>
      <c r="O18" s="65">
        <f>SUMIF($A$2:$A$80,L18,$D$2:$D$80)</f>
        <v>7.977229080932785E-2</v>
      </c>
      <c r="R18" s="191"/>
      <c r="S18" s="191"/>
      <c r="T18" s="191"/>
    </row>
    <row r="19" spans="1:20" ht="15.5" x14ac:dyDescent="0.35">
      <c r="A19" t="s">
        <v>324</v>
      </c>
      <c r="B19" s="175" t="s">
        <v>62</v>
      </c>
      <c r="C19" s="155">
        <f t="shared" si="6"/>
        <v>1.2</v>
      </c>
      <c r="D19" s="169">
        <v>1.4999999999999999E-2</v>
      </c>
      <c r="E19" s="169">
        <f t="shared" si="2"/>
        <v>0.40540540540540543</v>
      </c>
      <c r="F19" s="6" t="str">
        <f t="shared" si="1"/>
        <v>I407-Kerala North</v>
      </c>
      <c r="I19" s="95"/>
      <c r="J19" s="96"/>
      <c r="K19" s="96"/>
      <c r="L19" s="99" t="s">
        <v>161</v>
      </c>
      <c r="M19" s="117">
        <f>O19*$N$36*100000</f>
        <v>681599.99999999988</v>
      </c>
      <c r="N19" s="105">
        <f t="shared" si="5"/>
        <v>6.8159999999999989</v>
      </c>
      <c r="O19" s="65">
        <f>SUMIF($A$2:$A$80,L19,$D$2:$D$80)</f>
        <v>8.5199999999999984E-2</v>
      </c>
      <c r="S19" s="71"/>
      <c r="T19" s="147"/>
    </row>
    <row r="20" spans="1:20" ht="15.5" x14ac:dyDescent="0.35">
      <c r="A20" t="s">
        <v>326</v>
      </c>
      <c r="B20" t="s">
        <v>63</v>
      </c>
      <c r="C20" s="155">
        <f t="shared" si="6"/>
        <v>1.6</v>
      </c>
      <c r="D20" s="150">
        <v>0.02</v>
      </c>
      <c r="E20" s="169">
        <f t="shared" si="2"/>
        <v>0.38834951456310685</v>
      </c>
      <c r="F20" s="6" t="str">
        <f t="shared" si="1"/>
        <v>I412-Rest of Tamilnadu</v>
      </c>
      <c r="I20" s="100"/>
      <c r="J20" s="100"/>
      <c r="K20" s="100"/>
      <c r="L20" s="101" t="s">
        <v>189</v>
      </c>
      <c r="M20" s="118">
        <f>SUM(M18:M19)</f>
        <v>1319778.3264746228</v>
      </c>
      <c r="N20" s="105"/>
      <c r="O20" s="173"/>
      <c r="R20" s="71"/>
      <c r="S20" s="71"/>
    </row>
    <row r="21" spans="1:20" ht="15.5" x14ac:dyDescent="0.35">
      <c r="A21" t="s">
        <v>165</v>
      </c>
      <c r="B21" t="s">
        <v>64</v>
      </c>
      <c r="C21" s="155">
        <f t="shared" si="6"/>
        <v>1.232</v>
      </c>
      <c r="D21" s="150">
        <f>3.08%/2</f>
        <v>1.54E-2</v>
      </c>
      <c r="E21" s="169">
        <f t="shared" si="2"/>
        <v>0.5</v>
      </c>
      <c r="F21" s="6" t="str">
        <f t="shared" si="1"/>
        <v>I303-Madhya Pradesh</v>
      </c>
      <c r="I21" s="95" t="s">
        <v>190</v>
      </c>
      <c r="J21" s="96"/>
      <c r="K21" s="96"/>
      <c r="L21" s="99" t="s">
        <v>162</v>
      </c>
      <c r="M21" s="117">
        <f>O21*$N$36*100000</f>
        <v>924000</v>
      </c>
      <c r="N21" s="105">
        <f t="shared" si="5"/>
        <v>9.24</v>
      </c>
      <c r="O21" s="65">
        <f>SUMIF($A$2:$A$80,L21,$D$2:$D$80)</f>
        <v>0.11550000000000001</v>
      </c>
      <c r="S21" s="65"/>
    </row>
    <row r="22" spans="1:20" ht="15.5" x14ac:dyDescent="0.35">
      <c r="A22" t="s">
        <v>165</v>
      </c>
      <c r="B22" t="s">
        <v>320</v>
      </c>
      <c r="C22" s="155">
        <f t="shared" ref="C22" si="7">D22*$N$36</f>
        <v>1.232</v>
      </c>
      <c r="D22" s="150">
        <f>3.08%/2</f>
        <v>1.54E-2</v>
      </c>
      <c r="E22" s="169">
        <f t="shared" si="2"/>
        <v>0.5</v>
      </c>
      <c r="F22" s="6" t="str">
        <f t="shared" ref="F22" si="8">A22</f>
        <v>I303-Madhya Pradesh</v>
      </c>
      <c r="I22" s="98"/>
      <c r="J22" s="96"/>
      <c r="K22" s="96"/>
      <c r="L22" s="99" t="s">
        <v>171</v>
      </c>
      <c r="M22" s="117">
        <f>O22*$N$36*100000</f>
        <v>20000</v>
      </c>
      <c r="N22" s="105">
        <f t="shared" si="5"/>
        <v>0.2</v>
      </c>
      <c r="O22" s="65">
        <f>SUMIF($A$2:$A$80,L22,$D$2:$D$80)</f>
        <v>2.5000000000000001E-3</v>
      </c>
      <c r="S22" s="65"/>
    </row>
    <row r="23" spans="1:20" ht="15.5" x14ac:dyDescent="0.35">
      <c r="A23" t="s">
        <v>322</v>
      </c>
      <c r="B23" s="147" t="s">
        <v>65</v>
      </c>
      <c r="C23" s="155">
        <f t="shared" si="6"/>
        <v>2.4</v>
      </c>
      <c r="D23" s="150">
        <v>0.03</v>
      </c>
      <c r="E23" s="169">
        <f t="shared" si="2"/>
        <v>0.78947368421052633</v>
      </c>
      <c r="F23" s="6" t="str">
        <f t="shared" si="1"/>
        <v>I403-Kerala Central</v>
      </c>
      <c r="I23" s="98"/>
      <c r="J23" s="96"/>
      <c r="K23" s="96"/>
      <c r="L23" s="97" t="s">
        <v>164</v>
      </c>
      <c r="M23" s="117">
        <f>O23*$N$36*100000</f>
        <v>663321.8106995885</v>
      </c>
      <c r="N23" s="105">
        <f t="shared" si="5"/>
        <v>6.6332181069958853</v>
      </c>
      <c r="O23" s="65">
        <f>SUMIF($A$2:$A$80,L23,$D$2:$D$80)</f>
        <v>8.2915226337448564E-2</v>
      </c>
      <c r="S23" s="65"/>
    </row>
    <row r="24" spans="1:20" ht="15.5" x14ac:dyDescent="0.35">
      <c r="A24" t="s">
        <v>166</v>
      </c>
      <c r="B24" t="s">
        <v>66</v>
      </c>
      <c r="C24" s="155">
        <f t="shared" si="6"/>
        <v>1.6</v>
      </c>
      <c r="D24" s="150">
        <v>0.02</v>
      </c>
      <c r="E24" s="169">
        <f t="shared" si="2"/>
        <v>1</v>
      </c>
      <c r="F24" s="6" t="str">
        <f t="shared" si="1"/>
        <v>I101-Uttar Pradesh</v>
      </c>
      <c r="I24" s="98"/>
      <c r="J24" s="98"/>
      <c r="K24" s="98"/>
      <c r="L24" s="99" t="s">
        <v>327</v>
      </c>
      <c r="M24" s="117">
        <f>O24*$N$36*100000</f>
        <v>624000</v>
      </c>
      <c r="N24" s="105">
        <f t="shared" ref="N24" si="9">M24/100000</f>
        <v>6.24</v>
      </c>
      <c r="O24" s="65">
        <f>SUMIF($A$2:$A$80,L24,$D$2:$D$80)</f>
        <v>7.8E-2</v>
      </c>
      <c r="S24" s="65"/>
    </row>
    <row r="25" spans="1:20" ht="15.5" x14ac:dyDescent="0.35">
      <c r="A25" t="s">
        <v>164</v>
      </c>
      <c r="B25" t="s">
        <v>67</v>
      </c>
      <c r="C25" s="155">
        <f t="shared" si="6"/>
        <v>0.87999999999999989</v>
      </c>
      <c r="D25" s="169">
        <v>1.0999999999999999E-2</v>
      </c>
      <c r="E25" s="169">
        <f t="shared" si="2"/>
        <v>0.13266562109150104</v>
      </c>
      <c r="F25" s="6" t="str">
        <f t="shared" si="1"/>
        <v>I401-Andhra Pradesh</v>
      </c>
      <c r="I25" s="98"/>
      <c r="J25" s="98"/>
      <c r="K25" s="98"/>
      <c r="L25" s="99" t="s">
        <v>328</v>
      </c>
      <c r="M25" s="117">
        <f>O25*$N$36*100000</f>
        <v>240000</v>
      </c>
      <c r="N25" s="105">
        <f t="shared" si="5"/>
        <v>2.4</v>
      </c>
      <c r="O25" s="65">
        <f>SUMIF($A$2:$A$80,L25,$D$2:$D$80)</f>
        <v>0.03</v>
      </c>
      <c r="S25" s="65"/>
    </row>
    <row r="26" spans="1:20" ht="15.5" x14ac:dyDescent="0.35">
      <c r="A26" t="s">
        <v>167</v>
      </c>
      <c r="B26" t="s">
        <v>68</v>
      </c>
      <c r="C26" s="155">
        <f t="shared" si="6"/>
        <v>1.544</v>
      </c>
      <c r="D26" s="169">
        <v>1.9300000000000001E-2</v>
      </c>
      <c r="E26" s="169">
        <f t="shared" si="2"/>
        <v>1</v>
      </c>
      <c r="F26" s="6" t="str">
        <f t="shared" si="1"/>
        <v>I203-Orissa</v>
      </c>
      <c r="I26" s="100"/>
      <c r="J26" s="100"/>
      <c r="K26" s="100"/>
      <c r="L26" s="101" t="s">
        <v>191</v>
      </c>
      <c r="M26" s="119">
        <f>SUM(M21:M25)</f>
        <v>2471321.8106995886</v>
      </c>
      <c r="N26" s="105"/>
      <c r="O26" s="173"/>
      <c r="S26" s="65"/>
    </row>
    <row r="27" spans="1:20" ht="15.5" x14ac:dyDescent="0.35">
      <c r="A27" t="s">
        <v>168</v>
      </c>
      <c r="B27" s="152" t="s">
        <v>69</v>
      </c>
      <c r="C27" s="155">
        <f t="shared" si="6"/>
        <v>0.8</v>
      </c>
      <c r="D27" s="150">
        <v>0.01</v>
      </c>
      <c r="E27" s="169">
        <f t="shared" si="2"/>
        <v>0.41666666666666669</v>
      </c>
      <c r="F27" s="6" t="str">
        <f t="shared" si="1"/>
        <v>I201-West Bengal</v>
      </c>
      <c r="I27" s="95" t="s">
        <v>192</v>
      </c>
      <c r="J27" s="96"/>
      <c r="K27" s="96"/>
      <c r="L27" s="97" t="s">
        <v>321</v>
      </c>
      <c r="M27" s="117">
        <f t="shared" ref="M27:M33" si="10">O27*$N$36*100000</f>
        <v>280000</v>
      </c>
      <c r="N27" s="105">
        <f t="shared" si="5"/>
        <v>2.8</v>
      </c>
      <c r="O27" s="65">
        <f t="shared" ref="O27:O33" si="11">SUMIF($A$2:$A$80,L27,$D$2:$D$80)</f>
        <v>3.4999999999999996E-2</v>
      </c>
      <c r="S27" s="65"/>
    </row>
    <row r="28" spans="1:20" ht="15.5" x14ac:dyDescent="0.35">
      <c r="A28" t="s">
        <v>168</v>
      </c>
      <c r="B28" s="148" t="s">
        <v>70</v>
      </c>
      <c r="C28" s="155">
        <f t="shared" si="6"/>
        <v>1.1200000000000001</v>
      </c>
      <c r="D28" s="150">
        <v>1.4E-2</v>
      </c>
      <c r="E28" s="169">
        <f t="shared" si="2"/>
        <v>0.58333333333333337</v>
      </c>
      <c r="F28" s="6" t="str">
        <f t="shared" si="1"/>
        <v>I201-West Bengal</v>
      </c>
      <c r="I28" s="98"/>
      <c r="J28" s="96"/>
      <c r="K28" s="96"/>
      <c r="L28" s="97" t="s">
        <v>322</v>
      </c>
      <c r="M28" s="117">
        <f t="shared" si="10"/>
        <v>304000</v>
      </c>
      <c r="N28" s="105">
        <f t="shared" ref="N28:N30" si="12">M28/100000</f>
        <v>3.04</v>
      </c>
      <c r="O28" s="65">
        <f t="shared" si="11"/>
        <v>3.7999999999999999E-2</v>
      </c>
      <c r="S28" s="65"/>
      <c r="T28" s="147"/>
    </row>
    <row r="29" spans="1:20" ht="15.5" x14ac:dyDescent="0.35">
      <c r="A29" t="s">
        <v>169</v>
      </c>
      <c r="B29" t="s">
        <v>71</v>
      </c>
      <c r="C29" s="155">
        <f t="shared" si="6"/>
        <v>1.7680000000000002</v>
      </c>
      <c r="D29" s="150">
        <v>2.2100000000000002E-2</v>
      </c>
      <c r="E29" s="169">
        <f t="shared" si="2"/>
        <v>1</v>
      </c>
      <c r="F29" s="6" t="str">
        <f t="shared" si="1"/>
        <v>I202-North-East(7 States)</v>
      </c>
      <c r="I29" s="98"/>
      <c r="J29" s="96"/>
      <c r="K29" s="96"/>
      <c r="L29" s="97" t="s">
        <v>323</v>
      </c>
      <c r="M29" s="117">
        <f t="shared" si="10"/>
        <v>272000</v>
      </c>
      <c r="N29" s="105">
        <f t="shared" si="12"/>
        <v>2.72</v>
      </c>
      <c r="O29" s="65">
        <f t="shared" si="11"/>
        <v>3.4000000000000002E-2</v>
      </c>
      <c r="S29" s="65"/>
      <c r="T29" s="147"/>
    </row>
    <row r="30" spans="1:20" ht="15.5" x14ac:dyDescent="0.35">
      <c r="A30" t="s">
        <v>164</v>
      </c>
      <c r="B30" s="149" t="s">
        <v>72</v>
      </c>
      <c r="C30" s="155">
        <f t="shared" si="6"/>
        <v>0.82400000000000007</v>
      </c>
      <c r="D30" s="169">
        <v>1.03E-2</v>
      </c>
      <c r="E30" s="169">
        <f t="shared" si="2"/>
        <v>0.12422326338567827</v>
      </c>
      <c r="F30" s="6" t="str">
        <f t="shared" si="1"/>
        <v>I401-Andhra Pradesh</v>
      </c>
      <c r="I30" s="98"/>
      <c r="J30" s="96"/>
      <c r="K30" s="96"/>
      <c r="L30" s="97" t="s">
        <v>159</v>
      </c>
      <c r="M30" s="117">
        <f t="shared" si="10"/>
        <v>640000</v>
      </c>
      <c r="N30" s="105">
        <f t="shared" si="12"/>
        <v>6.4</v>
      </c>
      <c r="O30" s="65">
        <f t="shared" si="11"/>
        <v>0.08</v>
      </c>
      <c r="S30" s="65"/>
      <c r="T30" s="147"/>
    </row>
    <row r="31" spans="1:20" ht="15.5" x14ac:dyDescent="0.35">
      <c r="A31" t="s">
        <v>326</v>
      </c>
      <c r="B31" t="s">
        <v>73</v>
      </c>
      <c r="C31" s="155">
        <f t="shared" si="6"/>
        <v>0.96</v>
      </c>
      <c r="D31" s="150">
        <v>1.2E-2</v>
      </c>
      <c r="E31" s="169">
        <f t="shared" si="2"/>
        <v>0.23300970873786409</v>
      </c>
      <c r="F31" s="6" t="str">
        <f t="shared" si="1"/>
        <v>I412-Rest of Tamilnadu</v>
      </c>
      <c r="I31" s="98"/>
      <c r="J31" s="96"/>
      <c r="K31" s="96"/>
      <c r="L31" s="97" t="s">
        <v>324</v>
      </c>
      <c r="M31" s="117">
        <f t="shared" si="10"/>
        <v>296000</v>
      </c>
      <c r="N31" s="105">
        <f t="shared" si="5"/>
        <v>2.96</v>
      </c>
      <c r="O31" s="65">
        <f t="shared" si="11"/>
        <v>3.6999999999999998E-2</v>
      </c>
      <c r="S31" s="65"/>
    </row>
    <row r="32" spans="1:20" ht="15.5" x14ac:dyDescent="0.35">
      <c r="A32" t="s">
        <v>325</v>
      </c>
      <c r="B32" s="161" t="s">
        <v>74</v>
      </c>
      <c r="C32" s="155">
        <f t="shared" si="6"/>
        <v>1.04</v>
      </c>
      <c r="D32" s="150">
        <v>1.2999999999999999E-2</v>
      </c>
      <c r="E32" s="169">
        <f t="shared" si="2"/>
        <v>0.56169985775248943</v>
      </c>
      <c r="F32" s="6" t="str">
        <f t="shared" si="1"/>
        <v>I408-Kerala South</v>
      </c>
      <c r="I32" s="98"/>
      <c r="J32" s="96"/>
      <c r="K32" s="96"/>
      <c r="L32" s="97" t="s">
        <v>325</v>
      </c>
      <c r="M32" s="117">
        <f t="shared" si="10"/>
        <v>185152.26337448557</v>
      </c>
      <c r="N32" s="105">
        <f t="shared" si="5"/>
        <v>1.8515226337448556</v>
      </c>
      <c r="O32" s="65">
        <f t="shared" si="11"/>
        <v>2.3144032921810696E-2</v>
      </c>
      <c r="S32" s="65"/>
      <c r="T32" s="147"/>
    </row>
    <row r="33" spans="1:20" ht="15.5" x14ac:dyDescent="0.35">
      <c r="A33" t="s">
        <v>163</v>
      </c>
      <c r="B33" t="s">
        <v>75</v>
      </c>
      <c r="C33" s="155">
        <f t="shared" si="6"/>
        <v>1.04</v>
      </c>
      <c r="D33" s="150">
        <v>1.2999999999999999E-2</v>
      </c>
      <c r="E33" s="169">
        <f t="shared" si="2"/>
        <v>0.16296385459297724</v>
      </c>
      <c r="F33" s="6" t="str">
        <f t="shared" si="1"/>
        <v>I301-Gujarat</v>
      </c>
      <c r="I33" s="98"/>
      <c r="J33" s="96"/>
      <c r="K33" s="96"/>
      <c r="L33" s="97" t="s">
        <v>326</v>
      </c>
      <c r="M33" s="117">
        <f t="shared" si="10"/>
        <v>412000</v>
      </c>
      <c r="N33" s="105">
        <f t="shared" si="5"/>
        <v>4.12</v>
      </c>
      <c r="O33" s="65">
        <f t="shared" si="11"/>
        <v>5.1499999999999997E-2</v>
      </c>
      <c r="S33" s="65"/>
      <c r="T33" s="147"/>
    </row>
    <row r="34" spans="1:20" ht="15.5" x14ac:dyDescent="0.35">
      <c r="A34" t="s">
        <v>324</v>
      </c>
      <c r="B34" s="175" t="s">
        <v>76</v>
      </c>
      <c r="C34" s="155">
        <f t="shared" si="6"/>
        <v>0.64</v>
      </c>
      <c r="D34" s="150">
        <v>8.0000000000000002E-3</v>
      </c>
      <c r="E34" s="169">
        <f t="shared" si="2"/>
        <v>0.21621621621621623</v>
      </c>
      <c r="F34" s="6" t="str">
        <f t="shared" si="1"/>
        <v>I407-Kerala North</v>
      </c>
      <c r="I34" s="100"/>
      <c r="J34" s="100"/>
      <c r="K34" s="100"/>
      <c r="L34" s="101" t="s">
        <v>192</v>
      </c>
      <c r="M34" s="118">
        <f>SUM(M27:M33)</f>
        <v>2389152.2633744855</v>
      </c>
      <c r="N34" s="105"/>
      <c r="O34" s="173"/>
      <c r="S34" s="65"/>
      <c r="T34" s="147"/>
    </row>
    <row r="35" spans="1:20" ht="15.5" x14ac:dyDescent="0.35">
      <c r="A35" t="s">
        <v>162</v>
      </c>
      <c r="B35" t="s">
        <v>77</v>
      </c>
      <c r="C35" s="155">
        <f t="shared" si="6"/>
        <v>0.76</v>
      </c>
      <c r="D35" s="150">
        <v>9.4999999999999998E-3</v>
      </c>
      <c r="E35" s="169">
        <f t="shared" si="2"/>
        <v>8.2251082251082241E-2</v>
      </c>
      <c r="F35" s="6" t="str">
        <f t="shared" si="1"/>
        <v>I305-Rest Of Maharashtra</v>
      </c>
      <c r="I35" s="102" t="s">
        <v>178</v>
      </c>
      <c r="J35" s="100"/>
      <c r="K35" s="96"/>
      <c r="L35" s="101" t="s">
        <v>178</v>
      </c>
      <c r="M35" s="117">
        <f>O35*$N$36*100000</f>
        <v>80000</v>
      </c>
      <c r="N35" s="105">
        <f t="shared" si="5"/>
        <v>0.8</v>
      </c>
      <c r="O35" s="65">
        <f>SUMIF($A$2:$A$80,L35,$D$2:$D$80)</f>
        <v>0.01</v>
      </c>
      <c r="S35" s="65"/>
      <c r="T35" s="147"/>
    </row>
    <row r="36" spans="1:20" ht="15" x14ac:dyDescent="0.35">
      <c r="A36" t="s">
        <v>162</v>
      </c>
      <c r="B36" t="s">
        <v>78</v>
      </c>
      <c r="C36" s="155">
        <f t="shared" si="6"/>
        <v>1.6</v>
      </c>
      <c r="D36" s="150">
        <v>0.02</v>
      </c>
      <c r="E36" s="169">
        <f t="shared" si="2"/>
        <v>0.17316017316017315</v>
      </c>
      <c r="F36" s="6" t="str">
        <f t="shared" si="1"/>
        <v>I305-Rest Of Maharashtra</v>
      </c>
      <c r="I36" s="103"/>
      <c r="J36" s="103"/>
      <c r="K36" s="103"/>
      <c r="L36" s="104" t="s">
        <v>130</v>
      </c>
      <c r="M36" s="120">
        <f>M11+M17+M20+M26+M34+M35</f>
        <v>8000252.4005486965</v>
      </c>
      <c r="N36" s="177">
        <v>80</v>
      </c>
      <c r="O36" s="173">
        <f>SUM(O4:O35)</f>
        <v>1.000031550068587</v>
      </c>
      <c r="S36" s="65"/>
      <c r="T36" s="147"/>
    </row>
    <row r="37" spans="1:20" x14ac:dyDescent="0.35">
      <c r="A37" t="s">
        <v>326</v>
      </c>
      <c r="B37" t="s">
        <v>79</v>
      </c>
      <c r="C37" s="155">
        <f t="shared" si="6"/>
        <v>0.64</v>
      </c>
      <c r="D37" s="150">
        <v>8.0000000000000002E-3</v>
      </c>
      <c r="E37" s="169">
        <f t="shared" si="2"/>
        <v>0.15533980582524273</v>
      </c>
      <c r="F37" s="6" t="str">
        <f t="shared" si="1"/>
        <v>I412-Rest of Tamilnadu</v>
      </c>
      <c r="S37" s="65"/>
      <c r="T37" s="147"/>
    </row>
    <row r="38" spans="1:20" ht="15.5" x14ac:dyDescent="0.35">
      <c r="A38" s="174" t="s">
        <v>321</v>
      </c>
      <c r="B38" t="s">
        <v>80</v>
      </c>
      <c r="C38" s="155">
        <f t="shared" si="6"/>
        <v>1.04</v>
      </c>
      <c r="D38" s="150">
        <v>1.2999999999999999E-2</v>
      </c>
      <c r="E38" s="169">
        <f t="shared" si="2"/>
        <v>0.37142857142857144</v>
      </c>
      <c r="F38" s="6" t="str">
        <f t="shared" si="1"/>
        <v>I402-Rest of Karnataka</v>
      </c>
      <c r="M38" s="108"/>
      <c r="S38" s="65"/>
      <c r="T38" s="147"/>
    </row>
    <row r="39" spans="1:20" ht="15.5" x14ac:dyDescent="0.35">
      <c r="A39" s="174" t="s">
        <v>321</v>
      </c>
      <c r="B39" t="s">
        <v>81</v>
      </c>
      <c r="C39" s="155">
        <f t="shared" si="6"/>
        <v>0.8</v>
      </c>
      <c r="D39" s="150">
        <v>0.01</v>
      </c>
      <c r="E39" s="169">
        <f t="shared" si="2"/>
        <v>0.28571428571428575</v>
      </c>
      <c r="F39" s="6" t="str">
        <f t="shared" si="1"/>
        <v>I402-Rest of Karnataka</v>
      </c>
      <c r="S39" s="65"/>
      <c r="T39" s="147"/>
    </row>
    <row r="40" spans="1:20" x14ac:dyDescent="0.35">
      <c r="A40" t="s">
        <v>170</v>
      </c>
      <c r="B40" t="s">
        <v>82</v>
      </c>
      <c r="C40" s="155">
        <f t="shared" si="6"/>
        <v>1.512</v>
      </c>
      <c r="D40" s="150">
        <v>1.89E-2</v>
      </c>
      <c r="E40" s="169">
        <f t="shared" si="2"/>
        <v>1</v>
      </c>
      <c r="F40" s="6" t="str">
        <f t="shared" si="1"/>
        <v>I204-Bihar</v>
      </c>
      <c r="S40" s="65"/>
    </row>
    <row r="41" spans="1:20" x14ac:dyDescent="0.35">
      <c r="A41" t="s">
        <v>163</v>
      </c>
      <c r="B41" t="s">
        <v>83</v>
      </c>
      <c r="C41" s="155">
        <f t="shared" si="6"/>
        <v>0.8</v>
      </c>
      <c r="D41" s="150">
        <v>0.01</v>
      </c>
      <c r="E41" s="169">
        <f t="shared" si="2"/>
        <v>0.12535681122536713</v>
      </c>
      <c r="F41" s="6" t="str">
        <f t="shared" si="1"/>
        <v>I301-Gujarat</v>
      </c>
      <c r="S41" s="65"/>
      <c r="T41" s="147"/>
    </row>
    <row r="42" spans="1:20" x14ac:dyDescent="0.35">
      <c r="A42" t="s">
        <v>164</v>
      </c>
      <c r="B42" t="s">
        <v>84</v>
      </c>
      <c r="C42" s="155">
        <f t="shared" si="6"/>
        <v>0.8</v>
      </c>
      <c r="D42" s="150">
        <v>0.01</v>
      </c>
      <c r="E42" s="169">
        <f t="shared" si="2"/>
        <v>0.12060511008318278</v>
      </c>
      <c r="F42" s="6" t="str">
        <f t="shared" si="1"/>
        <v>I401-Andhra Pradesh</v>
      </c>
      <c r="S42" s="65"/>
      <c r="T42" s="147"/>
    </row>
    <row r="43" spans="1:20" x14ac:dyDescent="0.35">
      <c r="A43" t="s">
        <v>171</v>
      </c>
      <c r="B43" t="s">
        <v>85</v>
      </c>
      <c r="C43" s="155">
        <f t="shared" si="6"/>
        <v>0.2</v>
      </c>
      <c r="D43" s="150">
        <v>2.5000000000000001E-3</v>
      </c>
      <c r="E43" s="169">
        <f t="shared" si="2"/>
        <v>1</v>
      </c>
      <c r="F43" s="6" t="str">
        <f t="shared" si="1"/>
        <v>I306-Goa</v>
      </c>
      <c r="S43" s="65"/>
      <c r="T43" s="147"/>
    </row>
    <row r="44" spans="1:20" x14ac:dyDescent="0.35">
      <c r="A44" t="s">
        <v>164</v>
      </c>
      <c r="B44" t="s">
        <v>86</v>
      </c>
      <c r="C44" s="155">
        <f t="shared" si="6"/>
        <v>0.48</v>
      </c>
      <c r="D44" s="150">
        <v>6.0000000000000001E-3</v>
      </c>
      <c r="E44" s="169">
        <f t="shared" si="2"/>
        <v>7.2363066049909663E-2</v>
      </c>
      <c r="F44" s="6" t="str">
        <f t="shared" si="1"/>
        <v>I401-Andhra Pradesh</v>
      </c>
      <c r="S44" s="65"/>
    </row>
    <row r="45" spans="1:20" x14ac:dyDescent="0.35">
      <c r="A45" t="s">
        <v>164</v>
      </c>
      <c r="B45" t="s">
        <v>87</v>
      </c>
      <c r="C45" s="155">
        <f t="shared" si="6"/>
        <v>0.64</v>
      </c>
      <c r="D45" s="150">
        <v>8.0000000000000002E-3</v>
      </c>
      <c r="E45" s="169">
        <f t="shared" si="2"/>
        <v>9.6484088066546222E-2</v>
      </c>
      <c r="F45" s="6" t="str">
        <f t="shared" si="1"/>
        <v>I401-Andhra Pradesh</v>
      </c>
      <c r="S45" s="65"/>
      <c r="T45" s="147"/>
    </row>
    <row r="46" spans="1:20" x14ac:dyDescent="0.35">
      <c r="A46" t="s">
        <v>322</v>
      </c>
      <c r="B46" s="147" t="s">
        <v>88</v>
      </c>
      <c r="C46" s="155">
        <f t="shared" si="6"/>
        <v>0.64</v>
      </c>
      <c r="D46" s="150">
        <v>8.0000000000000002E-3</v>
      </c>
      <c r="E46" s="169">
        <f t="shared" si="2"/>
        <v>0.2105263157894737</v>
      </c>
      <c r="F46" s="6" t="str">
        <f t="shared" si="1"/>
        <v>I403-Kerala Central</v>
      </c>
      <c r="S46" s="65"/>
    </row>
    <row r="47" spans="1:20" x14ac:dyDescent="0.35">
      <c r="A47" t="s">
        <v>172</v>
      </c>
      <c r="B47" t="s">
        <v>89</v>
      </c>
      <c r="C47" s="155">
        <f t="shared" si="6"/>
        <v>1.4000000000000001</v>
      </c>
      <c r="D47" s="150">
        <v>1.7500000000000002E-2</v>
      </c>
      <c r="E47" s="169">
        <f t="shared" si="2"/>
        <v>1</v>
      </c>
      <c r="F47" s="6" t="str">
        <f t="shared" si="1"/>
        <v>I105-Rajasthan</v>
      </c>
      <c r="S47" s="65"/>
    </row>
    <row r="48" spans="1:20" x14ac:dyDescent="0.35">
      <c r="A48" t="s">
        <v>325</v>
      </c>
      <c r="B48" s="161" t="s">
        <v>90</v>
      </c>
      <c r="C48" s="155">
        <f t="shared" si="6"/>
        <v>0.41152263374485576</v>
      </c>
      <c r="D48" s="150">
        <v>5.144032921810697E-3</v>
      </c>
      <c r="E48" s="169">
        <f t="shared" si="2"/>
        <v>0.22226173541963007</v>
      </c>
      <c r="F48" s="6" t="str">
        <f t="shared" si="1"/>
        <v>I408-Kerala South</v>
      </c>
      <c r="S48" s="65"/>
    </row>
    <row r="49" spans="1:20" x14ac:dyDescent="0.35">
      <c r="A49" t="s">
        <v>164</v>
      </c>
      <c r="B49" t="s">
        <v>91</v>
      </c>
      <c r="C49" s="155">
        <f t="shared" ref="C49:C80" si="13">D49*$N$36</f>
        <v>0.4</v>
      </c>
      <c r="D49" s="150">
        <v>5.0000000000000001E-3</v>
      </c>
      <c r="E49" s="169">
        <f t="shared" si="2"/>
        <v>6.0302555041591391E-2</v>
      </c>
      <c r="F49" s="6" t="str">
        <f t="shared" si="1"/>
        <v>I401-Andhra Pradesh</v>
      </c>
      <c r="S49" s="65"/>
    </row>
    <row r="50" spans="1:20" x14ac:dyDescent="0.35">
      <c r="A50" t="s">
        <v>162</v>
      </c>
      <c r="B50" t="s">
        <v>92</v>
      </c>
      <c r="C50" s="155">
        <f t="shared" si="13"/>
        <v>0.96</v>
      </c>
      <c r="D50" s="150">
        <v>1.2E-2</v>
      </c>
      <c r="E50" s="169">
        <f t="shared" si="2"/>
        <v>0.10389610389610389</v>
      </c>
      <c r="F50" s="6" t="str">
        <f t="shared" si="1"/>
        <v>I305-Rest Of Maharashtra</v>
      </c>
      <c r="S50" s="65"/>
      <c r="T50" s="147"/>
    </row>
    <row r="51" spans="1:20" x14ac:dyDescent="0.35">
      <c r="A51" t="s">
        <v>325</v>
      </c>
      <c r="B51" s="161" t="s">
        <v>93</v>
      </c>
      <c r="C51" s="155">
        <f t="shared" si="13"/>
        <v>0.4</v>
      </c>
      <c r="D51" s="150">
        <v>5.0000000000000001E-3</v>
      </c>
      <c r="E51" s="169">
        <f t="shared" si="2"/>
        <v>0.21603840682788056</v>
      </c>
      <c r="F51" s="6" t="str">
        <f t="shared" si="1"/>
        <v>I408-Kerala South</v>
      </c>
      <c r="S51" s="65"/>
    </row>
    <row r="52" spans="1:20" x14ac:dyDescent="0.35">
      <c r="A52" t="s">
        <v>163</v>
      </c>
      <c r="B52" t="s">
        <v>94</v>
      </c>
      <c r="C52" s="155">
        <f t="shared" si="13"/>
        <v>0.8</v>
      </c>
      <c r="D52" s="150">
        <v>0.01</v>
      </c>
      <c r="E52" s="169">
        <f t="shared" si="2"/>
        <v>0.12535681122536713</v>
      </c>
      <c r="F52" s="6" t="str">
        <f t="shared" si="1"/>
        <v>I301-Gujarat</v>
      </c>
      <c r="S52" s="65"/>
      <c r="T52" s="147"/>
    </row>
    <row r="53" spans="1:20" x14ac:dyDescent="0.35">
      <c r="A53" t="s">
        <v>324</v>
      </c>
      <c r="B53" s="175" t="s">
        <v>95</v>
      </c>
      <c r="C53" s="155">
        <f t="shared" si="13"/>
        <v>0.4</v>
      </c>
      <c r="D53" s="150">
        <v>5.0000000000000001E-3</v>
      </c>
      <c r="E53" s="169">
        <f t="shared" si="2"/>
        <v>0.13513513513513514</v>
      </c>
      <c r="F53" s="6" t="str">
        <f t="shared" si="1"/>
        <v>I407-Kerala North</v>
      </c>
      <c r="S53" s="65"/>
      <c r="T53" s="147"/>
    </row>
    <row r="54" spans="1:20" x14ac:dyDescent="0.35">
      <c r="A54" t="s">
        <v>174</v>
      </c>
      <c r="B54" t="s">
        <v>173</v>
      </c>
      <c r="C54" s="155">
        <f t="shared" si="13"/>
        <v>1.92</v>
      </c>
      <c r="D54" s="150">
        <v>2.4E-2</v>
      </c>
      <c r="E54" s="169">
        <f t="shared" si="2"/>
        <v>0.64864864864864868</v>
      </c>
      <c r="F54" s="6" t="str">
        <f t="shared" si="1"/>
        <v>I104-Delhi NCR</v>
      </c>
      <c r="S54" s="65"/>
      <c r="T54" s="147"/>
    </row>
    <row r="55" spans="1:20" x14ac:dyDescent="0.35">
      <c r="A55" t="s">
        <v>174</v>
      </c>
      <c r="B55" t="s">
        <v>175</v>
      </c>
      <c r="C55" s="155">
        <f t="shared" si="13"/>
        <v>0.56000000000000005</v>
      </c>
      <c r="D55" s="150">
        <v>7.0000000000000001E-3</v>
      </c>
      <c r="E55" s="169">
        <f t="shared" si="2"/>
        <v>0.1891891891891892</v>
      </c>
      <c r="F55" s="6" t="str">
        <f t="shared" si="1"/>
        <v>I104-Delhi NCR</v>
      </c>
      <c r="S55" s="65"/>
    </row>
    <row r="56" spans="1:20" x14ac:dyDescent="0.35">
      <c r="A56" t="s">
        <v>161</v>
      </c>
      <c r="B56" t="s">
        <v>53</v>
      </c>
      <c r="C56" s="155">
        <f t="shared" si="13"/>
        <v>0.41599999999999998</v>
      </c>
      <c r="D56" s="171">
        <v>5.1999999999999998E-3</v>
      </c>
      <c r="E56" s="169">
        <f t="shared" si="2"/>
        <v>6.1032863849765265E-2</v>
      </c>
      <c r="F56" s="6" t="str">
        <f t="shared" si="1"/>
        <v>I304-Mumbai</v>
      </c>
      <c r="S56" s="65"/>
      <c r="T56" s="147"/>
    </row>
    <row r="57" spans="1:20" x14ac:dyDescent="0.35">
      <c r="A57" t="s">
        <v>176</v>
      </c>
      <c r="B57" t="s">
        <v>98</v>
      </c>
      <c r="C57" s="155">
        <f t="shared" si="13"/>
        <v>0.45600000000000002</v>
      </c>
      <c r="D57" s="150">
        <v>5.7000000000000002E-3</v>
      </c>
      <c r="E57" s="169">
        <f t="shared" si="2"/>
        <v>1</v>
      </c>
      <c r="F57" s="6" t="str">
        <f t="shared" si="1"/>
        <v>I302-Chattisgarh</v>
      </c>
      <c r="S57" s="65"/>
    </row>
    <row r="58" spans="1:20" x14ac:dyDescent="0.35">
      <c r="A58" t="s">
        <v>164</v>
      </c>
      <c r="B58" t="s">
        <v>99</v>
      </c>
      <c r="C58" s="155">
        <f t="shared" si="13"/>
        <v>0.48</v>
      </c>
      <c r="D58" s="150">
        <v>6.0000000000000001E-3</v>
      </c>
      <c r="E58" s="169">
        <f t="shared" si="2"/>
        <v>7.2363066049909663E-2</v>
      </c>
      <c r="F58" s="6" t="str">
        <f t="shared" si="1"/>
        <v>I401-Andhra Pradesh</v>
      </c>
      <c r="S58" s="65"/>
      <c r="T58" s="147"/>
    </row>
    <row r="59" spans="1:20" x14ac:dyDescent="0.35">
      <c r="A59" t="s">
        <v>174</v>
      </c>
      <c r="B59" t="s">
        <v>100</v>
      </c>
      <c r="C59" s="155">
        <f t="shared" si="13"/>
        <v>0.48</v>
      </c>
      <c r="D59" s="150">
        <v>6.0000000000000001E-3</v>
      </c>
      <c r="E59" s="169">
        <f t="shared" si="2"/>
        <v>0.16216216216216217</v>
      </c>
      <c r="F59" s="6" t="str">
        <f t="shared" si="1"/>
        <v>I104-Delhi NCR</v>
      </c>
      <c r="S59" s="65"/>
    </row>
    <row r="60" spans="1:20" x14ac:dyDescent="0.35">
      <c r="A60" t="s">
        <v>163</v>
      </c>
      <c r="B60" t="s">
        <v>101</v>
      </c>
      <c r="C60" s="155">
        <f t="shared" si="13"/>
        <v>0.48</v>
      </c>
      <c r="D60" s="150">
        <v>6.0000000000000001E-3</v>
      </c>
      <c r="E60" s="169">
        <f t="shared" si="2"/>
        <v>7.5214086735220273E-2</v>
      </c>
      <c r="F60" s="6" t="str">
        <f t="shared" si="1"/>
        <v>I301-Gujarat</v>
      </c>
      <c r="S60" s="65"/>
    </row>
    <row r="61" spans="1:20" x14ac:dyDescent="0.35">
      <c r="A61" t="s">
        <v>163</v>
      </c>
      <c r="B61" t="s">
        <v>102</v>
      </c>
      <c r="C61" s="155">
        <f t="shared" si="13"/>
        <v>0.30178326474622758</v>
      </c>
      <c r="D61" s="150">
        <v>3.772290809327845E-3</v>
      </c>
      <c r="E61" s="169">
        <f t="shared" si="2"/>
        <v>4.7288234687209801E-2</v>
      </c>
      <c r="F61" s="6" t="str">
        <f t="shared" si="1"/>
        <v>I301-Gujarat</v>
      </c>
      <c r="S61" s="65"/>
    </row>
    <row r="62" spans="1:20" x14ac:dyDescent="0.35">
      <c r="A62" t="s">
        <v>324</v>
      </c>
      <c r="B62" s="175" t="s">
        <v>103</v>
      </c>
      <c r="C62" s="155">
        <f t="shared" si="13"/>
        <v>0.36</v>
      </c>
      <c r="D62" s="150">
        <v>4.4999999999999997E-3</v>
      </c>
      <c r="E62" s="169">
        <f t="shared" si="2"/>
        <v>0.12162162162162161</v>
      </c>
      <c r="F62" s="6" t="str">
        <f t="shared" si="1"/>
        <v>I407-Kerala North</v>
      </c>
      <c r="S62" s="65"/>
    </row>
    <row r="63" spans="1:20" x14ac:dyDescent="0.35">
      <c r="A63" t="s">
        <v>178</v>
      </c>
      <c r="B63" t="s">
        <v>104</v>
      </c>
      <c r="C63" s="155">
        <f t="shared" si="13"/>
        <v>0.8</v>
      </c>
      <c r="D63" s="150">
        <v>0.01</v>
      </c>
      <c r="E63" s="169">
        <f t="shared" si="2"/>
        <v>1</v>
      </c>
      <c r="F63" s="6" t="str">
        <f t="shared" si="1"/>
        <v>Export</v>
      </c>
      <c r="S63" s="65"/>
    </row>
    <row r="64" spans="1:20" ht="15.5" x14ac:dyDescent="0.35">
      <c r="A64" s="174" t="s">
        <v>177</v>
      </c>
      <c r="B64" t="s">
        <v>105</v>
      </c>
      <c r="C64" s="155">
        <f t="shared" si="13"/>
        <v>1.5680000000000001</v>
      </c>
      <c r="D64" s="150">
        <v>1.9599999999999999E-2</v>
      </c>
      <c r="E64" s="169">
        <f t="shared" si="2"/>
        <v>1</v>
      </c>
      <c r="F64" s="6" t="str">
        <f t="shared" si="1"/>
        <v>I103-Upper North</v>
      </c>
      <c r="S64" s="65"/>
      <c r="T64" s="147"/>
    </row>
    <row r="65" spans="1:20" x14ac:dyDescent="0.35">
      <c r="A65" t="s">
        <v>164</v>
      </c>
      <c r="B65" t="s">
        <v>106</v>
      </c>
      <c r="C65" s="155">
        <f t="shared" si="13"/>
        <v>0.32921810699588466</v>
      </c>
      <c r="D65" s="150">
        <v>4.1152263374485583E-3</v>
      </c>
      <c r="E65" s="169">
        <f t="shared" si="2"/>
        <v>4.9631732544519643E-2</v>
      </c>
      <c r="F65" s="6" t="str">
        <f t="shared" si="1"/>
        <v>I401-Andhra Pradesh</v>
      </c>
      <c r="S65" s="65"/>
    </row>
    <row r="66" spans="1:20" x14ac:dyDescent="0.35">
      <c r="A66" t="s">
        <v>163</v>
      </c>
      <c r="B66" t="s">
        <v>107</v>
      </c>
      <c r="C66" s="155">
        <f t="shared" si="13"/>
        <v>0.48</v>
      </c>
      <c r="D66" s="150">
        <v>6.0000000000000001E-3</v>
      </c>
      <c r="E66" s="169">
        <f t="shared" si="2"/>
        <v>7.5214086735220273E-2</v>
      </c>
      <c r="F66" s="6" t="str">
        <f t="shared" si="1"/>
        <v>I301-Gujarat</v>
      </c>
      <c r="S66" s="65"/>
      <c r="T66" s="147"/>
    </row>
    <row r="67" spans="1:20" ht="15.5" x14ac:dyDescent="0.35">
      <c r="A67" s="174" t="s">
        <v>179</v>
      </c>
      <c r="B67" t="s">
        <v>108</v>
      </c>
      <c r="C67" s="155">
        <f t="shared" si="13"/>
        <v>0.20799999999999999</v>
      </c>
      <c r="D67" s="150">
        <v>2.5999999999999999E-3</v>
      </c>
      <c r="E67" s="169">
        <f t="shared" ref="E67:E80" si="14">D67/SUMIF($F$2:$F$80,A67,$D$2:$D$80)</f>
        <v>1</v>
      </c>
      <c r="F67" s="6" t="str">
        <f t="shared" ref="F67:F80" si="15">A67</f>
        <v>I102-Uttaranchal</v>
      </c>
      <c r="S67" s="65"/>
    </row>
    <row r="68" spans="1:20" x14ac:dyDescent="0.35">
      <c r="A68" t="s">
        <v>328</v>
      </c>
      <c r="B68" t="s">
        <v>109</v>
      </c>
      <c r="C68" s="155">
        <f t="shared" si="13"/>
        <v>0.72</v>
      </c>
      <c r="D68" s="150">
        <v>8.9999999999999993E-3</v>
      </c>
      <c r="E68" s="169">
        <f t="shared" si="14"/>
        <v>0.3</v>
      </c>
      <c r="F68" s="6" t="str">
        <f t="shared" si="15"/>
        <v>I409-Rest of Telangana</v>
      </c>
      <c r="S68" s="65"/>
      <c r="T68" s="147"/>
    </row>
    <row r="69" spans="1:20" x14ac:dyDescent="0.35">
      <c r="A69" t="s">
        <v>326</v>
      </c>
      <c r="B69" t="s">
        <v>110</v>
      </c>
      <c r="C69" s="155">
        <f t="shared" si="13"/>
        <v>0.48</v>
      </c>
      <c r="D69" s="150">
        <v>6.0000000000000001E-3</v>
      </c>
      <c r="E69" s="169">
        <f t="shared" si="14"/>
        <v>0.11650485436893204</v>
      </c>
      <c r="F69" s="6" t="str">
        <f t="shared" si="15"/>
        <v>I412-Rest of Tamilnadu</v>
      </c>
      <c r="S69" s="65"/>
    </row>
    <row r="70" spans="1:20" x14ac:dyDescent="0.35">
      <c r="A70" t="s">
        <v>326</v>
      </c>
      <c r="B70" t="s">
        <v>111</v>
      </c>
      <c r="C70" s="155">
        <f t="shared" si="13"/>
        <v>0.43999999999999995</v>
      </c>
      <c r="D70" s="150">
        <v>5.4999999999999997E-3</v>
      </c>
      <c r="E70" s="169">
        <f t="shared" si="14"/>
        <v>0.10679611650485436</v>
      </c>
      <c r="F70" s="6" t="str">
        <f t="shared" si="15"/>
        <v>I412-Rest of Tamilnadu</v>
      </c>
      <c r="S70" s="65"/>
      <c r="T70" s="147"/>
    </row>
    <row r="71" spans="1:20" x14ac:dyDescent="0.35">
      <c r="A71" t="s">
        <v>324</v>
      </c>
      <c r="B71" s="175" t="s">
        <v>112</v>
      </c>
      <c r="C71" s="155">
        <f t="shared" si="13"/>
        <v>0.36</v>
      </c>
      <c r="D71" s="150">
        <v>4.4999999999999997E-3</v>
      </c>
      <c r="E71" s="169">
        <f t="shared" si="14"/>
        <v>0.12162162162162161</v>
      </c>
      <c r="F71" s="6" t="str">
        <f t="shared" si="15"/>
        <v>I407-Kerala North</v>
      </c>
    </row>
    <row r="72" spans="1:20" x14ac:dyDescent="0.35">
      <c r="A72" t="s">
        <v>328</v>
      </c>
      <c r="B72" t="s">
        <v>113</v>
      </c>
      <c r="C72" s="155">
        <f t="shared" si="13"/>
        <v>0.56000000000000005</v>
      </c>
      <c r="D72" s="150">
        <v>7.0000000000000001E-3</v>
      </c>
      <c r="E72" s="169">
        <f t="shared" si="14"/>
        <v>0.23333333333333334</v>
      </c>
      <c r="F72" s="6" t="str">
        <f t="shared" si="15"/>
        <v>I409-Rest of Telangana</v>
      </c>
    </row>
    <row r="73" spans="1:20" x14ac:dyDescent="0.35">
      <c r="A73" t="s">
        <v>328</v>
      </c>
      <c r="B73" t="s">
        <v>114</v>
      </c>
      <c r="C73" s="155">
        <f t="shared" si="13"/>
        <v>0.56000000000000005</v>
      </c>
      <c r="D73" s="150">
        <v>7.0000000000000001E-3</v>
      </c>
      <c r="E73" s="169">
        <f t="shared" si="14"/>
        <v>0.23333333333333334</v>
      </c>
      <c r="F73" s="6" t="str">
        <f t="shared" si="15"/>
        <v>I409-Rest of Telangana</v>
      </c>
    </row>
    <row r="74" spans="1:20" ht="15.5" x14ac:dyDescent="0.35">
      <c r="A74" s="174" t="s">
        <v>321</v>
      </c>
      <c r="B74" t="s">
        <v>115</v>
      </c>
      <c r="C74" s="155">
        <f t="shared" si="13"/>
        <v>0.56000000000000005</v>
      </c>
      <c r="D74" s="150">
        <v>7.0000000000000001E-3</v>
      </c>
      <c r="E74" s="169">
        <f t="shared" si="14"/>
        <v>0.2</v>
      </c>
      <c r="F74" s="6" t="str">
        <f t="shared" si="15"/>
        <v>I402-Rest of Karnataka</v>
      </c>
    </row>
    <row r="75" spans="1:20" ht="15.5" x14ac:dyDescent="0.35">
      <c r="A75" s="174" t="s">
        <v>321</v>
      </c>
      <c r="B75" t="s">
        <v>116</v>
      </c>
      <c r="C75" s="155">
        <f t="shared" si="13"/>
        <v>0.4</v>
      </c>
      <c r="D75" s="150">
        <v>5.0000000000000001E-3</v>
      </c>
      <c r="E75" s="169">
        <f t="shared" si="14"/>
        <v>0.14285714285714288</v>
      </c>
      <c r="F75" s="6" t="str">
        <f t="shared" si="15"/>
        <v>I402-Rest of Karnataka</v>
      </c>
    </row>
    <row r="76" spans="1:20" x14ac:dyDescent="0.35">
      <c r="A76" t="s">
        <v>328</v>
      </c>
      <c r="B76" t="s">
        <v>117</v>
      </c>
      <c r="C76" s="155">
        <f t="shared" si="13"/>
        <v>0.56000000000000005</v>
      </c>
      <c r="D76" s="150">
        <v>7.0000000000000001E-3</v>
      </c>
      <c r="E76" s="169">
        <f t="shared" si="14"/>
        <v>0.23333333333333334</v>
      </c>
      <c r="F76" s="6" t="str">
        <f t="shared" si="15"/>
        <v>I409-Rest of Telangana</v>
      </c>
    </row>
    <row r="77" spans="1:20" x14ac:dyDescent="0.35">
      <c r="A77" t="s">
        <v>164</v>
      </c>
      <c r="B77" t="s">
        <v>118</v>
      </c>
      <c r="C77" s="155">
        <f t="shared" si="13"/>
        <v>0.12</v>
      </c>
      <c r="D77" s="150">
        <v>1.5E-3</v>
      </c>
      <c r="E77" s="169">
        <f t="shared" si="14"/>
        <v>1.8090766512477416E-2</v>
      </c>
      <c r="F77" s="6" t="str">
        <f t="shared" si="15"/>
        <v>I401-Andhra Pradesh</v>
      </c>
    </row>
    <row r="78" spans="1:20" x14ac:dyDescent="0.35">
      <c r="A78" t="s">
        <v>162</v>
      </c>
      <c r="B78" t="s">
        <v>119</v>
      </c>
      <c r="C78" s="155">
        <f t="shared" si="13"/>
        <v>0.32</v>
      </c>
      <c r="D78" s="150">
        <v>4.0000000000000001E-3</v>
      </c>
      <c r="E78" s="169">
        <f t="shared" si="14"/>
        <v>3.4632034632034632E-2</v>
      </c>
      <c r="F78" s="6" t="str">
        <f t="shared" si="15"/>
        <v>I305-Rest Of Maharashtra</v>
      </c>
    </row>
    <row r="79" spans="1:20" x14ac:dyDescent="0.35">
      <c r="A79" t="s">
        <v>163</v>
      </c>
      <c r="B79" t="s">
        <v>120</v>
      </c>
      <c r="C79" s="155">
        <f t="shared" si="13"/>
        <v>0.32</v>
      </c>
      <c r="D79" s="150">
        <v>4.0000000000000001E-3</v>
      </c>
      <c r="E79" s="169">
        <f t="shared" si="14"/>
        <v>5.0142724490146853E-2</v>
      </c>
      <c r="F79" s="6" t="str">
        <f t="shared" si="15"/>
        <v>I301-Gujarat</v>
      </c>
    </row>
    <row r="80" spans="1:20" x14ac:dyDescent="0.35">
      <c r="A80" t="s">
        <v>164</v>
      </c>
      <c r="B80" t="s">
        <v>121</v>
      </c>
      <c r="C80" s="155">
        <f t="shared" si="13"/>
        <v>0.24</v>
      </c>
      <c r="D80" s="150">
        <v>3.0000000000000001E-3</v>
      </c>
      <c r="E80" s="169">
        <f t="shared" si="14"/>
        <v>3.6181533024954832E-2</v>
      </c>
      <c r="F80" s="6" t="str">
        <f t="shared" si="15"/>
        <v>I401-Andhra Pradesh</v>
      </c>
    </row>
    <row r="81" spans="3:4" x14ac:dyDescent="0.35">
      <c r="C81" s="122"/>
      <c r="D81" s="173">
        <f>SUM(D2:D80)</f>
        <v>1.0000315500685872</v>
      </c>
    </row>
  </sheetData>
  <autoFilter ref="A1:E81" xr:uid="{00000000-0001-0000-0400-000000000000}"/>
  <pageMargins left="0.7" right="0.7" top="0.75" bottom="0.75" header="0.3" footer="0.3"/>
  <pageSetup orientation="portrait" r:id="rId1"/>
  <ignoredErrors>
    <ignoredError sqref="C1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3C3D-8A2F-41BA-BD6D-8257ECE18B29}">
  <dimension ref="A1:G4"/>
  <sheetViews>
    <sheetView workbookViewId="0">
      <selection activeCell="C2" sqref="C2"/>
    </sheetView>
  </sheetViews>
  <sheetFormatPr defaultRowHeight="14.5" x14ac:dyDescent="0.35"/>
  <cols>
    <col min="1" max="1" width="13.1796875" bestFit="1" customWidth="1"/>
    <col min="2" max="2" width="8.81640625" customWidth="1"/>
    <col min="3" max="3" width="15" bestFit="1" customWidth="1"/>
    <col min="4" max="4" width="17" customWidth="1"/>
  </cols>
  <sheetData>
    <row r="1" spans="1:7" x14ac:dyDescent="0.35">
      <c r="A1" t="s">
        <v>196</v>
      </c>
    </row>
    <row r="2" spans="1:7" x14ac:dyDescent="0.35">
      <c r="C2" s="138" t="s">
        <v>197</v>
      </c>
      <c r="D2" s="138" t="s">
        <v>198</v>
      </c>
      <c r="E2" s="138" t="s">
        <v>199</v>
      </c>
      <c r="F2" s="138" t="s">
        <v>200</v>
      </c>
      <c r="G2" s="138" t="s">
        <v>201</v>
      </c>
    </row>
    <row r="3" spans="1:7" x14ac:dyDescent="0.35">
      <c r="A3" t="s">
        <v>202</v>
      </c>
      <c r="B3">
        <v>3.4</v>
      </c>
      <c r="C3" t="s">
        <v>34</v>
      </c>
      <c r="D3" t="s">
        <v>35</v>
      </c>
      <c r="E3" s="143">
        <v>359.50597316016348</v>
      </c>
      <c r="F3" s="143">
        <v>302.9239408000546</v>
      </c>
      <c r="G3" s="139">
        <f>E3-F3</f>
        <v>56.582032360108883</v>
      </c>
    </row>
    <row r="4" spans="1:7" x14ac:dyDescent="0.35">
      <c r="A4" t="s">
        <v>203</v>
      </c>
      <c r="B4">
        <v>4.43</v>
      </c>
      <c r="C4" t="s">
        <v>35</v>
      </c>
      <c r="D4" t="s">
        <v>203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AU122"/>
  <sheetViews>
    <sheetView workbookViewId="0">
      <selection activeCell="A3" sqref="A3"/>
    </sheetView>
  </sheetViews>
  <sheetFormatPr defaultRowHeight="14.5" x14ac:dyDescent="0.35"/>
  <cols>
    <col min="3" max="3" width="10" bestFit="1" customWidth="1"/>
    <col min="4" max="4" width="13" customWidth="1"/>
    <col min="5" max="5" width="17.81640625" bestFit="1" customWidth="1"/>
    <col min="6" max="12" width="13" customWidth="1"/>
    <col min="31" max="31" width="13" customWidth="1"/>
  </cols>
  <sheetData>
    <row r="1" spans="3:47" ht="15" thickBot="1" x14ac:dyDescent="0.4">
      <c r="F1" t="s">
        <v>204</v>
      </c>
      <c r="G1" t="s">
        <v>205</v>
      </c>
      <c r="H1" t="s">
        <v>206</v>
      </c>
      <c r="I1" t="s">
        <v>207</v>
      </c>
      <c r="J1" t="s">
        <v>208</v>
      </c>
      <c r="L1" s="81" t="s">
        <v>209</v>
      </c>
      <c r="R1" t="s">
        <v>210</v>
      </c>
      <c r="X1" t="s">
        <v>211</v>
      </c>
      <c r="AE1" s="121" t="s">
        <v>209</v>
      </c>
      <c r="AF1" s="121" t="s">
        <v>212</v>
      </c>
      <c r="AK1" t="s">
        <v>210</v>
      </c>
      <c r="AL1" s="121" t="s">
        <v>212</v>
      </c>
      <c r="AQ1" t="s">
        <v>211</v>
      </c>
      <c r="AR1" s="121" t="s">
        <v>212</v>
      </c>
    </row>
    <row r="2" spans="3:47" x14ac:dyDescent="0.35">
      <c r="C2" t="s">
        <v>213</v>
      </c>
      <c r="D2" s="86" t="s">
        <v>29</v>
      </c>
      <c r="E2" s="87" t="s">
        <v>30</v>
      </c>
      <c r="F2" s="66" t="s">
        <v>32</v>
      </c>
      <c r="G2" s="67" t="s">
        <v>33</v>
      </c>
      <c r="H2" s="67" t="s">
        <v>214</v>
      </c>
      <c r="I2" s="67" t="s">
        <v>34</v>
      </c>
      <c r="J2" s="68" t="s">
        <v>35</v>
      </c>
      <c r="L2" s="66" t="s">
        <v>32</v>
      </c>
      <c r="M2" s="84" t="s">
        <v>33</v>
      </c>
      <c r="N2" s="84" t="s">
        <v>215</v>
      </c>
      <c r="O2" s="67" t="s">
        <v>34</v>
      </c>
      <c r="P2" s="68" t="s">
        <v>35</v>
      </c>
      <c r="R2" s="66" t="s">
        <v>32</v>
      </c>
      <c r="S2" s="67" t="s">
        <v>33</v>
      </c>
      <c r="T2" s="67" t="s">
        <v>214</v>
      </c>
      <c r="U2" s="67" t="s">
        <v>34</v>
      </c>
      <c r="V2" s="68" t="s">
        <v>35</v>
      </c>
      <c r="X2" s="66" t="s">
        <v>32</v>
      </c>
      <c r="Y2" s="67" t="s">
        <v>33</v>
      </c>
      <c r="Z2" s="67" t="s">
        <v>214</v>
      </c>
      <c r="AA2" s="67" t="s">
        <v>34</v>
      </c>
      <c r="AB2" s="68" t="s">
        <v>35</v>
      </c>
      <c r="AE2" s="66" t="s">
        <v>32</v>
      </c>
      <c r="AF2" s="84" t="s">
        <v>33</v>
      </c>
      <c r="AG2" s="84" t="s">
        <v>215</v>
      </c>
      <c r="AH2" s="67" t="s">
        <v>34</v>
      </c>
      <c r="AI2" s="68" t="s">
        <v>35</v>
      </c>
      <c r="AK2" s="66" t="s">
        <v>32</v>
      </c>
      <c r="AL2" s="67" t="s">
        <v>33</v>
      </c>
      <c r="AM2" s="67" t="s">
        <v>214</v>
      </c>
      <c r="AN2" s="67" t="s">
        <v>34</v>
      </c>
      <c r="AO2" s="68" t="s">
        <v>35</v>
      </c>
      <c r="AQ2" s="66" t="s">
        <v>32</v>
      </c>
      <c r="AR2" s="67" t="s">
        <v>33</v>
      </c>
      <c r="AS2" s="67" t="s">
        <v>214</v>
      </c>
      <c r="AT2" s="67" t="s">
        <v>34</v>
      </c>
      <c r="AU2" s="68" t="s">
        <v>35</v>
      </c>
    </row>
    <row r="3" spans="3:47" x14ac:dyDescent="0.35">
      <c r="C3" t="s">
        <v>216</v>
      </c>
      <c r="D3" s="88">
        <v>1</v>
      </c>
      <c r="E3" s="89" t="s">
        <v>44</v>
      </c>
      <c r="F3" s="66" t="s">
        <v>32</v>
      </c>
      <c r="G3" s="66" t="s">
        <v>32</v>
      </c>
      <c r="H3" s="66" t="s">
        <v>32</v>
      </c>
      <c r="I3" s="66" t="s">
        <v>32</v>
      </c>
      <c r="J3" s="66" t="s">
        <v>32</v>
      </c>
      <c r="L3" s="7">
        <v>0</v>
      </c>
      <c r="M3" s="7">
        <v>27.981436736418072</v>
      </c>
      <c r="N3" s="7">
        <v>31.356402064295477</v>
      </c>
      <c r="O3" s="7">
        <v>30.005849330223658</v>
      </c>
      <c r="P3" s="7">
        <v>30.059776011726175</v>
      </c>
      <c r="R3" s="7">
        <v>3.6765693001276576</v>
      </c>
      <c r="S3" s="7">
        <v>3.6765693001276576</v>
      </c>
      <c r="T3" s="7">
        <v>3.6765693001276576</v>
      </c>
      <c r="U3" s="7">
        <v>3.6765693001276576</v>
      </c>
      <c r="V3" s="7">
        <v>3.6765693001276576</v>
      </c>
      <c r="X3" s="7">
        <f>L3+R3</f>
        <v>3.6765693001276576</v>
      </c>
      <c r="Y3" s="7">
        <f t="shared" ref="Y3:AB18" si="0">M3+S3</f>
        <v>31.658006036545729</v>
      </c>
      <c r="Z3" s="7">
        <f t="shared" si="0"/>
        <v>35.032971364423133</v>
      </c>
      <c r="AA3" s="7">
        <f t="shared" si="0"/>
        <v>33.682418630351314</v>
      </c>
      <c r="AB3" s="7">
        <f t="shared" si="0"/>
        <v>33.736345311853832</v>
      </c>
      <c r="AE3" s="5">
        <v>0</v>
      </c>
      <c r="AF3" s="5">
        <v>3351.0952380952381</v>
      </c>
      <c r="AG3" s="5">
        <v>3755.2857142857142</v>
      </c>
      <c r="AH3" s="5">
        <v>4014.0625</v>
      </c>
      <c r="AI3" s="5">
        <v>3600</v>
      </c>
      <c r="AK3" s="5">
        <v>535.55555555555554</v>
      </c>
      <c r="AL3" s="5">
        <v>535.55555555555554</v>
      </c>
      <c r="AM3" s="5">
        <v>535.55555555555554</v>
      </c>
      <c r="AN3" s="5">
        <v>535.55555555555554</v>
      </c>
      <c r="AO3" s="5">
        <v>535.55555555555554</v>
      </c>
      <c r="AQ3" s="5">
        <f t="shared" ref="AQ3:AQ34" si="1">AE3+AK3</f>
        <v>535.55555555555554</v>
      </c>
      <c r="AR3" s="5">
        <f t="shared" ref="AR3:AU66" si="2">AF3+AL3</f>
        <v>3886.6507936507937</v>
      </c>
      <c r="AS3" s="5">
        <f t="shared" si="2"/>
        <v>4290.8412698412694</v>
      </c>
      <c r="AT3" s="5">
        <f t="shared" si="2"/>
        <v>4549.6180555555557</v>
      </c>
      <c r="AU3" s="5">
        <f t="shared" si="2"/>
        <v>4135.5555555555557</v>
      </c>
    </row>
    <row r="4" spans="3:47" x14ac:dyDescent="0.35">
      <c r="C4" t="s">
        <v>217</v>
      </c>
      <c r="D4" s="88">
        <v>2</v>
      </c>
      <c r="E4" s="89" t="s">
        <v>184</v>
      </c>
      <c r="F4" s="84" t="s">
        <v>215</v>
      </c>
      <c r="G4" s="84" t="s">
        <v>33</v>
      </c>
      <c r="H4" s="84" t="s">
        <v>215</v>
      </c>
      <c r="I4" s="84" t="s">
        <v>215</v>
      </c>
      <c r="J4" s="84" t="s">
        <v>215</v>
      </c>
      <c r="L4" s="7">
        <v>18.304256464283259</v>
      </c>
      <c r="M4" s="7">
        <v>0</v>
      </c>
      <c r="N4" s="7">
        <v>0</v>
      </c>
      <c r="O4" s="7">
        <v>9.4577409251285722</v>
      </c>
      <c r="P4" s="7">
        <v>32.922611822366761</v>
      </c>
      <c r="R4" s="7">
        <v>4.4251522445481006</v>
      </c>
      <c r="S4" s="7">
        <v>5.1407452258501776</v>
      </c>
      <c r="T4" s="7">
        <v>4.4251522445481006</v>
      </c>
      <c r="U4" s="7">
        <v>4.4251522445481006</v>
      </c>
      <c r="V4" s="7">
        <v>4.4251522445481006</v>
      </c>
      <c r="X4" s="7">
        <f t="shared" ref="X4:AB66" si="3">L4+R4</f>
        <v>22.729408708831361</v>
      </c>
      <c r="Y4" s="7">
        <f t="shared" si="0"/>
        <v>5.1407452258501776</v>
      </c>
      <c r="Z4" s="7">
        <f t="shared" si="0"/>
        <v>4.4251522445481006</v>
      </c>
      <c r="AA4" s="7">
        <f t="shared" si="0"/>
        <v>13.882893169676674</v>
      </c>
      <c r="AB4" s="7">
        <f t="shared" si="0"/>
        <v>37.347764066914863</v>
      </c>
      <c r="AE4" s="5">
        <v>2192.1428571428573</v>
      </c>
      <c r="AF4" s="5">
        <v>0</v>
      </c>
      <c r="AG4" s="5">
        <v>0</v>
      </c>
      <c r="AH4" s="5">
        <v>1265.21875</v>
      </c>
      <c r="AI4" s="5">
        <v>3942.8571428571427</v>
      </c>
      <c r="AK4" s="5">
        <v>631.44444444444446</v>
      </c>
      <c r="AL4" s="5">
        <v>733.55555555555554</v>
      </c>
      <c r="AM4" s="5">
        <v>631.44444444444446</v>
      </c>
      <c r="AN4" s="5">
        <v>631.44444444444446</v>
      </c>
      <c r="AO4" s="5">
        <v>631.44444444444446</v>
      </c>
      <c r="AQ4" s="5">
        <f t="shared" si="1"/>
        <v>2823.5873015873017</v>
      </c>
      <c r="AR4" s="5">
        <f t="shared" si="2"/>
        <v>733.55555555555554</v>
      </c>
      <c r="AS4" s="5">
        <f t="shared" si="2"/>
        <v>631.44444444444446</v>
      </c>
      <c r="AT4" s="5">
        <f t="shared" si="2"/>
        <v>1896.6631944444443</v>
      </c>
      <c r="AU4" s="5">
        <f t="shared" si="2"/>
        <v>4574.3015873015875</v>
      </c>
    </row>
    <row r="5" spans="3:47" x14ac:dyDescent="0.35">
      <c r="C5" t="s">
        <v>217</v>
      </c>
      <c r="D5" s="88">
        <v>3</v>
      </c>
      <c r="E5" s="89" t="s">
        <v>193</v>
      </c>
      <c r="F5" s="84" t="s">
        <v>215</v>
      </c>
      <c r="G5" s="84" t="s">
        <v>33</v>
      </c>
      <c r="H5" s="84" t="s">
        <v>215</v>
      </c>
      <c r="I5" s="84" t="s">
        <v>215</v>
      </c>
      <c r="J5" s="84" t="s">
        <v>215</v>
      </c>
      <c r="L5" s="7">
        <v>18.304256464283259</v>
      </c>
      <c r="M5" s="7">
        <v>0</v>
      </c>
      <c r="N5" s="7">
        <v>0</v>
      </c>
      <c r="O5" s="7">
        <v>9.4577409251285722</v>
      </c>
      <c r="P5" s="7">
        <v>32.922611822366761</v>
      </c>
      <c r="R5" s="7">
        <v>4.4251522445481006</v>
      </c>
      <c r="S5" s="7">
        <v>5.1407452258501776</v>
      </c>
      <c r="T5" s="7">
        <v>4.4251522445481006</v>
      </c>
      <c r="U5" s="7">
        <v>4.4251522445481006</v>
      </c>
      <c r="V5" s="7">
        <v>4.4251522445481006</v>
      </c>
      <c r="X5" s="7">
        <f t="shared" si="3"/>
        <v>22.729408708831361</v>
      </c>
      <c r="Y5" s="7">
        <f t="shared" si="0"/>
        <v>5.1407452258501776</v>
      </c>
      <c r="Z5" s="7">
        <f t="shared" si="0"/>
        <v>4.4251522445481006</v>
      </c>
      <c r="AA5" s="7">
        <f t="shared" si="0"/>
        <v>13.882893169676674</v>
      </c>
      <c r="AB5" s="7">
        <f t="shared" si="0"/>
        <v>37.347764066914863</v>
      </c>
      <c r="AE5" s="5">
        <v>2192.1428571428573</v>
      </c>
      <c r="AF5" s="5">
        <v>0</v>
      </c>
      <c r="AG5" s="5">
        <v>0</v>
      </c>
      <c r="AH5" s="5">
        <v>1265.21875</v>
      </c>
      <c r="AI5" s="5">
        <v>3942.8571428571427</v>
      </c>
      <c r="AK5" s="5">
        <v>631.44444444444446</v>
      </c>
      <c r="AL5" s="5">
        <v>733.55555555555554</v>
      </c>
      <c r="AM5" s="5">
        <v>631.44444444444446</v>
      </c>
      <c r="AN5" s="5">
        <v>631.44444444444446</v>
      </c>
      <c r="AO5" s="5">
        <v>631.44444444444446</v>
      </c>
      <c r="AQ5" s="5">
        <f t="shared" si="1"/>
        <v>2823.5873015873017</v>
      </c>
      <c r="AR5" s="5">
        <f t="shared" si="2"/>
        <v>733.55555555555554</v>
      </c>
      <c r="AS5" s="5">
        <f t="shared" si="2"/>
        <v>631.44444444444446</v>
      </c>
      <c r="AT5" s="5">
        <f t="shared" si="2"/>
        <v>1896.6631944444443</v>
      </c>
      <c r="AU5" s="5">
        <f t="shared" si="2"/>
        <v>4574.3015873015875</v>
      </c>
    </row>
    <row r="6" spans="3:47" x14ac:dyDescent="0.35">
      <c r="C6" t="s">
        <v>218</v>
      </c>
      <c r="D6" s="88">
        <v>4</v>
      </c>
      <c r="E6" s="89" t="s">
        <v>49</v>
      </c>
      <c r="F6" s="66" t="s">
        <v>219</v>
      </c>
      <c r="G6" s="66" t="s">
        <v>219</v>
      </c>
      <c r="H6" s="66" t="s">
        <v>219</v>
      </c>
      <c r="I6" s="66" t="s">
        <v>219</v>
      </c>
      <c r="J6" s="66" t="s">
        <v>219</v>
      </c>
      <c r="L6" s="7">
        <v>14.008014667898323</v>
      </c>
      <c r="M6" s="7">
        <v>21.670076622210008</v>
      </c>
      <c r="N6" s="7">
        <v>20.975441322044851</v>
      </c>
      <c r="O6" s="7">
        <v>22.46198869752422</v>
      </c>
      <c r="P6" s="7">
        <v>15.862893703542536</v>
      </c>
      <c r="R6" s="7">
        <v>3.9779103588850973</v>
      </c>
      <c r="S6" s="7">
        <v>3.9779103588850973</v>
      </c>
      <c r="T6" s="7">
        <v>3.9779103588850973</v>
      </c>
      <c r="U6" s="7">
        <v>3.9779103588850973</v>
      </c>
      <c r="V6" s="7">
        <v>3.9779103588850973</v>
      </c>
      <c r="X6" s="7">
        <f t="shared" si="3"/>
        <v>17.98592502678342</v>
      </c>
      <c r="Y6" s="7">
        <f t="shared" si="0"/>
        <v>25.647986981095105</v>
      </c>
      <c r="Z6" s="7">
        <f t="shared" si="0"/>
        <v>24.953351680929948</v>
      </c>
      <c r="AA6" s="7">
        <f t="shared" si="0"/>
        <v>26.439899056409317</v>
      </c>
      <c r="AB6" s="7">
        <f t="shared" si="0"/>
        <v>19.840804062427633</v>
      </c>
      <c r="AE6" s="5">
        <v>1677.6190476190477</v>
      </c>
      <c r="AF6" s="5">
        <v>2595.2380952380954</v>
      </c>
      <c r="AG6" s="5">
        <v>2512.0476190476193</v>
      </c>
      <c r="AH6" s="5">
        <v>3004.875</v>
      </c>
      <c r="AI6" s="5">
        <v>1899.7619047619048</v>
      </c>
      <c r="AK6" s="5">
        <v>521.0625</v>
      </c>
      <c r="AL6" s="5">
        <v>521.0625</v>
      </c>
      <c r="AM6" s="5">
        <v>521.0625</v>
      </c>
      <c r="AN6" s="5">
        <v>521.0625</v>
      </c>
      <c r="AO6" s="5">
        <v>521.0625</v>
      </c>
      <c r="AQ6" s="5">
        <f t="shared" si="1"/>
        <v>2198.6815476190477</v>
      </c>
      <c r="AR6" s="5">
        <f t="shared" si="2"/>
        <v>3116.3005952380954</v>
      </c>
      <c r="AS6" s="5">
        <f t="shared" si="2"/>
        <v>3033.1101190476193</v>
      </c>
      <c r="AT6" s="5">
        <f t="shared" si="2"/>
        <v>3525.9375</v>
      </c>
      <c r="AU6" s="5">
        <f t="shared" si="2"/>
        <v>2420.8244047619046</v>
      </c>
    </row>
    <row r="7" spans="3:47" x14ac:dyDescent="0.35">
      <c r="C7" t="s">
        <v>218</v>
      </c>
      <c r="D7" s="88">
        <v>5</v>
      </c>
      <c r="E7" s="89" t="s">
        <v>220</v>
      </c>
      <c r="F7" s="66" t="s">
        <v>219</v>
      </c>
      <c r="G7" s="66" t="s">
        <v>219</v>
      </c>
      <c r="H7" s="66" t="s">
        <v>219</v>
      </c>
      <c r="I7" s="66" t="s">
        <v>219</v>
      </c>
      <c r="J7" s="66" t="s">
        <v>219</v>
      </c>
      <c r="L7" s="7">
        <v>14.008014667898323</v>
      </c>
      <c r="M7" s="7">
        <v>21.670076622210008</v>
      </c>
      <c r="N7" s="7">
        <v>20.975441322044851</v>
      </c>
      <c r="O7" s="7">
        <v>22.46198869752422</v>
      </c>
      <c r="P7" s="7">
        <v>15.862893703542536</v>
      </c>
      <c r="R7" s="7">
        <v>3.9779103588850973</v>
      </c>
      <c r="S7" s="7">
        <v>3.9779103588850973</v>
      </c>
      <c r="T7" s="7">
        <v>3.9779103588850973</v>
      </c>
      <c r="U7" s="7">
        <v>3.9779103588850973</v>
      </c>
      <c r="V7" s="7">
        <v>3.9779103588850973</v>
      </c>
      <c r="X7" s="7">
        <f t="shared" si="3"/>
        <v>17.98592502678342</v>
      </c>
      <c r="Y7" s="7">
        <f t="shared" si="0"/>
        <v>25.647986981095105</v>
      </c>
      <c r="Z7" s="7">
        <f t="shared" si="0"/>
        <v>24.953351680929948</v>
      </c>
      <c r="AA7" s="7">
        <f t="shared" si="0"/>
        <v>26.439899056409317</v>
      </c>
      <c r="AB7" s="7">
        <f t="shared" si="0"/>
        <v>19.840804062427633</v>
      </c>
      <c r="AE7" s="5">
        <v>1677.6190476190477</v>
      </c>
      <c r="AF7" s="5">
        <v>2595.2380952380954</v>
      </c>
      <c r="AG7" s="5">
        <v>2512.0476190476193</v>
      </c>
      <c r="AH7" s="5">
        <v>3004.875</v>
      </c>
      <c r="AI7" s="5">
        <v>1899.7619047619048</v>
      </c>
      <c r="AK7" s="5">
        <v>521.0625</v>
      </c>
      <c r="AL7" s="5">
        <v>521.0625</v>
      </c>
      <c r="AM7" s="5">
        <v>521.0625</v>
      </c>
      <c r="AN7" s="5">
        <v>521.0625</v>
      </c>
      <c r="AO7" s="5">
        <v>521.0625</v>
      </c>
      <c r="AQ7" s="5">
        <f t="shared" si="1"/>
        <v>2198.6815476190477</v>
      </c>
      <c r="AR7" s="5">
        <f t="shared" si="2"/>
        <v>3116.3005952380954</v>
      </c>
      <c r="AS7" s="5">
        <f t="shared" si="2"/>
        <v>3033.1101190476193</v>
      </c>
      <c r="AT7" s="5">
        <f t="shared" si="2"/>
        <v>3525.9375</v>
      </c>
      <c r="AU7" s="5">
        <f t="shared" si="2"/>
        <v>2420.8244047619046</v>
      </c>
    </row>
    <row r="8" spans="3:47" x14ac:dyDescent="0.35">
      <c r="C8" t="s">
        <v>221</v>
      </c>
      <c r="D8" s="88">
        <v>6</v>
      </c>
      <c r="E8" s="89" t="s">
        <v>194</v>
      </c>
      <c r="F8" s="84" t="s">
        <v>222</v>
      </c>
      <c r="G8" s="84" t="s">
        <v>222</v>
      </c>
      <c r="H8" s="84" t="s">
        <v>222</v>
      </c>
      <c r="I8" s="84" t="s">
        <v>222</v>
      </c>
      <c r="J8" s="84" t="s">
        <v>222</v>
      </c>
      <c r="L8" s="7">
        <v>38.409713792761224</v>
      </c>
      <c r="M8" s="7">
        <v>35.087631404163709</v>
      </c>
      <c r="N8" s="7">
        <v>40.244314408080065</v>
      </c>
      <c r="O8" s="7">
        <v>21.295626644540128</v>
      </c>
      <c r="P8" s="7">
        <v>49.463440950512378</v>
      </c>
      <c r="R8" s="7">
        <v>6.4199093053615188</v>
      </c>
      <c r="S8" s="7">
        <v>6.4199093053615188</v>
      </c>
      <c r="T8" s="7">
        <v>6.4199093053615188</v>
      </c>
      <c r="U8" s="7">
        <v>6.4199093053615188</v>
      </c>
      <c r="V8" s="7">
        <v>6.4199093053615188</v>
      </c>
      <c r="X8" s="7">
        <f t="shared" si="3"/>
        <v>44.829623098122745</v>
      </c>
      <c r="Y8" s="7">
        <f t="shared" si="0"/>
        <v>41.50754070952523</v>
      </c>
      <c r="Z8" s="7">
        <f t="shared" si="0"/>
        <v>46.664223713441586</v>
      </c>
      <c r="AA8" s="7">
        <f t="shared" si="0"/>
        <v>27.715535949901646</v>
      </c>
      <c r="AB8" s="7">
        <f t="shared" si="0"/>
        <v>55.8833502558739</v>
      </c>
      <c r="AE8" s="5">
        <v>4600</v>
      </c>
      <c r="AF8" s="5">
        <v>4202.1428571428569</v>
      </c>
      <c r="AG8" s="5">
        <v>4819.7142857142853</v>
      </c>
      <c r="AH8" s="5">
        <v>2848.84375</v>
      </c>
      <c r="AI8" s="5">
        <v>5923.8095238095239</v>
      </c>
      <c r="AK8" s="5">
        <v>840.9375</v>
      </c>
      <c r="AL8" s="5">
        <v>840.9375</v>
      </c>
      <c r="AM8" s="5">
        <v>840.9375</v>
      </c>
      <c r="AN8" s="5">
        <v>840.9375</v>
      </c>
      <c r="AO8" s="5">
        <v>840.9375</v>
      </c>
      <c r="AQ8" s="5">
        <f t="shared" si="1"/>
        <v>5440.9375</v>
      </c>
      <c r="AR8" s="5">
        <f t="shared" si="2"/>
        <v>5043.0803571428569</v>
      </c>
      <c r="AS8" s="5">
        <f t="shared" si="2"/>
        <v>5660.6517857142853</v>
      </c>
      <c r="AT8" s="5">
        <f t="shared" si="2"/>
        <v>3689.78125</v>
      </c>
      <c r="AU8" s="5">
        <f t="shared" si="2"/>
        <v>6764.7470238095239</v>
      </c>
    </row>
    <row r="9" spans="3:47" x14ac:dyDescent="0.35">
      <c r="C9" t="s">
        <v>221</v>
      </c>
      <c r="D9" s="88">
        <v>7</v>
      </c>
      <c r="E9" s="89" t="s">
        <v>186</v>
      </c>
      <c r="F9" s="84" t="s">
        <v>222</v>
      </c>
      <c r="G9" s="84" t="s">
        <v>222</v>
      </c>
      <c r="H9" s="84" t="s">
        <v>222</v>
      </c>
      <c r="I9" s="84" t="s">
        <v>222</v>
      </c>
      <c r="J9" s="84" t="s">
        <v>222</v>
      </c>
      <c r="L9" s="7">
        <v>38.409713792761224</v>
      </c>
      <c r="M9" s="7">
        <v>35.087631404163709</v>
      </c>
      <c r="N9" s="7">
        <v>40.244314408080065</v>
      </c>
      <c r="O9" s="7">
        <v>21.295626644540128</v>
      </c>
      <c r="P9" s="7">
        <v>49.463440950512378</v>
      </c>
      <c r="R9" s="7">
        <v>6.4199093053615188</v>
      </c>
      <c r="S9" s="7">
        <v>6.4199093053615188</v>
      </c>
      <c r="T9" s="7">
        <v>6.4199093053615188</v>
      </c>
      <c r="U9" s="7">
        <v>6.4199093053615188</v>
      </c>
      <c r="V9" s="7">
        <v>6.4199093053615188</v>
      </c>
      <c r="X9" s="7">
        <f t="shared" si="3"/>
        <v>44.829623098122745</v>
      </c>
      <c r="Y9" s="7">
        <f t="shared" si="0"/>
        <v>41.50754070952523</v>
      </c>
      <c r="Z9" s="7">
        <f t="shared" si="0"/>
        <v>46.664223713441586</v>
      </c>
      <c r="AA9" s="7">
        <f t="shared" si="0"/>
        <v>27.715535949901646</v>
      </c>
      <c r="AB9" s="7">
        <f t="shared" si="0"/>
        <v>55.8833502558739</v>
      </c>
      <c r="AE9" s="5">
        <v>4600</v>
      </c>
      <c r="AF9" s="5">
        <v>4202.1428571428569</v>
      </c>
      <c r="AG9" s="5">
        <v>4819.7142857142853</v>
      </c>
      <c r="AH9" s="5">
        <v>2848.84375</v>
      </c>
      <c r="AI9" s="5">
        <v>5923.8095238095239</v>
      </c>
      <c r="AK9" s="5">
        <v>840.9375</v>
      </c>
      <c r="AL9" s="5">
        <v>840.9375</v>
      </c>
      <c r="AM9" s="5">
        <v>840.9375</v>
      </c>
      <c r="AN9" s="5">
        <v>840.9375</v>
      </c>
      <c r="AO9" s="5">
        <v>840.9375</v>
      </c>
      <c r="AQ9" s="5">
        <f t="shared" si="1"/>
        <v>5440.9375</v>
      </c>
      <c r="AR9" s="5">
        <f t="shared" si="2"/>
        <v>5043.0803571428569</v>
      </c>
      <c r="AS9" s="5">
        <f t="shared" si="2"/>
        <v>5660.6517857142853</v>
      </c>
      <c r="AT9" s="5">
        <f t="shared" si="2"/>
        <v>3689.78125</v>
      </c>
      <c r="AU9" s="5">
        <f t="shared" si="2"/>
        <v>6764.7470238095239</v>
      </c>
    </row>
    <row r="10" spans="3:47" x14ac:dyDescent="0.35">
      <c r="C10" t="s">
        <v>223</v>
      </c>
      <c r="D10" s="88">
        <v>8</v>
      </c>
      <c r="E10" s="89" t="s">
        <v>57</v>
      </c>
      <c r="F10" s="66" t="s">
        <v>32</v>
      </c>
      <c r="G10" s="66" t="s">
        <v>33</v>
      </c>
      <c r="H10" s="66" t="s">
        <v>215</v>
      </c>
      <c r="I10" s="66" t="s">
        <v>215</v>
      </c>
      <c r="J10" s="66" t="s">
        <v>215</v>
      </c>
      <c r="L10" s="7">
        <v>0</v>
      </c>
      <c r="M10" s="7">
        <v>0</v>
      </c>
      <c r="N10" s="7">
        <v>0</v>
      </c>
      <c r="O10" s="7">
        <v>9.4577409251285722</v>
      </c>
      <c r="P10" s="7">
        <v>32.922611822366761</v>
      </c>
      <c r="R10" s="7">
        <v>15.079033353945752</v>
      </c>
      <c r="S10" s="7">
        <v>7.5444835645656427</v>
      </c>
      <c r="T10" s="7">
        <v>6.9223303631941953</v>
      </c>
      <c r="U10" s="7">
        <v>6.9223303631941953</v>
      </c>
      <c r="V10" s="7">
        <v>6.9223303631941953</v>
      </c>
      <c r="X10" s="7">
        <f t="shared" si="3"/>
        <v>15.079033353945752</v>
      </c>
      <c r="Y10" s="7">
        <f t="shared" si="0"/>
        <v>7.5444835645656427</v>
      </c>
      <c r="Z10" s="7">
        <f t="shared" si="0"/>
        <v>6.9223303631941953</v>
      </c>
      <c r="AA10" s="7">
        <f t="shared" si="0"/>
        <v>16.380071288322767</v>
      </c>
      <c r="AB10" s="7">
        <f t="shared" si="0"/>
        <v>39.844942185560953</v>
      </c>
      <c r="AE10" s="5">
        <v>0</v>
      </c>
      <c r="AF10" s="5">
        <v>0</v>
      </c>
      <c r="AG10" s="5">
        <v>0</v>
      </c>
      <c r="AH10" s="5">
        <v>1265.21875</v>
      </c>
      <c r="AI10" s="5">
        <v>3942.8571428571427</v>
      </c>
      <c r="AK10" s="5">
        <v>1975.1875</v>
      </c>
      <c r="AL10" s="5">
        <v>1076.5555555555557</v>
      </c>
      <c r="AM10" s="5">
        <v>987.77777777777783</v>
      </c>
      <c r="AN10" s="5">
        <v>987.77777777777783</v>
      </c>
      <c r="AO10" s="5">
        <v>987.77777777777783</v>
      </c>
      <c r="AQ10" s="5">
        <f t="shared" si="1"/>
        <v>1975.1875</v>
      </c>
      <c r="AR10" s="5">
        <f t="shared" si="2"/>
        <v>1076.5555555555557</v>
      </c>
      <c r="AS10" s="5">
        <f t="shared" si="2"/>
        <v>987.77777777777783</v>
      </c>
      <c r="AT10" s="5">
        <f t="shared" si="2"/>
        <v>2252.9965277777778</v>
      </c>
      <c r="AU10" s="5">
        <f t="shared" si="2"/>
        <v>4930.6349206349205</v>
      </c>
    </row>
    <row r="11" spans="3:47" x14ac:dyDescent="0.35">
      <c r="C11" t="s">
        <v>223</v>
      </c>
      <c r="D11" s="88">
        <v>9</v>
      </c>
      <c r="E11" s="89" t="s">
        <v>58</v>
      </c>
      <c r="F11" s="66" t="s">
        <v>32</v>
      </c>
      <c r="G11" s="66" t="s">
        <v>33</v>
      </c>
      <c r="H11" s="66" t="s">
        <v>215</v>
      </c>
      <c r="I11" s="66" t="s">
        <v>215</v>
      </c>
      <c r="J11" s="66" t="s">
        <v>215</v>
      </c>
      <c r="L11" s="7">
        <v>0</v>
      </c>
      <c r="M11" s="7">
        <v>0</v>
      </c>
      <c r="N11" s="7">
        <v>0</v>
      </c>
      <c r="O11" s="7">
        <v>9.4577409251285722</v>
      </c>
      <c r="P11" s="7">
        <v>32.922611822366761</v>
      </c>
      <c r="R11" s="7">
        <v>15.079033353945752</v>
      </c>
      <c r="S11" s="7">
        <v>7.5444835645656427</v>
      </c>
      <c r="T11" s="7">
        <v>6.9223303631941953</v>
      </c>
      <c r="U11" s="7">
        <v>6.9223303631941953</v>
      </c>
      <c r="V11" s="7">
        <v>6.9223303631941953</v>
      </c>
      <c r="X11" s="7">
        <f t="shared" si="3"/>
        <v>15.079033353945752</v>
      </c>
      <c r="Y11" s="7">
        <f t="shared" si="0"/>
        <v>7.5444835645656427</v>
      </c>
      <c r="Z11" s="7">
        <f t="shared" si="0"/>
        <v>6.9223303631941953</v>
      </c>
      <c r="AA11" s="7">
        <f t="shared" si="0"/>
        <v>16.380071288322767</v>
      </c>
      <c r="AB11" s="7">
        <f t="shared" si="0"/>
        <v>39.844942185560953</v>
      </c>
      <c r="AE11" s="5">
        <v>0</v>
      </c>
      <c r="AF11" s="5">
        <v>0</v>
      </c>
      <c r="AG11" s="5">
        <v>0</v>
      </c>
      <c r="AH11" s="5">
        <v>1265.21875</v>
      </c>
      <c r="AI11" s="5">
        <v>3942.8571428571427</v>
      </c>
      <c r="AK11" s="5">
        <v>1975.1875</v>
      </c>
      <c r="AL11" s="5">
        <v>1076.5555555555557</v>
      </c>
      <c r="AM11" s="5">
        <v>987.77777777777783</v>
      </c>
      <c r="AN11" s="5">
        <v>987.77777777777783</v>
      </c>
      <c r="AO11" s="5">
        <v>987.77777777777783</v>
      </c>
      <c r="AQ11" s="5">
        <f t="shared" si="1"/>
        <v>1975.1875</v>
      </c>
      <c r="AR11" s="5">
        <f t="shared" si="2"/>
        <v>1076.5555555555557</v>
      </c>
      <c r="AS11" s="5">
        <f t="shared" si="2"/>
        <v>987.77777777777783</v>
      </c>
      <c r="AT11" s="5">
        <f t="shared" si="2"/>
        <v>2252.9965277777778</v>
      </c>
      <c r="AU11" s="5">
        <f t="shared" si="2"/>
        <v>4930.6349206349205</v>
      </c>
    </row>
    <row r="12" spans="3:47" x14ac:dyDescent="0.35">
      <c r="C12" t="s">
        <v>224</v>
      </c>
      <c r="D12" s="88">
        <v>10</v>
      </c>
      <c r="E12" s="89" t="s">
        <v>59</v>
      </c>
      <c r="F12" s="66" t="s">
        <v>32</v>
      </c>
      <c r="G12" s="66" t="s">
        <v>32</v>
      </c>
      <c r="H12" s="66" t="s">
        <v>32</v>
      </c>
      <c r="I12" s="66" t="s">
        <v>32</v>
      </c>
      <c r="J12" s="66" t="s">
        <v>225</v>
      </c>
      <c r="L12" s="7">
        <v>0</v>
      </c>
      <c r="M12" s="7">
        <v>27.981436736418072</v>
      </c>
      <c r="N12" s="7">
        <v>31.356402064295477</v>
      </c>
      <c r="O12" s="7">
        <v>30.005849330223658</v>
      </c>
      <c r="P12" s="7">
        <v>0</v>
      </c>
      <c r="R12" s="7">
        <v>9.0179328035178514</v>
      </c>
      <c r="S12" s="7">
        <v>9.0179328035178514</v>
      </c>
      <c r="T12" s="7">
        <v>9.0179328035178514</v>
      </c>
      <c r="U12" s="7">
        <v>9.0179328035178514</v>
      </c>
      <c r="V12" s="7">
        <v>23.141256136011421</v>
      </c>
      <c r="X12" s="7">
        <f t="shared" si="3"/>
        <v>9.0179328035178514</v>
      </c>
      <c r="Y12" s="7">
        <f t="shared" si="0"/>
        <v>36.999369539935927</v>
      </c>
      <c r="Z12" s="7">
        <f t="shared" si="0"/>
        <v>40.374334867813332</v>
      </c>
      <c r="AA12" s="7">
        <f t="shared" si="0"/>
        <v>39.023782133741506</v>
      </c>
      <c r="AB12" s="7">
        <f t="shared" si="0"/>
        <v>23.141256136011421</v>
      </c>
      <c r="AE12" s="5">
        <v>0</v>
      </c>
      <c r="AF12" s="5">
        <v>3351.0952380952381</v>
      </c>
      <c r="AG12" s="5">
        <v>3755.2857142857142</v>
      </c>
      <c r="AH12" s="5">
        <v>4014.0625</v>
      </c>
      <c r="AI12" s="5">
        <v>0</v>
      </c>
      <c r="AK12" s="5">
        <v>1181.25</v>
      </c>
      <c r="AL12" s="5">
        <v>1181.25</v>
      </c>
      <c r="AM12" s="5">
        <v>1181.25</v>
      </c>
      <c r="AN12" s="5">
        <v>1181.25</v>
      </c>
      <c r="AO12" s="5">
        <v>3031.25</v>
      </c>
      <c r="AQ12" s="5">
        <f t="shared" si="1"/>
        <v>1181.25</v>
      </c>
      <c r="AR12" s="5">
        <f t="shared" si="2"/>
        <v>4532.3452380952385</v>
      </c>
      <c r="AS12" s="5">
        <f t="shared" si="2"/>
        <v>4936.5357142857138</v>
      </c>
      <c r="AT12" s="5">
        <f t="shared" si="2"/>
        <v>5195.3125</v>
      </c>
      <c r="AU12" s="5">
        <f t="shared" si="2"/>
        <v>3031.25</v>
      </c>
    </row>
    <row r="13" spans="3:47" x14ac:dyDescent="0.35">
      <c r="C13" t="s">
        <v>226</v>
      </c>
      <c r="D13" s="88">
        <v>11</v>
      </c>
      <c r="E13" s="89" t="s">
        <v>62</v>
      </c>
      <c r="F13" s="66" t="s">
        <v>32</v>
      </c>
      <c r="G13" s="66" t="s">
        <v>32</v>
      </c>
      <c r="H13" s="66" t="s">
        <v>32</v>
      </c>
      <c r="I13" s="66" t="s">
        <v>32</v>
      </c>
      <c r="J13" s="66" t="s">
        <v>32</v>
      </c>
      <c r="L13" s="7">
        <v>0</v>
      </c>
      <c r="M13" s="7">
        <v>27.981436736418072</v>
      </c>
      <c r="N13" s="7">
        <v>31.356402064295477</v>
      </c>
      <c r="O13" s="7">
        <v>30.005849330223658</v>
      </c>
      <c r="P13" s="7">
        <v>30.059776011726175</v>
      </c>
      <c r="R13" s="7">
        <v>14.235928207712098</v>
      </c>
      <c r="S13" s="7">
        <v>14.235928207712098</v>
      </c>
      <c r="T13" s="7">
        <v>14.235928207712098</v>
      </c>
      <c r="U13" s="7">
        <v>14.235928207712098</v>
      </c>
      <c r="V13" s="7">
        <v>14.235928207712098</v>
      </c>
      <c r="X13" s="7">
        <f t="shared" si="3"/>
        <v>14.235928207712098</v>
      </c>
      <c r="Y13" s="7">
        <f t="shared" si="0"/>
        <v>42.217364944130168</v>
      </c>
      <c r="Z13" s="7">
        <f t="shared" si="0"/>
        <v>45.592330272007572</v>
      </c>
      <c r="AA13" s="7">
        <f t="shared" si="0"/>
        <v>44.241777537935754</v>
      </c>
      <c r="AB13" s="7">
        <f t="shared" si="0"/>
        <v>44.295704219438271</v>
      </c>
      <c r="AE13" s="5">
        <v>0</v>
      </c>
      <c r="AF13" s="5">
        <v>3351.0952380952381</v>
      </c>
      <c r="AG13" s="5">
        <v>3755.2857142857142</v>
      </c>
      <c r="AH13" s="5">
        <v>4014.0625</v>
      </c>
      <c r="AI13" s="5">
        <v>3600</v>
      </c>
      <c r="AK13" s="5">
        <v>1864.75</v>
      </c>
      <c r="AL13" s="5">
        <v>1864.75</v>
      </c>
      <c r="AM13" s="5">
        <v>1864.75</v>
      </c>
      <c r="AN13" s="5">
        <v>1864.75</v>
      </c>
      <c r="AO13" s="5">
        <v>1864.75</v>
      </c>
      <c r="AQ13" s="5">
        <f t="shared" si="1"/>
        <v>1864.75</v>
      </c>
      <c r="AR13" s="5">
        <f t="shared" si="2"/>
        <v>5215.8452380952385</v>
      </c>
      <c r="AS13" s="5">
        <f t="shared" si="2"/>
        <v>5620.0357142857138</v>
      </c>
      <c r="AT13" s="5">
        <f t="shared" si="2"/>
        <v>5878.8125</v>
      </c>
      <c r="AU13" s="5">
        <f t="shared" si="2"/>
        <v>5464.75</v>
      </c>
    </row>
    <row r="14" spans="3:47" x14ac:dyDescent="0.35">
      <c r="C14" t="s">
        <v>227</v>
      </c>
      <c r="D14" s="88">
        <v>12</v>
      </c>
      <c r="E14" s="89" t="s">
        <v>61</v>
      </c>
      <c r="F14" s="66" t="s">
        <v>32</v>
      </c>
      <c r="G14" s="66" t="s">
        <v>32</v>
      </c>
      <c r="H14" s="66" t="s">
        <v>32</v>
      </c>
      <c r="I14" s="66" t="s">
        <v>32</v>
      </c>
      <c r="J14" s="66" t="s">
        <v>225</v>
      </c>
      <c r="L14" s="7">
        <v>0</v>
      </c>
      <c r="M14" s="7">
        <v>27.981436736418072</v>
      </c>
      <c r="N14" s="7">
        <v>31.356402064295477</v>
      </c>
      <c r="O14" s="7">
        <v>30.005849330223658</v>
      </c>
      <c r="P14" s="7">
        <v>0</v>
      </c>
      <c r="R14" s="7">
        <v>21.591507683851315</v>
      </c>
      <c r="S14" s="7">
        <v>21.591507683851315</v>
      </c>
      <c r="T14" s="7">
        <v>21.591507683851315</v>
      </c>
      <c r="U14" s="7">
        <v>21.591507683851315</v>
      </c>
      <c r="V14" s="7">
        <v>4.3181106810495535</v>
      </c>
      <c r="X14" s="7">
        <f t="shared" si="3"/>
        <v>21.591507683851315</v>
      </c>
      <c r="Y14" s="7">
        <f t="shared" si="0"/>
        <v>49.572944420269387</v>
      </c>
      <c r="Z14" s="7">
        <f t="shared" si="0"/>
        <v>52.947909748146792</v>
      </c>
      <c r="AA14" s="7">
        <f t="shared" si="0"/>
        <v>51.597357014074973</v>
      </c>
      <c r="AB14" s="7">
        <f t="shared" si="0"/>
        <v>4.3181106810495535</v>
      </c>
      <c r="AE14" s="5">
        <v>0</v>
      </c>
      <c r="AF14" s="5">
        <v>3351.0952380952381</v>
      </c>
      <c r="AG14" s="5">
        <v>3755.2857142857142</v>
      </c>
      <c r="AH14" s="5">
        <v>4014.0625</v>
      </c>
      <c r="AI14" s="5">
        <v>0</v>
      </c>
      <c r="AK14" s="5">
        <v>2828.25</v>
      </c>
      <c r="AL14" s="5">
        <v>2828.25</v>
      </c>
      <c r="AM14" s="5">
        <v>2828.25</v>
      </c>
      <c r="AN14" s="5">
        <v>2828.25</v>
      </c>
      <c r="AO14" s="5">
        <v>565.625</v>
      </c>
      <c r="AQ14" s="5">
        <f t="shared" si="1"/>
        <v>2828.25</v>
      </c>
      <c r="AR14" s="5">
        <f t="shared" si="2"/>
        <v>6179.3452380952385</v>
      </c>
      <c r="AS14" s="5">
        <f t="shared" si="2"/>
        <v>6583.5357142857138</v>
      </c>
      <c r="AT14" s="5">
        <f t="shared" si="2"/>
        <v>6842.3125</v>
      </c>
      <c r="AU14" s="5">
        <f t="shared" si="2"/>
        <v>565.625</v>
      </c>
    </row>
    <row r="15" spans="3:47" x14ac:dyDescent="0.35">
      <c r="C15" t="s">
        <v>228</v>
      </c>
      <c r="D15" s="88">
        <v>13</v>
      </c>
      <c r="E15" s="89" t="s">
        <v>60</v>
      </c>
      <c r="F15" s="84" t="s">
        <v>215</v>
      </c>
      <c r="G15" s="84" t="s">
        <v>33</v>
      </c>
      <c r="H15" s="84" t="s">
        <v>215</v>
      </c>
      <c r="I15" s="84" t="s">
        <v>34</v>
      </c>
      <c r="J15" s="84" t="s">
        <v>215</v>
      </c>
      <c r="L15" s="7">
        <v>18.304256464283259</v>
      </c>
      <c r="M15" s="7">
        <v>0</v>
      </c>
      <c r="N15" s="7">
        <v>0</v>
      </c>
      <c r="O15" s="7">
        <v>0</v>
      </c>
      <c r="P15" s="7">
        <v>32.922611822366761</v>
      </c>
      <c r="R15" s="7">
        <v>12.981051844047974</v>
      </c>
      <c r="S15" s="7">
        <v>12.345502294085762</v>
      </c>
      <c r="T15" s="7">
        <v>12.981051844047974</v>
      </c>
      <c r="U15" s="7">
        <v>5.7480971684645281</v>
      </c>
      <c r="V15" s="7">
        <v>12.981051844047974</v>
      </c>
      <c r="X15" s="7">
        <f t="shared" si="3"/>
        <v>31.285308308331231</v>
      </c>
      <c r="Y15" s="7">
        <f t="shared" si="0"/>
        <v>12.345502294085762</v>
      </c>
      <c r="Z15" s="7">
        <f t="shared" si="0"/>
        <v>12.981051844047974</v>
      </c>
      <c r="AA15" s="7">
        <f t="shared" si="0"/>
        <v>5.7480971684645281</v>
      </c>
      <c r="AB15" s="7">
        <f t="shared" si="0"/>
        <v>45.903663666414737</v>
      </c>
      <c r="AE15" s="5">
        <v>2192.1428571428573</v>
      </c>
      <c r="AF15" s="5">
        <v>0</v>
      </c>
      <c r="AG15" s="5">
        <v>0</v>
      </c>
      <c r="AH15" s="5">
        <v>0</v>
      </c>
      <c r="AI15" s="5">
        <v>3942.8571428571427</v>
      </c>
      <c r="AK15" s="5">
        <v>1700.375</v>
      </c>
      <c r="AL15" s="5">
        <v>1617.125</v>
      </c>
      <c r="AM15" s="5">
        <v>1700.375</v>
      </c>
      <c r="AN15" s="5">
        <v>752.9375</v>
      </c>
      <c r="AO15" s="5">
        <v>1700.375</v>
      </c>
      <c r="AQ15" s="5">
        <f t="shared" si="1"/>
        <v>3892.5178571428573</v>
      </c>
      <c r="AR15" s="5">
        <f t="shared" si="2"/>
        <v>1617.125</v>
      </c>
      <c r="AS15" s="5">
        <f t="shared" si="2"/>
        <v>1700.375</v>
      </c>
      <c r="AT15" s="5">
        <f t="shared" si="2"/>
        <v>752.9375</v>
      </c>
      <c r="AU15" s="5">
        <f t="shared" si="2"/>
        <v>5643.2321428571431</v>
      </c>
    </row>
    <row r="16" spans="3:47" x14ac:dyDescent="0.35">
      <c r="C16" t="s">
        <v>229</v>
      </c>
      <c r="D16" s="88">
        <v>14</v>
      </c>
      <c r="E16" s="89" t="s">
        <v>65</v>
      </c>
      <c r="F16" s="66" t="s">
        <v>32</v>
      </c>
      <c r="G16" s="66" t="s">
        <v>32</v>
      </c>
      <c r="H16" s="66" t="s">
        <v>32</v>
      </c>
      <c r="I16" s="66" t="s">
        <v>32</v>
      </c>
      <c r="J16" s="66" t="s">
        <v>32</v>
      </c>
      <c r="L16" s="7">
        <v>0</v>
      </c>
      <c r="M16" s="7">
        <v>27.981436736418072</v>
      </c>
      <c r="N16" s="7">
        <v>31.356402064295477</v>
      </c>
      <c r="O16" s="7">
        <v>30.005849330223658</v>
      </c>
      <c r="P16" s="7">
        <v>30.059776011726175</v>
      </c>
      <c r="R16" s="7">
        <v>15.407305193565874</v>
      </c>
      <c r="S16" s="7">
        <v>15.407305193565874</v>
      </c>
      <c r="T16" s="7">
        <v>15.407305193565874</v>
      </c>
      <c r="U16" s="7">
        <v>15.407305193565874</v>
      </c>
      <c r="V16" s="7">
        <v>15.407305193565874</v>
      </c>
      <c r="X16" s="7">
        <f t="shared" si="3"/>
        <v>15.407305193565874</v>
      </c>
      <c r="Y16" s="7">
        <f t="shared" si="0"/>
        <v>43.388741929983944</v>
      </c>
      <c r="Z16" s="7">
        <f t="shared" si="0"/>
        <v>46.763707257861348</v>
      </c>
      <c r="AA16" s="7">
        <f t="shared" si="0"/>
        <v>45.41315452378953</v>
      </c>
      <c r="AB16" s="7">
        <f t="shared" si="0"/>
        <v>45.467081205292047</v>
      </c>
      <c r="AE16" s="5">
        <v>0</v>
      </c>
      <c r="AF16" s="5">
        <v>3351.0952380952381</v>
      </c>
      <c r="AG16" s="5">
        <v>3755.2857142857142</v>
      </c>
      <c r="AH16" s="5">
        <v>4014.0625</v>
      </c>
      <c r="AI16" s="5">
        <v>3600</v>
      </c>
      <c r="AK16" s="5">
        <v>2018.1875</v>
      </c>
      <c r="AL16" s="5">
        <v>2018.1875</v>
      </c>
      <c r="AM16" s="5">
        <v>2018.1875</v>
      </c>
      <c r="AN16" s="5">
        <v>2018.1875</v>
      </c>
      <c r="AO16" s="5">
        <v>2018.1875</v>
      </c>
      <c r="AQ16" s="5">
        <f t="shared" si="1"/>
        <v>2018.1875</v>
      </c>
      <c r="AR16" s="5">
        <f t="shared" si="2"/>
        <v>5369.2827380952385</v>
      </c>
      <c r="AS16" s="5">
        <f t="shared" si="2"/>
        <v>5773.4732142857138</v>
      </c>
      <c r="AT16" s="5">
        <f t="shared" si="2"/>
        <v>6032.25</v>
      </c>
      <c r="AU16" s="5">
        <f t="shared" si="2"/>
        <v>5618.1875</v>
      </c>
    </row>
    <row r="17" spans="3:47" x14ac:dyDescent="0.35">
      <c r="C17" t="s">
        <v>230</v>
      </c>
      <c r="D17" s="88">
        <v>15</v>
      </c>
      <c r="E17" s="89" t="s">
        <v>63</v>
      </c>
      <c r="F17" s="66" t="s">
        <v>32</v>
      </c>
      <c r="G17" s="66" t="s">
        <v>32</v>
      </c>
      <c r="H17" s="66" t="s">
        <v>32</v>
      </c>
      <c r="I17" s="66" t="s">
        <v>32</v>
      </c>
      <c r="J17" s="66" t="s">
        <v>32</v>
      </c>
      <c r="L17" s="7">
        <v>0</v>
      </c>
      <c r="M17" s="7">
        <v>27.981436736418072</v>
      </c>
      <c r="N17" s="7">
        <v>31.356402064295477</v>
      </c>
      <c r="O17" s="7">
        <v>30.005849330223658</v>
      </c>
      <c r="P17" s="7">
        <v>30.059776011726175</v>
      </c>
      <c r="R17" s="7">
        <v>11.530071227354968</v>
      </c>
      <c r="S17" s="7">
        <v>11.530071227354968</v>
      </c>
      <c r="T17" s="7">
        <v>11.530071227354968</v>
      </c>
      <c r="U17" s="7">
        <v>11.530071227354968</v>
      </c>
      <c r="V17" s="7">
        <v>11.530071227354968</v>
      </c>
      <c r="X17" s="7">
        <f t="shared" si="3"/>
        <v>11.530071227354968</v>
      </c>
      <c r="Y17" s="7">
        <f t="shared" si="0"/>
        <v>39.511507963773042</v>
      </c>
      <c r="Z17" s="7">
        <f t="shared" si="0"/>
        <v>42.886473291650447</v>
      </c>
      <c r="AA17" s="7">
        <f t="shared" si="0"/>
        <v>41.535920557578628</v>
      </c>
      <c r="AB17" s="7">
        <f t="shared" si="0"/>
        <v>41.589847239081145</v>
      </c>
      <c r="AE17" s="5">
        <v>0</v>
      </c>
      <c r="AF17" s="5">
        <v>3351.0952380952381</v>
      </c>
      <c r="AG17" s="5">
        <v>3755.2857142857142</v>
      </c>
      <c r="AH17" s="5">
        <v>4014.0625</v>
      </c>
      <c r="AI17" s="5">
        <v>3600</v>
      </c>
      <c r="AK17" s="5">
        <v>1510.3125</v>
      </c>
      <c r="AL17" s="5">
        <v>1510.3125</v>
      </c>
      <c r="AM17" s="5">
        <v>1510.3125</v>
      </c>
      <c r="AN17" s="5">
        <v>1510.3125</v>
      </c>
      <c r="AO17" s="5">
        <v>1510.3125</v>
      </c>
      <c r="AQ17" s="5">
        <f t="shared" si="1"/>
        <v>1510.3125</v>
      </c>
      <c r="AR17" s="5">
        <f t="shared" si="2"/>
        <v>4861.4077380952385</v>
      </c>
      <c r="AS17" s="5">
        <f t="shared" si="2"/>
        <v>5265.5982142857138</v>
      </c>
      <c r="AT17" s="5">
        <f t="shared" si="2"/>
        <v>5524.375</v>
      </c>
      <c r="AU17" s="5">
        <f t="shared" si="2"/>
        <v>5110.3125</v>
      </c>
    </row>
    <row r="18" spans="3:47" x14ac:dyDescent="0.35">
      <c r="C18" t="s">
        <v>231</v>
      </c>
      <c r="D18" s="88">
        <v>16</v>
      </c>
      <c r="E18" s="89" t="s">
        <v>68</v>
      </c>
      <c r="F18" s="84" t="s">
        <v>225</v>
      </c>
      <c r="G18" s="84" t="s">
        <v>225</v>
      </c>
      <c r="H18" s="84" t="s">
        <v>225</v>
      </c>
      <c r="I18" s="84" t="s">
        <v>225</v>
      </c>
      <c r="J18" s="84" t="s">
        <v>225</v>
      </c>
      <c r="L18" s="7">
        <v>14.008014667898323</v>
      </c>
      <c r="M18" s="7">
        <v>21.670076622210008</v>
      </c>
      <c r="N18" s="7">
        <v>20.975441322044851</v>
      </c>
      <c r="O18" s="7">
        <v>22.46198869752422</v>
      </c>
      <c r="P18" s="7">
        <v>0</v>
      </c>
      <c r="R18" s="7">
        <v>16.09470388098746</v>
      </c>
      <c r="S18" s="7">
        <v>16.09470388098746</v>
      </c>
      <c r="T18" s="7">
        <v>16.09470388098746</v>
      </c>
      <c r="U18" s="7">
        <v>16.09470388098746</v>
      </c>
      <c r="V18" s="7">
        <v>16.09470388098746</v>
      </c>
      <c r="X18" s="7">
        <f t="shared" si="3"/>
        <v>30.102718548885782</v>
      </c>
      <c r="Y18" s="7">
        <f t="shared" si="0"/>
        <v>37.764780503197471</v>
      </c>
      <c r="Z18" s="7">
        <f t="shared" si="0"/>
        <v>37.070145203032311</v>
      </c>
      <c r="AA18" s="7">
        <f t="shared" si="0"/>
        <v>38.556692578511679</v>
      </c>
      <c r="AB18" s="7">
        <f t="shared" si="0"/>
        <v>16.09470388098746</v>
      </c>
      <c r="AE18" s="5">
        <v>1677.6190476190477</v>
      </c>
      <c r="AF18" s="5">
        <v>2595.2380952380954</v>
      </c>
      <c r="AG18" s="5">
        <v>2512.0476190476193</v>
      </c>
      <c r="AH18" s="5">
        <v>3004.875</v>
      </c>
      <c r="AI18" s="5">
        <v>0</v>
      </c>
      <c r="AK18" s="5">
        <v>1927.5238095238096</v>
      </c>
      <c r="AL18" s="5">
        <v>1927.5238095238096</v>
      </c>
      <c r="AM18" s="5">
        <v>1927.5238095238096</v>
      </c>
      <c r="AN18" s="5">
        <v>1927.5238095238096</v>
      </c>
      <c r="AO18" s="5">
        <v>1927.5238095238096</v>
      </c>
      <c r="AQ18" s="5">
        <f t="shared" si="1"/>
        <v>3605.1428571428573</v>
      </c>
      <c r="AR18" s="5">
        <f t="shared" si="2"/>
        <v>4522.7619047619046</v>
      </c>
      <c r="AS18" s="5">
        <f t="shared" si="2"/>
        <v>4439.5714285714294</v>
      </c>
      <c r="AT18" s="5">
        <f t="shared" si="2"/>
        <v>4932.3988095238092</v>
      </c>
      <c r="AU18" s="5">
        <f t="shared" si="2"/>
        <v>1927.5238095238096</v>
      </c>
    </row>
    <row r="19" spans="3:47" x14ac:dyDescent="0.35">
      <c r="C19" t="s">
        <v>232</v>
      </c>
      <c r="D19" s="88">
        <v>17</v>
      </c>
      <c r="E19" s="89" t="s">
        <v>72</v>
      </c>
      <c r="F19" s="66" t="s">
        <v>32</v>
      </c>
      <c r="G19" s="84" t="s">
        <v>225</v>
      </c>
      <c r="H19" s="84" t="s">
        <v>225</v>
      </c>
      <c r="I19" s="84" t="s">
        <v>225</v>
      </c>
      <c r="J19" s="84" t="s">
        <v>225</v>
      </c>
      <c r="L19" s="7">
        <v>0</v>
      </c>
      <c r="M19" s="7">
        <v>21.670076622210008</v>
      </c>
      <c r="N19" s="7">
        <v>20.975441322044851</v>
      </c>
      <c r="O19" s="7">
        <v>22.46198869752422</v>
      </c>
      <c r="P19" s="7">
        <v>0</v>
      </c>
      <c r="R19" s="7">
        <v>14.075132263014451</v>
      </c>
      <c r="S19" s="7">
        <v>11.296750108787762</v>
      </c>
      <c r="T19" s="7">
        <v>11.296750108787762</v>
      </c>
      <c r="U19" s="7">
        <v>11.296750108787762</v>
      </c>
      <c r="V19" s="7">
        <v>11.296750108787762</v>
      </c>
      <c r="X19" s="7">
        <f t="shared" si="3"/>
        <v>14.075132263014451</v>
      </c>
      <c r="Y19" s="7">
        <f t="shared" si="3"/>
        <v>32.966826730997767</v>
      </c>
      <c r="Z19" s="7">
        <f t="shared" si="3"/>
        <v>32.272191430832613</v>
      </c>
      <c r="AA19" s="7">
        <f t="shared" si="3"/>
        <v>33.758738806311982</v>
      </c>
      <c r="AB19" s="7">
        <f t="shared" si="3"/>
        <v>11.296750108787762</v>
      </c>
      <c r="AE19" s="5">
        <v>0</v>
      </c>
      <c r="AF19" s="5">
        <v>2595.2380952380954</v>
      </c>
      <c r="AG19" s="5">
        <v>2512.0476190476193</v>
      </c>
      <c r="AH19" s="5">
        <v>3004.875</v>
      </c>
      <c r="AI19" s="5">
        <v>0</v>
      </c>
      <c r="AK19" s="5">
        <v>1843.6875</v>
      </c>
      <c r="AL19" s="5">
        <v>1479.75</v>
      </c>
      <c r="AM19" s="5">
        <v>1479.75</v>
      </c>
      <c r="AN19" s="5">
        <v>1479.75</v>
      </c>
      <c r="AO19" s="5">
        <v>1479.75</v>
      </c>
      <c r="AQ19" s="5">
        <f t="shared" si="1"/>
        <v>1843.6875</v>
      </c>
      <c r="AR19" s="5">
        <f t="shared" si="2"/>
        <v>4074.9880952380954</v>
      </c>
      <c r="AS19" s="5">
        <f t="shared" si="2"/>
        <v>3991.7976190476193</v>
      </c>
      <c r="AT19" s="5">
        <f t="shared" si="2"/>
        <v>4484.625</v>
      </c>
      <c r="AU19" s="5">
        <f t="shared" si="2"/>
        <v>1479.75</v>
      </c>
    </row>
    <row r="20" spans="3:47" x14ac:dyDescent="0.35">
      <c r="C20" t="s">
        <v>233</v>
      </c>
      <c r="D20" s="88">
        <v>18</v>
      </c>
      <c r="E20" s="89" t="s">
        <v>67</v>
      </c>
      <c r="F20" s="66" t="s">
        <v>32</v>
      </c>
      <c r="G20" s="84" t="s">
        <v>225</v>
      </c>
      <c r="H20" s="84" t="s">
        <v>225</v>
      </c>
      <c r="I20" s="84" t="s">
        <v>225</v>
      </c>
      <c r="J20" s="84" t="s">
        <v>225</v>
      </c>
      <c r="L20" s="7">
        <v>0</v>
      </c>
      <c r="M20" s="7">
        <v>21.670076622210008</v>
      </c>
      <c r="N20" s="7">
        <v>20.975441322044851</v>
      </c>
      <c r="O20" s="7">
        <v>22.46198869752422</v>
      </c>
      <c r="P20" s="7">
        <v>0</v>
      </c>
      <c r="R20" s="7">
        <v>14.335173182480972</v>
      </c>
      <c r="S20" s="7">
        <v>10.780008244967135</v>
      </c>
      <c r="T20" s="7">
        <v>10.780008244967135</v>
      </c>
      <c r="U20" s="7">
        <v>10.780008244967135</v>
      </c>
      <c r="V20" s="7">
        <v>10.780008244967135</v>
      </c>
      <c r="X20" s="7">
        <f t="shared" si="3"/>
        <v>14.335173182480972</v>
      </c>
      <c r="Y20" s="7">
        <f t="shared" si="3"/>
        <v>32.450084867177139</v>
      </c>
      <c r="Z20" s="7">
        <f t="shared" si="3"/>
        <v>31.755449567011986</v>
      </c>
      <c r="AA20" s="7">
        <f t="shared" si="3"/>
        <v>33.241996942491355</v>
      </c>
      <c r="AB20" s="7">
        <f t="shared" si="3"/>
        <v>10.780008244967135</v>
      </c>
      <c r="AE20" s="5">
        <v>0</v>
      </c>
      <c r="AF20" s="5">
        <v>2595.2380952380954</v>
      </c>
      <c r="AG20" s="5">
        <v>2512.0476190476193</v>
      </c>
      <c r="AH20" s="5">
        <v>3004.875</v>
      </c>
      <c r="AI20" s="5">
        <v>0</v>
      </c>
      <c r="AK20" s="5">
        <v>1877.75</v>
      </c>
      <c r="AL20" s="5">
        <v>1412.0625</v>
      </c>
      <c r="AM20" s="5">
        <v>1412.0625</v>
      </c>
      <c r="AN20" s="5">
        <v>1412.0625</v>
      </c>
      <c r="AO20" s="5">
        <v>1412.0625</v>
      </c>
      <c r="AQ20" s="5">
        <f t="shared" si="1"/>
        <v>1877.75</v>
      </c>
      <c r="AR20" s="5">
        <f t="shared" si="2"/>
        <v>4007.3005952380954</v>
      </c>
      <c r="AS20" s="5">
        <f t="shared" si="2"/>
        <v>3924.1101190476193</v>
      </c>
      <c r="AT20" s="5">
        <f t="shared" si="2"/>
        <v>4416.9375</v>
      </c>
      <c r="AU20" s="5">
        <f t="shared" si="2"/>
        <v>1412.0625</v>
      </c>
    </row>
    <row r="21" spans="3:47" x14ac:dyDescent="0.35">
      <c r="C21" t="s">
        <v>234</v>
      </c>
      <c r="D21" s="88">
        <v>19</v>
      </c>
      <c r="E21" s="89" t="s">
        <v>77</v>
      </c>
      <c r="F21" s="84" t="s">
        <v>215</v>
      </c>
      <c r="G21" s="84" t="s">
        <v>33</v>
      </c>
      <c r="H21" s="84" t="s">
        <v>215</v>
      </c>
      <c r="I21" s="84" t="s">
        <v>215</v>
      </c>
      <c r="J21" s="84" t="s">
        <v>215</v>
      </c>
      <c r="L21" s="7">
        <v>18.304256464283259</v>
      </c>
      <c r="M21" s="7">
        <v>0</v>
      </c>
      <c r="N21" s="7">
        <v>0</v>
      </c>
      <c r="O21" s="7">
        <v>9.4577409251285722</v>
      </c>
      <c r="P21" s="7">
        <v>32.922611822366761</v>
      </c>
      <c r="R21" s="7">
        <v>5.2809048957461231</v>
      </c>
      <c r="S21" s="7">
        <v>5.8415435753299043</v>
      </c>
      <c r="T21" s="7">
        <v>5.2809048957461231</v>
      </c>
      <c r="U21" s="7">
        <v>5.2809048957461231</v>
      </c>
      <c r="V21" s="7">
        <v>5.2809048957461231</v>
      </c>
      <c r="X21" s="7">
        <f t="shared" si="3"/>
        <v>23.585161360029382</v>
      </c>
      <c r="Y21" s="7">
        <f t="shared" si="3"/>
        <v>5.8415435753299043</v>
      </c>
      <c r="Z21" s="7">
        <f t="shared" si="3"/>
        <v>5.2809048957461231</v>
      </c>
      <c r="AA21" s="7">
        <f t="shared" si="3"/>
        <v>14.738645820874694</v>
      </c>
      <c r="AB21" s="7">
        <f t="shared" si="3"/>
        <v>38.203516718112887</v>
      </c>
      <c r="AE21" s="5">
        <v>2192.1428571428573</v>
      </c>
      <c r="AF21" s="5">
        <v>0</v>
      </c>
      <c r="AG21" s="5">
        <v>0</v>
      </c>
      <c r="AH21" s="5">
        <v>1265.21875</v>
      </c>
      <c r="AI21" s="5">
        <v>3942.8571428571427</v>
      </c>
      <c r="AK21" s="5">
        <v>753.55555555555554</v>
      </c>
      <c r="AL21" s="5">
        <v>833.55555555555554</v>
      </c>
      <c r="AM21" s="5">
        <v>753.55555555555554</v>
      </c>
      <c r="AN21" s="5">
        <v>753.55555555555554</v>
      </c>
      <c r="AO21" s="5">
        <v>753.55555555555554</v>
      </c>
      <c r="AQ21" s="5">
        <f t="shared" si="1"/>
        <v>2945.698412698413</v>
      </c>
      <c r="AR21" s="5">
        <f t="shared" si="2"/>
        <v>833.55555555555554</v>
      </c>
      <c r="AS21" s="5">
        <f t="shared" si="2"/>
        <v>753.55555555555554</v>
      </c>
      <c r="AT21" s="5">
        <f t="shared" si="2"/>
        <v>2018.7743055555557</v>
      </c>
      <c r="AU21" s="5">
        <f t="shared" si="2"/>
        <v>4696.4126984126979</v>
      </c>
    </row>
    <row r="22" spans="3:47" x14ac:dyDescent="0.35">
      <c r="C22" t="s">
        <v>235</v>
      </c>
      <c r="D22" s="88">
        <v>20</v>
      </c>
      <c r="E22" s="89" t="s">
        <v>64</v>
      </c>
      <c r="F22" s="84" t="s">
        <v>215</v>
      </c>
      <c r="G22" s="84" t="s">
        <v>33</v>
      </c>
      <c r="H22" s="84" t="s">
        <v>215</v>
      </c>
      <c r="I22" s="84" t="s">
        <v>34</v>
      </c>
      <c r="J22" s="84" t="s">
        <v>215</v>
      </c>
      <c r="L22" s="7">
        <v>18.304256464283259</v>
      </c>
      <c r="M22" s="7">
        <v>0</v>
      </c>
      <c r="N22" s="7">
        <v>0</v>
      </c>
      <c r="O22" s="7">
        <v>0</v>
      </c>
      <c r="P22" s="7">
        <v>32.922611822366761</v>
      </c>
      <c r="R22" s="7">
        <v>20.078021818625992</v>
      </c>
      <c r="S22" s="7">
        <v>19.453446472604572</v>
      </c>
      <c r="T22" s="7">
        <v>20.078021818625992</v>
      </c>
      <c r="U22" s="7">
        <v>15.904643392447712</v>
      </c>
      <c r="V22" s="7">
        <v>20.078021818625992</v>
      </c>
      <c r="X22" s="7">
        <f t="shared" si="3"/>
        <v>38.382278282909255</v>
      </c>
      <c r="Y22" s="7">
        <f t="shared" si="3"/>
        <v>19.453446472604572</v>
      </c>
      <c r="Z22" s="7">
        <f t="shared" si="3"/>
        <v>20.078021818625992</v>
      </c>
      <c r="AA22" s="7">
        <f t="shared" si="3"/>
        <v>15.904643392447712</v>
      </c>
      <c r="AB22" s="7">
        <f t="shared" si="3"/>
        <v>53.000633640992753</v>
      </c>
      <c r="AE22" s="5">
        <v>2192.1428571428573</v>
      </c>
      <c r="AF22" s="5">
        <v>0</v>
      </c>
      <c r="AG22" s="5">
        <v>0</v>
      </c>
      <c r="AH22" s="5">
        <v>0</v>
      </c>
      <c r="AI22" s="5">
        <v>3942.8571428571427</v>
      </c>
      <c r="AK22" s="5">
        <v>2630</v>
      </c>
      <c r="AL22" s="5">
        <v>2548.1875</v>
      </c>
      <c r="AM22" s="5">
        <v>2630</v>
      </c>
      <c r="AN22" s="5">
        <v>1904.7619047619048</v>
      </c>
      <c r="AO22" s="5">
        <v>2630</v>
      </c>
      <c r="AQ22" s="5">
        <f t="shared" si="1"/>
        <v>4822.1428571428569</v>
      </c>
      <c r="AR22" s="5">
        <f t="shared" si="2"/>
        <v>2548.1875</v>
      </c>
      <c r="AS22" s="5">
        <f t="shared" si="2"/>
        <v>2630</v>
      </c>
      <c r="AT22" s="5">
        <f t="shared" si="2"/>
        <v>1904.7619047619048</v>
      </c>
      <c r="AU22" s="5">
        <f t="shared" si="2"/>
        <v>6572.8571428571431</v>
      </c>
    </row>
    <row r="23" spans="3:47" x14ac:dyDescent="0.35">
      <c r="C23" t="s">
        <v>236</v>
      </c>
      <c r="D23" s="88">
        <v>21</v>
      </c>
      <c r="E23" s="89" t="s">
        <v>66</v>
      </c>
      <c r="F23" s="84" t="s">
        <v>222</v>
      </c>
      <c r="G23" s="84" t="s">
        <v>222</v>
      </c>
      <c r="H23" s="84" t="s">
        <v>222</v>
      </c>
      <c r="I23" s="84" t="s">
        <v>222</v>
      </c>
      <c r="J23" s="84" t="s">
        <v>222</v>
      </c>
      <c r="L23" s="7">
        <v>38.409713792761224</v>
      </c>
      <c r="M23" s="7">
        <v>35.087631404163709</v>
      </c>
      <c r="N23" s="7">
        <v>40.244314408080065</v>
      </c>
      <c r="O23" s="7">
        <v>21.295626644540128</v>
      </c>
      <c r="P23" s="7">
        <v>49.463440950512378</v>
      </c>
      <c r="R23" s="7">
        <v>14.906308926703767</v>
      </c>
      <c r="S23" s="7">
        <v>14.906308926703767</v>
      </c>
      <c r="T23" s="7">
        <v>14.906308926703767</v>
      </c>
      <c r="U23" s="7">
        <v>14.906308926703767</v>
      </c>
      <c r="V23" s="7">
        <v>14.906308926703767</v>
      </c>
      <c r="X23" s="7">
        <f t="shared" si="3"/>
        <v>53.316022719464989</v>
      </c>
      <c r="Y23" s="7">
        <f t="shared" si="3"/>
        <v>49.993940330867474</v>
      </c>
      <c r="Z23" s="7">
        <f t="shared" si="3"/>
        <v>55.15062333478383</v>
      </c>
      <c r="AA23" s="7">
        <f t="shared" si="3"/>
        <v>36.201935571243894</v>
      </c>
      <c r="AB23" s="7">
        <f t="shared" si="3"/>
        <v>64.369749877216151</v>
      </c>
      <c r="AE23" s="5">
        <v>4600</v>
      </c>
      <c r="AF23" s="5">
        <v>4202.1428571428569</v>
      </c>
      <c r="AG23" s="5">
        <v>4819.7142857142853</v>
      </c>
      <c r="AH23" s="5">
        <v>2848.84375</v>
      </c>
      <c r="AI23" s="5">
        <v>5923.8095238095239</v>
      </c>
      <c r="AK23" s="5">
        <v>1952.5625</v>
      </c>
      <c r="AL23" s="5">
        <v>1952.5625</v>
      </c>
      <c r="AM23" s="5">
        <v>1952.5625</v>
      </c>
      <c r="AN23" s="5">
        <v>1952.5625</v>
      </c>
      <c r="AO23" s="5">
        <v>1952.5625</v>
      </c>
      <c r="AQ23" s="5">
        <f t="shared" si="1"/>
        <v>6552.5625</v>
      </c>
      <c r="AR23" s="5">
        <f t="shared" si="2"/>
        <v>6154.7053571428569</v>
      </c>
      <c r="AS23" s="5">
        <f t="shared" si="2"/>
        <v>6772.2767857142853</v>
      </c>
      <c r="AT23" s="5">
        <f t="shared" si="2"/>
        <v>4801.40625</v>
      </c>
      <c r="AU23" s="5">
        <f t="shared" si="2"/>
        <v>7876.3720238095239</v>
      </c>
    </row>
    <row r="24" spans="3:47" x14ac:dyDescent="0.35">
      <c r="C24" t="s">
        <v>237</v>
      </c>
      <c r="D24" s="88">
        <v>22</v>
      </c>
      <c r="E24" s="89" t="s">
        <v>70</v>
      </c>
      <c r="F24" s="84" t="s">
        <v>238</v>
      </c>
      <c r="G24" s="84" t="s">
        <v>238</v>
      </c>
      <c r="H24" s="84" t="s">
        <v>238</v>
      </c>
      <c r="I24" s="84" t="s">
        <v>238</v>
      </c>
      <c r="J24" s="84" t="s">
        <v>238</v>
      </c>
      <c r="L24" s="7">
        <v>41.292430407642371</v>
      </c>
      <c r="M24" s="7">
        <v>35.395060931556365</v>
      </c>
      <c r="N24" s="7">
        <v>35.395060931556365</v>
      </c>
      <c r="O24" s="7">
        <v>34.6576638288156</v>
      </c>
      <c r="P24" s="7">
        <v>34.791407420979368</v>
      </c>
      <c r="R24" s="7">
        <v>4.8940178182900853</v>
      </c>
      <c r="S24" s="7">
        <v>4.8940178182900853</v>
      </c>
      <c r="T24" s="7">
        <v>4.8940178182900853</v>
      </c>
      <c r="U24" s="7">
        <v>4.8940178182900853</v>
      </c>
      <c r="V24" s="7">
        <v>4.8940178182900853</v>
      </c>
      <c r="X24" s="7">
        <f t="shared" si="3"/>
        <v>46.186448225932459</v>
      </c>
      <c r="Y24" s="7">
        <f t="shared" si="3"/>
        <v>40.289078749846453</v>
      </c>
      <c r="Z24" s="7">
        <f t="shared" si="3"/>
        <v>40.289078749846453</v>
      </c>
      <c r="AA24" s="7">
        <f t="shared" si="3"/>
        <v>39.551681647105688</v>
      </c>
      <c r="AB24" s="7">
        <f t="shared" si="3"/>
        <v>39.685425239269456</v>
      </c>
      <c r="AE24" s="5">
        <v>4945.2380952380954</v>
      </c>
      <c r="AF24" s="5">
        <v>4800</v>
      </c>
      <c r="AG24" s="5">
        <v>4800</v>
      </c>
      <c r="AH24" s="5">
        <v>4700</v>
      </c>
      <c r="AI24" s="5">
        <v>4166.666666666667</v>
      </c>
      <c r="AK24" s="5">
        <v>641.0625</v>
      </c>
      <c r="AL24" s="5">
        <v>641.0625</v>
      </c>
      <c r="AM24" s="5">
        <v>641.0625</v>
      </c>
      <c r="AN24" s="5">
        <v>641.0625</v>
      </c>
      <c r="AO24" s="5">
        <v>641.0625</v>
      </c>
      <c r="AQ24" s="5">
        <f t="shared" si="1"/>
        <v>5586.3005952380954</v>
      </c>
      <c r="AR24" s="5">
        <f t="shared" si="2"/>
        <v>5441.0625</v>
      </c>
      <c r="AS24" s="5">
        <f t="shared" si="2"/>
        <v>5441.0625</v>
      </c>
      <c r="AT24" s="5">
        <f t="shared" si="2"/>
        <v>5341.0625</v>
      </c>
      <c r="AU24" s="5">
        <f t="shared" si="2"/>
        <v>4807.729166666667</v>
      </c>
    </row>
    <row r="25" spans="3:47" x14ac:dyDescent="0.35">
      <c r="C25" t="s">
        <v>239</v>
      </c>
      <c r="D25" s="88">
        <v>23</v>
      </c>
      <c r="E25" s="89" t="s">
        <v>195</v>
      </c>
      <c r="F25" s="84" t="s">
        <v>222</v>
      </c>
      <c r="G25" s="84" t="s">
        <v>222</v>
      </c>
      <c r="H25" s="84" t="s">
        <v>222</v>
      </c>
      <c r="I25" s="84" t="s">
        <v>222</v>
      </c>
      <c r="J25" s="84" t="s">
        <v>222</v>
      </c>
      <c r="L25" s="7">
        <v>38.409713792761224</v>
      </c>
      <c r="M25" s="7">
        <v>35.087631404163709</v>
      </c>
      <c r="N25" s="7">
        <v>40.244314408080065</v>
      </c>
      <c r="O25" s="7">
        <v>21.295626644540128</v>
      </c>
      <c r="P25" s="7">
        <v>49.463440950512378</v>
      </c>
      <c r="R25" s="7">
        <v>8.8370970081457223</v>
      </c>
      <c r="S25" s="7">
        <v>8.8370970081457223</v>
      </c>
      <c r="T25" s="7">
        <v>8.8370970081457223</v>
      </c>
      <c r="U25" s="7">
        <v>8.8370970081457223</v>
      </c>
      <c r="V25" s="7">
        <v>8.8370970081457223</v>
      </c>
      <c r="X25" s="7">
        <f t="shared" si="3"/>
        <v>47.246810800906943</v>
      </c>
      <c r="Y25" s="7">
        <f t="shared" si="3"/>
        <v>43.924728412309435</v>
      </c>
      <c r="Z25" s="7">
        <f t="shared" si="3"/>
        <v>49.081411416225791</v>
      </c>
      <c r="AA25" s="7">
        <f t="shared" si="3"/>
        <v>30.132723652685851</v>
      </c>
      <c r="AB25" s="7">
        <f t="shared" si="3"/>
        <v>58.300537958658097</v>
      </c>
      <c r="AE25" s="5">
        <v>4600</v>
      </c>
      <c r="AF25" s="5">
        <v>4202.1428571428569</v>
      </c>
      <c r="AG25" s="5">
        <v>4819.7142857142853</v>
      </c>
      <c r="AH25" s="5">
        <v>2848.84375</v>
      </c>
      <c r="AI25" s="5">
        <v>5923.8095238095239</v>
      </c>
      <c r="AK25" s="5">
        <v>1157.5625</v>
      </c>
      <c r="AL25" s="5">
        <v>1157.5625</v>
      </c>
      <c r="AM25" s="5">
        <v>1157.5625</v>
      </c>
      <c r="AN25" s="5">
        <v>1157.5625</v>
      </c>
      <c r="AO25" s="5">
        <v>1157.5625</v>
      </c>
      <c r="AQ25" s="5">
        <f t="shared" si="1"/>
        <v>5757.5625</v>
      </c>
      <c r="AR25" s="5">
        <f t="shared" si="2"/>
        <v>5359.7053571428569</v>
      </c>
      <c r="AS25" s="5">
        <f t="shared" si="2"/>
        <v>5977.2767857142853</v>
      </c>
      <c r="AT25" s="5">
        <f t="shared" si="2"/>
        <v>4006.40625</v>
      </c>
      <c r="AU25" s="5">
        <f t="shared" si="2"/>
        <v>7081.3720238095239</v>
      </c>
    </row>
    <row r="26" spans="3:47" x14ac:dyDescent="0.35">
      <c r="C26" t="s">
        <v>240</v>
      </c>
      <c r="D26" s="88">
        <v>24</v>
      </c>
      <c r="E26" s="89" t="s">
        <v>74</v>
      </c>
      <c r="F26" s="66" t="s">
        <v>32</v>
      </c>
      <c r="G26" s="66" t="s">
        <v>32</v>
      </c>
      <c r="H26" s="66" t="s">
        <v>32</v>
      </c>
      <c r="I26" s="66" t="s">
        <v>32</v>
      </c>
      <c r="J26" s="66" t="s">
        <v>32</v>
      </c>
      <c r="L26" s="7">
        <v>0</v>
      </c>
      <c r="M26" s="7">
        <v>27.981436736418072</v>
      </c>
      <c r="N26" s="7">
        <v>31.356402064295477</v>
      </c>
      <c r="O26" s="7">
        <v>30.005849330223658</v>
      </c>
      <c r="P26" s="7">
        <v>30.059776011726175</v>
      </c>
      <c r="R26" s="7">
        <v>18.990144210582567</v>
      </c>
      <c r="S26" s="7">
        <v>18.990144210582567</v>
      </c>
      <c r="T26" s="7">
        <v>18.990144210582567</v>
      </c>
      <c r="U26" s="7">
        <v>18.990144210582567</v>
      </c>
      <c r="V26" s="7">
        <v>18.990144210582567</v>
      </c>
      <c r="X26" s="7">
        <f t="shared" si="3"/>
        <v>18.990144210582567</v>
      </c>
      <c r="Y26" s="7">
        <f t="shared" si="3"/>
        <v>46.971580947000639</v>
      </c>
      <c r="Z26" s="7">
        <f t="shared" si="3"/>
        <v>50.346546274878044</v>
      </c>
      <c r="AA26" s="7">
        <f t="shared" si="3"/>
        <v>48.995993540806225</v>
      </c>
      <c r="AB26" s="7">
        <f t="shared" si="3"/>
        <v>49.049920222308742</v>
      </c>
      <c r="AE26" s="5">
        <v>0</v>
      </c>
      <c r="AF26" s="5">
        <v>3351.0952380952381</v>
      </c>
      <c r="AG26" s="5">
        <v>3755.2857142857142</v>
      </c>
      <c r="AH26" s="5">
        <v>4014.0625</v>
      </c>
      <c r="AI26" s="5">
        <v>3600</v>
      </c>
      <c r="AK26" s="5">
        <v>2487.5</v>
      </c>
      <c r="AL26" s="5">
        <v>2487.5</v>
      </c>
      <c r="AM26" s="5">
        <v>2487.5</v>
      </c>
      <c r="AN26" s="5">
        <v>2487.5</v>
      </c>
      <c r="AO26" s="5">
        <v>2487.5</v>
      </c>
      <c r="AQ26" s="5">
        <f t="shared" si="1"/>
        <v>2487.5</v>
      </c>
      <c r="AR26" s="5">
        <f t="shared" si="2"/>
        <v>5838.5952380952385</v>
      </c>
      <c r="AS26" s="5">
        <f t="shared" si="2"/>
        <v>6242.7857142857138</v>
      </c>
      <c r="AT26" s="5">
        <f t="shared" si="2"/>
        <v>6501.5625</v>
      </c>
      <c r="AU26" s="5">
        <f t="shared" si="2"/>
        <v>6087.5</v>
      </c>
    </row>
    <row r="27" spans="3:47" x14ac:dyDescent="0.35">
      <c r="C27" t="s">
        <v>241</v>
      </c>
      <c r="D27" s="88">
        <v>25</v>
      </c>
      <c r="E27" s="89" t="s">
        <v>73</v>
      </c>
      <c r="F27" s="66" t="s">
        <v>32</v>
      </c>
      <c r="G27" s="66" t="s">
        <v>32</v>
      </c>
      <c r="H27" s="66" t="s">
        <v>32</v>
      </c>
      <c r="I27" s="66" t="s">
        <v>32</v>
      </c>
      <c r="J27" s="66" t="s">
        <v>32</v>
      </c>
      <c r="L27" s="7">
        <v>0</v>
      </c>
      <c r="M27" s="7">
        <v>27.981436736418072</v>
      </c>
      <c r="N27" s="7">
        <v>31.356402064295477</v>
      </c>
      <c r="O27" s="7">
        <v>30.005849330223658</v>
      </c>
      <c r="P27" s="7">
        <v>30.059776011726175</v>
      </c>
      <c r="R27" s="7">
        <v>10.33436013711075</v>
      </c>
      <c r="S27" s="7">
        <v>10.33436013711075</v>
      </c>
      <c r="T27" s="7">
        <v>10.33436013711075</v>
      </c>
      <c r="U27" s="7">
        <v>10.33436013711075</v>
      </c>
      <c r="V27" s="7">
        <v>10.33436013711075</v>
      </c>
      <c r="X27" s="7">
        <f t="shared" si="3"/>
        <v>10.33436013711075</v>
      </c>
      <c r="Y27" s="7">
        <f t="shared" si="3"/>
        <v>38.315796873528825</v>
      </c>
      <c r="Z27" s="7">
        <f t="shared" si="3"/>
        <v>41.69076220140623</v>
      </c>
      <c r="AA27" s="7">
        <f t="shared" si="3"/>
        <v>40.340209467334404</v>
      </c>
      <c r="AB27" s="7">
        <f t="shared" si="3"/>
        <v>40.394136148836921</v>
      </c>
      <c r="AE27" s="5">
        <v>0</v>
      </c>
      <c r="AF27" s="5">
        <v>3351.0952380952381</v>
      </c>
      <c r="AG27" s="5">
        <v>3755.2857142857142</v>
      </c>
      <c r="AH27" s="5">
        <v>4014.0625</v>
      </c>
      <c r="AI27" s="5">
        <v>3600</v>
      </c>
      <c r="AK27" s="5">
        <v>1353.6875</v>
      </c>
      <c r="AL27" s="5">
        <v>1353.6875</v>
      </c>
      <c r="AM27" s="5">
        <v>1353.6875</v>
      </c>
      <c r="AN27" s="5">
        <v>1353.6875</v>
      </c>
      <c r="AO27" s="5">
        <v>1353.6875</v>
      </c>
      <c r="AQ27" s="5">
        <f t="shared" si="1"/>
        <v>1353.6875</v>
      </c>
      <c r="AR27" s="5">
        <f t="shared" si="2"/>
        <v>4704.7827380952385</v>
      </c>
      <c r="AS27" s="5">
        <f t="shared" si="2"/>
        <v>5108.9732142857138</v>
      </c>
      <c r="AT27" s="5">
        <f t="shared" si="2"/>
        <v>5367.75</v>
      </c>
      <c r="AU27" s="5">
        <f t="shared" si="2"/>
        <v>4953.6875</v>
      </c>
    </row>
    <row r="28" spans="3:47" x14ac:dyDescent="0.35">
      <c r="C28" t="s">
        <v>242</v>
      </c>
      <c r="D28" s="88">
        <v>26</v>
      </c>
      <c r="E28" s="89" t="s">
        <v>71</v>
      </c>
      <c r="F28" s="84" t="s">
        <v>243</v>
      </c>
      <c r="G28" s="84" t="s">
        <v>243</v>
      </c>
      <c r="H28" s="84" t="s">
        <v>243</v>
      </c>
      <c r="I28" s="84" t="s">
        <v>243</v>
      </c>
      <c r="J28" s="84" t="s">
        <v>243</v>
      </c>
      <c r="L28" s="7">
        <v>68.669490695147431</v>
      </c>
      <c r="M28" s="7">
        <v>57.590713724053167</v>
      </c>
      <c r="N28" s="7">
        <v>57.590713724053167</v>
      </c>
      <c r="O28" s="7">
        <v>52.355194294593787</v>
      </c>
      <c r="P28" s="7">
        <v>61.073830626999211</v>
      </c>
      <c r="R28" s="7">
        <v>4.8147693178955349</v>
      </c>
      <c r="S28" s="7">
        <v>4.8147693178955349</v>
      </c>
      <c r="T28" s="7">
        <v>4.8147693178955349</v>
      </c>
      <c r="U28" s="7">
        <v>4.8147693178955349</v>
      </c>
      <c r="V28" s="7">
        <v>4.8147693178955349</v>
      </c>
      <c r="X28" s="7">
        <f t="shared" si="3"/>
        <v>73.48426001304297</v>
      </c>
      <c r="Y28" s="7">
        <f t="shared" si="3"/>
        <v>62.405483041948699</v>
      </c>
      <c r="Z28" s="7">
        <f t="shared" si="3"/>
        <v>62.405483041948699</v>
      </c>
      <c r="AA28" s="7">
        <f t="shared" si="3"/>
        <v>57.169963612489319</v>
      </c>
      <c r="AB28" s="7">
        <f t="shared" si="3"/>
        <v>65.88859994489475</v>
      </c>
      <c r="AE28" s="5">
        <v>8223.9523809523816</v>
      </c>
      <c r="AF28" s="5">
        <v>7100</v>
      </c>
      <c r="AG28" s="5">
        <v>7100</v>
      </c>
      <c r="AH28" s="5">
        <v>7100</v>
      </c>
      <c r="AI28" s="5">
        <v>7314.2857142857147</v>
      </c>
      <c r="AK28" s="5">
        <v>652.94117647058829</v>
      </c>
      <c r="AL28" s="5">
        <v>652.94117647058829</v>
      </c>
      <c r="AM28" s="5">
        <v>652.94117647058829</v>
      </c>
      <c r="AN28" s="5">
        <v>652.94117647058829</v>
      </c>
      <c r="AO28" s="5">
        <v>652.94117647058829</v>
      </c>
      <c r="AQ28" s="5">
        <f t="shared" si="1"/>
        <v>8876.893557422969</v>
      </c>
      <c r="AR28" s="5">
        <f t="shared" si="2"/>
        <v>7752.9411764705883</v>
      </c>
      <c r="AS28" s="5">
        <f t="shared" si="2"/>
        <v>7752.9411764705883</v>
      </c>
      <c r="AT28" s="5">
        <f t="shared" si="2"/>
        <v>7752.9411764705883</v>
      </c>
      <c r="AU28" s="5">
        <f t="shared" si="2"/>
        <v>7967.226890756303</v>
      </c>
    </row>
    <row r="29" spans="3:47" x14ac:dyDescent="0.35">
      <c r="C29" t="s">
        <v>244</v>
      </c>
      <c r="D29" s="88">
        <v>27</v>
      </c>
      <c r="E29" s="89" t="s">
        <v>245</v>
      </c>
      <c r="F29" s="66" t="s">
        <v>32</v>
      </c>
      <c r="G29" s="66" t="s">
        <v>33</v>
      </c>
      <c r="H29" s="66" t="s">
        <v>215</v>
      </c>
      <c r="I29" s="84" t="s">
        <v>34</v>
      </c>
      <c r="J29" s="66" t="s">
        <v>215</v>
      </c>
      <c r="L29" s="7">
        <v>0</v>
      </c>
      <c r="M29" s="7">
        <v>0</v>
      </c>
      <c r="N29" s="7">
        <v>0</v>
      </c>
      <c r="O29" s="7">
        <v>0</v>
      </c>
      <c r="P29" s="7">
        <v>32.922611822366761</v>
      </c>
      <c r="R29" s="7">
        <v>22.244234248677369</v>
      </c>
      <c r="S29" s="7">
        <v>32.095252273091631</v>
      </c>
      <c r="T29" s="7">
        <v>31.490716777744698</v>
      </c>
      <c r="U29" s="7">
        <v>27.618810867070263</v>
      </c>
      <c r="V29" s="7">
        <v>31.490716777744698</v>
      </c>
      <c r="X29" s="7">
        <f t="shared" si="3"/>
        <v>22.244234248677369</v>
      </c>
      <c r="Y29" s="7">
        <f t="shared" si="3"/>
        <v>32.095252273091631</v>
      </c>
      <c r="Z29" s="7">
        <f t="shared" si="3"/>
        <v>31.490716777744698</v>
      </c>
      <c r="AA29" s="7">
        <f t="shared" si="3"/>
        <v>27.618810867070263</v>
      </c>
      <c r="AB29" s="7">
        <f t="shared" si="3"/>
        <v>64.413328600111456</v>
      </c>
      <c r="AE29" s="5">
        <v>0</v>
      </c>
      <c r="AF29" s="5">
        <v>0</v>
      </c>
      <c r="AG29" s="5">
        <v>0</v>
      </c>
      <c r="AH29" s="5">
        <v>0</v>
      </c>
      <c r="AI29" s="5">
        <v>3942.8571428571427</v>
      </c>
      <c r="AK29" s="5">
        <v>2913.75</v>
      </c>
      <c r="AL29" s="5">
        <v>4204.125</v>
      </c>
      <c r="AM29" s="5">
        <v>4124.9375</v>
      </c>
      <c r="AN29" s="5">
        <v>3307.6666666666665</v>
      </c>
      <c r="AO29" s="5">
        <v>4124.9375</v>
      </c>
      <c r="AQ29" s="5">
        <f t="shared" si="1"/>
        <v>2913.75</v>
      </c>
      <c r="AR29" s="5">
        <f t="shared" si="2"/>
        <v>4204.125</v>
      </c>
      <c r="AS29" s="5">
        <f t="shared" si="2"/>
        <v>4124.9375</v>
      </c>
      <c r="AT29" s="5">
        <f t="shared" si="2"/>
        <v>3307.6666666666665</v>
      </c>
      <c r="AU29" s="5">
        <f t="shared" si="2"/>
        <v>8067.7946428571431</v>
      </c>
    </row>
    <row r="30" spans="3:47" x14ac:dyDescent="0.35">
      <c r="C30" t="s">
        <v>246</v>
      </c>
      <c r="D30" s="88">
        <v>28</v>
      </c>
      <c r="E30" s="89" t="s">
        <v>78</v>
      </c>
      <c r="F30" s="66" t="s">
        <v>32</v>
      </c>
      <c r="G30" s="66" t="s">
        <v>33</v>
      </c>
      <c r="H30" s="66" t="s">
        <v>215</v>
      </c>
      <c r="I30" s="66" t="s">
        <v>215</v>
      </c>
      <c r="J30" s="66" t="s">
        <v>215</v>
      </c>
      <c r="L30" s="7">
        <v>0</v>
      </c>
      <c r="M30" s="7">
        <v>0</v>
      </c>
      <c r="N30" s="7">
        <v>0</v>
      </c>
      <c r="O30" s="7">
        <v>9.4577409251285722</v>
      </c>
      <c r="P30" s="7">
        <v>32.922611822366761</v>
      </c>
      <c r="R30" s="7">
        <v>25.765522295765294</v>
      </c>
      <c r="S30" s="7">
        <v>21.699818305353883</v>
      </c>
      <c r="T30" s="7">
        <v>21.089079999083893</v>
      </c>
      <c r="U30" s="7">
        <v>21.089079999083893</v>
      </c>
      <c r="V30" s="7">
        <v>21.089079999083893</v>
      </c>
      <c r="X30" s="7">
        <f t="shared" si="3"/>
        <v>25.765522295765294</v>
      </c>
      <c r="Y30" s="7">
        <f t="shared" si="3"/>
        <v>21.699818305353883</v>
      </c>
      <c r="Z30" s="7">
        <f t="shared" si="3"/>
        <v>21.089079999083893</v>
      </c>
      <c r="AA30" s="7">
        <f t="shared" si="3"/>
        <v>30.546820924212465</v>
      </c>
      <c r="AB30" s="7">
        <f t="shared" si="3"/>
        <v>54.011691821450654</v>
      </c>
      <c r="AE30" s="5">
        <v>0</v>
      </c>
      <c r="AF30" s="5">
        <v>0</v>
      </c>
      <c r="AG30" s="5">
        <v>0</v>
      </c>
      <c r="AH30" s="5">
        <v>1265.21875</v>
      </c>
      <c r="AI30" s="5">
        <v>3942.8571428571427</v>
      </c>
      <c r="AK30" s="5">
        <v>3375</v>
      </c>
      <c r="AL30" s="5">
        <v>2842.4375</v>
      </c>
      <c r="AM30" s="5">
        <v>2762.4375</v>
      </c>
      <c r="AN30" s="5">
        <v>2762.4375</v>
      </c>
      <c r="AO30" s="5">
        <v>2762.4375</v>
      </c>
      <c r="AQ30" s="5">
        <f t="shared" si="1"/>
        <v>3375</v>
      </c>
      <c r="AR30" s="5">
        <f t="shared" si="2"/>
        <v>2842.4375</v>
      </c>
      <c r="AS30" s="5">
        <f t="shared" si="2"/>
        <v>2762.4375</v>
      </c>
      <c r="AT30" s="5">
        <f t="shared" si="2"/>
        <v>4027.65625</v>
      </c>
      <c r="AU30" s="5">
        <f t="shared" si="2"/>
        <v>6705.2946428571431</v>
      </c>
    </row>
    <row r="31" spans="3:47" x14ac:dyDescent="0.35">
      <c r="C31" t="s">
        <v>247</v>
      </c>
      <c r="D31" s="88">
        <v>29</v>
      </c>
      <c r="E31" s="89" t="s">
        <v>248</v>
      </c>
      <c r="F31" s="84" t="s">
        <v>222</v>
      </c>
      <c r="G31" s="84" t="s">
        <v>222</v>
      </c>
      <c r="H31" s="84" t="s">
        <v>222</v>
      </c>
      <c r="I31" s="84" t="s">
        <v>222</v>
      </c>
      <c r="J31" s="84" t="s">
        <v>222</v>
      </c>
      <c r="L31" s="7">
        <v>38.409713792761224</v>
      </c>
      <c r="M31" s="7">
        <v>35.087631404163709</v>
      </c>
      <c r="N31" s="7">
        <v>40.244314408080065</v>
      </c>
      <c r="O31" s="7">
        <v>21.295626644540128</v>
      </c>
      <c r="P31" s="7">
        <v>49.463440950512378</v>
      </c>
      <c r="R31" s="7">
        <v>12.20681380370362</v>
      </c>
      <c r="S31" s="7">
        <v>12.20681380370362</v>
      </c>
      <c r="T31" s="7">
        <v>12.20681380370362</v>
      </c>
      <c r="U31" s="7">
        <v>12.20681380370362</v>
      </c>
      <c r="V31" s="7">
        <v>12.20681380370362</v>
      </c>
      <c r="X31" s="7">
        <f t="shared" si="3"/>
        <v>50.616527596464842</v>
      </c>
      <c r="Y31" s="7">
        <f t="shared" si="3"/>
        <v>47.294445207867327</v>
      </c>
      <c r="Z31" s="7">
        <f t="shared" si="3"/>
        <v>52.451128211783683</v>
      </c>
      <c r="AA31" s="7">
        <f t="shared" si="3"/>
        <v>33.502440448243746</v>
      </c>
      <c r="AB31" s="7">
        <f t="shared" si="3"/>
        <v>61.670254754215996</v>
      </c>
      <c r="AE31" s="5">
        <v>4600</v>
      </c>
      <c r="AF31" s="5">
        <v>4202.1428571428569</v>
      </c>
      <c r="AG31" s="5">
        <v>4819.7142857142853</v>
      </c>
      <c r="AH31" s="5">
        <v>2848.84375</v>
      </c>
      <c r="AI31" s="5">
        <v>5923.8095238095239</v>
      </c>
      <c r="AK31" s="5">
        <v>1461.9047619047619</v>
      </c>
      <c r="AL31" s="5">
        <v>1461.9047619047619</v>
      </c>
      <c r="AM31" s="5">
        <v>1461.9047619047619</v>
      </c>
      <c r="AN31" s="5">
        <v>1461.9047619047619</v>
      </c>
      <c r="AO31" s="5">
        <v>1461.9047619047619</v>
      </c>
      <c r="AQ31" s="5">
        <f t="shared" si="1"/>
        <v>6061.9047619047615</v>
      </c>
      <c r="AR31" s="5">
        <f t="shared" si="2"/>
        <v>5664.0476190476184</v>
      </c>
      <c r="AS31" s="5">
        <f t="shared" si="2"/>
        <v>6281.6190476190477</v>
      </c>
      <c r="AT31" s="5">
        <f t="shared" si="2"/>
        <v>4310.7485119047615</v>
      </c>
      <c r="AU31" s="5">
        <f t="shared" si="2"/>
        <v>7385.7142857142862</v>
      </c>
    </row>
    <row r="32" spans="3:47" x14ac:dyDescent="0.35">
      <c r="C32" t="s">
        <v>249</v>
      </c>
      <c r="D32" s="88">
        <v>30</v>
      </c>
      <c r="E32" s="89" t="s">
        <v>250</v>
      </c>
      <c r="F32" s="84" t="s">
        <v>32</v>
      </c>
      <c r="G32" s="84" t="s">
        <v>32</v>
      </c>
      <c r="H32" s="84" t="s">
        <v>32</v>
      </c>
      <c r="I32" s="84" t="s">
        <v>32</v>
      </c>
      <c r="J32" s="84" t="s">
        <v>225</v>
      </c>
      <c r="L32" s="7">
        <v>0</v>
      </c>
      <c r="M32" s="7">
        <v>27.981436736418072</v>
      </c>
      <c r="N32" s="7">
        <v>31.356402064295477</v>
      </c>
      <c r="O32" s="7">
        <v>30.005849330223658</v>
      </c>
      <c r="P32" s="7">
        <v>0</v>
      </c>
      <c r="R32" s="7">
        <v>7.377527884020795</v>
      </c>
      <c r="S32" s="7">
        <v>7.377527884020795</v>
      </c>
      <c r="T32" s="7">
        <v>7.377527884020795</v>
      </c>
      <c r="U32" s="7">
        <v>7.377527884020795</v>
      </c>
      <c r="V32" s="7">
        <v>18.701474933009642</v>
      </c>
      <c r="X32" s="7">
        <f t="shared" si="3"/>
        <v>7.377527884020795</v>
      </c>
      <c r="Y32" s="7">
        <f t="shared" si="3"/>
        <v>35.358964620438869</v>
      </c>
      <c r="Z32" s="7">
        <f t="shared" si="3"/>
        <v>38.733929948316273</v>
      </c>
      <c r="AA32" s="7">
        <f t="shared" si="3"/>
        <v>37.383377214244454</v>
      </c>
      <c r="AB32" s="7">
        <f t="shared" si="3"/>
        <v>18.701474933009642</v>
      </c>
      <c r="AE32" s="5">
        <v>0</v>
      </c>
      <c r="AF32" s="5">
        <v>3351.0952380952381</v>
      </c>
      <c r="AG32" s="5">
        <v>3755.2857142857142</v>
      </c>
      <c r="AH32" s="5">
        <v>4014.0625</v>
      </c>
      <c r="AI32" s="5">
        <v>0</v>
      </c>
      <c r="AK32" s="5">
        <v>966.375</v>
      </c>
      <c r="AL32" s="5">
        <v>966.375</v>
      </c>
      <c r="AM32" s="5">
        <v>966.375</v>
      </c>
      <c r="AN32" s="5">
        <v>966.375</v>
      </c>
      <c r="AO32" s="5">
        <v>2449.6875</v>
      </c>
      <c r="AQ32" s="5">
        <f t="shared" si="1"/>
        <v>966.375</v>
      </c>
      <c r="AR32" s="5">
        <f t="shared" si="2"/>
        <v>4317.4702380952385</v>
      </c>
      <c r="AS32" s="5">
        <f t="shared" si="2"/>
        <v>4721.6607142857138</v>
      </c>
      <c r="AT32" s="5">
        <f t="shared" si="2"/>
        <v>4980.4375</v>
      </c>
      <c r="AU32" s="5">
        <f t="shared" si="2"/>
        <v>2449.6875</v>
      </c>
    </row>
    <row r="33" spans="3:47" x14ac:dyDescent="0.35">
      <c r="C33" t="s">
        <v>251</v>
      </c>
      <c r="D33" s="88">
        <v>31</v>
      </c>
      <c r="E33" s="89" t="s">
        <v>252</v>
      </c>
      <c r="F33" s="84" t="s">
        <v>215</v>
      </c>
      <c r="G33" s="84" t="s">
        <v>33</v>
      </c>
      <c r="H33" s="84" t="s">
        <v>215</v>
      </c>
      <c r="I33" s="84" t="s">
        <v>34</v>
      </c>
      <c r="J33" s="84" t="s">
        <v>215</v>
      </c>
      <c r="L33" s="7">
        <v>18.304256464283259</v>
      </c>
      <c r="M33" s="7">
        <v>0</v>
      </c>
      <c r="N33" s="7">
        <v>0</v>
      </c>
      <c r="O33" s="7">
        <v>0</v>
      </c>
      <c r="P33" s="7">
        <v>32.922611822366761</v>
      </c>
      <c r="R33" s="7">
        <v>8.324649398041057</v>
      </c>
      <c r="S33" s="7">
        <v>8.324649398041057</v>
      </c>
      <c r="T33" s="7">
        <v>8.324649398041057</v>
      </c>
      <c r="U33" s="7">
        <v>6.2700080413876993</v>
      </c>
      <c r="V33" s="7">
        <v>8.324649398041057</v>
      </c>
      <c r="X33" s="7">
        <f t="shared" si="3"/>
        <v>26.628905862324316</v>
      </c>
      <c r="Y33" s="7">
        <f t="shared" si="3"/>
        <v>8.324649398041057</v>
      </c>
      <c r="Z33" s="7">
        <f t="shared" si="3"/>
        <v>8.324649398041057</v>
      </c>
      <c r="AA33" s="7">
        <f t="shared" si="3"/>
        <v>6.2700080413876993</v>
      </c>
      <c r="AB33" s="7">
        <f t="shared" si="3"/>
        <v>41.247261220407822</v>
      </c>
      <c r="AE33" s="5">
        <v>2192.1428571428573</v>
      </c>
      <c r="AF33" s="5">
        <v>0</v>
      </c>
      <c r="AG33" s="5">
        <v>0</v>
      </c>
      <c r="AH33" s="5">
        <v>0</v>
      </c>
      <c r="AI33" s="5">
        <v>3942.8571428571427</v>
      </c>
      <c r="AK33" s="5">
        <v>1090.4375</v>
      </c>
      <c r="AL33" s="5">
        <v>1090.4375</v>
      </c>
      <c r="AM33" s="5">
        <v>1090.4375</v>
      </c>
      <c r="AN33" s="5">
        <v>750.90476190476193</v>
      </c>
      <c r="AO33" s="5">
        <v>1090.4375</v>
      </c>
      <c r="AQ33" s="5">
        <f t="shared" si="1"/>
        <v>3282.5803571428573</v>
      </c>
      <c r="AR33" s="5">
        <f t="shared" si="2"/>
        <v>1090.4375</v>
      </c>
      <c r="AS33" s="5">
        <f t="shared" si="2"/>
        <v>1090.4375</v>
      </c>
      <c r="AT33" s="5">
        <f t="shared" si="2"/>
        <v>750.90476190476193</v>
      </c>
      <c r="AU33" s="5">
        <f t="shared" si="2"/>
        <v>5033.2946428571431</v>
      </c>
    </row>
    <row r="34" spans="3:47" x14ac:dyDescent="0.35">
      <c r="C34" t="s">
        <v>253</v>
      </c>
      <c r="D34" s="88">
        <v>32</v>
      </c>
      <c r="E34" s="89" t="s">
        <v>80</v>
      </c>
      <c r="F34" s="84" t="s">
        <v>32</v>
      </c>
      <c r="G34" s="84" t="s">
        <v>32</v>
      </c>
      <c r="H34" s="84" t="s">
        <v>32</v>
      </c>
      <c r="I34" s="84" t="s">
        <v>32</v>
      </c>
      <c r="J34" s="84" t="s">
        <v>32</v>
      </c>
      <c r="L34" s="7">
        <v>0</v>
      </c>
      <c r="M34" s="7">
        <v>27.981436736418072</v>
      </c>
      <c r="N34" s="7">
        <v>31.356402064295477</v>
      </c>
      <c r="O34" s="7">
        <v>30.005849330223658</v>
      </c>
      <c r="P34" s="7">
        <v>30.059776011726175</v>
      </c>
      <c r="R34" s="7">
        <v>11.930868240844651</v>
      </c>
      <c r="S34" s="7">
        <v>11.930868240844651</v>
      </c>
      <c r="T34" s="7">
        <v>11.930868240844651</v>
      </c>
      <c r="U34" s="7">
        <v>11.930868240844651</v>
      </c>
      <c r="V34" s="7">
        <v>11.930868240844651</v>
      </c>
      <c r="X34" s="7">
        <f t="shared" si="3"/>
        <v>11.930868240844651</v>
      </c>
      <c r="Y34" s="7">
        <f t="shared" si="3"/>
        <v>39.912304977262721</v>
      </c>
      <c r="Z34" s="7">
        <f t="shared" si="3"/>
        <v>43.287270305140126</v>
      </c>
      <c r="AA34" s="7">
        <f t="shared" si="3"/>
        <v>41.936717571068307</v>
      </c>
      <c r="AB34" s="7">
        <f t="shared" si="3"/>
        <v>41.990644252570824</v>
      </c>
      <c r="AE34" s="5">
        <v>0</v>
      </c>
      <c r="AF34" s="5">
        <v>3351.0952380952381</v>
      </c>
      <c r="AG34" s="5">
        <v>3755.2857142857142</v>
      </c>
      <c r="AH34" s="5">
        <v>4014.0625</v>
      </c>
      <c r="AI34" s="5">
        <v>3600</v>
      </c>
      <c r="AK34" s="5">
        <v>1562.8125</v>
      </c>
      <c r="AL34" s="5">
        <v>1562.8125</v>
      </c>
      <c r="AM34" s="5">
        <v>1562.8125</v>
      </c>
      <c r="AN34" s="5">
        <v>1562.8125</v>
      </c>
      <c r="AO34" s="5">
        <v>1562.8125</v>
      </c>
      <c r="AQ34" s="5">
        <f t="shared" si="1"/>
        <v>1562.8125</v>
      </c>
      <c r="AR34" s="5">
        <f t="shared" si="2"/>
        <v>4913.9077380952385</v>
      </c>
      <c r="AS34" s="5">
        <f t="shared" si="2"/>
        <v>5318.0982142857138</v>
      </c>
      <c r="AT34" s="5">
        <f t="shared" si="2"/>
        <v>5576.875</v>
      </c>
      <c r="AU34" s="5">
        <f t="shared" si="2"/>
        <v>5162.8125</v>
      </c>
    </row>
    <row r="35" spans="3:47" x14ac:dyDescent="0.35">
      <c r="C35" t="s">
        <v>254</v>
      </c>
      <c r="D35" s="88">
        <v>33</v>
      </c>
      <c r="E35" s="89" t="s">
        <v>255</v>
      </c>
      <c r="F35" s="84" t="s">
        <v>32</v>
      </c>
      <c r="G35" s="84" t="s">
        <v>33</v>
      </c>
      <c r="H35" s="66" t="s">
        <v>215</v>
      </c>
      <c r="I35" s="66" t="s">
        <v>215</v>
      </c>
      <c r="J35" s="66" t="s">
        <v>215</v>
      </c>
      <c r="L35" s="7">
        <v>0</v>
      </c>
      <c r="M35" s="7">
        <v>0</v>
      </c>
      <c r="N35" s="7">
        <v>0</v>
      </c>
      <c r="O35" s="7">
        <v>9.4577409251285722</v>
      </c>
      <c r="P35" s="7">
        <v>32.922611822366761</v>
      </c>
      <c r="R35" s="7">
        <v>15.507027307636518</v>
      </c>
      <c r="S35" s="7">
        <v>13.80650283611601</v>
      </c>
      <c r="T35" s="7">
        <v>13.195764529846016</v>
      </c>
      <c r="U35" s="7">
        <v>13.195764529846016</v>
      </c>
      <c r="V35" s="7">
        <v>13.195764529846016</v>
      </c>
      <c r="X35" s="7">
        <f t="shared" si="3"/>
        <v>15.507027307636518</v>
      </c>
      <c r="Y35" s="7">
        <f t="shared" si="3"/>
        <v>13.80650283611601</v>
      </c>
      <c r="Z35" s="7">
        <f t="shared" si="3"/>
        <v>13.195764529846016</v>
      </c>
      <c r="AA35" s="7">
        <f t="shared" si="3"/>
        <v>22.653505454974589</v>
      </c>
      <c r="AB35" s="7">
        <f t="shared" si="3"/>
        <v>46.118376352212778</v>
      </c>
      <c r="AE35" s="5">
        <v>0</v>
      </c>
      <c r="AF35" s="5">
        <v>0</v>
      </c>
      <c r="AG35" s="5">
        <v>0</v>
      </c>
      <c r="AH35" s="5">
        <v>1265.21875</v>
      </c>
      <c r="AI35" s="5">
        <v>3942.8571428571427</v>
      </c>
      <c r="AK35" s="5">
        <v>2031.25</v>
      </c>
      <c r="AL35" s="5">
        <v>1808.5</v>
      </c>
      <c r="AM35" s="5">
        <v>1728.5</v>
      </c>
      <c r="AN35" s="5">
        <v>1728.5</v>
      </c>
      <c r="AO35" s="5">
        <v>1728.5</v>
      </c>
      <c r="AQ35" s="5">
        <f t="shared" ref="AQ35:AQ67" si="4">AE35+AK35</f>
        <v>2031.25</v>
      </c>
      <c r="AR35" s="5">
        <f t="shared" si="2"/>
        <v>1808.5</v>
      </c>
      <c r="AS35" s="5">
        <f t="shared" si="2"/>
        <v>1728.5</v>
      </c>
      <c r="AT35" s="5">
        <f t="shared" si="2"/>
        <v>2993.71875</v>
      </c>
      <c r="AU35" s="5">
        <f t="shared" si="2"/>
        <v>5671.3571428571431</v>
      </c>
    </row>
    <row r="36" spans="3:47" x14ac:dyDescent="0.35">
      <c r="C36" t="s">
        <v>256</v>
      </c>
      <c r="D36" s="88">
        <v>34</v>
      </c>
      <c r="E36" s="89" t="s">
        <v>85</v>
      </c>
      <c r="F36" s="84" t="s">
        <v>32</v>
      </c>
      <c r="G36" s="84" t="s">
        <v>33</v>
      </c>
      <c r="H36" s="66" t="s">
        <v>215</v>
      </c>
      <c r="I36" s="66" t="s">
        <v>215</v>
      </c>
      <c r="J36" s="66" t="s">
        <v>215</v>
      </c>
      <c r="L36" s="7">
        <v>0</v>
      </c>
      <c r="M36" s="7">
        <v>0</v>
      </c>
      <c r="N36" s="7">
        <v>0</v>
      </c>
      <c r="O36" s="7">
        <v>9.4577409251285722</v>
      </c>
      <c r="P36" s="7">
        <v>32.922611822366761</v>
      </c>
      <c r="R36" s="7">
        <v>14.657242211178037</v>
      </c>
      <c r="S36" s="7">
        <v>22.027135866370458</v>
      </c>
      <c r="T36" s="7">
        <v>21.394926291520662</v>
      </c>
      <c r="U36" s="7">
        <v>21.394926291520662</v>
      </c>
      <c r="V36" s="7">
        <v>21.394926291520662</v>
      </c>
      <c r="X36" s="7">
        <f t="shared" si="3"/>
        <v>14.657242211178037</v>
      </c>
      <c r="Y36" s="7">
        <f t="shared" si="3"/>
        <v>22.027135866370458</v>
      </c>
      <c r="Z36" s="7">
        <f t="shared" si="3"/>
        <v>21.394926291520662</v>
      </c>
      <c r="AA36" s="7">
        <f t="shared" si="3"/>
        <v>30.852667216649234</v>
      </c>
      <c r="AB36" s="7">
        <f t="shared" si="3"/>
        <v>54.317538113887423</v>
      </c>
      <c r="AE36" s="5">
        <v>0</v>
      </c>
      <c r="AF36" s="5">
        <v>0</v>
      </c>
      <c r="AG36" s="5">
        <v>0</v>
      </c>
      <c r="AH36" s="5">
        <v>1265.21875</v>
      </c>
      <c r="AI36" s="5">
        <v>3942.8571428571427</v>
      </c>
      <c r="AK36" s="5">
        <v>1919.9375</v>
      </c>
      <c r="AL36" s="5">
        <v>2885.3125</v>
      </c>
      <c r="AM36" s="5">
        <v>2802.5</v>
      </c>
      <c r="AN36" s="5">
        <v>2802.5</v>
      </c>
      <c r="AO36" s="5">
        <v>2802.5</v>
      </c>
      <c r="AQ36" s="5">
        <f t="shared" si="4"/>
        <v>1919.9375</v>
      </c>
      <c r="AR36" s="5">
        <f t="shared" si="2"/>
        <v>2885.3125</v>
      </c>
      <c r="AS36" s="5">
        <f t="shared" si="2"/>
        <v>2802.5</v>
      </c>
      <c r="AT36" s="5">
        <f t="shared" si="2"/>
        <v>4067.71875</v>
      </c>
      <c r="AU36" s="5">
        <f t="shared" si="2"/>
        <v>6745.3571428571431</v>
      </c>
    </row>
    <row r="37" spans="3:47" x14ac:dyDescent="0.35">
      <c r="C37" t="s">
        <v>257</v>
      </c>
      <c r="D37" s="88">
        <v>35</v>
      </c>
      <c r="E37" s="89" t="s">
        <v>69</v>
      </c>
      <c r="F37" s="84" t="s">
        <v>238</v>
      </c>
      <c r="G37" s="84" t="s">
        <v>238</v>
      </c>
      <c r="H37" s="84" t="s">
        <v>238</v>
      </c>
      <c r="I37" s="84" t="s">
        <v>238</v>
      </c>
      <c r="J37" s="84" t="s">
        <v>238</v>
      </c>
      <c r="L37" s="7">
        <v>41.292430407642371</v>
      </c>
      <c r="M37" s="7">
        <v>35.395060931556365</v>
      </c>
      <c r="N37" s="7">
        <v>35.395060931556365</v>
      </c>
      <c r="O37" s="7">
        <v>34.6576638288156</v>
      </c>
      <c r="P37" s="7">
        <v>34.791407420979368</v>
      </c>
      <c r="R37" s="7">
        <v>17.803498767072043</v>
      </c>
      <c r="S37" s="7">
        <v>17.803498767072043</v>
      </c>
      <c r="T37" s="7">
        <v>17.803498767072043</v>
      </c>
      <c r="U37" s="7">
        <v>17.803498767072043</v>
      </c>
      <c r="V37" s="7">
        <v>17.803498767072043</v>
      </c>
      <c r="X37" s="7">
        <f t="shared" si="3"/>
        <v>59.095929174714414</v>
      </c>
      <c r="Y37" s="7">
        <f t="shared" si="3"/>
        <v>53.198559698628408</v>
      </c>
      <c r="Z37" s="7">
        <f t="shared" si="3"/>
        <v>53.198559698628408</v>
      </c>
      <c r="AA37" s="7">
        <f t="shared" si="3"/>
        <v>52.461162595887643</v>
      </c>
      <c r="AB37" s="7">
        <f t="shared" si="3"/>
        <v>52.594906188051411</v>
      </c>
      <c r="AE37" s="5">
        <v>4945.2380952380954</v>
      </c>
      <c r="AF37" s="5">
        <v>4800</v>
      </c>
      <c r="AG37" s="5">
        <v>4800</v>
      </c>
      <c r="AH37" s="5">
        <v>4700</v>
      </c>
      <c r="AI37" s="5">
        <v>4166.666666666667</v>
      </c>
      <c r="AK37" s="5">
        <v>2332.0625</v>
      </c>
      <c r="AL37" s="5">
        <v>2332.0625</v>
      </c>
      <c r="AM37" s="5">
        <v>2332.0625</v>
      </c>
      <c r="AN37" s="5">
        <v>2332.0625</v>
      </c>
      <c r="AO37" s="5">
        <v>2332.0625</v>
      </c>
      <c r="AQ37" s="5">
        <f t="shared" si="4"/>
        <v>7277.3005952380954</v>
      </c>
      <c r="AR37" s="5">
        <f t="shared" si="2"/>
        <v>7132.0625</v>
      </c>
      <c r="AS37" s="5">
        <f t="shared" si="2"/>
        <v>7132.0625</v>
      </c>
      <c r="AT37" s="5">
        <f t="shared" si="2"/>
        <v>7032.0625</v>
      </c>
      <c r="AU37" s="5">
        <f t="shared" si="2"/>
        <v>6498.729166666667</v>
      </c>
    </row>
    <row r="38" spans="3:47" x14ac:dyDescent="0.35">
      <c r="C38" t="s">
        <v>258</v>
      </c>
      <c r="D38" s="88">
        <v>36</v>
      </c>
      <c r="E38" s="89" t="s">
        <v>259</v>
      </c>
      <c r="F38" s="84" t="s">
        <v>32</v>
      </c>
      <c r="G38" s="84" t="s">
        <v>32</v>
      </c>
      <c r="H38" s="84" t="s">
        <v>32</v>
      </c>
      <c r="I38" s="84" t="s">
        <v>32</v>
      </c>
      <c r="J38" s="84" t="s">
        <v>32</v>
      </c>
      <c r="L38" s="7">
        <v>0</v>
      </c>
      <c r="M38" s="7">
        <v>27.981436736418072</v>
      </c>
      <c r="N38" s="7">
        <v>31.356402064295477</v>
      </c>
      <c r="O38" s="7">
        <v>30.005849330223658</v>
      </c>
      <c r="P38" s="7">
        <v>30.059776011726175</v>
      </c>
      <c r="R38" s="7">
        <v>16.384009344296086</v>
      </c>
      <c r="S38" s="7">
        <v>16.384009344296086</v>
      </c>
      <c r="T38" s="7">
        <v>16.384009344296086</v>
      </c>
      <c r="U38" s="7">
        <v>16.384009344296086</v>
      </c>
      <c r="V38" s="7">
        <v>16.384009344296086</v>
      </c>
      <c r="X38" s="7">
        <f t="shared" si="3"/>
        <v>16.384009344296086</v>
      </c>
      <c r="Y38" s="7">
        <f t="shared" si="3"/>
        <v>44.365446080714158</v>
      </c>
      <c r="Z38" s="7">
        <f t="shared" si="3"/>
        <v>47.740411408591562</v>
      </c>
      <c r="AA38" s="7">
        <f t="shared" si="3"/>
        <v>46.389858674519743</v>
      </c>
      <c r="AB38" s="7">
        <f t="shared" si="3"/>
        <v>46.443785356022261</v>
      </c>
      <c r="AE38" s="5">
        <v>0</v>
      </c>
      <c r="AF38" s="5">
        <v>3351.0952380952381</v>
      </c>
      <c r="AG38" s="5">
        <v>3755.2857142857142</v>
      </c>
      <c r="AH38" s="5">
        <v>4014.0625</v>
      </c>
      <c r="AI38" s="5">
        <v>3600</v>
      </c>
      <c r="AK38" s="5">
        <v>2146.125</v>
      </c>
      <c r="AL38" s="5">
        <v>2146.125</v>
      </c>
      <c r="AM38" s="5">
        <v>2146.125</v>
      </c>
      <c r="AN38" s="5">
        <v>2146.125</v>
      </c>
      <c r="AO38" s="5">
        <v>2146.125</v>
      </c>
      <c r="AQ38" s="5">
        <f t="shared" si="4"/>
        <v>2146.125</v>
      </c>
      <c r="AR38" s="5">
        <f t="shared" si="2"/>
        <v>5497.2202380952385</v>
      </c>
      <c r="AS38" s="5">
        <f t="shared" si="2"/>
        <v>5901.4107142857138</v>
      </c>
      <c r="AT38" s="5">
        <f t="shared" si="2"/>
        <v>6160.1875</v>
      </c>
      <c r="AU38" s="5">
        <f t="shared" si="2"/>
        <v>5746.125</v>
      </c>
    </row>
    <row r="39" spans="3:47" x14ac:dyDescent="0.35">
      <c r="C39" t="s">
        <v>260</v>
      </c>
      <c r="D39" s="88">
        <v>37</v>
      </c>
      <c r="E39" s="89" t="s">
        <v>92</v>
      </c>
      <c r="F39" s="84" t="s">
        <v>215</v>
      </c>
      <c r="G39" s="84" t="s">
        <v>33</v>
      </c>
      <c r="H39" s="84" t="s">
        <v>215</v>
      </c>
      <c r="I39" s="84" t="s">
        <v>215</v>
      </c>
      <c r="J39" s="84" t="s">
        <v>215</v>
      </c>
      <c r="L39" s="7">
        <v>18.304256464283259</v>
      </c>
      <c r="M39" s="7">
        <v>0</v>
      </c>
      <c r="N39" s="7">
        <v>0</v>
      </c>
      <c r="O39" s="7">
        <v>9.4577409251285722</v>
      </c>
      <c r="P39" s="7">
        <v>32.922611822366761</v>
      </c>
      <c r="R39" s="7">
        <v>10.887841727167929</v>
      </c>
      <c r="S39" s="7">
        <v>11.498580033437923</v>
      </c>
      <c r="T39" s="7">
        <v>10.887841727167929</v>
      </c>
      <c r="U39" s="7">
        <v>10.887841727167929</v>
      </c>
      <c r="V39" s="7">
        <v>10.887841727167929</v>
      </c>
      <c r="X39" s="7">
        <f t="shared" si="3"/>
        <v>29.192098191451187</v>
      </c>
      <c r="Y39" s="7">
        <f t="shared" si="3"/>
        <v>11.498580033437923</v>
      </c>
      <c r="Z39" s="7">
        <f t="shared" si="3"/>
        <v>10.887841727167929</v>
      </c>
      <c r="AA39" s="7">
        <f t="shared" si="3"/>
        <v>20.3455826522965</v>
      </c>
      <c r="AB39" s="7">
        <f t="shared" si="3"/>
        <v>43.810453549534692</v>
      </c>
      <c r="AE39" s="5">
        <v>2192.1428571428573</v>
      </c>
      <c r="AF39" s="5">
        <v>0</v>
      </c>
      <c r="AG39" s="5">
        <v>0</v>
      </c>
      <c r="AH39" s="5">
        <v>1265.21875</v>
      </c>
      <c r="AI39" s="5">
        <v>3942.8571428571427</v>
      </c>
      <c r="AK39" s="5">
        <v>1426.1875</v>
      </c>
      <c r="AL39" s="5">
        <v>1506.1875</v>
      </c>
      <c r="AM39" s="5">
        <v>1426.1875</v>
      </c>
      <c r="AN39" s="5">
        <v>1426.1875</v>
      </c>
      <c r="AO39" s="5">
        <v>1426.1875</v>
      </c>
      <c r="AQ39" s="5">
        <f t="shared" si="4"/>
        <v>3618.3303571428573</v>
      </c>
      <c r="AR39" s="5">
        <f t="shared" si="2"/>
        <v>1506.1875</v>
      </c>
      <c r="AS39" s="5">
        <f t="shared" si="2"/>
        <v>1426.1875</v>
      </c>
      <c r="AT39" s="5">
        <f t="shared" si="2"/>
        <v>2691.40625</v>
      </c>
      <c r="AU39" s="5">
        <f t="shared" si="2"/>
        <v>5369.0446428571431</v>
      </c>
    </row>
    <row r="40" spans="3:47" x14ac:dyDescent="0.35">
      <c r="C40" t="s">
        <v>261</v>
      </c>
      <c r="D40" s="88">
        <v>38</v>
      </c>
      <c r="E40" s="89" t="s">
        <v>75</v>
      </c>
      <c r="F40" s="84" t="s">
        <v>215</v>
      </c>
      <c r="G40" s="84" t="s">
        <v>33</v>
      </c>
      <c r="H40" s="84" t="s">
        <v>215</v>
      </c>
      <c r="I40" s="84" t="s">
        <v>34</v>
      </c>
      <c r="J40" s="84" t="s">
        <v>215</v>
      </c>
      <c r="L40" s="7">
        <v>18.304256464283259</v>
      </c>
      <c r="M40" s="7">
        <v>0</v>
      </c>
      <c r="N40" s="7">
        <v>0</v>
      </c>
      <c r="O40" s="7">
        <v>0</v>
      </c>
      <c r="P40" s="7">
        <v>32.922611822366761</v>
      </c>
      <c r="R40" s="7">
        <v>7.290211391796257</v>
      </c>
      <c r="S40" s="7">
        <v>7.285917138080297</v>
      </c>
      <c r="T40" s="7">
        <v>7.290211391796257</v>
      </c>
      <c r="U40" s="7">
        <v>6.0897289085343038</v>
      </c>
      <c r="V40" s="7">
        <v>7.290211391796257</v>
      </c>
      <c r="X40" s="7">
        <f t="shared" si="3"/>
        <v>25.594467856079518</v>
      </c>
      <c r="Y40" s="7">
        <f t="shared" si="3"/>
        <v>7.285917138080297</v>
      </c>
      <c r="Z40" s="7">
        <f t="shared" si="3"/>
        <v>7.290211391796257</v>
      </c>
      <c r="AA40" s="7">
        <f t="shared" si="3"/>
        <v>6.0897289085343038</v>
      </c>
      <c r="AB40" s="7">
        <f t="shared" si="3"/>
        <v>40.212823214163016</v>
      </c>
      <c r="AE40" s="5">
        <v>2192.1428571428573</v>
      </c>
      <c r="AF40" s="5">
        <v>0</v>
      </c>
      <c r="AG40" s="5">
        <v>0</v>
      </c>
      <c r="AH40" s="5">
        <v>0</v>
      </c>
      <c r="AI40" s="5">
        <v>3942.8571428571427</v>
      </c>
      <c r="AK40" s="5">
        <v>954.9375</v>
      </c>
      <c r="AL40" s="5">
        <v>954.375</v>
      </c>
      <c r="AM40" s="5">
        <v>954.9375</v>
      </c>
      <c r="AN40" s="5">
        <v>797.6875</v>
      </c>
      <c r="AO40" s="5">
        <v>954.9375</v>
      </c>
      <c r="AQ40" s="5">
        <f t="shared" si="4"/>
        <v>3147.0803571428573</v>
      </c>
      <c r="AR40" s="5">
        <f t="shared" si="2"/>
        <v>954.375</v>
      </c>
      <c r="AS40" s="5">
        <f t="shared" si="2"/>
        <v>954.9375</v>
      </c>
      <c r="AT40" s="5">
        <f t="shared" si="2"/>
        <v>797.6875</v>
      </c>
      <c r="AU40" s="5">
        <f t="shared" si="2"/>
        <v>4897.7946428571431</v>
      </c>
    </row>
    <row r="41" spans="3:47" x14ac:dyDescent="0.35">
      <c r="C41" t="s">
        <v>262</v>
      </c>
      <c r="D41" s="88">
        <v>39</v>
      </c>
      <c r="E41" s="89" t="s">
        <v>81</v>
      </c>
      <c r="F41" s="84" t="s">
        <v>32</v>
      </c>
      <c r="G41" s="84" t="s">
        <v>32</v>
      </c>
      <c r="H41" s="84" t="s">
        <v>32</v>
      </c>
      <c r="I41" s="84" t="s">
        <v>32</v>
      </c>
      <c r="J41" s="84" t="s">
        <v>32</v>
      </c>
      <c r="L41" s="7">
        <v>0</v>
      </c>
      <c r="M41" s="7">
        <v>27.981436736418072</v>
      </c>
      <c r="N41" s="7">
        <v>31.356402064295477</v>
      </c>
      <c r="O41" s="7">
        <v>30.005849330223658</v>
      </c>
      <c r="P41" s="7">
        <v>30.059776011726175</v>
      </c>
      <c r="R41" s="7">
        <v>5.7643199047248235</v>
      </c>
      <c r="S41" s="7">
        <v>5.7643199047248235</v>
      </c>
      <c r="T41" s="7">
        <v>5.7643199047248235</v>
      </c>
      <c r="U41" s="7">
        <v>5.7643199047248235</v>
      </c>
      <c r="V41" s="7">
        <v>5.7643199047248235</v>
      </c>
      <c r="X41" s="7">
        <f t="shared" si="3"/>
        <v>5.7643199047248235</v>
      </c>
      <c r="Y41" s="7">
        <f t="shared" si="3"/>
        <v>33.745756641142897</v>
      </c>
      <c r="Z41" s="7">
        <f t="shared" si="3"/>
        <v>37.120721969020302</v>
      </c>
      <c r="AA41" s="7">
        <f t="shared" si="3"/>
        <v>35.770169234948483</v>
      </c>
      <c r="AB41" s="7">
        <f t="shared" si="3"/>
        <v>35.824095916451</v>
      </c>
      <c r="AE41" s="5">
        <v>0</v>
      </c>
      <c r="AF41" s="5">
        <v>3351.0952380952381</v>
      </c>
      <c r="AG41" s="5">
        <v>3755.2857142857142</v>
      </c>
      <c r="AH41" s="5">
        <v>4014.0625</v>
      </c>
      <c r="AI41" s="5">
        <v>3600</v>
      </c>
      <c r="AK41" s="5">
        <v>755.0625</v>
      </c>
      <c r="AL41" s="5">
        <v>755.0625</v>
      </c>
      <c r="AM41" s="5">
        <v>755.0625</v>
      </c>
      <c r="AN41" s="5">
        <v>755.0625</v>
      </c>
      <c r="AO41" s="5">
        <v>755.0625</v>
      </c>
      <c r="AQ41" s="5">
        <f t="shared" si="4"/>
        <v>755.0625</v>
      </c>
      <c r="AR41" s="5">
        <f t="shared" si="2"/>
        <v>4106.1577380952385</v>
      </c>
      <c r="AS41" s="5">
        <f t="shared" si="2"/>
        <v>4510.3482142857138</v>
      </c>
      <c r="AT41" s="5">
        <f t="shared" si="2"/>
        <v>4769.125</v>
      </c>
      <c r="AU41" s="5">
        <f t="shared" si="2"/>
        <v>4355.0625</v>
      </c>
    </row>
    <row r="42" spans="3:47" x14ac:dyDescent="0.35">
      <c r="C42" t="s">
        <v>263</v>
      </c>
      <c r="D42" s="88">
        <v>40</v>
      </c>
      <c r="E42" s="89" t="s">
        <v>79</v>
      </c>
      <c r="F42" s="84" t="s">
        <v>32</v>
      </c>
      <c r="G42" s="84" t="s">
        <v>32</v>
      </c>
      <c r="H42" s="84" t="s">
        <v>32</v>
      </c>
      <c r="I42" s="84" t="s">
        <v>32</v>
      </c>
      <c r="J42" s="84" t="s">
        <v>32</v>
      </c>
      <c r="L42" s="7">
        <v>0</v>
      </c>
      <c r="M42" s="7">
        <v>27.981436736418072</v>
      </c>
      <c r="N42" s="7">
        <v>31.356402064295477</v>
      </c>
      <c r="O42" s="7">
        <v>30.005849330223658</v>
      </c>
      <c r="P42" s="7">
        <v>30.059776011726175</v>
      </c>
      <c r="R42" s="7">
        <v>13.156161967798823</v>
      </c>
      <c r="S42" s="7">
        <v>13.156161967798823</v>
      </c>
      <c r="T42" s="7">
        <v>13.156161967798823</v>
      </c>
      <c r="U42" s="7">
        <v>13.156161967798823</v>
      </c>
      <c r="V42" s="7">
        <v>13.156161967798823</v>
      </c>
      <c r="X42" s="7">
        <f t="shared" si="3"/>
        <v>13.156161967798823</v>
      </c>
      <c r="Y42" s="7">
        <f t="shared" si="3"/>
        <v>41.137598704216899</v>
      </c>
      <c r="Z42" s="7">
        <f t="shared" si="3"/>
        <v>44.512564032094303</v>
      </c>
      <c r="AA42" s="7">
        <f t="shared" si="3"/>
        <v>43.162011298022477</v>
      </c>
      <c r="AB42" s="7">
        <f t="shared" si="3"/>
        <v>43.215937979524995</v>
      </c>
      <c r="AE42" s="5">
        <v>0</v>
      </c>
      <c r="AF42" s="5">
        <v>3351.0952380952381</v>
      </c>
      <c r="AG42" s="5">
        <v>3755.2857142857142</v>
      </c>
      <c r="AH42" s="5">
        <v>4014.0625</v>
      </c>
      <c r="AI42" s="5">
        <v>3600</v>
      </c>
      <c r="AK42" s="5">
        <v>1723.3125</v>
      </c>
      <c r="AL42" s="5">
        <v>1723.3125</v>
      </c>
      <c r="AM42" s="5">
        <v>1723.3125</v>
      </c>
      <c r="AN42" s="5">
        <v>1723.3125</v>
      </c>
      <c r="AO42" s="5">
        <v>1723.3125</v>
      </c>
      <c r="AQ42" s="5">
        <f t="shared" si="4"/>
        <v>1723.3125</v>
      </c>
      <c r="AR42" s="5">
        <f t="shared" si="2"/>
        <v>5074.4077380952385</v>
      </c>
      <c r="AS42" s="5">
        <f t="shared" si="2"/>
        <v>5478.5982142857138</v>
      </c>
      <c r="AT42" s="5">
        <f t="shared" si="2"/>
        <v>5737.375</v>
      </c>
      <c r="AU42" s="5">
        <f t="shared" si="2"/>
        <v>5323.3125</v>
      </c>
    </row>
    <row r="43" spans="3:47" x14ac:dyDescent="0.35">
      <c r="C43" t="s">
        <v>264</v>
      </c>
      <c r="D43" s="88">
        <v>41</v>
      </c>
      <c r="E43" s="89" t="s">
        <v>89</v>
      </c>
      <c r="F43" s="84" t="s">
        <v>222</v>
      </c>
      <c r="G43" s="84" t="s">
        <v>222</v>
      </c>
      <c r="H43" s="84" t="s">
        <v>222</v>
      </c>
      <c r="I43" s="84" t="s">
        <v>222</v>
      </c>
      <c r="J43" s="84" t="s">
        <v>222</v>
      </c>
      <c r="L43" s="7">
        <v>38.409713792761224</v>
      </c>
      <c r="M43" s="7">
        <v>35.087631404163709</v>
      </c>
      <c r="N43" s="7">
        <v>40.244314408080065</v>
      </c>
      <c r="O43" s="7">
        <v>21.295626644540128</v>
      </c>
      <c r="P43" s="7">
        <v>49.463440950512378</v>
      </c>
      <c r="R43" s="7">
        <v>4.7026849582789394</v>
      </c>
      <c r="S43" s="7">
        <v>4.7026849582789394</v>
      </c>
      <c r="T43" s="7">
        <v>4.7026849582789394</v>
      </c>
      <c r="U43" s="7">
        <v>4.7026849582789394</v>
      </c>
      <c r="V43" s="7">
        <v>4.7026849582789394</v>
      </c>
      <c r="X43" s="7">
        <f t="shared" si="3"/>
        <v>43.112398751040161</v>
      </c>
      <c r="Y43" s="7">
        <f t="shared" si="3"/>
        <v>39.790316362442645</v>
      </c>
      <c r="Z43" s="7">
        <f t="shared" si="3"/>
        <v>44.946999366359002</v>
      </c>
      <c r="AA43" s="7">
        <f t="shared" si="3"/>
        <v>25.998311602819069</v>
      </c>
      <c r="AB43" s="7">
        <f t="shared" si="3"/>
        <v>54.166125908791315</v>
      </c>
      <c r="AE43" s="5">
        <v>4600</v>
      </c>
      <c r="AF43" s="5">
        <v>4202.1428571428569</v>
      </c>
      <c r="AG43" s="5">
        <v>4819.7142857142853</v>
      </c>
      <c r="AH43" s="5">
        <v>2848.84375</v>
      </c>
      <c r="AI43" s="5">
        <v>5923.8095238095239</v>
      </c>
      <c r="AK43" s="5">
        <v>616</v>
      </c>
      <c r="AL43" s="5">
        <v>616</v>
      </c>
      <c r="AM43" s="5">
        <v>616</v>
      </c>
      <c r="AN43" s="5">
        <v>616</v>
      </c>
      <c r="AO43" s="5">
        <v>616</v>
      </c>
      <c r="AQ43" s="5">
        <f t="shared" si="4"/>
        <v>5216</v>
      </c>
      <c r="AR43" s="5">
        <f t="shared" si="2"/>
        <v>4818.1428571428569</v>
      </c>
      <c r="AS43" s="5">
        <f t="shared" si="2"/>
        <v>5435.7142857142853</v>
      </c>
      <c r="AT43" s="5">
        <f t="shared" si="2"/>
        <v>3464.84375</v>
      </c>
      <c r="AU43" s="5">
        <f t="shared" si="2"/>
        <v>6539.8095238095239</v>
      </c>
    </row>
    <row r="44" spans="3:47" x14ac:dyDescent="0.35">
      <c r="C44" t="s">
        <v>265</v>
      </c>
      <c r="D44" s="88">
        <v>42</v>
      </c>
      <c r="E44" s="89" t="s">
        <v>88</v>
      </c>
      <c r="F44" s="84" t="s">
        <v>32</v>
      </c>
      <c r="G44" s="84" t="s">
        <v>32</v>
      </c>
      <c r="H44" s="84" t="s">
        <v>32</v>
      </c>
      <c r="I44" s="84" t="s">
        <v>32</v>
      </c>
      <c r="J44" s="84" t="s">
        <v>32</v>
      </c>
      <c r="L44" s="7">
        <v>0</v>
      </c>
      <c r="M44" s="7">
        <v>27.981436736418072</v>
      </c>
      <c r="N44" s="7">
        <v>31.356402064295477</v>
      </c>
      <c r="O44" s="7">
        <v>30.005849330223658</v>
      </c>
      <c r="P44" s="7">
        <v>30.059776011726175</v>
      </c>
      <c r="R44" s="7">
        <v>14.160540198031896</v>
      </c>
      <c r="S44" s="7">
        <v>14.160540198031896</v>
      </c>
      <c r="T44" s="7">
        <v>14.160540198031896</v>
      </c>
      <c r="U44" s="7">
        <v>14.160540198031896</v>
      </c>
      <c r="V44" s="7">
        <v>14.160540198031896</v>
      </c>
      <c r="X44" s="7">
        <f t="shared" si="3"/>
        <v>14.160540198031896</v>
      </c>
      <c r="Y44" s="7">
        <f t="shared" si="3"/>
        <v>42.141976934449971</v>
      </c>
      <c r="Z44" s="7">
        <f t="shared" si="3"/>
        <v>45.516942262327376</v>
      </c>
      <c r="AA44" s="7">
        <f t="shared" si="3"/>
        <v>44.16638952825555</v>
      </c>
      <c r="AB44" s="7">
        <f t="shared" si="3"/>
        <v>44.220316209758067</v>
      </c>
      <c r="AE44" s="5">
        <v>0</v>
      </c>
      <c r="AF44" s="5">
        <v>3351.0952380952381</v>
      </c>
      <c r="AG44" s="5">
        <v>3755.2857142857142</v>
      </c>
      <c r="AH44" s="5">
        <v>4014.0625</v>
      </c>
      <c r="AI44" s="5">
        <v>3600</v>
      </c>
      <c r="AK44" s="5">
        <v>1854.875</v>
      </c>
      <c r="AL44" s="5">
        <v>1854.875</v>
      </c>
      <c r="AM44" s="5">
        <v>1854.875</v>
      </c>
      <c r="AN44" s="5">
        <v>1854.875</v>
      </c>
      <c r="AO44" s="5">
        <v>1854.875</v>
      </c>
      <c r="AQ44" s="5">
        <f t="shared" si="4"/>
        <v>1854.875</v>
      </c>
      <c r="AR44" s="5">
        <f t="shared" si="2"/>
        <v>5205.9702380952385</v>
      </c>
      <c r="AS44" s="5">
        <f t="shared" si="2"/>
        <v>5610.1607142857138</v>
      </c>
      <c r="AT44" s="5">
        <f t="shared" si="2"/>
        <v>5868.9375</v>
      </c>
      <c r="AU44" s="5">
        <f t="shared" si="2"/>
        <v>5454.875</v>
      </c>
    </row>
    <row r="45" spans="3:47" x14ac:dyDescent="0.35">
      <c r="C45" t="s">
        <v>266</v>
      </c>
      <c r="D45" s="88">
        <v>43</v>
      </c>
      <c r="E45" s="89" t="s">
        <v>94</v>
      </c>
      <c r="F45" s="84" t="s">
        <v>215</v>
      </c>
      <c r="G45" s="84" t="s">
        <v>33</v>
      </c>
      <c r="H45" s="84" t="s">
        <v>215</v>
      </c>
      <c r="I45" s="84" t="s">
        <v>34</v>
      </c>
      <c r="J45" s="84" t="s">
        <v>215</v>
      </c>
      <c r="L45" s="7">
        <v>18.304256464283259</v>
      </c>
      <c r="M45" s="7">
        <v>0</v>
      </c>
      <c r="N45" s="7">
        <v>0</v>
      </c>
      <c r="O45" s="7">
        <v>0</v>
      </c>
      <c r="P45" s="7">
        <v>32.922611822366761</v>
      </c>
      <c r="R45" s="7">
        <v>23.511039094885827</v>
      </c>
      <c r="S45" s="7">
        <v>23.511039094885827</v>
      </c>
      <c r="T45" s="7">
        <v>23.511039094885827</v>
      </c>
      <c r="U45" s="7">
        <v>9.0198413607249464</v>
      </c>
      <c r="V45" s="7">
        <v>23.511039094885827</v>
      </c>
      <c r="X45" s="7">
        <f t="shared" si="3"/>
        <v>41.815295559169087</v>
      </c>
      <c r="Y45" s="7">
        <f t="shared" si="3"/>
        <v>23.511039094885827</v>
      </c>
      <c r="Z45" s="7">
        <f t="shared" si="3"/>
        <v>23.511039094885827</v>
      </c>
      <c r="AA45" s="7">
        <f t="shared" si="3"/>
        <v>9.0198413607249464</v>
      </c>
      <c r="AB45" s="7">
        <f t="shared" si="3"/>
        <v>56.433650917252592</v>
      </c>
      <c r="AE45" s="5">
        <v>2192.1428571428573</v>
      </c>
      <c r="AF45" s="5">
        <v>0</v>
      </c>
      <c r="AG45" s="5">
        <v>0</v>
      </c>
      <c r="AH45" s="5">
        <v>0</v>
      </c>
      <c r="AI45" s="5">
        <v>3942.8571428571427</v>
      </c>
      <c r="AK45" s="5">
        <v>3079.6875</v>
      </c>
      <c r="AL45" s="5">
        <v>3079.6875</v>
      </c>
      <c r="AM45" s="5">
        <v>3079.6875</v>
      </c>
      <c r="AN45" s="5">
        <v>1181.5</v>
      </c>
      <c r="AO45" s="5">
        <v>3079.6875</v>
      </c>
      <c r="AQ45" s="5">
        <f t="shared" si="4"/>
        <v>5271.8303571428569</v>
      </c>
      <c r="AR45" s="5">
        <f t="shared" si="2"/>
        <v>3079.6875</v>
      </c>
      <c r="AS45" s="5">
        <f t="shared" si="2"/>
        <v>3079.6875</v>
      </c>
      <c r="AT45" s="5">
        <f t="shared" si="2"/>
        <v>1181.5</v>
      </c>
      <c r="AU45" s="5">
        <f t="shared" si="2"/>
        <v>7022.5446428571431</v>
      </c>
    </row>
    <row r="46" spans="3:47" x14ac:dyDescent="0.35">
      <c r="C46" t="s">
        <v>267</v>
      </c>
      <c r="D46" s="88">
        <v>44</v>
      </c>
      <c r="E46" s="89" t="s">
        <v>268</v>
      </c>
      <c r="F46" s="84" t="s">
        <v>32</v>
      </c>
      <c r="G46" s="84" t="s">
        <v>33</v>
      </c>
      <c r="H46" s="66" t="s">
        <v>215</v>
      </c>
      <c r="I46" s="66" t="s">
        <v>215</v>
      </c>
      <c r="J46" s="66" t="s">
        <v>215</v>
      </c>
      <c r="L46" s="7">
        <v>0</v>
      </c>
      <c r="M46" s="7">
        <v>0</v>
      </c>
      <c r="N46" s="7">
        <v>0</v>
      </c>
      <c r="O46" s="7">
        <v>9.4577409251285722</v>
      </c>
      <c r="P46" s="7">
        <v>32.922611822366761</v>
      </c>
      <c r="R46" s="7">
        <v>8.4062402186443137</v>
      </c>
      <c r="S46" s="7">
        <v>28.022391193153624</v>
      </c>
      <c r="T46" s="7">
        <v>27.391135896907372</v>
      </c>
      <c r="U46" s="7">
        <v>27.391135896907372</v>
      </c>
      <c r="V46" s="7">
        <v>27.391135896907372</v>
      </c>
      <c r="X46" s="7">
        <f t="shared" si="3"/>
        <v>8.4062402186443137</v>
      </c>
      <c r="Y46" s="7">
        <f t="shared" si="3"/>
        <v>28.022391193153624</v>
      </c>
      <c r="Z46" s="7">
        <f t="shared" si="3"/>
        <v>27.391135896907372</v>
      </c>
      <c r="AA46" s="7">
        <f t="shared" si="3"/>
        <v>36.848876822035947</v>
      </c>
      <c r="AB46" s="7">
        <f t="shared" si="3"/>
        <v>60.313747719274133</v>
      </c>
      <c r="AE46" s="5">
        <v>0</v>
      </c>
      <c r="AF46" s="5">
        <v>0</v>
      </c>
      <c r="AG46" s="5">
        <v>0</v>
      </c>
      <c r="AH46" s="5">
        <v>1265.21875</v>
      </c>
      <c r="AI46" s="5">
        <v>3942.8571428571427</v>
      </c>
      <c r="AK46" s="5">
        <v>1101.125</v>
      </c>
      <c r="AL46" s="5">
        <v>3670.625</v>
      </c>
      <c r="AM46" s="5">
        <v>3587.9375</v>
      </c>
      <c r="AN46" s="5">
        <v>3587.9375</v>
      </c>
      <c r="AO46" s="5">
        <v>3587.9375</v>
      </c>
      <c r="AQ46" s="5">
        <f t="shared" si="4"/>
        <v>1101.125</v>
      </c>
      <c r="AR46" s="5">
        <f t="shared" si="2"/>
        <v>3670.625</v>
      </c>
      <c r="AS46" s="5">
        <f t="shared" si="2"/>
        <v>3587.9375</v>
      </c>
      <c r="AT46" s="5">
        <f t="shared" si="2"/>
        <v>4853.15625</v>
      </c>
      <c r="AU46" s="5">
        <f t="shared" si="2"/>
        <v>7530.7946428571431</v>
      </c>
    </row>
    <row r="47" spans="3:47" x14ac:dyDescent="0.35">
      <c r="C47" t="s">
        <v>269</v>
      </c>
      <c r="D47" s="88">
        <v>45</v>
      </c>
      <c r="E47" s="89" t="s">
        <v>90</v>
      </c>
      <c r="F47" s="84" t="s">
        <v>32</v>
      </c>
      <c r="G47" s="84" t="s">
        <v>32</v>
      </c>
      <c r="H47" s="84" t="s">
        <v>32</v>
      </c>
      <c r="I47" s="84" t="s">
        <v>32</v>
      </c>
      <c r="J47" s="84" t="s">
        <v>32</v>
      </c>
      <c r="L47" s="7">
        <v>0</v>
      </c>
      <c r="M47" s="7">
        <v>27.981436736418072</v>
      </c>
      <c r="N47" s="7">
        <v>31.356402064295477</v>
      </c>
      <c r="O47" s="7">
        <v>30.005849330223658</v>
      </c>
      <c r="P47" s="7">
        <v>30.059776011726175</v>
      </c>
      <c r="R47" s="7">
        <v>17.43848720121537</v>
      </c>
      <c r="S47" s="7">
        <v>17.43848720121537</v>
      </c>
      <c r="T47" s="7">
        <v>17.43848720121537</v>
      </c>
      <c r="U47" s="7">
        <v>17.43848720121537</v>
      </c>
      <c r="V47" s="7">
        <v>17.43848720121537</v>
      </c>
      <c r="X47" s="7">
        <f t="shared" si="3"/>
        <v>17.43848720121537</v>
      </c>
      <c r="Y47" s="7">
        <f t="shared" si="3"/>
        <v>45.419923937633442</v>
      </c>
      <c r="Z47" s="7">
        <f t="shared" si="3"/>
        <v>48.794889265510847</v>
      </c>
      <c r="AA47" s="7">
        <f t="shared" si="3"/>
        <v>47.444336531439028</v>
      </c>
      <c r="AB47" s="7">
        <f t="shared" si="3"/>
        <v>47.498263212941545</v>
      </c>
      <c r="AE47" s="5">
        <v>0</v>
      </c>
      <c r="AF47" s="5">
        <v>3351.0952380952381</v>
      </c>
      <c r="AG47" s="5">
        <v>3755.2857142857142</v>
      </c>
      <c r="AH47" s="5">
        <v>4014.0625</v>
      </c>
      <c r="AI47" s="5">
        <v>3600</v>
      </c>
      <c r="AK47" s="5">
        <v>2284.25</v>
      </c>
      <c r="AL47" s="5">
        <v>2284.25</v>
      </c>
      <c r="AM47" s="5">
        <v>2284.25</v>
      </c>
      <c r="AN47" s="5">
        <v>2284.25</v>
      </c>
      <c r="AO47" s="5">
        <v>2284.25</v>
      </c>
      <c r="AQ47" s="5">
        <f t="shared" si="4"/>
        <v>2284.25</v>
      </c>
      <c r="AR47" s="5">
        <f t="shared" si="2"/>
        <v>5635.3452380952385</v>
      </c>
      <c r="AS47" s="5">
        <f t="shared" si="2"/>
        <v>6039.5357142857138</v>
      </c>
      <c r="AT47" s="5">
        <f t="shared" si="2"/>
        <v>6298.3125</v>
      </c>
      <c r="AU47" s="5">
        <f t="shared" si="2"/>
        <v>5884.25</v>
      </c>
    </row>
    <row r="48" spans="3:47" x14ac:dyDescent="0.35">
      <c r="C48" t="s">
        <v>218</v>
      </c>
      <c r="D48" s="88">
        <v>46</v>
      </c>
      <c r="E48" s="89" t="s">
        <v>270</v>
      </c>
      <c r="F48" s="84" t="s">
        <v>219</v>
      </c>
      <c r="G48" s="84" t="s">
        <v>219</v>
      </c>
      <c r="H48" s="84" t="s">
        <v>219</v>
      </c>
      <c r="I48" s="84" t="s">
        <v>219</v>
      </c>
      <c r="J48" s="84" t="s">
        <v>219</v>
      </c>
      <c r="L48" s="7">
        <v>14.008014667898323</v>
      </c>
      <c r="M48" s="7">
        <v>21.670076622210008</v>
      </c>
      <c r="N48" s="7">
        <v>20.975441322044851</v>
      </c>
      <c r="O48" s="7">
        <v>22.46198869752422</v>
      </c>
      <c r="P48" s="7">
        <v>15.862893703542536</v>
      </c>
      <c r="R48" s="7">
        <v>3.9779103588850973</v>
      </c>
      <c r="S48" s="7">
        <v>3.9779103588850973</v>
      </c>
      <c r="T48" s="7">
        <v>3.9779103588850973</v>
      </c>
      <c r="U48" s="7">
        <v>3.9779103588850973</v>
      </c>
      <c r="V48" s="7">
        <v>3.9779103588850973</v>
      </c>
      <c r="X48" s="7">
        <f t="shared" si="3"/>
        <v>17.98592502678342</v>
      </c>
      <c r="Y48" s="7">
        <f t="shared" si="3"/>
        <v>25.647986981095105</v>
      </c>
      <c r="Z48" s="7">
        <f t="shared" si="3"/>
        <v>24.953351680929948</v>
      </c>
      <c r="AA48" s="7">
        <f t="shared" si="3"/>
        <v>26.439899056409317</v>
      </c>
      <c r="AB48" s="7">
        <f t="shared" si="3"/>
        <v>19.840804062427633</v>
      </c>
      <c r="AE48" s="5">
        <v>1677.6190476190477</v>
      </c>
      <c r="AF48" s="5">
        <v>2595.2380952380954</v>
      </c>
      <c r="AG48" s="5">
        <v>2512.0476190476193</v>
      </c>
      <c r="AH48" s="5">
        <v>3004.875</v>
      </c>
      <c r="AI48" s="5">
        <v>1899.7619047619048</v>
      </c>
      <c r="AK48" s="5">
        <v>521.0625</v>
      </c>
      <c r="AL48" s="5">
        <v>521.0625</v>
      </c>
      <c r="AM48" s="5">
        <v>521.0625</v>
      </c>
      <c r="AN48" s="5">
        <v>521.0625</v>
      </c>
      <c r="AO48" s="5">
        <v>521.0625</v>
      </c>
      <c r="AQ48" s="5">
        <f t="shared" si="4"/>
        <v>2198.6815476190477</v>
      </c>
      <c r="AR48" s="5">
        <f t="shared" si="2"/>
        <v>3116.3005952380954</v>
      </c>
      <c r="AS48" s="5">
        <f t="shared" si="2"/>
        <v>3033.1101190476193</v>
      </c>
      <c r="AT48" s="5">
        <f t="shared" si="2"/>
        <v>3525.9375</v>
      </c>
      <c r="AU48" s="5">
        <f t="shared" si="2"/>
        <v>2420.8244047619046</v>
      </c>
    </row>
    <row r="49" spans="3:47" x14ac:dyDescent="0.35">
      <c r="C49" t="s">
        <v>271</v>
      </c>
      <c r="D49" s="88">
        <v>47</v>
      </c>
      <c r="E49" s="89" t="s">
        <v>82</v>
      </c>
      <c r="F49" s="84" t="s">
        <v>222</v>
      </c>
      <c r="G49" s="84" t="s">
        <v>222</v>
      </c>
      <c r="H49" s="84" t="s">
        <v>222</v>
      </c>
      <c r="I49" s="84" t="s">
        <v>222</v>
      </c>
      <c r="J49" s="84" t="s">
        <v>238</v>
      </c>
      <c r="L49" s="7">
        <v>38.409713792761224</v>
      </c>
      <c r="M49" s="7">
        <v>35.087631404163709</v>
      </c>
      <c r="N49" s="7">
        <v>40.244314408080065</v>
      </c>
      <c r="O49" s="7">
        <v>21.295626644540128</v>
      </c>
      <c r="P49" s="7">
        <v>34.791407420979368</v>
      </c>
      <c r="R49" s="7">
        <v>29.8006893708632</v>
      </c>
      <c r="S49" s="7">
        <v>29.8006893708632</v>
      </c>
      <c r="T49" s="7">
        <v>29.8006893708632</v>
      </c>
      <c r="U49" s="7">
        <v>29.8006893708632</v>
      </c>
      <c r="V49" s="7">
        <v>14.937322981319042</v>
      </c>
      <c r="X49" s="7">
        <f t="shared" si="3"/>
        <v>68.21040316362442</v>
      </c>
      <c r="Y49" s="7">
        <f t="shared" si="3"/>
        <v>64.888320775026912</v>
      </c>
      <c r="Z49" s="7">
        <f t="shared" si="3"/>
        <v>70.045003778943268</v>
      </c>
      <c r="AA49" s="7">
        <f t="shared" si="3"/>
        <v>51.096316015403332</v>
      </c>
      <c r="AB49" s="7">
        <f t="shared" si="3"/>
        <v>49.72873040229841</v>
      </c>
      <c r="AE49" s="5">
        <v>4600</v>
      </c>
      <c r="AF49" s="5">
        <v>4202.1428571428569</v>
      </c>
      <c r="AG49" s="5">
        <v>4819.7142857142853</v>
      </c>
      <c r="AH49" s="5">
        <v>2848.84375</v>
      </c>
      <c r="AI49" s="5">
        <v>4166.666666666667</v>
      </c>
      <c r="AK49" s="5">
        <v>3903.5625</v>
      </c>
      <c r="AL49" s="5">
        <v>3903.5625</v>
      </c>
      <c r="AM49" s="5">
        <v>3903.5625</v>
      </c>
      <c r="AN49" s="5">
        <v>3903.5625</v>
      </c>
      <c r="AO49" s="5">
        <v>1956.625</v>
      </c>
      <c r="AQ49" s="5">
        <f t="shared" si="4"/>
        <v>8503.5625</v>
      </c>
      <c r="AR49" s="5">
        <f t="shared" si="2"/>
        <v>8105.7053571428569</v>
      </c>
      <c r="AS49" s="5">
        <f t="shared" si="2"/>
        <v>8723.2767857142862</v>
      </c>
      <c r="AT49" s="5">
        <f t="shared" si="2"/>
        <v>6752.40625</v>
      </c>
      <c r="AU49" s="5">
        <f t="shared" si="2"/>
        <v>6123.291666666667</v>
      </c>
    </row>
    <row r="50" spans="3:47" x14ac:dyDescent="0.35">
      <c r="C50" t="s">
        <v>272</v>
      </c>
      <c r="D50" s="88">
        <v>48</v>
      </c>
      <c r="E50" s="89" t="s">
        <v>273</v>
      </c>
      <c r="F50" s="84" t="s">
        <v>32</v>
      </c>
      <c r="G50" s="84" t="s">
        <v>32</v>
      </c>
      <c r="H50" s="84" t="s">
        <v>32</v>
      </c>
      <c r="I50" s="84" t="s">
        <v>32</v>
      </c>
      <c r="J50" s="84" t="s">
        <v>225</v>
      </c>
      <c r="L50" s="7">
        <v>0</v>
      </c>
      <c r="M50" s="7">
        <v>27.981436736418072</v>
      </c>
      <c r="N50" s="7">
        <v>31.356402064295477</v>
      </c>
      <c r="O50" s="7">
        <v>30.005849330223658</v>
      </c>
      <c r="P50" s="7">
        <v>0</v>
      </c>
      <c r="R50" s="7">
        <v>8.6743925062409808</v>
      </c>
      <c r="S50" s="7">
        <v>8.6743925062409808</v>
      </c>
      <c r="T50" s="7">
        <v>8.6743925062409808</v>
      </c>
      <c r="U50" s="7">
        <v>8.6743925062409808</v>
      </c>
      <c r="V50" s="7">
        <v>26.242661597538724</v>
      </c>
      <c r="X50" s="7">
        <f t="shared" si="3"/>
        <v>8.6743925062409808</v>
      </c>
      <c r="Y50" s="7">
        <f t="shared" si="3"/>
        <v>36.655829242659053</v>
      </c>
      <c r="Z50" s="7">
        <f t="shared" si="3"/>
        <v>40.030794570536457</v>
      </c>
      <c r="AA50" s="7">
        <f t="shared" si="3"/>
        <v>38.680241836464639</v>
      </c>
      <c r="AB50" s="7">
        <f t="shared" si="3"/>
        <v>26.242661597538724</v>
      </c>
      <c r="AE50" s="5">
        <v>0</v>
      </c>
      <c r="AF50" s="5">
        <v>3351.0952380952381</v>
      </c>
      <c r="AG50" s="5">
        <v>3755.2857142857142</v>
      </c>
      <c r="AH50" s="5">
        <v>4014.0625</v>
      </c>
      <c r="AI50" s="5">
        <v>0</v>
      </c>
      <c r="AK50" s="5">
        <v>1136.25</v>
      </c>
      <c r="AL50" s="5">
        <v>1136.25</v>
      </c>
      <c r="AM50" s="5">
        <v>1136.25</v>
      </c>
      <c r="AN50" s="5">
        <v>1136.25</v>
      </c>
      <c r="AO50" s="5">
        <v>3142.8571428571427</v>
      </c>
      <c r="AQ50" s="5">
        <f t="shared" si="4"/>
        <v>1136.25</v>
      </c>
      <c r="AR50" s="5">
        <f t="shared" si="2"/>
        <v>4487.3452380952385</v>
      </c>
      <c r="AS50" s="5">
        <f t="shared" si="2"/>
        <v>4891.5357142857138</v>
      </c>
      <c r="AT50" s="5">
        <f t="shared" si="2"/>
        <v>5150.3125</v>
      </c>
      <c r="AU50" s="5">
        <f t="shared" si="2"/>
        <v>3142.8571428571427</v>
      </c>
    </row>
    <row r="51" spans="3:47" x14ac:dyDescent="0.35">
      <c r="C51" t="s">
        <v>274</v>
      </c>
      <c r="D51" s="88">
        <v>49</v>
      </c>
      <c r="E51" s="89" t="s">
        <v>275</v>
      </c>
      <c r="F51" s="84" t="s">
        <v>32</v>
      </c>
      <c r="G51" s="84" t="s">
        <v>32</v>
      </c>
      <c r="H51" s="84" t="s">
        <v>32</v>
      </c>
      <c r="I51" s="84" t="s">
        <v>32</v>
      </c>
      <c r="J51" s="84" t="s">
        <v>32</v>
      </c>
      <c r="L51" s="7">
        <v>0</v>
      </c>
      <c r="M51" s="7">
        <v>27.981436736418072</v>
      </c>
      <c r="N51" s="7">
        <v>31.356402064295477</v>
      </c>
      <c r="O51" s="7">
        <v>30.005849330223658</v>
      </c>
      <c r="P51" s="7">
        <v>30.059776011726175</v>
      </c>
      <c r="R51" s="7">
        <v>10.414996679110459</v>
      </c>
      <c r="S51" s="7">
        <v>10.414996679110459</v>
      </c>
      <c r="T51" s="7">
        <v>10.414996679110459</v>
      </c>
      <c r="U51" s="7">
        <v>10.414996679110459</v>
      </c>
      <c r="V51" s="7">
        <v>10.414996679110459</v>
      </c>
      <c r="X51" s="7">
        <f t="shared" si="3"/>
        <v>10.414996679110459</v>
      </c>
      <c r="Y51" s="7">
        <f t="shared" si="3"/>
        <v>38.396433415528534</v>
      </c>
      <c r="Z51" s="7">
        <f t="shared" si="3"/>
        <v>41.771398743405939</v>
      </c>
      <c r="AA51" s="7">
        <f t="shared" si="3"/>
        <v>40.420846009334113</v>
      </c>
      <c r="AB51" s="7">
        <f t="shared" si="3"/>
        <v>40.47477269083663</v>
      </c>
      <c r="AE51" s="5">
        <v>0</v>
      </c>
      <c r="AF51" s="5">
        <v>3351.0952380952381</v>
      </c>
      <c r="AG51" s="5">
        <v>3755.2857142857142</v>
      </c>
      <c r="AH51" s="5">
        <v>4014.0625</v>
      </c>
      <c r="AI51" s="5">
        <v>3600</v>
      </c>
      <c r="AK51" s="5">
        <v>1364.25</v>
      </c>
      <c r="AL51" s="5">
        <v>1364.25</v>
      </c>
      <c r="AM51" s="5">
        <v>1364.25</v>
      </c>
      <c r="AN51" s="5">
        <v>1364.25</v>
      </c>
      <c r="AO51" s="5">
        <v>1364.25</v>
      </c>
      <c r="AQ51" s="5">
        <f t="shared" si="4"/>
        <v>1364.25</v>
      </c>
      <c r="AR51" s="5">
        <f t="shared" si="2"/>
        <v>4715.3452380952385</v>
      </c>
      <c r="AS51" s="5">
        <f t="shared" si="2"/>
        <v>5119.5357142857138</v>
      </c>
      <c r="AT51" s="5">
        <f t="shared" si="2"/>
        <v>5378.3125</v>
      </c>
      <c r="AU51" s="5">
        <f t="shared" si="2"/>
        <v>4964.25</v>
      </c>
    </row>
    <row r="52" spans="3:47" x14ac:dyDescent="0.35">
      <c r="C52" t="s">
        <v>276</v>
      </c>
      <c r="D52" s="88">
        <v>50</v>
      </c>
      <c r="E52" s="89" t="s">
        <v>277</v>
      </c>
      <c r="F52" s="84" t="s">
        <v>222</v>
      </c>
      <c r="G52" s="84" t="s">
        <v>222</v>
      </c>
      <c r="H52" s="84" t="s">
        <v>222</v>
      </c>
      <c r="I52" s="84" t="s">
        <v>222</v>
      </c>
      <c r="J52" s="84" t="s">
        <v>222</v>
      </c>
      <c r="L52" s="7">
        <v>38.409713792761224</v>
      </c>
      <c r="M52" s="7">
        <v>35.087631404163709</v>
      </c>
      <c r="N52" s="7">
        <v>40.244314408080065</v>
      </c>
      <c r="O52" s="7">
        <v>21.295626644540128</v>
      </c>
      <c r="P52" s="7">
        <v>49.463440950512378</v>
      </c>
      <c r="R52" s="7">
        <v>34.262896121048328</v>
      </c>
      <c r="S52" s="7">
        <v>34.262896121048328</v>
      </c>
      <c r="T52" s="7">
        <v>34.262896121048328</v>
      </c>
      <c r="U52" s="7">
        <v>34.262896121048328</v>
      </c>
      <c r="V52" s="7">
        <v>34.262896121048328</v>
      </c>
      <c r="X52" s="7">
        <f t="shared" si="3"/>
        <v>72.672609913809552</v>
      </c>
      <c r="Y52" s="7">
        <f t="shared" si="3"/>
        <v>69.350527525212044</v>
      </c>
      <c r="Z52" s="7">
        <f t="shared" si="3"/>
        <v>74.5072105291284</v>
      </c>
      <c r="AA52" s="7">
        <f t="shared" si="3"/>
        <v>55.558522765588457</v>
      </c>
      <c r="AB52" s="7">
        <f t="shared" si="3"/>
        <v>83.726337071560707</v>
      </c>
      <c r="AE52" s="5">
        <v>4600</v>
      </c>
      <c r="AF52" s="5">
        <v>4202.1428571428569</v>
      </c>
      <c r="AG52" s="5">
        <v>4819.7142857142853</v>
      </c>
      <c r="AH52" s="5">
        <v>2848.84375</v>
      </c>
      <c r="AI52" s="5">
        <v>5923.8095238095239</v>
      </c>
      <c r="AK52" s="5">
        <v>4488.0625</v>
      </c>
      <c r="AL52" s="5">
        <v>4488.0625</v>
      </c>
      <c r="AM52" s="5">
        <v>4488.0625</v>
      </c>
      <c r="AN52" s="5">
        <v>4488.0625</v>
      </c>
      <c r="AO52" s="5">
        <v>4488.0625</v>
      </c>
      <c r="AQ52" s="5">
        <f t="shared" si="4"/>
        <v>9088.0625</v>
      </c>
      <c r="AR52" s="5">
        <f t="shared" si="2"/>
        <v>8690.2053571428569</v>
      </c>
      <c r="AS52" s="5">
        <f t="shared" si="2"/>
        <v>9307.7767857142862</v>
      </c>
      <c r="AT52" s="5">
        <f t="shared" si="2"/>
        <v>7336.90625</v>
      </c>
      <c r="AU52" s="5">
        <f t="shared" si="2"/>
        <v>10411.872023809523</v>
      </c>
    </row>
    <row r="53" spans="3:47" x14ac:dyDescent="0.35">
      <c r="C53" t="s">
        <v>278</v>
      </c>
      <c r="D53" s="88">
        <v>51</v>
      </c>
      <c r="E53" s="89" t="s">
        <v>279</v>
      </c>
      <c r="F53" s="84" t="s">
        <v>32</v>
      </c>
      <c r="G53" s="84" t="s">
        <v>33</v>
      </c>
      <c r="H53" s="66" t="s">
        <v>215</v>
      </c>
      <c r="I53" s="66" t="s">
        <v>215</v>
      </c>
      <c r="J53" s="66" t="s">
        <v>215</v>
      </c>
      <c r="L53" s="7">
        <v>0</v>
      </c>
      <c r="M53" s="7">
        <v>0</v>
      </c>
      <c r="N53" s="7">
        <v>0</v>
      </c>
      <c r="O53" s="7">
        <v>9.4577409251285722</v>
      </c>
      <c r="P53" s="7">
        <v>32.922611822366761</v>
      </c>
      <c r="R53" s="7">
        <v>7.5736321370496755</v>
      </c>
      <c r="S53" s="7">
        <v>28.077739352159341</v>
      </c>
      <c r="T53" s="7">
        <v>27.446006916611317</v>
      </c>
      <c r="U53" s="7">
        <v>27.446006916611317</v>
      </c>
      <c r="V53" s="7">
        <v>27.446006916611317</v>
      </c>
      <c r="X53" s="7">
        <f t="shared" si="3"/>
        <v>7.5736321370496755</v>
      </c>
      <c r="Y53" s="7">
        <f t="shared" si="3"/>
        <v>28.077739352159341</v>
      </c>
      <c r="Z53" s="7">
        <f t="shared" si="3"/>
        <v>27.446006916611317</v>
      </c>
      <c r="AA53" s="7">
        <f t="shared" si="3"/>
        <v>36.903747841739886</v>
      </c>
      <c r="AB53" s="7">
        <f t="shared" si="3"/>
        <v>60.368618738978078</v>
      </c>
      <c r="AE53" s="5">
        <v>0</v>
      </c>
      <c r="AF53" s="5">
        <v>0</v>
      </c>
      <c r="AG53" s="5">
        <v>0</v>
      </c>
      <c r="AH53" s="5">
        <v>1265.21875</v>
      </c>
      <c r="AI53" s="5">
        <v>3942.8571428571427</v>
      </c>
      <c r="AK53" s="5">
        <v>992.0625</v>
      </c>
      <c r="AL53" s="5">
        <v>3677.875</v>
      </c>
      <c r="AM53" s="5">
        <v>3595.125</v>
      </c>
      <c r="AN53" s="5">
        <v>3595.125</v>
      </c>
      <c r="AO53" s="5">
        <v>3595.125</v>
      </c>
      <c r="AQ53" s="5">
        <f t="shared" si="4"/>
        <v>992.0625</v>
      </c>
      <c r="AR53" s="5">
        <f t="shared" si="2"/>
        <v>3677.875</v>
      </c>
      <c r="AS53" s="5">
        <f t="shared" si="2"/>
        <v>3595.125</v>
      </c>
      <c r="AT53" s="5">
        <f t="shared" si="2"/>
        <v>4860.34375</v>
      </c>
      <c r="AU53" s="5">
        <f t="shared" si="2"/>
        <v>7537.9821428571431</v>
      </c>
    </row>
    <row r="54" spans="3:47" x14ac:dyDescent="0.35">
      <c r="C54" t="s">
        <v>280</v>
      </c>
      <c r="D54" s="88">
        <v>52</v>
      </c>
      <c r="E54" s="89" t="s">
        <v>86</v>
      </c>
      <c r="F54" s="84" t="s">
        <v>225</v>
      </c>
      <c r="G54" s="84" t="s">
        <v>225</v>
      </c>
      <c r="H54" s="84" t="s">
        <v>225</v>
      </c>
      <c r="I54" s="84" t="s">
        <v>225</v>
      </c>
      <c r="J54" s="84" t="s">
        <v>225</v>
      </c>
      <c r="L54" s="7">
        <v>14.008014667898323</v>
      </c>
      <c r="M54" s="7">
        <v>21.670076622210008</v>
      </c>
      <c r="N54" s="7">
        <v>20.975441322044851</v>
      </c>
      <c r="O54" s="7">
        <v>22.46198869752422</v>
      </c>
      <c r="P54" s="7">
        <v>0</v>
      </c>
      <c r="R54" s="7">
        <v>7.6385230820908623</v>
      </c>
      <c r="S54" s="7">
        <v>7.6385230820908623</v>
      </c>
      <c r="T54" s="7">
        <v>7.6385230820908623</v>
      </c>
      <c r="U54" s="7">
        <v>7.6385230820908623</v>
      </c>
      <c r="V54" s="7">
        <v>7.6385230820908623</v>
      </c>
      <c r="X54" s="7">
        <f t="shared" si="3"/>
        <v>21.646537749989186</v>
      </c>
      <c r="Y54" s="7">
        <f t="shared" si="3"/>
        <v>29.308599704300871</v>
      </c>
      <c r="Z54" s="7">
        <f t="shared" si="3"/>
        <v>28.613964404135714</v>
      </c>
      <c r="AA54" s="7">
        <f t="shared" si="3"/>
        <v>30.100511779615083</v>
      </c>
      <c r="AB54" s="7">
        <f t="shared" si="3"/>
        <v>7.6385230820908623</v>
      </c>
      <c r="AE54" s="5">
        <v>1677.6190476190477</v>
      </c>
      <c r="AF54" s="5">
        <v>2595.2380952380954</v>
      </c>
      <c r="AG54" s="5">
        <v>2512.0476190476193</v>
      </c>
      <c r="AH54" s="5">
        <v>3004.875</v>
      </c>
      <c r="AI54" s="5">
        <v>0</v>
      </c>
      <c r="AK54" s="5">
        <v>1000.5625</v>
      </c>
      <c r="AL54" s="5">
        <v>1000.5625</v>
      </c>
      <c r="AM54" s="5">
        <v>1000.5625</v>
      </c>
      <c r="AN54" s="5">
        <v>1000.5625</v>
      </c>
      <c r="AO54" s="5">
        <v>1000.5625</v>
      </c>
      <c r="AQ54" s="5">
        <f t="shared" si="4"/>
        <v>2678.1815476190477</v>
      </c>
      <c r="AR54" s="5">
        <f t="shared" si="2"/>
        <v>3595.8005952380954</v>
      </c>
      <c r="AS54" s="5">
        <f t="shared" si="2"/>
        <v>3512.6101190476193</v>
      </c>
      <c r="AT54" s="5">
        <f t="shared" si="2"/>
        <v>4005.4375</v>
      </c>
      <c r="AU54" s="5">
        <f t="shared" si="2"/>
        <v>1000.5625</v>
      </c>
    </row>
    <row r="55" spans="3:47" x14ac:dyDescent="0.35">
      <c r="C55" t="s">
        <v>281</v>
      </c>
      <c r="D55" s="88">
        <v>53</v>
      </c>
      <c r="E55" s="89" t="s">
        <v>282</v>
      </c>
      <c r="F55" s="84" t="s">
        <v>32</v>
      </c>
      <c r="G55" s="84" t="s">
        <v>33</v>
      </c>
      <c r="H55" s="66" t="s">
        <v>215</v>
      </c>
      <c r="I55" s="66" t="s">
        <v>215</v>
      </c>
      <c r="J55" s="66" t="s">
        <v>215</v>
      </c>
      <c r="L55" s="7">
        <v>0</v>
      </c>
      <c r="M55" s="7">
        <v>0</v>
      </c>
      <c r="N55" s="7">
        <v>0</v>
      </c>
      <c r="O55" s="7">
        <v>9.4577409251285722</v>
      </c>
      <c r="P55" s="7">
        <v>32.922611822366761</v>
      </c>
      <c r="R55" s="7">
        <v>18.560718838986482</v>
      </c>
      <c r="S55" s="7">
        <v>13.819862736565664</v>
      </c>
      <c r="T55" s="7">
        <v>13.209124430295674</v>
      </c>
      <c r="U55" s="7">
        <v>13.209124430295674</v>
      </c>
      <c r="V55" s="7">
        <v>13.209124430295674</v>
      </c>
      <c r="X55" s="7">
        <f t="shared" si="3"/>
        <v>18.560718838986482</v>
      </c>
      <c r="Y55" s="7">
        <f t="shared" si="3"/>
        <v>13.819862736565664</v>
      </c>
      <c r="Z55" s="7">
        <f t="shared" si="3"/>
        <v>13.209124430295674</v>
      </c>
      <c r="AA55" s="7">
        <f t="shared" si="3"/>
        <v>22.666865355424246</v>
      </c>
      <c r="AB55" s="7">
        <f t="shared" si="3"/>
        <v>46.131736252662435</v>
      </c>
      <c r="AE55" s="5">
        <v>0</v>
      </c>
      <c r="AF55" s="5">
        <v>0</v>
      </c>
      <c r="AG55" s="5">
        <v>0</v>
      </c>
      <c r="AH55" s="5">
        <v>1265.21875</v>
      </c>
      <c r="AI55" s="5">
        <v>3942.8571428571427</v>
      </c>
      <c r="AK55" s="5">
        <v>2431.25</v>
      </c>
      <c r="AL55" s="5">
        <v>1810.25</v>
      </c>
      <c r="AM55" s="5">
        <v>1730.25</v>
      </c>
      <c r="AN55" s="5">
        <v>1730.25</v>
      </c>
      <c r="AO55" s="5">
        <v>1730.25</v>
      </c>
      <c r="AQ55" s="5">
        <f t="shared" si="4"/>
        <v>2431.25</v>
      </c>
      <c r="AR55" s="5">
        <f t="shared" si="2"/>
        <v>1810.25</v>
      </c>
      <c r="AS55" s="5">
        <f t="shared" si="2"/>
        <v>1730.25</v>
      </c>
      <c r="AT55" s="5">
        <f t="shared" si="2"/>
        <v>2995.46875</v>
      </c>
      <c r="AU55" s="5">
        <f t="shared" si="2"/>
        <v>5673.1071428571431</v>
      </c>
    </row>
    <row r="56" spans="3:47" x14ac:dyDescent="0.35">
      <c r="C56" t="s">
        <v>283</v>
      </c>
      <c r="D56" s="88">
        <v>54</v>
      </c>
      <c r="E56" s="89" t="s">
        <v>284</v>
      </c>
      <c r="F56" s="84" t="s">
        <v>219</v>
      </c>
      <c r="G56" s="84" t="s">
        <v>219</v>
      </c>
      <c r="H56" s="84" t="s">
        <v>219</v>
      </c>
      <c r="I56" s="84" t="s">
        <v>219</v>
      </c>
      <c r="J56" s="84" t="s">
        <v>219</v>
      </c>
      <c r="L56" s="7">
        <v>14.008014667898323</v>
      </c>
      <c r="M56" s="7">
        <v>21.670076622210008</v>
      </c>
      <c r="N56" s="7">
        <v>20.975441322044851</v>
      </c>
      <c r="O56" s="7">
        <v>22.46198869752422</v>
      </c>
      <c r="P56" s="7">
        <v>15.862893703542536</v>
      </c>
      <c r="R56" s="7">
        <v>13.167136171739612</v>
      </c>
      <c r="S56" s="7">
        <v>13.167136171739612</v>
      </c>
      <c r="T56" s="7">
        <v>13.167136171739612</v>
      </c>
      <c r="U56" s="7">
        <v>13.167136171739612</v>
      </c>
      <c r="V56" s="7">
        <v>13.167136171739612</v>
      </c>
      <c r="X56" s="7">
        <f t="shared" si="3"/>
        <v>27.175150839637936</v>
      </c>
      <c r="Y56" s="7">
        <f t="shared" si="3"/>
        <v>34.837212793949618</v>
      </c>
      <c r="Z56" s="7">
        <f t="shared" si="3"/>
        <v>34.142577493784465</v>
      </c>
      <c r="AA56" s="7">
        <f t="shared" si="3"/>
        <v>35.629124869263833</v>
      </c>
      <c r="AB56" s="7">
        <f t="shared" si="3"/>
        <v>29.030029875282146</v>
      </c>
      <c r="AE56" s="5">
        <v>1677.6190476190477</v>
      </c>
      <c r="AF56" s="5">
        <v>2595.2380952380954</v>
      </c>
      <c r="AG56" s="5">
        <v>2512.0476190476193</v>
      </c>
      <c r="AH56" s="5">
        <v>3004.875</v>
      </c>
      <c r="AI56" s="5">
        <v>1899.7619047619048</v>
      </c>
      <c r="AK56" s="5">
        <v>1724.75</v>
      </c>
      <c r="AL56" s="5">
        <v>1724.75</v>
      </c>
      <c r="AM56" s="5">
        <v>1724.75</v>
      </c>
      <c r="AN56" s="5">
        <v>1724.75</v>
      </c>
      <c r="AO56" s="5">
        <v>1724.75</v>
      </c>
      <c r="AQ56" s="5">
        <f t="shared" si="4"/>
        <v>3402.3690476190477</v>
      </c>
      <c r="AR56" s="5">
        <f t="shared" si="2"/>
        <v>4319.9880952380954</v>
      </c>
      <c r="AS56" s="5">
        <f t="shared" si="2"/>
        <v>4236.7976190476193</v>
      </c>
      <c r="AT56" s="5">
        <f t="shared" si="2"/>
        <v>4729.625</v>
      </c>
      <c r="AU56" s="5">
        <f t="shared" si="2"/>
        <v>3624.5119047619046</v>
      </c>
    </row>
    <row r="57" spans="3:47" x14ac:dyDescent="0.35">
      <c r="C57" t="s">
        <v>285</v>
      </c>
      <c r="D57" s="88">
        <v>55</v>
      </c>
      <c r="E57" s="89" t="s">
        <v>95</v>
      </c>
      <c r="F57" s="84" t="s">
        <v>32</v>
      </c>
      <c r="G57" s="84" t="s">
        <v>32</v>
      </c>
      <c r="H57" s="84" t="s">
        <v>32</v>
      </c>
      <c r="I57" s="84" t="s">
        <v>32</v>
      </c>
      <c r="J57" s="84" t="s">
        <v>32</v>
      </c>
      <c r="L57" s="7">
        <v>0</v>
      </c>
      <c r="M57" s="7">
        <v>27.981436736418072</v>
      </c>
      <c r="N57" s="7">
        <v>31.356402064295477</v>
      </c>
      <c r="O57" s="7">
        <v>30.005849330223658</v>
      </c>
      <c r="P57" s="7">
        <v>30.059776011726175</v>
      </c>
      <c r="R57" s="7">
        <v>14.202051317286184</v>
      </c>
      <c r="S57" s="7">
        <v>14.202051317286184</v>
      </c>
      <c r="T57" s="7">
        <v>14.202051317286184</v>
      </c>
      <c r="U57" s="7">
        <v>14.202051317286184</v>
      </c>
      <c r="V57" s="7">
        <v>14.202051317286184</v>
      </c>
      <c r="X57" s="7">
        <f t="shared" si="3"/>
        <v>14.202051317286184</v>
      </c>
      <c r="Y57" s="7">
        <f t="shared" si="3"/>
        <v>42.183488053704252</v>
      </c>
      <c r="Z57" s="7">
        <f t="shared" si="3"/>
        <v>45.558453381581657</v>
      </c>
      <c r="AA57" s="7">
        <f t="shared" si="3"/>
        <v>44.207900647509845</v>
      </c>
      <c r="AB57" s="7">
        <f t="shared" si="3"/>
        <v>44.261827329012362</v>
      </c>
      <c r="AE57" s="5">
        <v>0</v>
      </c>
      <c r="AF57" s="5">
        <v>3351.0952380952381</v>
      </c>
      <c r="AG57" s="5">
        <v>3755.2857142857142</v>
      </c>
      <c r="AH57" s="5">
        <v>4014.0625</v>
      </c>
      <c r="AI57" s="5">
        <v>3600</v>
      </c>
      <c r="AK57" s="5">
        <v>1860.3125</v>
      </c>
      <c r="AL57" s="5">
        <v>1860.3125</v>
      </c>
      <c r="AM57" s="5">
        <v>1860.3125</v>
      </c>
      <c r="AN57" s="5">
        <v>1860.3125</v>
      </c>
      <c r="AO57" s="5">
        <v>1860.3125</v>
      </c>
      <c r="AQ57" s="5">
        <f t="shared" si="4"/>
        <v>1860.3125</v>
      </c>
      <c r="AR57" s="5">
        <f t="shared" si="2"/>
        <v>5211.4077380952385</v>
      </c>
      <c r="AS57" s="5">
        <f t="shared" si="2"/>
        <v>5615.5982142857138</v>
      </c>
      <c r="AT57" s="5">
        <f t="shared" si="2"/>
        <v>5874.375</v>
      </c>
      <c r="AU57" s="5">
        <f t="shared" si="2"/>
        <v>5460.3125</v>
      </c>
    </row>
    <row r="58" spans="3:47" x14ac:dyDescent="0.35">
      <c r="C58" t="s">
        <v>286</v>
      </c>
      <c r="D58" s="88">
        <v>56</v>
      </c>
      <c r="E58" s="89" t="s">
        <v>287</v>
      </c>
      <c r="F58" s="84" t="s">
        <v>32</v>
      </c>
      <c r="G58" s="84" t="s">
        <v>32</v>
      </c>
      <c r="H58" s="84" t="s">
        <v>32</v>
      </c>
      <c r="I58" s="84" t="s">
        <v>32</v>
      </c>
      <c r="J58" s="84" t="s">
        <v>32</v>
      </c>
      <c r="L58" s="7">
        <v>0</v>
      </c>
      <c r="M58" s="7">
        <v>27.981436736418072</v>
      </c>
      <c r="N58" s="7">
        <v>31.356402064295477</v>
      </c>
      <c r="O58" s="7">
        <v>30.005849330223658</v>
      </c>
      <c r="P58" s="7">
        <v>30.059776011726175</v>
      </c>
      <c r="R58" s="7">
        <v>8.9048507889975497</v>
      </c>
      <c r="S58" s="7">
        <v>8.9048507889975497</v>
      </c>
      <c r="T58" s="7">
        <v>8.9048507889975497</v>
      </c>
      <c r="U58" s="7">
        <v>8.9048507889975497</v>
      </c>
      <c r="V58" s="7">
        <v>8.9048507889975497</v>
      </c>
      <c r="X58" s="7">
        <f t="shared" si="3"/>
        <v>8.9048507889975497</v>
      </c>
      <c r="Y58" s="7">
        <f t="shared" si="3"/>
        <v>36.886287525415625</v>
      </c>
      <c r="Z58" s="7">
        <f t="shared" si="3"/>
        <v>40.26125285329303</v>
      </c>
      <c r="AA58" s="7">
        <f t="shared" si="3"/>
        <v>38.910700119221204</v>
      </c>
      <c r="AB58" s="7">
        <f t="shared" si="3"/>
        <v>38.964626800723721</v>
      </c>
      <c r="AE58" s="5">
        <v>0</v>
      </c>
      <c r="AF58" s="5">
        <v>3351.0952380952381</v>
      </c>
      <c r="AG58" s="5">
        <v>3755.2857142857142</v>
      </c>
      <c r="AH58" s="5">
        <v>4014.0625</v>
      </c>
      <c r="AI58" s="5">
        <v>3600</v>
      </c>
      <c r="AK58" s="5">
        <v>1166.4375</v>
      </c>
      <c r="AL58" s="5">
        <v>1166.4375</v>
      </c>
      <c r="AM58" s="5">
        <v>1166.4375</v>
      </c>
      <c r="AN58" s="5">
        <v>1166.4375</v>
      </c>
      <c r="AO58" s="5">
        <v>1166.4375</v>
      </c>
      <c r="AQ58" s="5">
        <f t="shared" si="4"/>
        <v>1166.4375</v>
      </c>
      <c r="AR58" s="5">
        <f t="shared" si="2"/>
        <v>4517.5327380952385</v>
      </c>
      <c r="AS58" s="5">
        <f t="shared" si="2"/>
        <v>4921.7232142857138</v>
      </c>
      <c r="AT58" s="5">
        <f t="shared" si="2"/>
        <v>5180.5</v>
      </c>
      <c r="AU58" s="5">
        <f t="shared" si="2"/>
        <v>4766.4375</v>
      </c>
    </row>
    <row r="59" spans="3:47" x14ac:dyDescent="0.35">
      <c r="C59" t="s">
        <v>288</v>
      </c>
      <c r="D59" s="88">
        <v>57</v>
      </c>
      <c r="E59" s="89" t="s">
        <v>289</v>
      </c>
      <c r="F59" s="84" t="s">
        <v>32</v>
      </c>
      <c r="G59" s="84" t="s">
        <v>33</v>
      </c>
      <c r="H59" s="66" t="s">
        <v>215</v>
      </c>
      <c r="I59" s="66" t="s">
        <v>215</v>
      </c>
      <c r="J59" s="66" t="s">
        <v>215</v>
      </c>
      <c r="L59" s="7">
        <v>0</v>
      </c>
      <c r="M59" s="7">
        <v>0</v>
      </c>
      <c r="N59" s="7">
        <v>0</v>
      </c>
      <c r="O59" s="7">
        <v>9.4577409251285722</v>
      </c>
      <c r="P59" s="7">
        <v>32.922611822366761</v>
      </c>
      <c r="R59" s="7">
        <v>10.62350655398545</v>
      </c>
      <c r="S59" s="7">
        <v>23.808774019192452</v>
      </c>
      <c r="T59" s="7">
        <v>23.177041583644428</v>
      </c>
      <c r="U59" s="7">
        <v>23.177041583644428</v>
      </c>
      <c r="V59" s="7">
        <v>23.177041583644428</v>
      </c>
      <c r="X59" s="7">
        <f t="shared" si="3"/>
        <v>10.62350655398545</v>
      </c>
      <c r="Y59" s="7">
        <f t="shared" si="3"/>
        <v>23.808774019192452</v>
      </c>
      <c r="Z59" s="7">
        <f t="shared" si="3"/>
        <v>23.177041583644428</v>
      </c>
      <c r="AA59" s="7">
        <f t="shared" si="3"/>
        <v>32.634782508773</v>
      </c>
      <c r="AB59" s="7">
        <f t="shared" si="3"/>
        <v>56.099653406011186</v>
      </c>
      <c r="AE59" s="5">
        <v>0</v>
      </c>
      <c r="AF59" s="5">
        <v>0</v>
      </c>
      <c r="AG59" s="5">
        <v>0</v>
      </c>
      <c r="AH59" s="5">
        <v>1265.21875</v>
      </c>
      <c r="AI59" s="5">
        <v>3942.8571428571427</v>
      </c>
      <c r="AK59" s="5">
        <v>1391.5625</v>
      </c>
      <c r="AL59" s="5">
        <v>3118.6875</v>
      </c>
      <c r="AM59" s="5">
        <v>3035.9375</v>
      </c>
      <c r="AN59" s="5">
        <v>3035.9375</v>
      </c>
      <c r="AO59" s="5">
        <v>3035.9375</v>
      </c>
      <c r="AQ59" s="5">
        <f t="shared" si="4"/>
        <v>1391.5625</v>
      </c>
      <c r="AR59" s="5">
        <f t="shared" si="2"/>
        <v>3118.6875</v>
      </c>
      <c r="AS59" s="5">
        <f t="shared" si="2"/>
        <v>3035.9375</v>
      </c>
      <c r="AT59" s="5">
        <f t="shared" si="2"/>
        <v>4301.15625</v>
      </c>
      <c r="AU59" s="5">
        <f t="shared" si="2"/>
        <v>6978.7946428571431</v>
      </c>
    </row>
    <row r="60" spans="3:47" x14ac:dyDescent="0.35">
      <c r="C60" t="s">
        <v>290</v>
      </c>
      <c r="D60" s="88">
        <v>58</v>
      </c>
      <c r="E60" s="89" t="s">
        <v>83</v>
      </c>
      <c r="F60" s="84" t="s">
        <v>215</v>
      </c>
      <c r="G60" s="84" t="s">
        <v>33</v>
      </c>
      <c r="H60" s="84" t="s">
        <v>215</v>
      </c>
      <c r="I60" s="84" t="s">
        <v>34</v>
      </c>
      <c r="J60" s="84" t="s">
        <v>215</v>
      </c>
      <c r="L60" s="7">
        <v>18.304256464283259</v>
      </c>
      <c r="M60" s="7">
        <v>0</v>
      </c>
      <c r="N60" s="7">
        <v>0</v>
      </c>
      <c r="O60" s="7">
        <v>0</v>
      </c>
      <c r="P60" s="7">
        <v>32.922611822366761</v>
      </c>
      <c r="R60" s="7">
        <v>11.454206078372993</v>
      </c>
      <c r="S60" s="7">
        <v>10.812930856789501</v>
      </c>
      <c r="T60" s="7">
        <v>11.454206078372993</v>
      </c>
      <c r="U60" s="7">
        <v>3.8853453343410513</v>
      </c>
      <c r="V60" s="7">
        <v>11.454206078372993</v>
      </c>
      <c r="X60" s="7">
        <f t="shared" si="3"/>
        <v>29.758462542656254</v>
      </c>
      <c r="Y60" s="7">
        <f t="shared" si="3"/>
        <v>10.812930856789501</v>
      </c>
      <c r="Z60" s="7">
        <f t="shared" si="3"/>
        <v>11.454206078372993</v>
      </c>
      <c r="AA60" s="7">
        <f t="shared" si="3"/>
        <v>3.8853453343410513</v>
      </c>
      <c r="AB60" s="7">
        <f t="shared" si="3"/>
        <v>44.376817900739752</v>
      </c>
      <c r="AE60" s="5">
        <v>2192.1428571428573</v>
      </c>
      <c r="AF60" s="5">
        <v>0</v>
      </c>
      <c r="AG60" s="5">
        <v>0</v>
      </c>
      <c r="AH60" s="5">
        <v>0</v>
      </c>
      <c r="AI60" s="5">
        <v>3942.8571428571427</v>
      </c>
      <c r="AK60" s="5">
        <v>1500.375</v>
      </c>
      <c r="AL60" s="5">
        <v>1416.375</v>
      </c>
      <c r="AM60" s="5">
        <v>1500.375</v>
      </c>
      <c r="AN60" s="5">
        <v>508.9375</v>
      </c>
      <c r="AO60" s="5">
        <v>1500.375</v>
      </c>
      <c r="AQ60" s="5">
        <f t="shared" si="4"/>
        <v>3692.5178571428573</v>
      </c>
      <c r="AR60" s="5">
        <f t="shared" si="2"/>
        <v>1416.375</v>
      </c>
      <c r="AS60" s="5">
        <f t="shared" si="2"/>
        <v>1500.375</v>
      </c>
      <c r="AT60" s="5">
        <f t="shared" si="2"/>
        <v>508.9375</v>
      </c>
      <c r="AU60" s="5">
        <f t="shared" si="2"/>
        <v>5443.2321428571431</v>
      </c>
    </row>
    <row r="61" spans="3:47" x14ac:dyDescent="0.35">
      <c r="C61" t="s">
        <v>291</v>
      </c>
      <c r="D61" s="88">
        <v>59</v>
      </c>
      <c r="E61" s="89" t="s">
        <v>292</v>
      </c>
      <c r="F61" s="84" t="s">
        <v>215</v>
      </c>
      <c r="G61" s="84" t="s">
        <v>33</v>
      </c>
      <c r="H61" s="84" t="s">
        <v>215</v>
      </c>
      <c r="I61" s="84" t="s">
        <v>34</v>
      </c>
      <c r="J61" s="84" t="s">
        <v>215</v>
      </c>
      <c r="L61" s="7">
        <v>18.304256464283259</v>
      </c>
      <c r="M61" s="7">
        <v>0</v>
      </c>
      <c r="N61" s="7">
        <v>0</v>
      </c>
      <c r="O61" s="7">
        <v>0</v>
      </c>
      <c r="P61" s="7">
        <v>32.922611822366761</v>
      </c>
      <c r="R61" s="7">
        <v>20.126690027406884</v>
      </c>
      <c r="S61" s="7">
        <v>19.500683263480138</v>
      </c>
      <c r="T61" s="7">
        <v>20.126690027406884</v>
      </c>
      <c r="U61" s="7">
        <v>16.461305911183381</v>
      </c>
      <c r="V61" s="7">
        <v>20.126690027406884</v>
      </c>
      <c r="X61" s="7">
        <f t="shared" si="3"/>
        <v>38.430946491690143</v>
      </c>
      <c r="Y61" s="7">
        <f t="shared" si="3"/>
        <v>19.500683263480138</v>
      </c>
      <c r="Z61" s="7">
        <f t="shared" si="3"/>
        <v>20.126690027406884</v>
      </c>
      <c r="AA61" s="7">
        <f t="shared" si="3"/>
        <v>16.461305911183381</v>
      </c>
      <c r="AB61" s="7">
        <f t="shared" si="3"/>
        <v>53.049301849773641</v>
      </c>
      <c r="AE61" s="5">
        <v>2192.1428571428573</v>
      </c>
      <c r="AF61" s="5">
        <v>0</v>
      </c>
      <c r="AG61" s="5">
        <v>0</v>
      </c>
      <c r="AH61" s="5">
        <v>0</v>
      </c>
      <c r="AI61" s="5">
        <v>3942.8571428571427</v>
      </c>
      <c r="AK61" s="5">
        <v>2636.375</v>
      </c>
      <c r="AL61" s="5">
        <v>2554.375</v>
      </c>
      <c r="AM61" s="5">
        <v>2636.375</v>
      </c>
      <c r="AN61" s="5">
        <v>1971.4285714285713</v>
      </c>
      <c r="AO61" s="5">
        <v>2636.375</v>
      </c>
      <c r="AQ61" s="5">
        <f t="shared" si="4"/>
        <v>4828.5178571428569</v>
      </c>
      <c r="AR61" s="5">
        <f t="shared" si="2"/>
        <v>2554.375</v>
      </c>
      <c r="AS61" s="5">
        <f t="shared" si="2"/>
        <v>2636.375</v>
      </c>
      <c r="AT61" s="5">
        <f t="shared" si="2"/>
        <v>1971.4285714285713</v>
      </c>
      <c r="AU61" s="5">
        <f t="shared" si="2"/>
        <v>6579.2321428571431</v>
      </c>
    </row>
    <row r="62" spans="3:47" x14ac:dyDescent="0.35">
      <c r="C62" t="s">
        <v>240</v>
      </c>
      <c r="D62" s="88">
        <v>60</v>
      </c>
      <c r="E62" s="89" t="s">
        <v>93</v>
      </c>
      <c r="F62" s="84" t="s">
        <v>32</v>
      </c>
      <c r="G62" s="84" t="s">
        <v>32</v>
      </c>
      <c r="H62" s="84" t="s">
        <v>32</v>
      </c>
      <c r="I62" s="84" t="s">
        <v>32</v>
      </c>
      <c r="J62" s="84" t="s">
        <v>32</v>
      </c>
      <c r="L62" s="7">
        <v>0</v>
      </c>
      <c r="M62" s="7">
        <v>27.981436736418072</v>
      </c>
      <c r="N62" s="7">
        <v>31.356402064295477</v>
      </c>
      <c r="O62" s="7">
        <v>30.005849330223658</v>
      </c>
      <c r="P62" s="7">
        <v>30.059776011726175</v>
      </c>
      <c r="R62" s="7">
        <v>18.990144210582567</v>
      </c>
      <c r="S62" s="7">
        <v>18.990144210582567</v>
      </c>
      <c r="T62" s="7">
        <v>18.990144210582567</v>
      </c>
      <c r="U62" s="7">
        <v>18.990144210582567</v>
      </c>
      <c r="V62" s="7">
        <v>18.990144210582567</v>
      </c>
      <c r="X62" s="7">
        <f t="shared" si="3"/>
        <v>18.990144210582567</v>
      </c>
      <c r="Y62" s="7">
        <f t="shared" si="3"/>
        <v>46.971580947000639</v>
      </c>
      <c r="Z62" s="7">
        <f t="shared" si="3"/>
        <v>50.346546274878044</v>
      </c>
      <c r="AA62" s="7">
        <f t="shared" si="3"/>
        <v>48.995993540806225</v>
      </c>
      <c r="AB62" s="7">
        <f t="shared" si="3"/>
        <v>49.049920222308742</v>
      </c>
      <c r="AE62" s="5">
        <v>0</v>
      </c>
      <c r="AF62" s="5">
        <v>3351.0952380952381</v>
      </c>
      <c r="AG62" s="5">
        <v>3755.2857142857142</v>
      </c>
      <c r="AH62" s="5">
        <v>4014.0625</v>
      </c>
      <c r="AI62" s="5">
        <v>3600</v>
      </c>
      <c r="AK62" s="5">
        <v>2487.5</v>
      </c>
      <c r="AL62" s="5">
        <v>2487.5</v>
      </c>
      <c r="AM62" s="5">
        <v>2487.5</v>
      </c>
      <c r="AN62" s="5">
        <v>2487.5</v>
      </c>
      <c r="AO62" s="5">
        <v>2487.5</v>
      </c>
      <c r="AQ62" s="5">
        <f t="shared" si="4"/>
        <v>2487.5</v>
      </c>
      <c r="AR62" s="5">
        <f t="shared" si="2"/>
        <v>5838.5952380952385</v>
      </c>
      <c r="AS62" s="5">
        <f t="shared" si="2"/>
        <v>6242.7857142857138</v>
      </c>
      <c r="AT62" s="5">
        <f t="shared" si="2"/>
        <v>6501.5625</v>
      </c>
      <c r="AU62" s="5">
        <f t="shared" si="2"/>
        <v>6087.5</v>
      </c>
    </row>
    <row r="63" spans="3:47" x14ac:dyDescent="0.35">
      <c r="C63" t="s">
        <v>293</v>
      </c>
      <c r="D63" s="88">
        <v>61</v>
      </c>
      <c r="E63" s="89" t="s">
        <v>87</v>
      </c>
      <c r="F63" s="84" t="s">
        <v>225</v>
      </c>
      <c r="G63" s="84" t="s">
        <v>225</v>
      </c>
      <c r="H63" s="84" t="s">
        <v>225</v>
      </c>
      <c r="I63" s="84" t="s">
        <v>225</v>
      </c>
      <c r="J63" s="84" t="s">
        <v>225</v>
      </c>
      <c r="L63" s="7">
        <v>14.008014667898323</v>
      </c>
      <c r="M63" s="7">
        <v>21.670076622210008</v>
      </c>
      <c r="N63" s="7">
        <v>20.975441322044851</v>
      </c>
      <c r="O63" s="7">
        <v>22.46198869752422</v>
      </c>
      <c r="P63" s="7">
        <v>0</v>
      </c>
      <c r="R63" s="7">
        <v>12.849838536060279</v>
      </c>
      <c r="S63" s="7">
        <v>12.849838536060279</v>
      </c>
      <c r="T63" s="7">
        <v>12.849838536060279</v>
      </c>
      <c r="U63" s="7">
        <v>12.849838536060279</v>
      </c>
      <c r="V63" s="7">
        <v>12.849838536060279</v>
      </c>
      <c r="X63" s="7">
        <f t="shared" si="3"/>
        <v>26.857853203958602</v>
      </c>
      <c r="Y63" s="7">
        <f t="shared" si="3"/>
        <v>34.519915158270287</v>
      </c>
      <c r="Z63" s="7">
        <f t="shared" si="3"/>
        <v>33.825279858105134</v>
      </c>
      <c r="AA63" s="7">
        <f t="shared" si="3"/>
        <v>35.311827233584495</v>
      </c>
      <c r="AB63" s="7">
        <f t="shared" si="3"/>
        <v>12.849838536060279</v>
      </c>
      <c r="AE63" s="5">
        <v>1677.6190476190477</v>
      </c>
      <c r="AF63" s="5">
        <v>2595.2380952380954</v>
      </c>
      <c r="AG63" s="5">
        <v>2512.0476190476193</v>
      </c>
      <c r="AH63" s="5">
        <v>3004.875</v>
      </c>
      <c r="AI63" s="5">
        <v>0</v>
      </c>
      <c r="AK63" s="5">
        <v>1683.1875</v>
      </c>
      <c r="AL63" s="5">
        <v>1683.1875</v>
      </c>
      <c r="AM63" s="5">
        <v>1683.1875</v>
      </c>
      <c r="AN63" s="5">
        <v>1683.1875</v>
      </c>
      <c r="AO63" s="5">
        <v>1683.1875</v>
      </c>
      <c r="AQ63" s="5">
        <f t="shared" si="4"/>
        <v>3360.8065476190477</v>
      </c>
      <c r="AR63" s="5">
        <f t="shared" si="2"/>
        <v>4278.4255952380954</v>
      </c>
      <c r="AS63" s="5">
        <f t="shared" si="2"/>
        <v>4195.2351190476193</v>
      </c>
      <c r="AT63" s="5">
        <f t="shared" si="2"/>
        <v>4688.0625</v>
      </c>
      <c r="AU63" s="5">
        <f t="shared" si="2"/>
        <v>1683.1875</v>
      </c>
    </row>
    <row r="64" spans="3:47" x14ac:dyDescent="0.35">
      <c r="C64" t="s">
        <v>294</v>
      </c>
      <c r="D64" s="88">
        <v>62</v>
      </c>
      <c r="E64" s="89" t="s">
        <v>295</v>
      </c>
      <c r="F64" s="84" t="s">
        <v>32</v>
      </c>
      <c r="G64" s="84" t="s">
        <v>33</v>
      </c>
      <c r="H64" s="84" t="s">
        <v>215</v>
      </c>
      <c r="I64" s="84" t="s">
        <v>215</v>
      </c>
      <c r="J64" s="84" t="s">
        <v>215</v>
      </c>
      <c r="L64" s="7">
        <v>0</v>
      </c>
      <c r="M64" s="7">
        <v>0</v>
      </c>
      <c r="N64" s="7">
        <v>0</v>
      </c>
      <c r="O64" s="7">
        <v>9.4577409251285722</v>
      </c>
      <c r="P64" s="7">
        <v>32.922611822366761</v>
      </c>
      <c r="R64" s="7">
        <v>17.177014863843532</v>
      </c>
      <c r="S64" s="7">
        <v>14.163880173144308</v>
      </c>
      <c r="T64" s="7">
        <v>13.553141866874318</v>
      </c>
      <c r="U64" s="7">
        <v>13.553141866874318</v>
      </c>
      <c r="V64" s="7">
        <v>13.553141866874318</v>
      </c>
      <c r="X64" s="7">
        <f t="shared" si="3"/>
        <v>17.177014863843532</v>
      </c>
      <c r="Y64" s="7">
        <f t="shared" si="3"/>
        <v>14.163880173144308</v>
      </c>
      <c r="Z64" s="7">
        <f t="shared" si="3"/>
        <v>13.553141866874318</v>
      </c>
      <c r="AA64" s="7">
        <f t="shared" si="3"/>
        <v>23.010882792002889</v>
      </c>
      <c r="AB64" s="7">
        <f t="shared" si="3"/>
        <v>46.475753689241081</v>
      </c>
      <c r="AE64" s="5">
        <v>0</v>
      </c>
      <c r="AF64" s="5">
        <v>0</v>
      </c>
      <c r="AG64" s="5">
        <v>0</v>
      </c>
      <c r="AH64" s="5">
        <v>1265.21875</v>
      </c>
      <c r="AI64" s="5">
        <v>3942.8571428571427</v>
      </c>
      <c r="AK64" s="5">
        <v>2250</v>
      </c>
      <c r="AL64" s="5">
        <v>1855.3125</v>
      </c>
      <c r="AM64" s="5">
        <v>1775.3125</v>
      </c>
      <c r="AN64" s="5">
        <v>1775.3125</v>
      </c>
      <c r="AO64" s="5">
        <v>1775.3125</v>
      </c>
      <c r="AQ64" s="5">
        <f t="shared" si="4"/>
        <v>2250</v>
      </c>
      <c r="AR64" s="5">
        <f t="shared" si="2"/>
        <v>1855.3125</v>
      </c>
      <c r="AS64" s="5">
        <f t="shared" si="2"/>
        <v>1775.3125</v>
      </c>
      <c r="AT64" s="5">
        <f t="shared" si="2"/>
        <v>3040.53125</v>
      </c>
      <c r="AU64" s="5">
        <f t="shared" si="2"/>
        <v>5718.1696428571431</v>
      </c>
    </row>
    <row r="65" spans="3:47" x14ac:dyDescent="0.35">
      <c r="C65" t="s">
        <v>296</v>
      </c>
      <c r="D65" s="88">
        <v>63</v>
      </c>
      <c r="E65" s="89" t="s">
        <v>297</v>
      </c>
      <c r="F65" s="84" t="s">
        <v>32</v>
      </c>
      <c r="G65" s="84" t="s">
        <v>32</v>
      </c>
      <c r="H65" s="84" t="s">
        <v>32</v>
      </c>
      <c r="I65" s="84" t="s">
        <v>32</v>
      </c>
      <c r="J65" s="84" t="s">
        <v>32</v>
      </c>
      <c r="L65" s="7">
        <v>0</v>
      </c>
      <c r="M65" s="7">
        <v>27.981436736418072</v>
      </c>
      <c r="N65" s="7">
        <v>31.356402064295477</v>
      </c>
      <c r="O65" s="7">
        <v>30.005849330223658</v>
      </c>
      <c r="P65" s="7">
        <v>30.059776011726175</v>
      </c>
      <c r="R65" s="7">
        <v>13.688172289276197</v>
      </c>
      <c r="S65" s="7">
        <v>13.688172289276197</v>
      </c>
      <c r="T65" s="7">
        <v>13.688172289276197</v>
      </c>
      <c r="U65" s="7">
        <v>13.688172289276197</v>
      </c>
      <c r="V65" s="7">
        <v>13.688172289276197</v>
      </c>
      <c r="X65" s="7">
        <f t="shared" si="3"/>
        <v>13.688172289276197</v>
      </c>
      <c r="Y65" s="7">
        <f t="shared" si="3"/>
        <v>41.669609025694271</v>
      </c>
      <c r="Z65" s="7">
        <f t="shared" si="3"/>
        <v>45.044574353571676</v>
      </c>
      <c r="AA65" s="7">
        <f t="shared" si="3"/>
        <v>43.694021619499857</v>
      </c>
      <c r="AB65" s="7">
        <f t="shared" si="3"/>
        <v>43.747948301002374</v>
      </c>
      <c r="AE65" s="5">
        <v>0</v>
      </c>
      <c r="AF65" s="5">
        <v>3351.0952380952381</v>
      </c>
      <c r="AG65" s="5">
        <v>3755.2857142857142</v>
      </c>
      <c r="AH65" s="5">
        <v>4014.0625</v>
      </c>
      <c r="AI65" s="5">
        <v>3600</v>
      </c>
      <c r="AK65" s="5">
        <v>1793</v>
      </c>
      <c r="AL65" s="5">
        <v>1793</v>
      </c>
      <c r="AM65" s="5">
        <v>1793</v>
      </c>
      <c r="AN65" s="5">
        <v>1793</v>
      </c>
      <c r="AO65" s="5">
        <v>1793</v>
      </c>
      <c r="AQ65" s="5">
        <f t="shared" si="4"/>
        <v>1793</v>
      </c>
      <c r="AR65" s="5">
        <f t="shared" si="2"/>
        <v>5144.0952380952385</v>
      </c>
      <c r="AS65" s="5">
        <f t="shared" si="2"/>
        <v>5548.2857142857138</v>
      </c>
      <c r="AT65" s="5">
        <f t="shared" si="2"/>
        <v>5807.0625</v>
      </c>
      <c r="AU65" s="5">
        <f t="shared" si="2"/>
        <v>5393</v>
      </c>
    </row>
    <row r="66" spans="3:47" x14ac:dyDescent="0.35">
      <c r="C66" t="s">
        <v>298</v>
      </c>
      <c r="D66" s="88">
        <v>64</v>
      </c>
      <c r="E66" s="89" t="s">
        <v>299</v>
      </c>
      <c r="F66" s="66" t="s">
        <v>32</v>
      </c>
      <c r="G66" s="84" t="s">
        <v>225</v>
      </c>
      <c r="H66" s="84" t="s">
        <v>225</v>
      </c>
      <c r="I66" s="84" t="s">
        <v>225</v>
      </c>
      <c r="J66" s="84" t="s">
        <v>225</v>
      </c>
      <c r="L66" s="7">
        <v>0</v>
      </c>
      <c r="M66" s="7">
        <v>21.670076622210008</v>
      </c>
      <c r="N66" s="7">
        <v>20.975441322044851</v>
      </c>
      <c r="O66" s="7">
        <v>22.46198869752422</v>
      </c>
      <c r="P66" s="7">
        <v>0</v>
      </c>
      <c r="R66" s="7">
        <v>18.226721327745075</v>
      </c>
      <c r="S66" s="7">
        <v>8.6500584018505364</v>
      </c>
      <c r="T66" s="7">
        <v>8.6500584018505364</v>
      </c>
      <c r="U66" s="7">
        <v>8.6500584018505364</v>
      </c>
      <c r="V66" s="7">
        <v>8.6500584018505364</v>
      </c>
      <c r="X66" s="7">
        <f t="shared" si="3"/>
        <v>18.226721327745075</v>
      </c>
      <c r="Y66" s="7">
        <f t="shared" si="3"/>
        <v>30.320135024060544</v>
      </c>
      <c r="Z66" s="7">
        <f t="shared" si="3"/>
        <v>29.625499723895388</v>
      </c>
      <c r="AA66" s="7">
        <f t="shared" si="3"/>
        <v>31.112047099374756</v>
      </c>
      <c r="AB66" s="7">
        <f t="shared" si="3"/>
        <v>8.6500584018505364</v>
      </c>
      <c r="AE66" s="5">
        <v>0</v>
      </c>
      <c r="AF66" s="5">
        <v>2595.2380952380954</v>
      </c>
      <c r="AG66" s="5">
        <v>2512.0476190476193</v>
      </c>
      <c r="AH66" s="5">
        <v>3004.875</v>
      </c>
      <c r="AI66" s="5">
        <v>0</v>
      </c>
      <c r="AK66" s="5">
        <v>2387.5</v>
      </c>
      <c r="AL66" s="5">
        <v>1133.0625</v>
      </c>
      <c r="AM66" s="5">
        <v>1133.0625</v>
      </c>
      <c r="AN66" s="5">
        <v>1133.0625</v>
      </c>
      <c r="AO66" s="5">
        <v>1133.0625</v>
      </c>
      <c r="AQ66" s="5">
        <f t="shared" si="4"/>
        <v>2387.5</v>
      </c>
      <c r="AR66" s="5">
        <f t="shared" si="2"/>
        <v>3728.3005952380954</v>
      </c>
      <c r="AS66" s="5">
        <f t="shared" si="2"/>
        <v>3645.1101190476193</v>
      </c>
      <c r="AT66" s="5">
        <f t="shared" si="2"/>
        <v>4137.9375</v>
      </c>
      <c r="AU66" s="5">
        <f t="shared" ref="AU66:AU74" si="5">AI66+AO66</f>
        <v>1133.0625</v>
      </c>
    </row>
    <row r="67" spans="3:47" x14ac:dyDescent="0.35">
      <c r="C67" t="s">
        <v>300</v>
      </c>
      <c r="D67" s="88">
        <v>65</v>
      </c>
      <c r="E67" s="89" t="s">
        <v>84</v>
      </c>
      <c r="F67" s="84" t="s">
        <v>225</v>
      </c>
      <c r="G67" s="84" t="s">
        <v>225</v>
      </c>
      <c r="H67" s="84" t="s">
        <v>225</v>
      </c>
      <c r="I67" s="84" t="s">
        <v>225</v>
      </c>
      <c r="J67" s="84" t="s">
        <v>225</v>
      </c>
      <c r="L67" s="7">
        <v>14.008014667898323</v>
      </c>
      <c r="M67" s="7">
        <v>21.670076622210008</v>
      </c>
      <c r="N67" s="7">
        <v>20.975441322044851</v>
      </c>
      <c r="O67" s="7">
        <v>22.46198869752422</v>
      </c>
      <c r="P67" s="7">
        <v>0</v>
      </c>
      <c r="R67" s="7">
        <v>4.3219277954637416</v>
      </c>
      <c r="S67" s="7">
        <v>4.3219277954637416</v>
      </c>
      <c r="T67" s="7">
        <v>4.3219277954637416</v>
      </c>
      <c r="U67" s="7">
        <v>4.3219277954637416</v>
      </c>
      <c r="V67" s="7">
        <v>4.3219277954637416</v>
      </c>
      <c r="X67" s="7">
        <f t="shared" ref="X67:AB74" si="6">L67+R67</f>
        <v>18.329942463362066</v>
      </c>
      <c r="Y67" s="7">
        <f t="shared" si="6"/>
        <v>25.992004417673748</v>
      </c>
      <c r="Z67" s="7">
        <f t="shared" si="6"/>
        <v>25.297369117508595</v>
      </c>
      <c r="AA67" s="7">
        <f t="shared" si="6"/>
        <v>26.783916492987963</v>
      </c>
      <c r="AB67" s="7">
        <f t="shared" si="6"/>
        <v>4.3219277954637416</v>
      </c>
      <c r="AE67" s="5">
        <v>1677.6190476190477</v>
      </c>
      <c r="AF67" s="5">
        <v>2595.2380952380954</v>
      </c>
      <c r="AG67" s="5">
        <v>2512.0476190476193</v>
      </c>
      <c r="AH67" s="5">
        <v>3004.875</v>
      </c>
      <c r="AI67" s="5">
        <v>0</v>
      </c>
      <c r="AK67" s="5">
        <v>566.125</v>
      </c>
      <c r="AL67" s="5">
        <v>566.125</v>
      </c>
      <c r="AM67" s="5">
        <v>566.125</v>
      </c>
      <c r="AN67" s="5">
        <v>566.125</v>
      </c>
      <c r="AO67" s="5">
        <v>566.125</v>
      </c>
      <c r="AQ67" s="5">
        <f t="shared" si="4"/>
        <v>2243.7440476190477</v>
      </c>
      <c r="AR67" s="5">
        <f>AF67+AL67</f>
        <v>3161.3630952380954</v>
      </c>
      <c r="AS67" s="5">
        <f>AG67+AM67</f>
        <v>3078.1726190476193</v>
      </c>
      <c r="AT67" s="5">
        <f>AH67+AN67</f>
        <v>3571</v>
      </c>
      <c r="AU67" s="5">
        <f t="shared" si="5"/>
        <v>566.125</v>
      </c>
    </row>
    <row r="68" spans="3:47" x14ac:dyDescent="0.35">
      <c r="C68" t="s">
        <v>301</v>
      </c>
      <c r="D68" s="88">
        <v>66</v>
      </c>
      <c r="E68" s="89" t="s">
        <v>302</v>
      </c>
      <c r="F68" s="84" t="s">
        <v>219</v>
      </c>
      <c r="G68" s="84" t="s">
        <v>219</v>
      </c>
      <c r="H68" s="84" t="s">
        <v>219</v>
      </c>
      <c r="I68" s="84" t="s">
        <v>219</v>
      </c>
      <c r="J68" s="84" t="s">
        <v>219</v>
      </c>
      <c r="L68" s="7">
        <v>14.008014667898323</v>
      </c>
      <c r="M68" s="7">
        <v>21.670076622210008</v>
      </c>
      <c r="N68" s="7">
        <v>20.975441322044851</v>
      </c>
      <c r="O68" s="7">
        <v>22.46198869752422</v>
      </c>
      <c r="P68" s="7">
        <v>15.862893703542536</v>
      </c>
      <c r="R68" s="7">
        <v>7.005359228637519</v>
      </c>
      <c r="S68" s="7">
        <v>7.005359228637519</v>
      </c>
      <c r="T68" s="7">
        <v>7.005359228637519</v>
      </c>
      <c r="U68" s="7">
        <v>7.005359228637519</v>
      </c>
      <c r="V68" s="7">
        <v>7.005359228637519</v>
      </c>
      <c r="X68" s="7">
        <f t="shared" si="6"/>
        <v>21.013373896535843</v>
      </c>
      <c r="Y68" s="7">
        <f t="shared" si="6"/>
        <v>28.675435850847528</v>
      </c>
      <c r="Z68" s="7">
        <f t="shared" si="6"/>
        <v>27.980800550682371</v>
      </c>
      <c r="AA68" s="7">
        <f t="shared" si="6"/>
        <v>29.467347926161739</v>
      </c>
      <c r="AB68" s="7">
        <f t="shared" si="6"/>
        <v>22.868252932180056</v>
      </c>
      <c r="AE68" s="5">
        <v>1677.6190476190477</v>
      </c>
      <c r="AF68" s="5">
        <v>2595.2380952380954</v>
      </c>
      <c r="AG68" s="5">
        <v>2512.0476190476193</v>
      </c>
      <c r="AH68" s="5">
        <v>3004.875</v>
      </c>
      <c r="AI68" s="5">
        <v>1899.7619047619048</v>
      </c>
      <c r="AK68" s="5">
        <v>917.625</v>
      </c>
      <c r="AL68" s="5">
        <v>917.625</v>
      </c>
      <c r="AM68" s="5">
        <v>917.625</v>
      </c>
      <c r="AN68" s="5">
        <v>917.625</v>
      </c>
      <c r="AO68" s="5">
        <v>917.625</v>
      </c>
      <c r="AQ68" s="5">
        <f t="shared" ref="AQ68:AT74" si="7">AE68+AK68</f>
        <v>2595.2440476190477</v>
      </c>
      <c r="AR68" s="5">
        <f t="shared" si="7"/>
        <v>3512.8630952380954</v>
      </c>
      <c r="AS68" s="5">
        <f t="shared" si="7"/>
        <v>3429.6726190476193</v>
      </c>
      <c r="AT68" s="5">
        <f t="shared" si="7"/>
        <v>3922.5</v>
      </c>
      <c r="AU68" s="5">
        <f t="shared" si="5"/>
        <v>2817.3869047619046</v>
      </c>
    </row>
    <row r="69" spans="3:47" x14ac:dyDescent="0.35">
      <c r="C69" t="s">
        <v>303</v>
      </c>
      <c r="D69" s="88">
        <v>67</v>
      </c>
      <c r="E69" s="89" t="s">
        <v>91</v>
      </c>
      <c r="F69" s="84" t="s">
        <v>32</v>
      </c>
      <c r="G69" s="84" t="s">
        <v>32</v>
      </c>
      <c r="H69" s="84" t="s">
        <v>32</v>
      </c>
      <c r="I69" s="84" t="s">
        <v>32</v>
      </c>
      <c r="J69" s="84" t="s">
        <v>32</v>
      </c>
      <c r="L69" s="7">
        <v>0</v>
      </c>
      <c r="M69" s="7">
        <v>27.981436736418072</v>
      </c>
      <c r="N69" s="7">
        <v>31.356402064295477</v>
      </c>
      <c r="O69" s="7">
        <v>30.005849330223658</v>
      </c>
      <c r="P69" s="7">
        <v>30.059776011726175</v>
      </c>
      <c r="R69" s="7">
        <v>9.4616723541671437</v>
      </c>
      <c r="S69" s="7">
        <v>9.4616723541671437</v>
      </c>
      <c r="T69" s="7">
        <v>9.4616723541671437</v>
      </c>
      <c r="U69" s="7">
        <v>9.4616723541671437</v>
      </c>
      <c r="V69" s="7">
        <v>9.4616723541671437</v>
      </c>
      <c r="X69" s="7">
        <f t="shared" si="6"/>
        <v>9.4616723541671437</v>
      </c>
      <c r="Y69" s="7">
        <f t="shared" si="6"/>
        <v>37.443109090585217</v>
      </c>
      <c r="Z69" s="7">
        <f t="shared" si="6"/>
        <v>40.818074418462622</v>
      </c>
      <c r="AA69" s="7">
        <f t="shared" si="6"/>
        <v>39.467521684390803</v>
      </c>
      <c r="AB69" s="7">
        <f t="shared" si="6"/>
        <v>39.52144836589332</v>
      </c>
      <c r="AE69" s="5">
        <v>0</v>
      </c>
      <c r="AF69" s="5">
        <v>3351.0952380952381</v>
      </c>
      <c r="AG69" s="5">
        <v>3755.2857142857142</v>
      </c>
      <c r="AH69" s="5">
        <v>4014.0625</v>
      </c>
      <c r="AI69" s="5">
        <v>3600</v>
      </c>
      <c r="AK69" s="5">
        <v>1239.375</v>
      </c>
      <c r="AL69" s="5">
        <v>1239.375</v>
      </c>
      <c r="AM69" s="5">
        <v>1239.375</v>
      </c>
      <c r="AN69" s="5">
        <v>1239.375</v>
      </c>
      <c r="AO69" s="5">
        <v>1239.375</v>
      </c>
      <c r="AQ69" s="5">
        <f t="shared" si="7"/>
        <v>1239.375</v>
      </c>
      <c r="AR69" s="5">
        <f t="shared" si="7"/>
        <v>4590.4702380952385</v>
      </c>
      <c r="AS69" s="5">
        <f t="shared" si="7"/>
        <v>4994.6607142857138</v>
      </c>
      <c r="AT69" s="5">
        <f t="shared" si="7"/>
        <v>5253.4375</v>
      </c>
      <c r="AU69" s="5">
        <f t="shared" si="5"/>
        <v>4839.375</v>
      </c>
    </row>
    <row r="70" spans="3:47" x14ac:dyDescent="0.35">
      <c r="C70" t="s">
        <v>304</v>
      </c>
      <c r="D70" s="88">
        <v>68</v>
      </c>
      <c r="E70" s="89" t="s">
        <v>305</v>
      </c>
      <c r="F70" s="84" t="s">
        <v>219</v>
      </c>
      <c r="G70" s="84" t="s">
        <v>219</v>
      </c>
      <c r="H70" s="84" t="s">
        <v>219</v>
      </c>
      <c r="I70" s="84" t="s">
        <v>219</v>
      </c>
      <c r="J70" s="84" t="s">
        <v>219</v>
      </c>
      <c r="L70" s="7">
        <v>14.008014667898323</v>
      </c>
      <c r="M70" s="7">
        <v>21.670076622210008</v>
      </c>
      <c r="N70" s="7">
        <v>20.975441322044851</v>
      </c>
      <c r="O70" s="7">
        <v>22.46198869752422</v>
      </c>
      <c r="P70" s="7">
        <v>15.862893703542536</v>
      </c>
      <c r="R70" s="7">
        <v>3.9211307819740591</v>
      </c>
      <c r="S70" s="7">
        <v>3.9211307819740591</v>
      </c>
      <c r="T70" s="7">
        <v>3.9211307819740591</v>
      </c>
      <c r="U70" s="7">
        <v>3.9211307819740591</v>
      </c>
      <c r="V70" s="7">
        <v>3.9211307819740591</v>
      </c>
      <c r="X70" s="7">
        <f t="shared" si="6"/>
        <v>17.929145449872383</v>
      </c>
      <c r="Y70" s="7">
        <f t="shared" si="6"/>
        <v>25.591207404184068</v>
      </c>
      <c r="Z70" s="7">
        <f t="shared" si="6"/>
        <v>24.896572104018912</v>
      </c>
      <c r="AA70" s="7">
        <f t="shared" si="6"/>
        <v>26.38311947949828</v>
      </c>
      <c r="AB70" s="7">
        <f t="shared" si="6"/>
        <v>19.784024485516596</v>
      </c>
      <c r="AE70" s="5">
        <v>1677.6190476190477</v>
      </c>
      <c r="AF70" s="5">
        <v>2595.2380952380954</v>
      </c>
      <c r="AG70" s="5">
        <v>2512.0476190476193</v>
      </c>
      <c r="AH70" s="5">
        <v>3004.875</v>
      </c>
      <c r="AI70" s="5">
        <v>1899.7619047619048</v>
      </c>
      <c r="AK70" s="5">
        <v>513.625</v>
      </c>
      <c r="AL70" s="5">
        <v>513.625</v>
      </c>
      <c r="AM70" s="5">
        <v>513.625</v>
      </c>
      <c r="AN70" s="5">
        <v>513.625</v>
      </c>
      <c r="AO70" s="5">
        <v>513.625</v>
      </c>
      <c r="AQ70" s="5">
        <f t="shared" si="7"/>
        <v>2191.2440476190477</v>
      </c>
      <c r="AR70" s="5">
        <f t="shared" si="7"/>
        <v>3108.8630952380954</v>
      </c>
      <c r="AS70" s="5">
        <f t="shared" si="7"/>
        <v>3025.6726190476193</v>
      </c>
      <c r="AT70" s="5">
        <f t="shared" si="7"/>
        <v>3518.5</v>
      </c>
      <c r="AU70" s="5">
        <f t="shared" si="5"/>
        <v>2413.3869047619046</v>
      </c>
    </row>
    <row r="71" spans="3:47" x14ac:dyDescent="0.35">
      <c r="C71" t="s">
        <v>306</v>
      </c>
      <c r="D71" s="88">
        <v>69</v>
      </c>
      <c r="E71" s="89" t="s">
        <v>307</v>
      </c>
      <c r="F71" s="84" t="s">
        <v>222</v>
      </c>
      <c r="G71" s="84" t="s">
        <v>222</v>
      </c>
      <c r="H71" s="84" t="s">
        <v>222</v>
      </c>
      <c r="I71" s="84" t="s">
        <v>222</v>
      </c>
      <c r="J71" s="84" t="s">
        <v>222</v>
      </c>
      <c r="L71" s="7">
        <v>38.409713792761224</v>
      </c>
      <c r="M71" s="7">
        <v>35.087631404163709</v>
      </c>
      <c r="N71" s="7">
        <v>40.244314408080065</v>
      </c>
      <c r="O71" s="7">
        <v>21.295626644540128</v>
      </c>
      <c r="P71" s="7">
        <v>49.463440950512378</v>
      </c>
      <c r="R71" s="7">
        <v>9.5084320057409393</v>
      </c>
      <c r="S71" s="7">
        <v>9.5084320057409393</v>
      </c>
      <c r="T71" s="7">
        <v>9.5084320057409393</v>
      </c>
      <c r="U71" s="7">
        <v>9.5084320057409393</v>
      </c>
      <c r="V71" s="7">
        <v>9.5084320057409393</v>
      </c>
      <c r="X71" s="7">
        <f t="shared" si="6"/>
        <v>47.918145798502167</v>
      </c>
      <c r="Y71" s="7">
        <f t="shared" si="6"/>
        <v>44.596063409904644</v>
      </c>
      <c r="Z71" s="7">
        <f t="shared" si="6"/>
        <v>49.752746413821001</v>
      </c>
      <c r="AA71" s="7">
        <f t="shared" si="6"/>
        <v>30.804058650281068</v>
      </c>
      <c r="AB71" s="7">
        <f t="shared" si="6"/>
        <v>58.971872956253321</v>
      </c>
      <c r="AE71" s="5">
        <v>4600</v>
      </c>
      <c r="AF71" s="5">
        <v>4202.1428571428569</v>
      </c>
      <c r="AG71" s="5">
        <v>4819.7142857142853</v>
      </c>
      <c r="AH71" s="5">
        <v>2848.84375</v>
      </c>
      <c r="AI71" s="5">
        <v>5923.8095238095239</v>
      </c>
      <c r="AK71" s="5">
        <v>1245.5</v>
      </c>
      <c r="AL71" s="5">
        <v>1245.5</v>
      </c>
      <c r="AM71" s="5">
        <v>1245.5</v>
      </c>
      <c r="AN71" s="5">
        <v>1245.5</v>
      </c>
      <c r="AO71" s="5">
        <v>1245.5</v>
      </c>
      <c r="AQ71" s="5">
        <f t="shared" si="7"/>
        <v>5845.5</v>
      </c>
      <c r="AR71" s="5">
        <f t="shared" si="7"/>
        <v>5447.6428571428569</v>
      </c>
      <c r="AS71" s="5">
        <f t="shared" si="7"/>
        <v>6065.2142857142853</v>
      </c>
      <c r="AT71" s="5">
        <f t="shared" si="7"/>
        <v>4094.34375</v>
      </c>
      <c r="AU71" s="5">
        <f t="shared" si="5"/>
        <v>7169.3095238095239</v>
      </c>
    </row>
    <row r="72" spans="3:47" x14ac:dyDescent="0.35">
      <c r="C72" t="s">
        <v>308</v>
      </c>
      <c r="D72" s="88">
        <v>70</v>
      </c>
      <c r="E72" s="89" t="s">
        <v>309</v>
      </c>
      <c r="F72" s="84" t="s">
        <v>32</v>
      </c>
      <c r="G72" s="84" t="s">
        <v>32</v>
      </c>
      <c r="H72" s="84" t="s">
        <v>32</v>
      </c>
      <c r="I72" s="84" t="s">
        <v>32</v>
      </c>
      <c r="J72" s="84" t="s">
        <v>32</v>
      </c>
      <c r="L72" s="7">
        <v>0</v>
      </c>
      <c r="M72" s="7">
        <v>27.981436736418072</v>
      </c>
      <c r="N72" s="7">
        <v>31.356402064295477</v>
      </c>
      <c r="O72" s="7">
        <v>30.005849330223658</v>
      </c>
      <c r="P72" s="7">
        <v>30.059776011726175</v>
      </c>
      <c r="R72" s="7">
        <v>14.388135644977824</v>
      </c>
      <c r="S72" s="7">
        <v>14.388135644977824</v>
      </c>
      <c r="T72" s="7">
        <v>14.388135644977824</v>
      </c>
      <c r="U72" s="7">
        <v>14.388135644977824</v>
      </c>
      <c r="V72" s="7">
        <v>14.388135644977824</v>
      </c>
      <c r="X72" s="7">
        <f t="shared" si="6"/>
        <v>14.388135644977824</v>
      </c>
      <c r="Y72" s="7">
        <f t="shared" si="6"/>
        <v>42.369572381395898</v>
      </c>
      <c r="Z72" s="7">
        <f t="shared" si="6"/>
        <v>45.744537709273303</v>
      </c>
      <c r="AA72" s="7">
        <f t="shared" si="6"/>
        <v>44.393984975201484</v>
      </c>
      <c r="AB72" s="7">
        <f t="shared" si="6"/>
        <v>44.447911656704001</v>
      </c>
      <c r="AE72" s="5">
        <v>0</v>
      </c>
      <c r="AF72" s="5">
        <v>3351.0952380952381</v>
      </c>
      <c r="AG72" s="5">
        <v>3755.2857142857142</v>
      </c>
      <c r="AH72" s="5">
        <v>4014.0625</v>
      </c>
      <c r="AI72" s="5">
        <v>3600</v>
      </c>
      <c r="AK72" s="5">
        <v>1884.6875</v>
      </c>
      <c r="AL72" s="5">
        <v>1884.6875</v>
      </c>
      <c r="AM72" s="5">
        <v>1884.6875</v>
      </c>
      <c r="AN72" s="5">
        <v>1884.6875</v>
      </c>
      <c r="AO72" s="5">
        <v>1884.6875</v>
      </c>
      <c r="AQ72" s="5">
        <f t="shared" si="7"/>
        <v>1884.6875</v>
      </c>
      <c r="AR72" s="5">
        <f t="shared" si="7"/>
        <v>5235.7827380952385</v>
      </c>
      <c r="AS72" s="5">
        <f t="shared" si="7"/>
        <v>5639.9732142857138</v>
      </c>
      <c r="AT72" s="5">
        <f t="shared" si="7"/>
        <v>5898.75</v>
      </c>
      <c r="AU72" s="5">
        <f t="shared" si="5"/>
        <v>5484.6875</v>
      </c>
    </row>
    <row r="73" spans="3:47" x14ac:dyDescent="0.35">
      <c r="C73" t="s">
        <v>310</v>
      </c>
      <c r="D73" s="88">
        <v>71</v>
      </c>
      <c r="E73" s="89" t="s">
        <v>76</v>
      </c>
      <c r="F73" s="84" t="s">
        <v>32</v>
      </c>
      <c r="G73" s="84" t="s">
        <v>32</v>
      </c>
      <c r="H73" s="84" t="s">
        <v>32</v>
      </c>
      <c r="I73" s="84" t="s">
        <v>32</v>
      </c>
      <c r="J73" s="84" t="s">
        <v>32</v>
      </c>
      <c r="L73" s="7">
        <v>0</v>
      </c>
      <c r="M73" s="7">
        <v>27.981436736418072</v>
      </c>
      <c r="N73" s="7">
        <v>31.356402064295477</v>
      </c>
      <c r="O73" s="7">
        <v>30.005849330223658</v>
      </c>
      <c r="P73" s="7">
        <v>30.059776011726175</v>
      </c>
      <c r="R73" s="7">
        <v>14.196802784966676</v>
      </c>
      <c r="S73" s="7">
        <v>14.196802784966676</v>
      </c>
      <c r="T73" s="7">
        <v>14.196802784966676</v>
      </c>
      <c r="U73" s="7">
        <v>14.196802784966676</v>
      </c>
      <c r="V73" s="7">
        <v>14.196802784966676</v>
      </c>
      <c r="X73" s="7">
        <f t="shared" si="6"/>
        <v>14.196802784966676</v>
      </c>
      <c r="Y73" s="7">
        <f t="shared" si="6"/>
        <v>42.178239521384747</v>
      </c>
      <c r="Z73" s="7">
        <f t="shared" si="6"/>
        <v>45.553204849262151</v>
      </c>
      <c r="AA73" s="7">
        <f t="shared" si="6"/>
        <v>44.202652115190332</v>
      </c>
      <c r="AB73" s="7">
        <f t="shared" si="6"/>
        <v>44.25657879669285</v>
      </c>
      <c r="AE73" s="5">
        <v>0</v>
      </c>
      <c r="AF73" s="5">
        <v>3351.0952380952381</v>
      </c>
      <c r="AG73" s="5">
        <v>3755.2857142857142</v>
      </c>
      <c r="AH73" s="5">
        <v>4014.0625</v>
      </c>
      <c r="AI73" s="5">
        <v>3600</v>
      </c>
      <c r="AK73" s="5">
        <v>1859.625</v>
      </c>
      <c r="AL73" s="5">
        <v>1859.625</v>
      </c>
      <c r="AM73" s="5">
        <v>1859.625</v>
      </c>
      <c r="AN73" s="5">
        <v>1859.625</v>
      </c>
      <c r="AO73" s="5">
        <v>1859.625</v>
      </c>
      <c r="AQ73" s="5">
        <f t="shared" si="7"/>
        <v>1859.625</v>
      </c>
      <c r="AR73" s="5">
        <f t="shared" si="7"/>
        <v>5210.7202380952385</v>
      </c>
      <c r="AS73" s="5">
        <f t="shared" si="7"/>
        <v>5614.9107142857138</v>
      </c>
      <c r="AT73" s="5">
        <f t="shared" si="7"/>
        <v>5873.6875</v>
      </c>
      <c r="AU73" s="5">
        <f t="shared" si="5"/>
        <v>5459.625</v>
      </c>
    </row>
    <row r="74" spans="3:47" ht="15" thickBot="1" x14ac:dyDescent="0.4">
      <c r="C74" t="s">
        <v>311</v>
      </c>
      <c r="D74" s="90">
        <v>72</v>
      </c>
      <c r="E74" s="91" t="s">
        <v>312</v>
      </c>
      <c r="F74" s="85" t="s">
        <v>222</v>
      </c>
      <c r="G74" s="85" t="s">
        <v>222</v>
      </c>
      <c r="H74" s="85" t="s">
        <v>222</v>
      </c>
      <c r="I74" s="85" t="s">
        <v>222</v>
      </c>
      <c r="J74" s="85" t="s">
        <v>222</v>
      </c>
      <c r="L74" s="7">
        <v>38.409713792761224</v>
      </c>
      <c r="M74" s="7">
        <v>35.087631404163709</v>
      </c>
      <c r="N74" s="7">
        <v>40.244314408080065</v>
      </c>
      <c r="O74" s="7">
        <v>21.295626644540128</v>
      </c>
      <c r="P74" s="7">
        <v>49.463440950512378</v>
      </c>
      <c r="R74" s="7">
        <v>13.281649604165235</v>
      </c>
      <c r="S74" s="7">
        <v>13.281649604165235</v>
      </c>
      <c r="T74" s="7">
        <v>13.281649604165235</v>
      </c>
      <c r="U74" s="7">
        <v>13.281649604165235</v>
      </c>
      <c r="V74" s="7">
        <v>13.281649604165235</v>
      </c>
      <c r="X74" s="7">
        <f t="shared" si="6"/>
        <v>51.691363396926462</v>
      </c>
      <c r="Y74" s="7">
        <f t="shared" si="6"/>
        <v>48.36928100832894</v>
      </c>
      <c r="Z74" s="7">
        <f t="shared" si="6"/>
        <v>53.525964012245296</v>
      </c>
      <c r="AA74" s="7">
        <f t="shared" si="6"/>
        <v>34.57727624870536</v>
      </c>
      <c r="AB74" s="7">
        <f t="shared" si="6"/>
        <v>62.745090554677617</v>
      </c>
      <c r="AE74" s="5">
        <v>4600</v>
      </c>
      <c r="AF74" s="5">
        <v>4202.1428571428569</v>
      </c>
      <c r="AG74" s="5">
        <v>4819.7142857142853</v>
      </c>
      <c r="AH74" s="5">
        <v>2848.84375</v>
      </c>
      <c r="AI74" s="5">
        <v>5923.8095238095239</v>
      </c>
      <c r="AK74" s="5">
        <v>1739.75</v>
      </c>
      <c r="AL74" s="5">
        <v>1739.75</v>
      </c>
      <c r="AM74" s="5">
        <v>1739.75</v>
      </c>
      <c r="AN74" s="5">
        <v>1739.75</v>
      </c>
      <c r="AO74" s="5">
        <v>1739.75</v>
      </c>
      <c r="AQ74" s="5">
        <f t="shared" si="7"/>
        <v>6339.75</v>
      </c>
      <c r="AR74" s="5">
        <f t="shared" si="7"/>
        <v>5941.8928571428569</v>
      </c>
      <c r="AS74" s="5">
        <f t="shared" si="7"/>
        <v>6559.4642857142853</v>
      </c>
      <c r="AT74" s="5">
        <f t="shared" si="7"/>
        <v>4588.59375</v>
      </c>
      <c r="AU74" s="5">
        <f t="shared" si="5"/>
        <v>7663.5595238095239</v>
      </c>
    </row>
    <row r="75" spans="3:47" x14ac:dyDescent="0.35">
      <c r="C75" t="s">
        <v>217</v>
      </c>
    </row>
    <row r="76" spans="3:47" x14ac:dyDescent="0.35">
      <c r="C76" t="s">
        <v>217</v>
      </c>
    </row>
    <row r="77" spans="3:47" x14ac:dyDescent="0.35">
      <c r="C77" t="s">
        <v>223</v>
      </c>
    </row>
    <row r="78" spans="3:47" x14ac:dyDescent="0.35">
      <c r="C78" t="s">
        <v>313</v>
      </c>
    </row>
    <row r="79" spans="3:47" x14ac:dyDescent="0.35">
      <c r="C79" t="s">
        <v>228</v>
      </c>
    </row>
    <row r="80" spans="3:47" x14ac:dyDescent="0.35">
      <c r="C80" t="s">
        <v>232</v>
      </c>
    </row>
    <row r="81" spans="3:3" x14ac:dyDescent="0.35">
      <c r="C81" t="s">
        <v>233</v>
      </c>
    </row>
    <row r="82" spans="3:3" x14ac:dyDescent="0.35">
      <c r="C82" t="s">
        <v>234</v>
      </c>
    </row>
    <row r="83" spans="3:3" x14ac:dyDescent="0.35">
      <c r="C83" t="s">
        <v>235</v>
      </c>
    </row>
    <row r="84" spans="3:3" x14ac:dyDescent="0.35">
      <c r="C84" t="s">
        <v>244</v>
      </c>
    </row>
    <row r="85" spans="3:3" x14ac:dyDescent="0.35">
      <c r="C85" t="s">
        <v>246</v>
      </c>
    </row>
    <row r="86" spans="3:3" x14ac:dyDescent="0.35">
      <c r="C86" t="s">
        <v>251</v>
      </c>
    </row>
    <row r="87" spans="3:3" x14ac:dyDescent="0.35">
      <c r="C87" t="s">
        <v>254</v>
      </c>
    </row>
    <row r="88" spans="3:3" x14ac:dyDescent="0.35">
      <c r="C88" t="s">
        <v>256</v>
      </c>
    </row>
    <row r="89" spans="3:3" x14ac:dyDescent="0.35">
      <c r="C89" t="s">
        <v>260</v>
      </c>
    </row>
    <row r="90" spans="3:3" x14ac:dyDescent="0.35">
      <c r="C90" t="s">
        <v>261</v>
      </c>
    </row>
    <row r="91" spans="3:3" x14ac:dyDescent="0.35">
      <c r="C91" t="s">
        <v>266</v>
      </c>
    </row>
    <row r="92" spans="3:3" x14ac:dyDescent="0.35">
      <c r="C92" t="s">
        <v>267</v>
      </c>
    </row>
    <row r="93" spans="3:3" x14ac:dyDescent="0.35">
      <c r="C93" t="s">
        <v>278</v>
      </c>
    </row>
    <row r="94" spans="3:3" x14ac:dyDescent="0.35">
      <c r="C94" t="s">
        <v>281</v>
      </c>
    </row>
    <row r="95" spans="3:3" x14ac:dyDescent="0.35">
      <c r="C95" t="s">
        <v>288</v>
      </c>
    </row>
    <row r="96" spans="3:3" x14ac:dyDescent="0.35">
      <c r="C96" t="s">
        <v>290</v>
      </c>
    </row>
    <row r="97" spans="3:3" x14ac:dyDescent="0.35">
      <c r="C97" t="s">
        <v>291</v>
      </c>
    </row>
    <row r="98" spans="3:3" x14ac:dyDescent="0.35">
      <c r="C98" t="s">
        <v>294</v>
      </c>
    </row>
    <row r="99" spans="3:3" x14ac:dyDescent="0.35">
      <c r="C99" t="s">
        <v>298</v>
      </c>
    </row>
    <row r="100" spans="3:3" x14ac:dyDescent="0.35">
      <c r="C100" t="s">
        <v>223</v>
      </c>
    </row>
    <row r="101" spans="3:3" x14ac:dyDescent="0.35">
      <c r="C101" t="s">
        <v>313</v>
      </c>
    </row>
    <row r="102" spans="3:3" x14ac:dyDescent="0.35">
      <c r="C102" t="s">
        <v>244</v>
      </c>
    </row>
    <row r="103" spans="3:3" x14ac:dyDescent="0.35">
      <c r="C103" t="s">
        <v>246</v>
      </c>
    </row>
    <row r="104" spans="3:3" x14ac:dyDescent="0.35">
      <c r="C104" t="s">
        <v>254</v>
      </c>
    </row>
    <row r="105" spans="3:3" x14ac:dyDescent="0.35">
      <c r="C105" t="s">
        <v>256</v>
      </c>
    </row>
    <row r="106" spans="3:3" x14ac:dyDescent="0.35">
      <c r="C106" t="s">
        <v>267</v>
      </c>
    </row>
    <row r="107" spans="3:3" x14ac:dyDescent="0.35">
      <c r="C107" t="s">
        <v>278</v>
      </c>
    </row>
    <row r="108" spans="3:3" x14ac:dyDescent="0.35">
      <c r="C108" t="s">
        <v>281</v>
      </c>
    </row>
    <row r="109" spans="3:3" x14ac:dyDescent="0.35">
      <c r="C109" t="s">
        <v>288</v>
      </c>
    </row>
    <row r="110" spans="3:3" x14ac:dyDescent="0.35">
      <c r="C110" t="s">
        <v>294</v>
      </c>
    </row>
    <row r="111" spans="3:3" x14ac:dyDescent="0.35">
      <c r="C111" t="s">
        <v>228</v>
      </c>
    </row>
    <row r="112" spans="3:3" x14ac:dyDescent="0.35">
      <c r="C112" t="s">
        <v>235</v>
      </c>
    </row>
    <row r="113" spans="3:3" x14ac:dyDescent="0.35">
      <c r="C113" t="s">
        <v>244</v>
      </c>
    </row>
    <row r="114" spans="3:3" x14ac:dyDescent="0.35">
      <c r="C114" t="s">
        <v>251</v>
      </c>
    </row>
    <row r="115" spans="3:3" x14ac:dyDescent="0.35">
      <c r="C115" t="s">
        <v>261</v>
      </c>
    </row>
    <row r="116" spans="3:3" x14ac:dyDescent="0.35">
      <c r="C116" t="s">
        <v>266</v>
      </c>
    </row>
    <row r="117" spans="3:3" x14ac:dyDescent="0.35">
      <c r="C117" t="s">
        <v>290</v>
      </c>
    </row>
    <row r="118" spans="3:3" x14ac:dyDescent="0.35">
      <c r="C118" t="s">
        <v>291</v>
      </c>
    </row>
    <row r="119" spans="3:3" x14ac:dyDescent="0.35">
      <c r="C119" t="s">
        <v>224</v>
      </c>
    </row>
    <row r="120" spans="3:3" x14ac:dyDescent="0.35">
      <c r="C120" t="s">
        <v>227</v>
      </c>
    </row>
    <row r="121" spans="3:3" x14ac:dyDescent="0.35">
      <c r="C121" t="s">
        <v>249</v>
      </c>
    </row>
    <row r="122" spans="3:3" x14ac:dyDescent="0.35">
      <c r="C122" t="s">
        <v>272</v>
      </c>
    </row>
  </sheetData>
  <autoFilter ref="D2:J122" xr:uid="{00000000-0009-0000-0000-000007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54D89186C4574A994E56066C9E2AE2" ma:contentTypeVersion="13" ma:contentTypeDescription="Crée un document." ma:contentTypeScope="" ma:versionID="d764244af3886c07f573f31e24327cce">
  <xsd:schema xmlns:xsd="http://www.w3.org/2001/XMLSchema" xmlns:xs="http://www.w3.org/2001/XMLSchema" xmlns:p="http://schemas.microsoft.com/office/2006/metadata/properties" xmlns:ns3="9f8babf1-dd14-406e-bb88-ba80252bfdf3" xmlns:ns4="052ac41e-0522-4555-92c2-0f17c681f38b" targetNamespace="http://schemas.microsoft.com/office/2006/metadata/properties" ma:root="true" ma:fieldsID="6f82990b33fdd401e5b2e6d66f561c29" ns3:_="" ns4:_="">
    <xsd:import namespace="9f8babf1-dd14-406e-bb88-ba80252bfdf3"/>
    <xsd:import namespace="052ac41e-0522-4555-92c2-0f17c681f38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babf1-dd14-406e-bb88-ba80252bfdf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2ac41e-0522-4555-92c2-0f17c681f3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69A06B-83D9-487E-984B-84400BECB10D}">
  <ds:schemaRefs>
    <ds:schemaRef ds:uri="9f8babf1-dd14-406e-bb88-ba80252bfdf3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52ac41e-0522-4555-92c2-0f17c681f38b"/>
  </ds:schemaRefs>
</ds:datastoreItem>
</file>

<file path=customXml/itemProps2.xml><?xml version="1.0" encoding="utf-8"?>
<ds:datastoreItem xmlns:ds="http://schemas.openxmlformats.org/officeDocument/2006/customXml" ds:itemID="{3B4B8FFD-7571-4C76-9AAE-A1417B7BEF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babf1-dd14-406e-bb88-ba80252bfdf3"/>
    <ds:schemaRef ds:uri="052ac41e-0522-4555-92c2-0f17c681f3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A608A3-D04F-4B3B-94D5-FEEE146DD568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ced06422-c515-4a4e-a1f2-e6a0c0200eae}" enabled="1" method="Standard" siteId="{e339bd4b-2e3b-4035-a452-2112d502f2f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MR</vt:lpstr>
      <vt:lpstr>Optimizer</vt:lpstr>
      <vt:lpstr>Regionwise Demand</vt:lpstr>
      <vt:lpstr>Sheet2</vt:lpstr>
      <vt:lpstr>Sheet1</vt:lpstr>
    </vt:vector>
  </TitlesOfParts>
  <Manager/>
  <Company>SAINT-GOBAIN 1.8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Raghav, Shekhar</dc:creator>
  <cp:keywords/>
  <dc:description/>
  <cp:lastModifiedBy>S K, SRIVATHSAN [ SGR India ]</cp:lastModifiedBy>
  <cp:revision/>
  <dcterms:created xsi:type="dcterms:W3CDTF">2017-04-04T08:36:24Z</dcterms:created>
  <dcterms:modified xsi:type="dcterms:W3CDTF">2025-10-14T03:24:32Z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d06422-c515-4a4e-a1f2-e6a0c0200eae_Enabled">
    <vt:lpwstr>true</vt:lpwstr>
  </property>
  <property fmtid="{D5CDD505-2E9C-101B-9397-08002B2CF9AE}" pid="3" name="MSIP_Label_ced06422-c515-4a4e-a1f2-e6a0c0200eae_SetDate">
    <vt:lpwstr>2021-08-26T09:06:26Z</vt:lpwstr>
  </property>
  <property fmtid="{D5CDD505-2E9C-101B-9397-08002B2CF9AE}" pid="4" name="MSIP_Label_ced06422-c515-4a4e-a1f2-e6a0c0200eae_Method">
    <vt:lpwstr>Standard</vt:lpwstr>
  </property>
  <property fmtid="{D5CDD505-2E9C-101B-9397-08002B2CF9AE}" pid="5" name="MSIP_Label_ced06422-c515-4a4e-a1f2-e6a0c0200eae_Name">
    <vt:lpwstr>Unclassifed</vt:lpwstr>
  </property>
  <property fmtid="{D5CDD505-2E9C-101B-9397-08002B2CF9AE}" pid="6" name="MSIP_Label_ced06422-c515-4a4e-a1f2-e6a0c0200eae_SiteId">
    <vt:lpwstr>e339bd4b-2e3b-4035-a452-2112d502f2ff</vt:lpwstr>
  </property>
  <property fmtid="{D5CDD505-2E9C-101B-9397-08002B2CF9AE}" pid="7" name="MSIP_Label_ced06422-c515-4a4e-a1f2-e6a0c0200eae_ActionId">
    <vt:lpwstr>dfdb9f29-01f1-4215-895a-a46d319f6094</vt:lpwstr>
  </property>
  <property fmtid="{D5CDD505-2E9C-101B-9397-08002B2CF9AE}" pid="8" name="MSIP_Label_ced06422-c515-4a4e-a1f2-e6a0c0200eae_ContentBits">
    <vt:lpwstr>0</vt:lpwstr>
  </property>
  <property fmtid="{D5CDD505-2E9C-101B-9397-08002B2CF9AE}" pid="9" name="ContentTypeId">
    <vt:lpwstr>0x0101001854D89186C4574A994E56066C9E2AE2</vt:lpwstr>
  </property>
</Properties>
</file>