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laj\Desktop\CS513 Final\Balaji_CS513_Final\"/>
    </mc:Choice>
  </mc:AlternateContent>
  <xr:revisionPtr revIDLastSave="0" documentId="13_ncr:1_{9F79AAE7-5B50-4AE9-B672-FC7419285099}" xr6:coauthVersionLast="33" xr6:coauthVersionMax="33" xr10:uidLastSave="{00000000-0000-0000-0000-000000000000}"/>
  <bookViews>
    <workbookView xWindow="0" yWindow="0" windowWidth="28800" windowHeight="12375" xr2:uid="{BFFE98E2-3C0F-47DA-9309-E041BAE5C15D}"/>
  </bookViews>
  <sheets>
    <sheet name="Q1" sheetId="2" r:id="rId1"/>
    <sheet name="Q2" sheetId="3" r:id="rId2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6" i="3" l="1"/>
  <c r="G46" i="3" s="1"/>
  <c r="F45" i="3"/>
  <c r="G45" i="3" s="1"/>
  <c r="F44" i="3"/>
  <c r="G44" i="3" s="1"/>
  <c r="F43" i="3"/>
  <c r="G43" i="3" s="1"/>
  <c r="F42" i="3"/>
  <c r="F41" i="3"/>
  <c r="G41" i="3" s="1"/>
  <c r="I44" i="3"/>
  <c r="G42" i="3"/>
  <c r="I41" i="3"/>
  <c r="F24" i="3"/>
  <c r="F23" i="3"/>
  <c r="I42" i="2"/>
  <c r="I49" i="2"/>
  <c r="H49" i="2"/>
  <c r="I48" i="2"/>
  <c r="H48" i="2"/>
  <c r="I47" i="2"/>
  <c r="H47" i="2"/>
  <c r="E47" i="2"/>
  <c r="F47" i="2" s="1"/>
  <c r="J47" i="2" s="1"/>
  <c r="H42" i="2"/>
  <c r="I41" i="2"/>
  <c r="H41" i="2"/>
  <c r="I40" i="2"/>
  <c r="H40" i="2"/>
  <c r="E40" i="2"/>
  <c r="F40" i="2"/>
  <c r="J40" i="2" l="1"/>
  <c r="H44" i="3"/>
  <c r="J44" i="3" s="1"/>
  <c r="H41" i="3"/>
  <c r="J41" i="3" s="1"/>
  <c r="K47" i="2"/>
  <c r="L47" i="2" s="1"/>
  <c r="K40" i="2"/>
  <c r="L40" i="2" l="1"/>
  <c r="K41" i="3"/>
  <c r="F36" i="3"/>
  <c r="G36" i="3" s="1"/>
  <c r="F35" i="3"/>
  <c r="G35" i="3" s="1"/>
  <c r="F34" i="3"/>
  <c r="G34" i="3" s="1"/>
  <c r="I34" i="3"/>
  <c r="I31" i="3"/>
  <c r="F33" i="3"/>
  <c r="G33" i="3" s="1"/>
  <c r="F32" i="3"/>
  <c r="G32" i="3" s="1"/>
  <c r="F31" i="3"/>
  <c r="G31" i="3" s="1"/>
  <c r="H31" i="3" s="1"/>
  <c r="F30" i="3"/>
  <c r="G30" i="3" s="1"/>
  <c r="F29" i="3"/>
  <c r="G29" i="3" s="1"/>
  <c r="F28" i="3"/>
  <c r="G28" i="3" s="1"/>
  <c r="I28" i="3"/>
  <c r="I25" i="3"/>
  <c r="I22" i="3"/>
  <c r="F27" i="3"/>
  <c r="G27" i="3" s="1"/>
  <c r="F26" i="3"/>
  <c r="G26" i="3" s="1"/>
  <c r="F25" i="3"/>
  <c r="G25" i="3" s="1"/>
  <c r="F22" i="3"/>
  <c r="G22" i="3" s="1"/>
  <c r="G24" i="3"/>
  <c r="G23" i="3"/>
  <c r="E17" i="3"/>
  <c r="F17" i="3" s="1"/>
  <c r="E16" i="3"/>
  <c r="F16" i="3" s="1"/>
  <c r="E15" i="3"/>
  <c r="F15" i="3" s="1"/>
  <c r="F18" i="3" s="1"/>
  <c r="L41" i="3" s="1"/>
  <c r="H25" i="3" l="1"/>
  <c r="J25" i="3" s="1"/>
  <c r="H22" i="3"/>
  <c r="J22" i="3" s="1"/>
  <c r="K22" i="3" s="1"/>
  <c r="L22" i="3" s="1"/>
  <c r="H34" i="3"/>
  <c r="J34" i="3" s="1"/>
  <c r="J31" i="3"/>
  <c r="H28" i="3"/>
  <c r="J28" i="3" s="1"/>
  <c r="K31" i="3" l="1"/>
  <c r="L31" i="3" s="1"/>
  <c r="H32" i="2"/>
  <c r="I32" i="2"/>
  <c r="I31" i="2"/>
  <c r="I30" i="2"/>
  <c r="H31" i="2"/>
  <c r="H30" i="2"/>
  <c r="E30" i="2"/>
  <c r="I25" i="2"/>
  <c r="I24" i="2"/>
  <c r="I23" i="2"/>
  <c r="I20" i="2"/>
  <c r="I21" i="2"/>
  <c r="H25" i="2"/>
  <c r="H24" i="2"/>
  <c r="H23" i="2"/>
  <c r="I22" i="2"/>
  <c r="H22" i="2"/>
  <c r="H21" i="2"/>
  <c r="H20" i="2"/>
  <c r="E23" i="2"/>
  <c r="F23" i="2" s="1"/>
  <c r="J23" i="2" s="1"/>
  <c r="E20" i="2"/>
  <c r="F20" i="2" s="1"/>
  <c r="J20" i="2" s="1"/>
  <c r="E17" i="2"/>
  <c r="I19" i="2"/>
  <c r="I18" i="2"/>
  <c r="I17" i="2"/>
  <c r="H19" i="2"/>
  <c r="H18" i="2"/>
  <c r="H17" i="2"/>
  <c r="K23" i="2" l="1"/>
  <c r="L23" i="2" s="1"/>
  <c r="K20" i="2"/>
  <c r="L20" i="2" s="1"/>
  <c r="F17" i="2"/>
  <c r="J17" i="2"/>
  <c r="K17" i="2"/>
  <c r="K30" i="2"/>
  <c r="F30" i="2"/>
  <c r="J30" i="2" s="1"/>
  <c r="L30" i="2" l="1"/>
  <c r="L17" i="2"/>
</calcChain>
</file>

<file path=xl/sharedStrings.xml><?xml version="1.0" encoding="utf-8"?>
<sst xmlns="http://schemas.openxmlformats.org/spreadsheetml/2006/main" count="178" uniqueCount="48">
  <si>
    <t>Ethnicity</t>
  </si>
  <si>
    <t>Age Category</t>
  </si>
  <si>
    <t>Alcohol</t>
  </si>
  <si>
    <t>Cocaine</t>
  </si>
  <si>
    <t>Heroin</t>
  </si>
  <si>
    <t>Row Total</t>
  </si>
  <si>
    <t>Black</t>
  </si>
  <si>
    <t>Old</t>
  </si>
  <si>
    <t>Young</t>
  </si>
  <si>
    <t>Hispanic</t>
  </si>
  <si>
    <t>White</t>
  </si>
  <si>
    <t>Column Total</t>
  </si>
  <si>
    <t>S.No.</t>
  </si>
  <si>
    <t>Split</t>
  </si>
  <si>
    <t>PL</t>
  </si>
  <si>
    <t>PR</t>
  </si>
  <si>
    <t>Level</t>
  </si>
  <si>
    <t>p(j/tl)</t>
  </si>
  <si>
    <t>p(j/tr)</t>
  </si>
  <si>
    <t>2Pl * PR</t>
  </si>
  <si>
    <t>q(s/t)</t>
  </si>
  <si>
    <t>Over all</t>
  </si>
  <si>
    <t>Variable</t>
  </si>
  <si>
    <t>Variable Levels</t>
  </si>
  <si>
    <t>Pj</t>
  </si>
  <si>
    <t xml:space="preserve"> - (Pj* log(Pj)</t>
  </si>
  <si>
    <t>Percent</t>
  </si>
  <si>
    <t xml:space="preserve">Pct * Row total </t>
  </si>
  <si>
    <t>Total</t>
  </si>
  <si>
    <t>Net Gain</t>
  </si>
  <si>
    <t>Age</t>
  </si>
  <si>
    <t>Total Entropy</t>
  </si>
  <si>
    <t>Sum Total</t>
  </si>
  <si>
    <t>Addictions</t>
  </si>
  <si>
    <t>Decision Tree - C4.5 Method</t>
  </si>
  <si>
    <t>CART</t>
  </si>
  <si>
    <t>CS513A</t>
  </si>
  <si>
    <t>KDDM</t>
  </si>
  <si>
    <t>Name: Balaji Katakam</t>
  </si>
  <si>
    <t>CWID: 10423274</t>
  </si>
  <si>
    <t>First Level of Splitting</t>
  </si>
  <si>
    <t>Initially Splitting the Dataset by Ethnicity (Black has highest entropy)</t>
  </si>
  <si>
    <t>Splitting by Age</t>
  </si>
  <si>
    <t>Second Level of CART</t>
  </si>
  <si>
    <t>Splitting by Age and Not Black</t>
  </si>
  <si>
    <t>Splitting by Age &amp; Black</t>
  </si>
  <si>
    <t>Solving at the first Level</t>
  </si>
  <si>
    <t>Solving for Second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</si>
</sst>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</cellStyleXfs>
  <cellXfs count="83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4" fontId="2" fillId="2" borderId="1" xfId="0" applyNumberFormat="1" applyFont="1" applyFill="1" applyBorder="1"/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164" fontId="0" fillId="2" borderId="1" xfId="1" applyNumberFormat="1" applyFont="1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6" xfId="0" applyFill="1" applyBorder="1"/>
    <xf numFmtId="0" fontId="0" fillId="2" borderId="4" xfId="0" applyFill="1" applyBorder="1"/>
    <xf numFmtId="0" fontId="3" fillId="3" borderId="8" xfId="2" applyBorder="1"/>
    <xf numFmtId="0" fontId="1" fillId="16" borderId="2" xfId="15" applyBorder="1"/>
    <xf numFmtId="0" fontId="1" fillId="11" borderId="1" xfId="10" applyBorder="1" applyAlignment="1">
      <alignment horizontal="center"/>
    </xf>
    <xf numFmtId="0" fontId="1" fillId="9" borderId="1" xfId="8" applyBorder="1" applyAlignment="1">
      <alignment horizontal="center"/>
    </xf>
    <xf numFmtId="0" fontId="1" fillId="7" borderId="1" xfId="6" applyBorder="1" applyAlignment="1">
      <alignment horizontal="center"/>
    </xf>
    <xf numFmtId="0" fontId="1" fillId="6" borderId="1" xfId="5" applyBorder="1" applyAlignment="1">
      <alignment horizontal="center"/>
    </xf>
    <xf numFmtId="0" fontId="1" fillId="6" borderId="1" xfId="5" applyBorder="1"/>
    <xf numFmtId="0" fontId="1" fillId="8" borderId="1" xfId="7" applyBorder="1"/>
    <xf numFmtId="164" fontId="1" fillId="8" borderId="1" xfId="7" applyNumberFormat="1" applyBorder="1"/>
    <xf numFmtId="0" fontId="1" fillId="12" borderId="1" xfId="11" applyBorder="1"/>
    <xf numFmtId="164" fontId="1" fillId="12" borderId="1" xfId="11" applyNumberFormat="1" applyBorder="1"/>
    <xf numFmtId="0" fontId="1" fillId="14" borderId="1" xfId="13" applyBorder="1"/>
    <xf numFmtId="164" fontId="1" fillId="14" borderId="1" xfId="13" applyNumberFormat="1" applyBorder="1"/>
    <xf numFmtId="0" fontId="1" fillId="13" borderId="1" xfId="12" applyBorder="1" applyAlignment="1">
      <alignment horizontal="center"/>
    </xf>
    <xf numFmtId="0" fontId="1" fillId="15" borderId="1" xfId="14" applyBorder="1" applyAlignment="1">
      <alignment horizontal="center"/>
    </xf>
    <xf numFmtId="0" fontId="1" fillId="10" borderId="1" xfId="9" applyBorder="1"/>
    <xf numFmtId="164" fontId="1" fillId="10" borderId="1" xfId="9" applyNumberFormat="1" applyBorder="1"/>
    <xf numFmtId="0" fontId="2" fillId="2" borderId="6" xfId="0" applyFont="1" applyFill="1" applyBorder="1" applyAlignment="1"/>
    <xf numFmtId="0" fontId="2" fillId="2" borderId="9" xfId="0" applyFont="1" applyFill="1" applyBorder="1" applyAlignment="1"/>
    <xf numFmtId="0" fontId="2" fillId="2" borderId="5" xfId="0" applyFont="1" applyFill="1" applyBorder="1" applyAlignment="1"/>
    <xf numFmtId="164" fontId="0" fillId="2" borderId="1" xfId="0" applyNumberFormat="1" applyFill="1" applyBorder="1"/>
    <xf numFmtId="0" fontId="1" fillId="4" borderId="1" xfId="3" applyBorder="1"/>
    <xf numFmtId="0" fontId="1" fillId="5" borderId="1" xfId="4" applyBorder="1"/>
    <xf numFmtId="0" fontId="1" fillId="6" borderId="1" xfId="5" applyBorder="1" applyAlignment="1">
      <alignment horizontal="left"/>
    </xf>
    <xf numFmtId="0" fontId="1" fillId="6" borderId="1" xfId="5" quotePrefix="1" applyBorder="1" applyAlignment="1">
      <alignment horizontal="center"/>
    </xf>
    <xf numFmtId="0" fontId="1" fillId="11" borderId="1" xfId="10" applyBorder="1"/>
    <xf numFmtId="0" fontId="1" fillId="11" borderId="1" xfId="10" quotePrefix="1" applyBorder="1" applyAlignment="1">
      <alignment horizontal="center"/>
    </xf>
    <xf numFmtId="165" fontId="1" fillId="12" borderId="1" xfId="11" applyNumberFormat="1" applyBorder="1" applyAlignment="1">
      <alignment horizontal="center"/>
    </xf>
    <xf numFmtId="0" fontId="1" fillId="15" borderId="1" xfId="14" applyBorder="1"/>
    <xf numFmtId="0" fontId="1" fillId="15" borderId="1" xfId="14" quotePrefix="1" applyBorder="1" applyAlignment="1">
      <alignment horizontal="center"/>
    </xf>
    <xf numFmtId="165" fontId="1" fillId="16" borderId="1" xfId="15" applyNumberForma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64" fontId="1" fillId="8" borderId="4" xfId="7" applyNumberFormat="1" applyBorder="1" applyAlignment="1">
      <alignment horizontal="center" vertical="center"/>
    </xf>
    <xf numFmtId="164" fontId="1" fillId="8" borderId="3" xfId="7" applyNumberFormat="1" applyBorder="1" applyAlignment="1">
      <alignment horizontal="center" vertical="center"/>
    </xf>
    <xf numFmtId="164" fontId="1" fillId="8" borderId="7" xfId="7" applyNumberFormat="1" applyBorder="1" applyAlignment="1">
      <alignment horizontal="center" vertical="center"/>
    </xf>
    <xf numFmtId="164" fontId="1" fillId="10" borderId="4" xfId="9" applyNumberFormat="1" applyBorder="1" applyAlignment="1">
      <alignment horizontal="center" vertical="center"/>
    </xf>
    <xf numFmtId="164" fontId="1" fillId="10" borderId="3" xfId="9" applyNumberFormat="1" applyBorder="1" applyAlignment="1">
      <alignment horizontal="center" vertical="center"/>
    </xf>
    <xf numFmtId="164" fontId="1" fillId="10" borderId="7" xfId="9" applyNumberFormat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10" borderId="4" xfId="9" applyBorder="1" applyAlignment="1">
      <alignment horizontal="center" vertical="center"/>
    </xf>
    <xf numFmtId="0" fontId="1" fillId="10" borderId="3" xfId="9" applyBorder="1" applyAlignment="1">
      <alignment horizontal="center" vertical="center"/>
    </xf>
    <xf numFmtId="0" fontId="1" fillId="10" borderId="7" xfId="9" applyBorder="1" applyAlignment="1">
      <alignment horizontal="center" vertical="center"/>
    </xf>
    <xf numFmtId="164" fontId="1" fillId="12" borderId="4" xfId="11" applyNumberFormat="1" applyBorder="1" applyAlignment="1">
      <alignment horizontal="center" vertical="center"/>
    </xf>
    <xf numFmtId="164" fontId="1" fillId="12" borderId="3" xfId="11" applyNumberFormat="1" applyBorder="1" applyAlignment="1">
      <alignment horizontal="center" vertical="center"/>
    </xf>
    <xf numFmtId="164" fontId="1" fillId="12" borderId="7" xfId="11" applyNumberFormat="1" applyBorder="1" applyAlignment="1">
      <alignment horizontal="center" vertical="center"/>
    </xf>
    <xf numFmtId="0" fontId="1" fillId="14" borderId="4" xfId="13" applyBorder="1" applyAlignment="1">
      <alignment horizontal="center" vertical="center"/>
    </xf>
    <xf numFmtId="0" fontId="1" fillId="14" borderId="3" xfId="13" applyBorder="1" applyAlignment="1">
      <alignment horizontal="center" vertical="center"/>
    </xf>
    <xf numFmtId="0" fontId="1" fillId="14" borderId="7" xfId="13" applyBorder="1" applyAlignment="1">
      <alignment horizontal="center" vertical="center"/>
    </xf>
    <xf numFmtId="164" fontId="1" fillId="14" borderId="4" xfId="13" applyNumberFormat="1" applyBorder="1" applyAlignment="1">
      <alignment horizontal="center" vertical="center"/>
    </xf>
    <xf numFmtId="164" fontId="1" fillId="14" borderId="3" xfId="13" applyNumberFormat="1" applyBorder="1" applyAlignment="1">
      <alignment horizontal="center" vertical="center"/>
    </xf>
    <xf numFmtId="164" fontId="1" fillId="14" borderId="7" xfId="13" applyNumberFormat="1" applyBorder="1" applyAlignment="1">
      <alignment horizontal="center" vertical="center"/>
    </xf>
    <xf numFmtId="0" fontId="1" fillId="12" borderId="4" xfId="11" applyBorder="1" applyAlignment="1">
      <alignment horizontal="center" vertical="center"/>
    </xf>
    <xf numFmtId="0" fontId="1" fillId="12" borderId="3" xfId="11" applyBorder="1" applyAlignment="1">
      <alignment horizontal="center" vertical="center"/>
    </xf>
    <xf numFmtId="0" fontId="1" fillId="12" borderId="7" xfId="11" applyBorder="1" applyAlignment="1">
      <alignment horizontal="center" vertical="center"/>
    </xf>
    <xf numFmtId="0" fontId="1" fillId="8" borderId="4" xfId="7" applyBorder="1" applyAlignment="1">
      <alignment horizontal="center" vertical="center"/>
    </xf>
    <xf numFmtId="0" fontId="1" fillId="8" borderId="3" xfId="7" applyBorder="1" applyAlignment="1">
      <alignment horizontal="center" vertical="center"/>
    </xf>
    <xf numFmtId="0" fontId="1" fillId="8" borderId="7" xfId="7" applyBorder="1" applyAlignment="1">
      <alignment horizontal="center" vertical="center"/>
    </xf>
    <xf numFmtId="0" fontId="1" fillId="16" borderId="1" xfId="15" applyBorder="1" applyAlignment="1">
      <alignment horizontal="center" vertical="center"/>
    </xf>
    <xf numFmtId="165" fontId="1" fillId="16" borderId="1" xfId="15" applyNumberFormat="1" applyBorder="1" applyAlignment="1">
      <alignment horizontal="center" vertical="center"/>
    </xf>
    <xf numFmtId="164" fontId="1" fillId="16" borderId="1" xfId="15" applyNumberFormat="1" applyBorder="1" applyAlignment="1">
      <alignment horizontal="center" vertical="center"/>
    </xf>
    <xf numFmtId="0" fontId="1" fillId="12" borderId="1" xfId="11" applyBorder="1" applyAlignment="1">
      <alignment horizontal="center" vertical="center"/>
    </xf>
    <xf numFmtId="165" fontId="1" fillId="12" borderId="1" xfId="11" applyNumberFormat="1" applyBorder="1" applyAlignment="1">
      <alignment horizontal="center" vertical="center"/>
    </xf>
    <xf numFmtId="164" fontId="1" fillId="12" borderId="1" xfId="11" applyNumberFormat="1" applyBorder="1" applyAlignment="1">
      <alignment horizontal="center" vertical="center"/>
    </xf>
    <xf numFmtId="0" fontId="1" fillId="16" borderId="4" xfId="15" applyBorder="1" applyAlignment="1">
      <alignment horizontal="center" vertical="center"/>
    </xf>
    <xf numFmtId="0" fontId="1" fillId="16" borderId="3" xfId="15" applyBorder="1" applyAlignment="1">
      <alignment horizontal="center" vertical="center"/>
    </xf>
    <xf numFmtId="0" fontId="1" fillId="16" borderId="7" xfId="15" applyBorder="1" applyAlignment="1">
      <alignment horizontal="center" vertical="center"/>
    </xf>
  </cellXfs>
  <cellStyles count="16">
    <cellStyle name="20% - Accent1" xfId="3" builtinId="30"/>
    <cellStyle name="20% - Accent2" xfId="5" builtinId="34"/>
    <cellStyle name="20% - Accent4" xfId="10" builtinId="42"/>
    <cellStyle name="20% - Accent6" xfId="14" builtinId="50"/>
    <cellStyle name="40% - Accent2" xfId="6" builtinId="35"/>
    <cellStyle name="40% - Accent3" xfId="8" builtinId="39"/>
    <cellStyle name="40% - Accent4" xfId="11" builtinId="43"/>
    <cellStyle name="40% - Accent5" xfId="12" builtinId="47"/>
    <cellStyle name="60% - Accent1" xfId="4" builtinId="32"/>
    <cellStyle name="60% - Accent2" xfId="7" builtinId="36"/>
    <cellStyle name="60% - Accent3" xfId="9" builtinId="40"/>
    <cellStyle name="60% - Accent5" xfId="13" builtinId="48"/>
    <cellStyle name="60% - Accent6" xfId="15" builtinId="52"/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114300</xdr:colOff>
      <xdr:row>1</xdr:row>
      <xdr:rowOff>38100</xdr:rowOff>
    </xdr:from>
    <xdr:to>
      <xdr:col>29</xdr:col>
      <xdr:colOff>579728</xdr:colOff>
      <xdr:row>23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7B88CB-D403-475D-8F63-ACB94E3E5A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103" b="27249"/>
        <a:stretch/>
      </xdr:blipFill>
      <xdr:spPr>
        <a:xfrm>
          <a:off x="8267700" y="228600"/>
          <a:ext cx="9323678" cy="4371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205153</xdr:colOff>
      <xdr:row>0</xdr:row>
      <xdr:rowOff>139212</xdr:rowOff>
    </xdr:from>
    <xdr:to>
      <xdr:col>19</xdr:col>
      <xdr:colOff>428793</xdr:colOff>
      <xdr:row>17</xdr:row>
      <xdr:rowOff>125225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5C82B9A-3EA3-4155-87D9-B68AD8BC4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4345" y="139212"/>
          <a:ext cx="5564967" cy="32245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4C2CF-C11F-4D2D-9062-04B18B5EAC2C}">
  <sheetPr codeName="Sheet1"/>
  <dimension ref="A1:U49"/>
  <sheetViews>
    <sheetView tabSelected="1" workbookViewId="0">
      <selection activeCell="C1" sqref="C1:I1"/>
    </sheetView>
  </sheetViews>
  <sheetFormatPr defaultColWidth="8.85546875" defaultRowHeight="15" x14ac:dyDescent="0.25"/>
  <cols>
    <col min="1" max="2" width="8.85546875" style="2"/>
    <col min="3" max="3" width="9" style="2" bestFit="1" customWidth="1"/>
    <col min="4" max="4" width="12.28515625" style="2" bestFit="1" customWidth="1"/>
    <col min="5" max="6" width="9" style="2" bestFit="1" customWidth="1"/>
    <col min="7" max="7" width="8.85546875" style="2"/>
    <col min="8" max="9" width="9" style="2" bestFit="1" customWidth="1"/>
    <col min="10" max="10" width="7.85546875" style="2" bestFit="1" customWidth="1"/>
    <col min="11" max="11" width="7" style="2" bestFit="1" customWidth="1"/>
    <col min="12" max="12" width="7.42578125" style="2" bestFit="1" customWidth="1"/>
    <col min="13" max="13" width="7.28515625" style="2" customWidth="1"/>
    <col min="14" max="16384" width="8.85546875" style="2"/>
  </cols>
  <sheetData>
    <row r="1" spans="1:21" x14ac:dyDescent="0.25">
      <c r="A1" s="1" t="s">
        <v>35</v>
      </c>
      <c r="C1" s="2" t="s">
        <v>36</v>
      </c>
      <c r="D1" s="2" t="s">
        <v>37</v>
      </c>
      <c r="E1" s="53" t="s">
        <v>38</v>
      </c>
      <c r="F1" s="54"/>
      <c r="G1" s="55"/>
      <c r="H1" s="53" t="s">
        <v>39</v>
      </c>
      <c r="I1" s="55"/>
    </row>
    <row r="2" spans="1:21" ht="15.75" thickBot="1" x14ac:dyDescent="0.3">
      <c r="A2" s="1"/>
      <c r="C2" s="12"/>
      <c r="D2" s="12"/>
      <c r="E2" s="12"/>
      <c r="F2" s="12"/>
      <c r="G2" s="12"/>
      <c r="H2" s="12"/>
    </row>
    <row r="3" spans="1:21" ht="16.5" thickTop="1" thickBot="1" x14ac:dyDescent="0.3">
      <c r="A3" s="1"/>
      <c r="B3" s="11"/>
      <c r="C3" s="13" t="s">
        <v>0</v>
      </c>
      <c r="D3" s="13" t="s">
        <v>1</v>
      </c>
      <c r="E3" s="13" t="s">
        <v>2</v>
      </c>
      <c r="F3" s="13" t="s">
        <v>3</v>
      </c>
      <c r="G3" s="13" t="s">
        <v>4</v>
      </c>
      <c r="H3" s="13" t="s">
        <v>5</v>
      </c>
      <c r="I3" s="9"/>
      <c r="N3" s="1"/>
    </row>
    <row r="4" spans="1:21" ht="15.75" thickBot="1" x14ac:dyDescent="0.3">
      <c r="A4" s="1"/>
      <c r="B4" s="11"/>
      <c r="C4" s="14" t="s">
        <v>6</v>
      </c>
      <c r="D4" s="14" t="s">
        <v>7</v>
      </c>
      <c r="E4" s="14">
        <v>30</v>
      </c>
      <c r="F4" s="14">
        <v>48</v>
      </c>
      <c r="G4" s="14">
        <v>17</v>
      </c>
      <c r="H4" s="14">
        <v>95</v>
      </c>
      <c r="I4" s="9"/>
    </row>
    <row r="5" spans="1:21" ht="15.75" thickBot="1" x14ac:dyDescent="0.3">
      <c r="A5" s="4"/>
      <c r="B5" s="11"/>
      <c r="C5" s="14" t="s">
        <v>6</v>
      </c>
      <c r="D5" s="14" t="s">
        <v>8</v>
      </c>
      <c r="E5" s="14">
        <v>25</v>
      </c>
      <c r="F5" s="14">
        <v>72</v>
      </c>
      <c r="G5" s="14">
        <v>13</v>
      </c>
      <c r="H5" s="14">
        <v>110</v>
      </c>
      <c r="I5" s="9"/>
    </row>
    <row r="6" spans="1:21" ht="15.75" thickBot="1" x14ac:dyDescent="0.3">
      <c r="B6" s="11"/>
      <c r="C6" s="14" t="s">
        <v>9</v>
      </c>
      <c r="D6" s="14" t="s">
        <v>7</v>
      </c>
      <c r="E6" s="14">
        <v>7</v>
      </c>
      <c r="F6" s="14">
        <v>0</v>
      </c>
      <c r="G6" s="14">
        <v>5</v>
      </c>
      <c r="H6" s="14">
        <v>12</v>
      </c>
      <c r="I6" s="9"/>
      <c r="P6" s="3"/>
      <c r="Q6" s="3"/>
      <c r="R6" s="3"/>
      <c r="S6" s="3"/>
      <c r="T6" s="3"/>
    </row>
    <row r="7" spans="1:21" ht="15.75" thickBot="1" x14ac:dyDescent="0.3">
      <c r="B7" s="11"/>
      <c r="C7" s="14" t="s">
        <v>9</v>
      </c>
      <c r="D7" s="14" t="s">
        <v>8</v>
      </c>
      <c r="E7" s="14">
        <v>8</v>
      </c>
      <c r="F7" s="14">
        <v>7</v>
      </c>
      <c r="G7" s="14">
        <v>19</v>
      </c>
      <c r="H7" s="14">
        <v>34</v>
      </c>
      <c r="I7" s="9"/>
      <c r="P7" s="3"/>
      <c r="Q7" s="3"/>
      <c r="R7" s="3"/>
      <c r="S7" s="3"/>
      <c r="T7" s="3"/>
    </row>
    <row r="8" spans="1:21" ht="15.75" thickBot="1" x14ac:dyDescent="0.3">
      <c r="B8" s="11"/>
      <c r="C8" s="14" t="s">
        <v>10</v>
      </c>
      <c r="D8" s="14" t="s">
        <v>7</v>
      </c>
      <c r="E8" s="14">
        <v>60</v>
      </c>
      <c r="F8" s="14">
        <v>2</v>
      </c>
      <c r="G8" s="14">
        <v>17</v>
      </c>
      <c r="H8" s="14">
        <v>79</v>
      </c>
      <c r="I8" s="9"/>
      <c r="P8" s="3"/>
      <c r="Q8" s="3"/>
      <c r="R8" s="3"/>
      <c r="S8" s="3"/>
      <c r="T8" s="6"/>
    </row>
    <row r="9" spans="1:21" ht="15.75" thickBot="1" x14ac:dyDescent="0.3">
      <c r="B9" s="11"/>
      <c r="C9" s="14" t="s">
        <v>10</v>
      </c>
      <c r="D9" s="14" t="s">
        <v>8</v>
      </c>
      <c r="E9" s="14">
        <v>26</v>
      </c>
      <c r="F9" s="14">
        <v>10</v>
      </c>
      <c r="G9" s="14">
        <v>34</v>
      </c>
      <c r="H9" s="14">
        <v>70</v>
      </c>
      <c r="I9" s="9"/>
      <c r="P9" s="3"/>
      <c r="Q9" s="3"/>
      <c r="R9" s="3"/>
      <c r="S9" s="3"/>
      <c r="T9" s="3"/>
    </row>
    <row r="10" spans="1:21" ht="15.75" thickBot="1" x14ac:dyDescent="0.3">
      <c r="B10" s="11"/>
      <c r="C10" s="14" t="s">
        <v>11</v>
      </c>
      <c r="D10" s="14"/>
      <c r="E10" s="14">
        <v>156</v>
      </c>
      <c r="F10" s="14">
        <v>139</v>
      </c>
      <c r="G10" s="14">
        <v>105</v>
      </c>
      <c r="H10" s="14">
        <v>400</v>
      </c>
      <c r="I10" s="9"/>
      <c r="P10" s="3"/>
      <c r="Q10" s="3"/>
      <c r="R10" s="3"/>
      <c r="S10" s="3"/>
      <c r="T10" s="3"/>
    </row>
    <row r="11" spans="1:21" x14ac:dyDescent="0.25">
      <c r="C11" s="10"/>
      <c r="D11" s="10"/>
      <c r="E11" s="10"/>
      <c r="F11" s="10"/>
      <c r="G11" s="10"/>
      <c r="H11" s="10"/>
    </row>
    <row r="12" spans="1:21" x14ac:dyDescent="0.25">
      <c r="O12" s="5"/>
      <c r="S12" s="5"/>
    </row>
    <row r="13" spans="1:21" x14ac:dyDescent="0.25">
      <c r="A13" s="1"/>
      <c r="B13" s="44" t="s">
        <v>40</v>
      </c>
      <c r="C13" s="45"/>
      <c r="D13" s="46"/>
    </row>
    <row r="14" spans="1:21" x14ac:dyDescent="0.25">
      <c r="B14" s="30" t="s">
        <v>41</v>
      </c>
      <c r="C14" s="31"/>
      <c r="D14" s="31"/>
      <c r="E14" s="31"/>
      <c r="F14" s="32"/>
      <c r="O14" s="3"/>
      <c r="Q14" s="3"/>
      <c r="S14" s="3"/>
      <c r="U14" s="3"/>
    </row>
    <row r="16" spans="1:21" x14ac:dyDescent="0.25">
      <c r="C16" s="17" t="s">
        <v>12</v>
      </c>
      <c r="D16" s="17" t="s">
        <v>13</v>
      </c>
      <c r="E16" s="17" t="s">
        <v>14</v>
      </c>
      <c r="F16" s="17" t="s">
        <v>15</v>
      </c>
      <c r="G16" s="17" t="s">
        <v>16</v>
      </c>
      <c r="H16" s="17" t="s">
        <v>17</v>
      </c>
      <c r="I16" s="17" t="s">
        <v>18</v>
      </c>
      <c r="J16" s="17" t="s">
        <v>19</v>
      </c>
      <c r="K16" s="17" t="s">
        <v>20</v>
      </c>
      <c r="L16" s="17" t="s">
        <v>21</v>
      </c>
      <c r="M16" s="7"/>
    </row>
    <row r="17" spans="2:13" x14ac:dyDescent="0.25">
      <c r="C17" s="71">
        <v>1</v>
      </c>
      <c r="D17" s="71" t="s">
        <v>6</v>
      </c>
      <c r="E17" s="47">
        <f>205/400</f>
        <v>0.51249999999999996</v>
      </c>
      <c r="F17" s="47">
        <f>1-E17</f>
        <v>0.48750000000000004</v>
      </c>
      <c r="G17" s="20" t="s">
        <v>2</v>
      </c>
      <c r="H17" s="21">
        <f>55/205</f>
        <v>0.26829268292682928</v>
      </c>
      <c r="I17" s="21">
        <f>101/195</f>
        <v>0.517948717948718</v>
      </c>
      <c r="J17" s="47">
        <f>2*E17*F17</f>
        <v>0.49968750000000001</v>
      </c>
      <c r="K17" s="47">
        <f>ABS(H17-I17)+ABS(H18-I18)+ABS(H19-I19)</f>
        <v>0.97585991244527837</v>
      </c>
      <c r="L17" s="47">
        <f>J17*K17</f>
        <v>0.48762500000000003</v>
      </c>
      <c r="M17" s="8"/>
    </row>
    <row r="18" spans="2:13" x14ac:dyDescent="0.25">
      <c r="C18" s="72"/>
      <c r="D18" s="72"/>
      <c r="E18" s="48"/>
      <c r="F18" s="48"/>
      <c r="G18" s="20" t="s">
        <v>3</v>
      </c>
      <c r="H18" s="21">
        <f>120/205</f>
        <v>0.58536585365853655</v>
      </c>
      <c r="I18" s="21">
        <f>19/195</f>
        <v>9.7435897435897437E-2</v>
      </c>
      <c r="J18" s="48"/>
      <c r="K18" s="48"/>
      <c r="L18" s="48"/>
      <c r="M18" s="8"/>
    </row>
    <row r="19" spans="2:13" x14ac:dyDescent="0.25">
      <c r="C19" s="73"/>
      <c r="D19" s="73"/>
      <c r="E19" s="49"/>
      <c r="F19" s="49"/>
      <c r="G19" s="20" t="s">
        <v>4</v>
      </c>
      <c r="H19" s="21">
        <f>30/205</f>
        <v>0.14634146341463414</v>
      </c>
      <c r="I19" s="21">
        <f>75/195</f>
        <v>0.38461538461538464</v>
      </c>
      <c r="J19" s="49"/>
      <c r="K19" s="49"/>
      <c r="L19" s="49"/>
      <c r="M19" s="8"/>
    </row>
    <row r="20" spans="2:13" x14ac:dyDescent="0.25">
      <c r="C20" s="71">
        <v>2</v>
      </c>
      <c r="D20" s="71" t="s">
        <v>9</v>
      </c>
      <c r="E20" s="47">
        <f>46/400</f>
        <v>0.115</v>
      </c>
      <c r="F20" s="47">
        <f>1-E20</f>
        <v>0.88500000000000001</v>
      </c>
      <c r="G20" s="20" t="s">
        <v>2</v>
      </c>
      <c r="H20" s="21">
        <f>15/46</f>
        <v>0.32608695652173914</v>
      </c>
      <c r="I20" s="21">
        <f>141/354</f>
        <v>0.39830508474576271</v>
      </c>
      <c r="J20" s="47">
        <f>2*E20*F20</f>
        <v>0.20355000000000001</v>
      </c>
      <c r="K20" s="47">
        <f>ABS(H20-I20)+ABS(H21-I21)+ABS(H22-I22)</f>
        <v>0.58585114222549739</v>
      </c>
      <c r="L20" s="47">
        <f>J20*K20</f>
        <v>0.11924999999999999</v>
      </c>
      <c r="M20" s="8"/>
    </row>
    <row r="21" spans="2:13" x14ac:dyDescent="0.25">
      <c r="C21" s="72"/>
      <c r="D21" s="72"/>
      <c r="E21" s="48"/>
      <c r="F21" s="48"/>
      <c r="G21" s="20" t="s">
        <v>3</v>
      </c>
      <c r="H21" s="21">
        <f>7/46</f>
        <v>0.15217391304347827</v>
      </c>
      <c r="I21" s="21">
        <f>132/354</f>
        <v>0.3728813559322034</v>
      </c>
      <c r="J21" s="48"/>
      <c r="K21" s="48"/>
      <c r="L21" s="48"/>
      <c r="M21" s="8"/>
    </row>
    <row r="22" spans="2:13" x14ac:dyDescent="0.25">
      <c r="C22" s="73"/>
      <c r="D22" s="73"/>
      <c r="E22" s="49"/>
      <c r="F22" s="49"/>
      <c r="G22" s="20" t="s">
        <v>4</v>
      </c>
      <c r="H22" s="21">
        <f>24/46</f>
        <v>0.52173913043478259</v>
      </c>
      <c r="I22" s="21">
        <f>81/354</f>
        <v>0.2288135593220339</v>
      </c>
      <c r="J22" s="49"/>
      <c r="K22" s="49"/>
      <c r="L22" s="49"/>
      <c r="M22" s="8"/>
    </row>
    <row r="23" spans="2:13" x14ac:dyDescent="0.25">
      <c r="C23" s="71">
        <v>3</v>
      </c>
      <c r="D23" s="71" t="s">
        <v>10</v>
      </c>
      <c r="E23" s="47">
        <f>149/400</f>
        <v>0.3725</v>
      </c>
      <c r="F23" s="47">
        <f>1-E23</f>
        <v>0.62749999999999995</v>
      </c>
      <c r="G23" s="20" t="s">
        <v>2</v>
      </c>
      <c r="H23" s="21">
        <f>86/149</f>
        <v>0.57718120805369133</v>
      </c>
      <c r="I23" s="21">
        <f>70/251</f>
        <v>0.2788844621513944</v>
      </c>
      <c r="J23" s="47">
        <f>2*E23*F23</f>
        <v>0.46748749999999994</v>
      </c>
      <c r="K23" s="47">
        <f>ABS(H23-I23)+ABS(H24-I24)+ABS(H25-I25)</f>
        <v>0.85087836573170417</v>
      </c>
      <c r="L23" s="47">
        <f>J23*K23</f>
        <v>0.39777499999999999</v>
      </c>
      <c r="M23" s="8"/>
    </row>
    <row r="24" spans="2:13" x14ac:dyDescent="0.25">
      <c r="C24" s="72"/>
      <c r="D24" s="72"/>
      <c r="E24" s="48"/>
      <c r="F24" s="48"/>
      <c r="G24" s="20" t="s">
        <v>3</v>
      </c>
      <c r="H24" s="21">
        <f>12/149</f>
        <v>8.0536912751677847E-2</v>
      </c>
      <c r="I24" s="21">
        <f>127/251</f>
        <v>0.50597609561752988</v>
      </c>
      <c r="J24" s="48"/>
      <c r="K24" s="48"/>
      <c r="L24" s="48"/>
      <c r="M24" s="8"/>
    </row>
    <row r="25" spans="2:13" x14ac:dyDescent="0.25">
      <c r="C25" s="73"/>
      <c r="D25" s="73"/>
      <c r="E25" s="49"/>
      <c r="F25" s="49"/>
      <c r="G25" s="20" t="s">
        <v>4</v>
      </c>
      <c r="H25" s="21">
        <f>51/149</f>
        <v>0.34228187919463088</v>
      </c>
      <c r="I25" s="21">
        <f>54/251</f>
        <v>0.2151394422310757</v>
      </c>
      <c r="J25" s="49"/>
      <c r="K25" s="49"/>
      <c r="L25" s="49"/>
      <c r="M25" s="8"/>
    </row>
    <row r="27" spans="2:13" x14ac:dyDescent="0.25">
      <c r="B27" s="44" t="s">
        <v>42</v>
      </c>
      <c r="C27" s="45"/>
      <c r="D27" s="46"/>
    </row>
    <row r="29" spans="2:13" x14ac:dyDescent="0.25">
      <c r="C29" s="15" t="s">
        <v>12</v>
      </c>
      <c r="D29" s="15" t="s">
        <v>13</v>
      </c>
      <c r="E29" s="15" t="s">
        <v>14</v>
      </c>
      <c r="F29" s="15" t="s">
        <v>15</v>
      </c>
      <c r="G29" s="15" t="s">
        <v>16</v>
      </c>
      <c r="H29" s="15" t="s">
        <v>17</v>
      </c>
      <c r="I29" s="15" t="s">
        <v>18</v>
      </c>
      <c r="J29" s="15" t="s">
        <v>19</v>
      </c>
      <c r="K29" s="15" t="s">
        <v>20</v>
      </c>
      <c r="L29" s="15" t="s">
        <v>21</v>
      </c>
      <c r="M29" s="7"/>
    </row>
    <row r="30" spans="2:13" x14ac:dyDescent="0.25">
      <c r="C30" s="68">
        <v>1</v>
      </c>
      <c r="D30" s="68" t="s">
        <v>7</v>
      </c>
      <c r="E30" s="59">
        <f>186/400</f>
        <v>0.46500000000000002</v>
      </c>
      <c r="F30" s="59">
        <f>1-E30</f>
        <v>0.53499999999999992</v>
      </c>
      <c r="G30" s="22" t="s">
        <v>2</v>
      </c>
      <c r="H30" s="23">
        <f>97/186</f>
        <v>0.521505376344086</v>
      </c>
      <c r="I30" s="23">
        <f>59/214</f>
        <v>0.27570093457943923</v>
      </c>
      <c r="J30" s="59">
        <f>2*E30*F30</f>
        <v>0.49754999999999994</v>
      </c>
      <c r="K30" s="59">
        <f>ABS(H30-I30)+ABS(H31-I31)+ABS(H32-I32)</f>
        <v>0.49160888352929355</v>
      </c>
      <c r="L30" s="59">
        <f>J30*K30</f>
        <v>0.24459999999999998</v>
      </c>
      <c r="M30" s="8"/>
    </row>
    <row r="31" spans="2:13" x14ac:dyDescent="0.25">
      <c r="C31" s="69"/>
      <c r="D31" s="69"/>
      <c r="E31" s="60"/>
      <c r="F31" s="60"/>
      <c r="G31" s="22" t="s">
        <v>3</v>
      </c>
      <c r="H31" s="23">
        <f>50/186</f>
        <v>0.26881720430107525</v>
      </c>
      <c r="I31" s="23">
        <f>89/214</f>
        <v>0.41588785046728971</v>
      </c>
      <c r="J31" s="60"/>
      <c r="K31" s="60"/>
      <c r="L31" s="60"/>
      <c r="M31" s="8"/>
    </row>
    <row r="32" spans="2:13" x14ac:dyDescent="0.25">
      <c r="C32" s="70"/>
      <c r="D32" s="70"/>
      <c r="E32" s="61"/>
      <c r="F32" s="61"/>
      <c r="G32" s="22" t="s">
        <v>4</v>
      </c>
      <c r="H32" s="23">
        <f>39/186</f>
        <v>0.20967741935483872</v>
      </c>
      <c r="I32" s="23">
        <f>66/214</f>
        <v>0.30841121495327101</v>
      </c>
      <c r="J32" s="61"/>
      <c r="K32" s="61"/>
      <c r="L32" s="61"/>
      <c r="M32" s="8"/>
    </row>
    <row r="35" spans="1:13" x14ac:dyDescent="0.25">
      <c r="A35" s="44" t="s">
        <v>43</v>
      </c>
      <c r="B35" s="45"/>
      <c r="C35" s="46"/>
    </row>
    <row r="37" spans="1:13" x14ac:dyDescent="0.25">
      <c r="B37" s="44" t="s">
        <v>45</v>
      </c>
      <c r="C37" s="45"/>
      <c r="D37" s="45"/>
      <c r="E37" s="46"/>
    </row>
    <row r="39" spans="1:13" x14ac:dyDescent="0.25">
      <c r="C39" s="26" t="s">
        <v>12</v>
      </c>
      <c r="D39" s="26" t="s">
        <v>13</v>
      </c>
      <c r="E39" s="26" t="s">
        <v>14</v>
      </c>
      <c r="F39" s="26" t="s">
        <v>15</v>
      </c>
      <c r="G39" s="26" t="s">
        <v>16</v>
      </c>
      <c r="H39" s="26" t="s">
        <v>17</v>
      </c>
      <c r="I39" s="26" t="s">
        <v>18</v>
      </c>
      <c r="J39" s="26" t="s">
        <v>19</v>
      </c>
      <c r="K39" s="26" t="s">
        <v>20</v>
      </c>
      <c r="L39" s="26" t="s">
        <v>21</v>
      </c>
      <c r="M39" s="7"/>
    </row>
    <row r="40" spans="1:13" x14ac:dyDescent="0.25">
      <c r="C40" s="62">
        <v>1</v>
      </c>
      <c r="D40" s="62" t="s">
        <v>7</v>
      </c>
      <c r="E40" s="65">
        <f>95/205</f>
        <v>0.46341463414634149</v>
      </c>
      <c r="F40" s="65">
        <f>1-E40</f>
        <v>0.53658536585365857</v>
      </c>
      <c r="G40" s="24" t="s">
        <v>2</v>
      </c>
      <c r="H40" s="25">
        <f>30/95</f>
        <v>0.31578947368421051</v>
      </c>
      <c r="I40" s="25">
        <f>25/110</f>
        <v>0.22727272727272727</v>
      </c>
      <c r="J40" s="65">
        <f>2*E40*F40</f>
        <v>0.49732302201070799</v>
      </c>
      <c r="K40" s="65">
        <f>ABS(H40-I40)+ABS(H41-I41)+ABS(H42-I42)</f>
        <v>0.29856459330143537</v>
      </c>
      <c r="L40" s="65">
        <f>J40*K40</f>
        <v>0.14848304580606783</v>
      </c>
      <c r="M40" s="8"/>
    </row>
    <row r="41" spans="1:13" x14ac:dyDescent="0.25">
      <c r="C41" s="63"/>
      <c r="D41" s="63"/>
      <c r="E41" s="66"/>
      <c r="F41" s="66"/>
      <c r="G41" s="24" t="s">
        <v>3</v>
      </c>
      <c r="H41" s="25">
        <f>48/95</f>
        <v>0.50526315789473686</v>
      </c>
      <c r="I41" s="25">
        <f>72/110</f>
        <v>0.65454545454545454</v>
      </c>
      <c r="J41" s="66"/>
      <c r="K41" s="66"/>
      <c r="L41" s="66"/>
      <c r="M41" s="8"/>
    </row>
    <row r="42" spans="1:13" x14ac:dyDescent="0.25">
      <c r="C42" s="64"/>
      <c r="D42" s="64"/>
      <c r="E42" s="67"/>
      <c r="F42" s="67"/>
      <c r="G42" s="24" t="s">
        <v>4</v>
      </c>
      <c r="H42" s="25">
        <f>17/95</f>
        <v>0.17894736842105263</v>
      </c>
      <c r="I42" s="25">
        <f>13/110</f>
        <v>0.11818181818181818</v>
      </c>
      <c r="J42" s="67"/>
      <c r="K42" s="67"/>
      <c r="L42" s="67"/>
      <c r="M42" s="8"/>
    </row>
    <row r="44" spans="1:13" x14ac:dyDescent="0.25">
      <c r="B44" s="44" t="s">
        <v>44</v>
      </c>
      <c r="C44" s="45"/>
      <c r="D44" s="45"/>
      <c r="E44" s="45"/>
      <c r="F44" s="45"/>
      <c r="G44" s="45"/>
      <c r="H44" s="46"/>
    </row>
    <row r="46" spans="1:13" x14ac:dyDescent="0.25">
      <c r="C46" s="16" t="s">
        <v>12</v>
      </c>
      <c r="D46" s="16" t="s">
        <v>13</v>
      </c>
      <c r="E46" s="16" t="s">
        <v>14</v>
      </c>
      <c r="F46" s="16" t="s">
        <v>15</v>
      </c>
      <c r="G46" s="16" t="s">
        <v>16</v>
      </c>
      <c r="H46" s="16" t="s">
        <v>17</v>
      </c>
      <c r="I46" s="16" t="s">
        <v>18</v>
      </c>
      <c r="J46" s="16" t="s">
        <v>19</v>
      </c>
      <c r="K46" s="16" t="s">
        <v>20</v>
      </c>
      <c r="L46" s="16" t="s">
        <v>21</v>
      </c>
    </row>
    <row r="47" spans="1:13" x14ac:dyDescent="0.25">
      <c r="C47" s="56">
        <v>1</v>
      </c>
      <c r="D47" s="56" t="s">
        <v>7</v>
      </c>
      <c r="E47" s="50">
        <f>91/195</f>
        <v>0.46666666666666667</v>
      </c>
      <c r="F47" s="50">
        <f>1-E47</f>
        <v>0.53333333333333333</v>
      </c>
      <c r="G47" s="28" t="s">
        <v>2</v>
      </c>
      <c r="H47" s="29">
        <f>67/91</f>
        <v>0.73626373626373631</v>
      </c>
      <c r="I47" s="29">
        <f>34/104</f>
        <v>0.32692307692307693</v>
      </c>
      <c r="J47" s="50">
        <f>2*E47*F47</f>
        <v>0.49777777777777776</v>
      </c>
      <c r="K47" s="50">
        <f>ABS(H47-I47)+ABS(H48-I48)+ABS(H49-I49)</f>
        <v>0.81868131868131866</v>
      </c>
      <c r="L47" s="50">
        <f>J47*K47</f>
        <v>0.40752136752136747</v>
      </c>
    </row>
    <row r="48" spans="1:13" x14ac:dyDescent="0.25">
      <c r="C48" s="57"/>
      <c r="D48" s="57"/>
      <c r="E48" s="51"/>
      <c r="F48" s="51"/>
      <c r="G48" s="28" t="s">
        <v>3</v>
      </c>
      <c r="H48" s="29">
        <f>2/91</f>
        <v>2.197802197802198E-2</v>
      </c>
      <c r="I48" s="29">
        <f>17/104</f>
        <v>0.16346153846153846</v>
      </c>
      <c r="J48" s="51"/>
      <c r="K48" s="51"/>
      <c r="L48" s="51"/>
    </row>
    <row r="49" spans="3:12" x14ac:dyDescent="0.25">
      <c r="C49" s="58"/>
      <c r="D49" s="58"/>
      <c r="E49" s="52"/>
      <c r="F49" s="52"/>
      <c r="G49" s="28" t="s">
        <v>4</v>
      </c>
      <c r="H49" s="29">
        <f>22/91</f>
        <v>0.24175824175824176</v>
      </c>
      <c r="I49" s="29">
        <f>53/104</f>
        <v>0.50961538461538458</v>
      </c>
      <c r="J49" s="52"/>
      <c r="K49" s="52"/>
      <c r="L49" s="52"/>
    </row>
  </sheetData>
  <mergeCells count="49">
    <mergeCell ref="E17:E19"/>
    <mergeCell ref="E20:E22"/>
    <mergeCell ref="F17:F19"/>
    <mergeCell ref="F20:F22"/>
    <mergeCell ref="E23:E25"/>
    <mergeCell ref="F23:F25"/>
    <mergeCell ref="D17:D19"/>
    <mergeCell ref="C17:C19"/>
    <mergeCell ref="C20:C22"/>
    <mergeCell ref="C23:C25"/>
    <mergeCell ref="D20:D22"/>
    <mergeCell ref="D23:D25"/>
    <mergeCell ref="C47:C49"/>
    <mergeCell ref="D47:D49"/>
    <mergeCell ref="E47:E49"/>
    <mergeCell ref="F47:F49"/>
    <mergeCell ref="J47:J49"/>
    <mergeCell ref="L47:L49"/>
    <mergeCell ref="E1:G1"/>
    <mergeCell ref="H1:I1"/>
    <mergeCell ref="J17:J19"/>
    <mergeCell ref="J20:J22"/>
    <mergeCell ref="K17:K19"/>
    <mergeCell ref="L17:L19"/>
    <mergeCell ref="K20:K22"/>
    <mergeCell ref="L20:L22"/>
    <mergeCell ref="J23:J25"/>
    <mergeCell ref="K47:K49"/>
    <mergeCell ref="L30:L32"/>
    <mergeCell ref="E40:E42"/>
    <mergeCell ref="F40:F42"/>
    <mergeCell ref="J40:J42"/>
    <mergeCell ref="K40:K42"/>
    <mergeCell ref="B44:H44"/>
    <mergeCell ref="K23:K25"/>
    <mergeCell ref="L23:L25"/>
    <mergeCell ref="B13:D13"/>
    <mergeCell ref="B27:D27"/>
    <mergeCell ref="A35:C35"/>
    <mergeCell ref="C40:C42"/>
    <mergeCell ref="D40:D42"/>
    <mergeCell ref="L40:L42"/>
    <mergeCell ref="B37:E37"/>
    <mergeCell ref="C30:C32"/>
    <mergeCell ref="D30:D32"/>
    <mergeCell ref="E30:E32"/>
    <mergeCell ref="F30:F32"/>
    <mergeCell ref="J30:J32"/>
    <mergeCell ref="K30:K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DFB15-510E-4612-9056-DA9D479666C0}">
  <sheetPr codeName="Sheet2"/>
  <dimension ref="A1:U46"/>
  <sheetViews>
    <sheetView zoomScale="130" zoomScaleNormal="130" workbookViewId="0">
      <selection activeCell="A9" sqref="A9"/>
    </sheetView>
  </sheetViews>
  <sheetFormatPr defaultColWidth="8.85546875" defaultRowHeight="15" x14ac:dyDescent="0.25"/>
  <cols>
    <col min="1" max="1" width="14" style="2" bestFit="1" customWidth="1"/>
    <col min="2" max="3" width="8.85546875" style="2"/>
    <col min="4" max="4" width="13.5703125" style="2" bestFit="1" customWidth="1"/>
    <col min="5" max="5" width="9.42578125" style="2" bestFit="1" customWidth="1"/>
    <col min="6" max="6" width="8.85546875" style="2"/>
    <col min="7" max="7" width="11" style="2" bestFit="1" customWidth="1"/>
    <col min="8" max="8" width="9.28515625" style="2" bestFit="1" customWidth="1"/>
    <col min="9" max="9" width="7.28515625" style="2" bestFit="1" customWidth="1"/>
    <col min="10" max="10" width="14" style="2" bestFit="1" customWidth="1"/>
    <col min="11" max="16384" width="8.85546875" style="2"/>
  </cols>
  <sheetData>
    <row r="1" spans="1:21" x14ac:dyDescent="0.25">
      <c r="A1" s="1"/>
      <c r="C1" s="1" t="s">
        <v>34</v>
      </c>
    </row>
    <row r="2" spans="1:21" x14ac:dyDescent="0.25">
      <c r="A2" s="1"/>
      <c r="C2" s="1" t="s">
        <v>36</v>
      </c>
      <c r="D2" s="1" t="s">
        <v>37</v>
      </c>
      <c r="E2" s="44" t="s">
        <v>38</v>
      </c>
      <c r="F2" s="45"/>
      <c r="G2" s="46"/>
      <c r="H2" s="44" t="s">
        <v>39</v>
      </c>
      <c r="I2" s="46"/>
    </row>
    <row r="3" spans="1:21" x14ac:dyDescent="0.25">
      <c r="A3" s="1"/>
      <c r="N3" s="1"/>
    </row>
    <row r="4" spans="1:21" x14ac:dyDescent="0.25">
      <c r="A4" s="1"/>
    </row>
    <row r="5" spans="1:21" x14ac:dyDescent="0.25">
      <c r="A5" s="4"/>
      <c r="C5" s="34" t="s">
        <v>0</v>
      </c>
      <c r="D5" s="34" t="s">
        <v>1</v>
      </c>
      <c r="E5" s="34" t="s">
        <v>2</v>
      </c>
      <c r="F5" s="34" t="s">
        <v>3</v>
      </c>
      <c r="G5" s="34" t="s">
        <v>4</v>
      </c>
      <c r="H5" s="34" t="s">
        <v>5</v>
      </c>
    </row>
    <row r="6" spans="1:21" x14ac:dyDescent="0.25">
      <c r="C6" s="35" t="s">
        <v>6</v>
      </c>
      <c r="D6" s="35" t="s">
        <v>7</v>
      </c>
      <c r="E6" s="35">
        <v>30</v>
      </c>
      <c r="F6" s="35">
        <v>48</v>
      </c>
      <c r="G6" s="35">
        <v>17</v>
      </c>
      <c r="H6" s="35">
        <v>95</v>
      </c>
      <c r="P6" s="3"/>
      <c r="Q6" s="3"/>
      <c r="R6" s="3"/>
      <c r="S6" s="3"/>
      <c r="T6" s="3"/>
    </row>
    <row r="7" spans="1:21" x14ac:dyDescent="0.25">
      <c r="C7" s="35" t="s">
        <v>6</v>
      </c>
      <c r="D7" s="35" t="s">
        <v>8</v>
      </c>
      <c r="E7" s="35">
        <v>25</v>
      </c>
      <c r="F7" s="35">
        <v>72</v>
      </c>
      <c r="G7" s="35">
        <v>13</v>
      </c>
      <c r="H7" s="35">
        <v>110</v>
      </c>
      <c r="P7" s="3"/>
      <c r="Q7" s="3"/>
      <c r="R7" s="3"/>
      <c r="S7" s="3"/>
      <c r="T7" s="3"/>
    </row>
    <row r="8" spans="1:21" x14ac:dyDescent="0.25">
      <c r="C8" s="35" t="s">
        <v>9</v>
      </c>
      <c r="D8" s="35" t="s">
        <v>7</v>
      </c>
      <c r="E8" s="35">
        <v>7</v>
      </c>
      <c r="F8" s="35">
        <v>0</v>
      </c>
      <c r="G8" s="35">
        <v>5</v>
      </c>
      <c r="H8" s="35">
        <v>12</v>
      </c>
      <c r="P8" s="3"/>
      <c r="Q8" s="3"/>
      <c r="R8" s="3"/>
      <c r="S8" s="3"/>
      <c r="T8" s="6"/>
    </row>
    <row r="9" spans="1:21" x14ac:dyDescent="0.25">
      <c r="C9" s="35" t="s">
        <v>9</v>
      </c>
      <c r="D9" s="35" t="s">
        <v>8</v>
      </c>
      <c r="E9" s="35">
        <v>8</v>
      </c>
      <c r="F9" s="35">
        <v>7</v>
      </c>
      <c r="G9" s="35">
        <v>19</v>
      </c>
      <c r="H9" s="35">
        <v>34</v>
      </c>
      <c r="P9" s="3"/>
      <c r="Q9" s="3"/>
      <c r="R9" s="3"/>
      <c r="S9" s="3"/>
      <c r="T9" s="3"/>
    </row>
    <row r="10" spans="1:21" x14ac:dyDescent="0.25">
      <c r="C10" s="35" t="s">
        <v>10</v>
      </c>
      <c r="D10" s="35" t="s">
        <v>7</v>
      </c>
      <c r="E10" s="35">
        <v>60</v>
      </c>
      <c r="F10" s="35">
        <v>2</v>
      </c>
      <c r="G10" s="35">
        <v>17</v>
      </c>
      <c r="H10" s="35">
        <v>79</v>
      </c>
      <c r="P10" s="3"/>
      <c r="Q10" s="3"/>
      <c r="R10" s="3"/>
      <c r="S10" s="3"/>
      <c r="T10" s="3"/>
    </row>
    <row r="11" spans="1:21" x14ac:dyDescent="0.25">
      <c r="C11" s="35" t="s">
        <v>10</v>
      </c>
      <c r="D11" s="35" t="s">
        <v>8</v>
      </c>
      <c r="E11" s="35">
        <v>26</v>
      </c>
      <c r="F11" s="35">
        <v>10</v>
      </c>
      <c r="G11" s="35">
        <v>34</v>
      </c>
      <c r="H11" s="35">
        <v>70</v>
      </c>
    </row>
    <row r="12" spans="1:21" x14ac:dyDescent="0.25">
      <c r="C12" s="35" t="s">
        <v>11</v>
      </c>
      <c r="D12" s="35"/>
      <c r="E12" s="35">
        <v>156</v>
      </c>
      <c r="F12" s="35">
        <v>139</v>
      </c>
      <c r="G12" s="35">
        <v>105</v>
      </c>
      <c r="H12" s="35">
        <v>400</v>
      </c>
      <c r="S12" s="5"/>
    </row>
    <row r="14" spans="1:21" x14ac:dyDescent="0.25">
      <c r="C14" s="36" t="s">
        <v>31</v>
      </c>
      <c r="D14" s="19"/>
      <c r="E14" s="18" t="s">
        <v>24</v>
      </c>
      <c r="F14" s="37" t="s">
        <v>25</v>
      </c>
      <c r="S14" s="3"/>
      <c r="U14" s="3"/>
    </row>
    <row r="15" spans="1:21" x14ac:dyDescent="0.25">
      <c r="C15" s="20"/>
      <c r="D15" s="20" t="s">
        <v>2</v>
      </c>
      <c r="E15" s="21">
        <f>156/400</f>
        <v>0.39</v>
      </c>
      <c r="F15" s="21">
        <f>-E15*LOG(E15,2)</f>
        <v>0.52979704865586574</v>
      </c>
    </row>
    <row r="16" spans="1:21" x14ac:dyDescent="0.25">
      <c r="C16" s="20"/>
      <c r="D16" s="20" t="s">
        <v>3</v>
      </c>
      <c r="E16" s="21">
        <f>139/400</f>
        <v>0.34749999999999998</v>
      </c>
      <c r="F16" s="21">
        <f t="shared" ref="F16:F17" si="0">-E16*LOG(E16,2)</f>
        <v>0.52990800317529796</v>
      </c>
    </row>
    <row r="17" spans="1:12" x14ac:dyDescent="0.25">
      <c r="C17" s="20"/>
      <c r="D17" s="20" t="s">
        <v>4</v>
      </c>
      <c r="E17" s="21">
        <f>105/400</f>
        <v>0.26250000000000001</v>
      </c>
      <c r="F17" s="21">
        <f t="shared" si="0"/>
        <v>0.50652280142850814</v>
      </c>
    </row>
    <row r="18" spans="1:12" x14ac:dyDescent="0.25">
      <c r="C18" s="20"/>
      <c r="D18" s="20" t="s">
        <v>32</v>
      </c>
      <c r="E18" s="20"/>
      <c r="F18" s="21">
        <f>SUM(F15:F17)</f>
        <v>1.5662278532596718</v>
      </c>
    </row>
    <row r="19" spans="1:12" x14ac:dyDescent="0.25">
      <c r="D19" s="1"/>
      <c r="F19" s="33"/>
    </row>
    <row r="20" spans="1:12" x14ac:dyDescent="0.25">
      <c r="A20" s="1" t="s">
        <v>46</v>
      </c>
      <c r="D20" s="1"/>
      <c r="F20" s="33"/>
    </row>
    <row r="21" spans="1:12" x14ac:dyDescent="0.25">
      <c r="C21" s="38" t="s">
        <v>22</v>
      </c>
      <c r="D21" s="38" t="s">
        <v>23</v>
      </c>
      <c r="E21" s="15" t="s">
        <v>33</v>
      </c>
      <c r="F21" s="15" t="s">
        <v>24</v>
      </c>
      <c r="G21" s="39" t="s">
        <v>25</v>
      </c>
      <c r="H21" s="15" t="s">
        <v>5</v>
      </c>
      <c r="I21" s="15" t="s">
        <v>26</v>
      </c>
      <c r="J21" s="15" t="s">
        <v>27</v>
      </c>
      <c r="K21" s="15" t="s">
        <v>28</v>
      </c>
      <c r="L21" s="15" t="s">
        <v>29</v>
      </c>
    </row>
    <row r="22" spans="1:12" x14ac:dyDescent="0.25">
      <c r="C22" s="77" t="s">
        <v>0</v>
      </c>
      <c r="D22" s="22" t="s">
        <v>6</v>
      </c>
      <c r="E22" s="40" t="s">
        <v>2</v>
      </c>
      <c r="F22" s="40">
        <f>55/205</f>
        <v>0.26829268292682928</v>
      </c>
      <c r="G22" s="40">
        <f>-F22*LOG(F22,2)</f>
        <v>0.50925181087289395</v>
      </c>
      <c r="H22" s="40">
        <f>SUM(G22:G24)</f>
        <v>1.367244130797475</v>
      </c>
      <c r="I22" s="40">
        <f>205/400</f>
        <v>0.51249999999999996</v>
      </c>
      <c r="J22" s="40">
        <f>H22*I22</f>
        <v>0.70071261703370591</v>
      </c>
      <c r="K22" s="78">
        <f>SUM(J22,J25,J28)</f>
        <v>1.3418976289538691</v>
      </c>
      <c r="L22" s="79">
        <f>F18-K22</f>
        <v>0.22433022430580274</v>
      </c>
    </row>
    <row r="23" spans="1:12" x14ac:dyDescent="0.25">
      <c r="C23" s="77"/>
      <c r="D23" s="22"/>
      <c r="E23" s="40" t="s">
        <v>3</v>
      </c>
      <c r="F23" s="40">
        <f>120/205</f>
        <v>0.58536585365853655</v>
      </c>
      <c r="G23" s="40">
        <f t="shared" ref="G23:G36" si="1">-F23*LOG(F23,2)</f>
        <v>0.45224751447625028</v>
      </c>
      <c r="H23" s="40"/>
      <c r="I23" s="40"/>
      <c r="J23" s="40"/>
      <c r="K23" s="77"/>
      <c r="L23" s="79"/>
    </row>
    <row r="24" spans="1:12" x14ac:dyDescent="0.25">
      <c r="C24" s="77"/>
      <c r="D24" s="22"/>
      <c r="E24" s="40" t="s">
        <v>4</v>
      </c>
      <c r="F24" s="40">
        <f>30/205</f>
        <v>0.14634146341463414</v>
      </c>
      <c r="G24" s="40">
        <f t="shared" si="1"/>
        <v>0.40574480544833086</v>
      </c>
      <c r="H24" s="40"/>
      <c r="I24" s="40"/>
      <c r="J24" s="40"/>
      <c r="K24" s="77"/>
      <c r="L24" s="79"/>
    </row>
    <row r="25" spans="1:12" x14ac:dyDescent="0.25">
      <c r="C25" s="77"/>
      <c r="D25" s="22" t="s">
        <v>9</v>
      </c>
      <c r="E25" s="40" t="s">
        <v>2</v>
      </c>
      <c r="F25" s="40">
        <f>15/46</f>
        <v>0.32608695652173914</v>
      </c>
      <c r="G25" s="40">
        <f>-F25*LOG(F25,2)</f>
        <v>0.52717544362450908</v>
      </c>
      <c r="H25" s="40">
        <f>SUM(G25:G27)</f>
        <v>1.4302153602779095</v>
      </c>
      <c r="I25" s="40">
        <f>46/400</f>
        <v>0.115</v>
      </c>
      <c r="J25" s="40">
        <f>H25*I25</f>
        <v>0.1644747664319596</v>
      </c>
      <c r="K25" s="77"/>
      <c r="L25" s="79"/>
    </row>
    <row r="26" spans="1:12" x14ac:dyDescent="0.25">
      <c r="C26" s="77"/>
      <c r="D26" s="22"/>
      <c r="E26" s="40" t="s">
        <v>3</v>
      </c>
      <c r="F26" s="40">
        <f>7/46</f>
        <v>0.15217391304347827</v>
      </c>
      <c r="G26" s="40">
        <f t="shared" si="1"/>
        <v>0.41333585299991005</v>
      </c>
      <c r="H26" s="40"/>
      <c r="I26" s="40"/>
      <c r="J26" s="40"/>
      <c r="K26" s="77"/>
      <c r="L26" s="79"/>
    </row>
    <row r="27" spans="1:12" x14ac:dyDescent="0.25">
      <c r="C27" s="77"/>
      <c r="D27" s="22"/>
      <c r="E27" s="40" t="s">
        <v>4</v>
      </c>
      <c r="F27" s="40">
        <f>24/46</f>
        <v>0.52173913043478259</v>
      </c>
      <c r="G27" s="40">
        <f t="shared" si="1"/>
        <v>0.48970406365349045</v>
      </c>
      <c r="H27" s="40"/>
      <c r="I27" s="40"/>
      <c r="J27" s="40"/>
      <c r="K27" s="77"/>
      <c r="L27" s="79"/>
    </row>
    <row r="28" spans="1:12" x14ac:dyDescent="0.25">
      <c r="C28" s="77"/>
      <c r="D28" s="22" t="s">
        <v>10</v>
      </c>
      <c r="E28" s="40" t="s">
        <v>2</v>
      </c>
      <c r="F28" s="40">
        <f>86/149</f>
        <v>0.57718120805369133</v>
      </c>
      <c r="G28" s="40">
        <f>-F28*LOG(F28,2)</f>
        <v>0.45764915339171452</v>
      </c>
      <c r="H28" s="40">
        <f>SUM(G28:G30)</f>
        <v>1.2797590482904797</v>
      </c>
      <c r="I28" s="40">
        <f>149/400</f>
        <v>0.3725</v>
      </c>
      <c r="J28" s="40">
        <f>H28*I28</f>
        <v>0.47671024548820368</v>
      </c>
      <c r="K28" s="77"/>
      <c r="L28" s="79"/>
    </row>
    <row r="29" spans="1:12" x14ac:dyDescent="0.25">
      <c r="C29" s="77"/>
      <c r="D29" s="22"/>
      <c r="E29" s="40" t="s">
        <v>3</v>
      </c>
      <c r="F29" s="40">
        <f>12/149</f>
        <v>8.0536912751677847E-2</v>
      </c>
      <c r="G29" s="40">
        <f t="shared" si="1"/>
        <v>0.29268773313350377</v>
      </c>
      <c r="H29" s="40"/>
      <c r="I29" s="40"/>
      <c r="J29" s="40"/>
      <c r="K29" s="77"/>
      <c r="L29" s="79"/>
    </row>
    <row r="30" spans="1:12" x14ac:dyDescent="0.25">
      <c r="C30" s="77"/>
      <c r="D30" s="22"/>
      <c r="E30" s="40" t="s">
        <v>4</v>
      </c>
      <c r="F30" s="40">
        <f>51/149</f>
        <v>0.34228187919463088</v>
      </c>
      <c r="G30" s="40">
        <f t="shared" si="1"/>
        <v>0.52942216176526147</v>
      </c>
      <c r="H30" s="40"/>
      <c r="I30" s="40"/>
      <c r="J30" s="40"/>
      <c r="K30" s="77"/>
      <c r="L30" s="79"/>
    </row>
    <row r="31" spans="1:12" x14ac:dyDescent="0.25">
      <c r="C31" s="77" t="s">
        <v>30</v>
      </c>
      <c r="D31" s="22" t="s">
        <v>7</v>
      </c>
      <c r="E31" s="40" t="s">
        <v>2</v>
      </c>
      <c r="F31" s="40">
        <f>97/186</f>
        <v>0.521505376344086</v>
      </c>
      <c r="G31" s="40">
        <f>-F31*LOG(F31,2)</f>
        <v>0.48982182250176159</v>
      </c>
      <c r="H31" s="40">
        <f>SUM(G31:G33)</f>
        <v>1.4718736405891319</v>
      </c>
      <c r="I31" s="40">
        <f>186/400</f>
        <v>0.46500000000000002</v>
      </c>
      <c r="J31" s="40">
        <f>H31*I31</f>
        <v>0.68442124287394634</v>
      </c>
      <c r="K31" s="78">
        <f>SUM(J31:J34)</f>
        <v>1.5202405127335201</v>
      </c>
      <c r="L31" s="79">
        <f>F18-K31</f>
        <v>4.5987340526151721E-2</v>
      </c>
    </row>
    <row r="32" spans="1:12" x14ac:dyDescent="0.25">
      <c r="C32" s="77"/>
      <c r="D32" s="22"/>
      <c r="E32" s="40" t="s">
        <v>3</v>
      </c>
      <c r="F32" s="40">
        <f>50/186</f>
        <v>0.26881720430107525</v>
      </c>
      <c r="G32" s="40">
        <f t="shared" si="1"/>
        <v>0.50948995197131897</v>
      </c>
      <c r="H32" s="40"/>
      <c r="I32" s="40"/>
      <c r="J32" s="40"/>
      <c r="K32" s="77"/>
      <c r="L32" s="79"/>
    </row>
    <row r="33" spans="1:12" x14ac:dyDescent="0.25">
      <c r="C33" s="77"/>
      <c r="D33" s="22"/>
      <c r="E33" s="40" t="s">
        <v>4</v>
      </c>
      <c r="F33" s="40">
        <f>39/186</f>
        <v>0.20967741935483872</v>
      </c>
      <c r="G33" s="40">
        <f t="shared" si="1"/>
        <v>0.47256186611605133</v>
      </c>
      <c r="H33" s="40"/>
      <c r="I33" s="40"/>
      <c r="J33" s="40"/>
      <c r="K33" s="77"/>
      <c r="L33" s="79"/>
    </row>
    <row r="34" spans="1:12" x14ac:dyDescent="0.25">
      <c r="C34" s="77"/>
      <c r="D34" s="22" t="s">
        <v>8</v>
      </c>
      <c r="E34" s="40" t="s">
        <v>2</v>
      </c>
      <c r="F34" s="40">
        <f>59/214</f>
        <v>0.27570093457943923</v>
      </c>
      <c r="G34" s="40">
        <f>-F34*LOG(F34,2)</f>
        <v>0.51247949666036929</v>
      </c>
      <c r="H34" s="40">
        <f>SUM(G34:G36)</f>
        <v>1.5622790090833154</v>
      </c>
      <c r="I34" s="40">
        <f>214/400</f>
        <v>0.53500000000000003</v>
      </c>
      <c r="J34" s="40">
        <f>H34*I34</f>
        <v>0.83581926985957378</v>
      </c>
      <c r="K34" s="77"/>
      <c r="L34" s="79"/>
    </row>
    <row r="35" spans="1:12" x14ac:dyDescent="0.25">
      <c r="C35" s="77"/>
      <c r="D35" s="22"/>
      <c r="E35" s="40" t="s">
        <v>3</v>
      </c>
      <c r="F35" s="40">
        <f>89/214</f>
        <v>0.41588785046728971</v>
      </c>
      <c r="G35" s="40">
        <f t="shared" si="1"/>
        <v>0.526403207634078</v>
      </c>
      <c r="H35" s="40"/>
      <c r="I35" s="40"/>
      <c r="J35" s="40"/>
      <c r="K35" s="77"/>
      <c r="L35" s="79"/>
    </row>
    <row r="36" spans="1:12" x14ac:dyDescent="0.25">
      <c r="C36" s="77"/>
      <c r="D36" s="22"/>
      <c r="E36" s="40" t="s">
        <v>4</v>
      </c>
      <c r="F36" s="40">
        <f>66/214</f>
        <v>0.30841121495327101</v>
      </c>
      <c r="G36" s="40">
        <f t="shared" si="1"/>
        <v>0.52339630478886812</v>
      </c>
      <c r="H36" s="40"/>
      <c r="I36" s="40"/>
      <c r="J36" s="40"/>
      <c r="K36" s="77"/>
      <c r="L36" s="79"/>
    </row>
    <row r="39" spans="1:12" x14ac:dyDescent="0.25">
      <c r="A39" s="1" t="s">
        <v>47</v>
      </c>
      <c r="D39" s="1"/>
      <c r="F39" s="33"/>
    </row>
    <row r="40" spans="1:12" x14ac:dyDescent="0.25">
      <c r="C40" s="41" t="s">
        <v>22</v>
      </c>
      <c r="D40" s="41" t="s">
        <v>23</v>
      </c>
      <c r="E40" s="27" t="s">
        <v>33</v>
      </c>
      <c r="F40" s="27" t="s">
        <v>24</v>
      </c>
      <c r="G40" s="42" t="s">
        <v>25</v>
      </c>
      <c r="H40" s="27" t="s">
        <v>5</v>
      </c>
      <c r="I40" s="27" t="s">
        <v>26</v>
      </c>
      <c r="J40" s="27" t="s">
        <v>27</v>
      </c>
      <c r="K40" s="27" t="s">
        <v>28</v>
      </c>
      <c r="L40" s="27" t="s">
        <v>29</v>
      </c>
    </row>
    <row r="41" spans="1:12" x14ac:dyDescent="0.25">
      <c r="C41" s="74" t="s">
        <v>30</v>
      </c>
      <c r="D41" s="80" t="s">
        <v>7</v>
      </c>
      <c r="E41" s="43" t="s">
        <v>2</v>
      </c>
      <c r="F41" s="43">
        <f>67/91</f>
        <v>0.73626373626373631</v>
      </c>
      <c r="G41" s="43">
        <f>-F41*LOG(F41,2)</f>
        <v>0.3252117047543065</v>
      </c>
      <c r="H41" s="43">
        <f>SUM(G41:G43)</f>
        <v>0.94147077898230846</v>
      </c>
      <c r="I41" s="43">
        <f>186/400</f>
        <v>0.46500000000000002</v>
      </c>
      <c r="J41" s="43">
        <f>H41*I41</f>
        <v>0.43778391222677349</v>
      </c>
      <c r="K41" s="75">
        <f>SUM(J41:J44)</f>
        <v>1.2135613911182674</v>
      </c>
      <c r="L41" s="76">
        <f>F18-K41</f>
        <v>0.3526664621414044</v>
      </c>
    </row>
    <row r="42" spans="1:12" x14ac:dyDescent="0.25">
      <c r="C42" s="74"/>
      <c r="D42" s="81"/>
      <c r="E42" s="43" t="s">
        <v>3</v>
      </c>
      <c r="F42" s="43">
        <f>2/91</f>
        <v>2.197802197802198E-2</v>
      </c>
      <c r="G42" s="43">
        <f t="shared" ref="G42:G46" si="2">-F42*LOG(F42,2)</f>
        <v>0.12105043165271862</v>
      </c>
      <c r="H42" s="43"/>
      <c r="I42" s="43"/>
      <c r="J42" s="43"/>
      <c r="K42" s="74"/>
      <c r="L42" s="76"/>
    </row>
    <row r="43" spans="1:12" x14ac:dyDescent="0.25">
      <c r="C43" s="74"/>
      <c r="D43" s="82"/>
      <c r="E43" s="43" t="s">
        <v>4</v>
      </c>
      <c r="F43" s="43">
        <f>22/91</f>
        <v>0.24175824175824176</v>
      </c>
      <c r="G43" s="43">
        <f t="shared" si="2"/>
        <v>0.4952086425752833</v>
      </c>
      <c r="H43" s="43"/>
      <c r="I43" s="43"/>
      <c r="J43" s="43"/>
      <c r="K43" s="74"/>
      <c r="L43" s="76"/>
    </row>
    <row r="44" spans="1:12" x14ac:dyDescent="0.25">
      <c r="C44" s="74"/>
      <c r="D44" s="80" t="s">
        <v>8</v>
      </c>
      <c r="E44" s="43" t="s">
        <v>2</v>
      </c>
      <c r="F44" s="43">
        <f>34/104</f>
        <v>0.32692307692307693</v>
      </c>
      <c r="G44" s="43">
        <f>-F44*LOG(F44,2)</f>
        <v>0.52731936359889997</v>
      </c>
      <c r="H44" s="43">
        <f>SUM(G44:G46)</f>
        <v>1.450051362414007</v>
      </c>
      <c r="I44" s="43">
        <f>214/400</f>
        <v>0.53500000000000003</v>
      </c>
      <c r="J44" s="43">
        <f>H44*I44</f>
        <v>0.77577747889149384</v>
      </c>
      <c r="K44" s="74"/>
      <c r="L44" s="76"/>
    </row>
    <row r="45" spans="1:12" x14ac:dyDescent="0.25">
      <c r="C45" s="74"/>
      <c r="D45" s="81"/>
      <c r="E45" s="43" t="s">
        <v>3</v>
      </c>
      <c r="F45" s="43">
        <f>17/104</f>
        <v>0.16346153846153846</v>
      </c>
      <c r="G45" s="43">
        <f t="shared" si="2"/>
        <v>0.42712122026098842</v>
      </c>
      <c r="H45" s="43"/>
      <c r="I45" s="43"/>
      <c r="J45" s="43"/>
      <c r="K45" s="74"/>
      <c r="L45" s="76"/>
    </row>
    <row r="46" spans="1:12" x14ac:dyDescent="0.25">
      <c r="C46" s="74"/>
      <c r="D46" s="82"/>
      <c r="E46" s="43" t="s">
        <v>4</v>
      </c>
      <c r="F46" s="43">
        <f>53/104</f>
        <v>0.50961538461538458</v>
      </c>
      <c r="G46" s="43">
        <f t="shared" si="2"/>
        <v>0.49561077855411856</v>
      </c>
      <c r="H46" s="43"/>
      <c r="I46" s="43"/>
      <c r="J46" s="43"/>
      <c r="K46" s="74"/>
      <c r="L46" s="76"/>
    </row>
  </sheetData>
  <mergeCells count="13">
    <mergeCell ref="E2:G2"/>
    <mergeCell ref="H2:I2"/>
    <mergeCell ref="C41:C46"/>
    <mergeCell ref="K41:K46"/>
    <mergeCell ref="L41:L46"/>
    <mergeCell ref="C22:C30"/>
    <mergeCell ref="K22:K30"/>
    <mergeCell ref="L22:L30"/>
    <mergeCell ref="C31:C36"/>
    <mergeCell ref="K31:K36"/>
    <mergeCell ref="L31:L36"/>
    <mergeCell ref="D41:D43"/>
    <mergeCell ref="D44:D4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katakam</dc:creator>
  <cp:lastModifiedBy>balaji katakam</cp:lastModifiedBy>
  <dcterms:created xsi:type="dcterms:W3CDTF">2018-05-08T17:07:47Z</dcterms:created>
  <dcterms:modified xsi:type="dcterms:W3CDTF">2018-05-10T03:52:35Z</dcterms:modified>
</cp:coreProperties>
</file>