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LNAR\Downloads\"/>
    </mc:Choice>
  </mc:AlternateContent>
  <bookViews>
    <workbookView xWindow="0" yWindow="0" windowWidth="19200" windowHeight="6800" firstSheet="5" activeTab="6"/>
  </bookViews>
  <sheets>
    <sheet name="Impact of Commitment" sheetId="3" r:id="rId1"/>
    <sheet name="DBCS SW only" sheetId="1" r:id="rId2"/>
    <sheet name="DB Example" sheetId="2" r:id="rId3"/>
    <sheet name="BYOL PAASvsIAAS" sheetId="7" r:id="rId4"/>
    <sheet name="PAAS List Price Change" sheetId="4" r:id="rId5"/>
    <sheet name="PAAS vs On Premise" sheetId="5" r:id="rId6"/>
    <sheet name="Another tab" sheetId="8" r:id="rId7"/>
    <sheet name="DBEE On Premise list price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5" l="1"/>
  <c r="Q14" i="5"/>
  <c r="X14" i="5"/>
  <c r="W14" i="5"/>
  <c r="V6" i="5"/>
  <c r="X13" i="5"/>
  <c r="W13" i="5"/>
  <c r="X6" i="5"/>
  <c r="W6" i="5"/>
  <c r="U6" i="5"/>
  <c r="O6" i="5"/>
  <c r="P6" i="5"/>
  <c r="R6" i="5"/>
  <c r="Q6" i="5"/>
  <c r="K12" i="5"/>
  <c r="K13" i="5"/>
  <c r="K14" i="5"/>
  <c r="K15" i="5"/>
  <c r="K16" i="5"/>
  <c r="L12" i="5"/>
  <c r="M12" i="5"/>
  <c r="R13" i="5"/>
  <c r="Q13" i="5"/>
  <c r="L5" i="5"/>
  <c r="M9" i="5"/>
  <c r="L9" i="5"/>
  <c r="M8" i="5"/>
  <c r="L8" i="5"/>
  <c r="M7" i="5"/>
  <c r="L7" i="5"/>
  <c r="M6" i="5"/>
  <c r="L6" i="5"/>
  <c r="M5" i="5"/>
  <c r="K6" i="5"/>
  <c r="K7" i="5"/>
  <c r="K8" i="5"/>
  <c r="K9" i="5"/>
  <c r="K5" i="5"/>
  <c r="M13" i="5"/>
  <c r="M14" i="5"/>
  <c r="M15" i="5"/>
  <c r="M16" i="5"/>
  <c r="L13" i="5"/>
  <c r="L14" i="5"/>
  <c r="L15" i="5"/>
  <c r="L16" i="5"/>
  <c r="G9" i="5"/>
  <c r="F9" i="5"/>
  <c r="G8" i="5"/>
  <c r="F8" i="5"/>
  <c r="G7" i="5"/>
  <c r="F7" i="5"/>
  <c r="G6" i="5"/>
  <c r="F6" i="5"/>
  <c r="G5" i="5"/>
  <c r="F5" i="5"/>
  <c r="B19" i="2"/>
  <c r="B18" i="2"/>
  <c r="B17" i="2"/>
  <c r="B7" i="1"/>
  <c r="B3" i="3"/>
  <c r="B2" i="3"/>
  <c r="E6" i="5"/>
  <c r="C62" i="5"/>
  <c r="I57" i="5"/>
  <c r="I58" i="5"/>
  <c r="I59" i="5"/>
  <c r="L59" i="5"/>
  <c r="L58" i="5"/>
  <c r="D62" i="5"/>
  <c r="J57" i="5"/>
  <c r="J58" i="5"/>
  <c r="D61" i="2"/>
  <c r="E61" i="2"/>
  <c r="F61" i="2"/>
  <c r="G61" i="2"/>
  <c r="C61" i="2"/>
  <c r="E59" i="2"/>
  <c r="C60" i="2"/>
  <c r="D60" i="2"/>
  <c r="E60" i="2"/>
  <c r="F60" i="2"/>
  <c r="G60" i="2"/>
  <c r="B60" i="2"/>
  <c r="E57" i="2"/>
  <c r="G58" i="2"/>
  <c r="F58" i="2"/>
  <c r="D58" i="2"/>
  <c r="C57" i="2"/>
  <c r="B56" i="2"/>
  <c r="I10" i="7"/>
  <c r="I8" i="7"/>
  <c r="I9" i="7"/>
  <c r="I7" i="7"/>
  <c r="H10" i="7"/>
  <c r="J10" i="7"/>
  <c r="H9" i="7"/>
  <c r="J9" i="7"/>
  <c r="K10" i="7"/>
  <c r="H8" i="7"/>
  <c r="J8" i="7"/>
  <c r="H7" i="7"/>
  <c r="J7" i="7"/>
  <c r="K8" i="7"/>
  <c r="C10" i="7"/>
  <c r="D10" i="7"/>
  <c r="C9" i="7"/>
  <c r="D9" i="7"/>
  <c r="E10" i="7"/>
  <c r="C8" i="7"/>
  <c r="D8" i="7"/>
  <c r="C7" i="7"/>
  <c r="D7" i="7"/>
  <c r="E8" i="7"/>
  <c r="B10" i="7"/>
  <c r="B9" i="7"/>
  <c r="B7" i="7"/>
  <c r="B8" i="7"/>
  <c r="C130" i="5"/>
  <c r="E130" i="5"/>
  <c r="C131" i="5"/>
  <c r="C6" i="5"/>
  <c r="B62" i="5"/>
  <c r="B130" i="5"/>
  <c r="B131" i="5"/>
  <c r="D130" i="5"/>
  <c r="D82" i="5"/>
  <c r="D119" i="5"/>
  <c r="B82" i="5"/>
  <c r="B119" i="5"/>
  <c r="D81" i="5"/>
  <c r="D118" i="5"/>
  <c r="B81" i="5"/>
  <c r="B118" i="5"/>
  <c r="D80" i="5"/>
  <c r="D117" i="5"/>
  <c r="B80" i="5"/>
  <c r="B117" i="5"/>
  <c r="D78" i="5"/>
  <c r="D115" i="5"/>
  <c r="B78" i="5"/>
  <c r="B115" i="5"/>
  <c r="I112" i="5"/>
  <c r="D79" i="5"/>
  <c r="D116" i="5"/>
  <c r="B79" i="5"/>
  <c r="B116" i="5"/>
  <c r="C116" i="5"/>
  <c r="E7" i="5"/>
  <c r="C117" i="5"/>
  <c r="E8" i="5"/>
  <c r="C118" i="5"/>
  <c r="E9" i="5"/>
  <c r="C119" i="5"/>
  <c r="E5" i="5"/>
  <c r="C115" i="5"/>
  <c r="E116" i="5"/>
  <c r="E117" i="5"/>
  <c r="E118" i="5"/>
  <c r="E119" i="5"/>
  <c r="E115" i="5"/>
  <c r="E65" i="5"/>
  <c r="E102" i="5"/>
  <c r="D65" i="5"/>
  <c r="D102" i="5"/>
  <c r="E101" i="5"/>
  <c r="D101" i="5"/>
  <c r="E63" i="5"/>
  <c r="E100" i="5"/>
  <c r="D63" i="5"/>
  <c r="D100" i="5"/>
  <c r="E62" i="5"/>
  <c r="E99" i="5"/>
  <c r="D99" i="5"/>
  <c r="E61" i="5"/>
  <c r="E98" i="5"/>
  <c r="D61" i="5"/>
  <c r="D98" i="5"/>
  <c r="F93" i="5"/>
  <c r="C65" i="5"/>
  <c r="C102" i="5"/>
  <c r="C9" i="5"/>
  <c r="B65" i="5"/>
  <c r="B102" i="5"/>
  <c r="C64" i="5"/>
  <c r="C101" i="5"/>
  <c r="C8" i="5"/>
  <c r="B64" i="5"/>
  <c r="B101" i="5"/>
  <c r="C63" i="5"/>
  <c r="C100" i="5"/>
  <c r="C7" i="5"/>
  <c r="B63" i="5"/>
  <c r="B100" i="5"/>
  <c r="C99" i="5"/>
  <c r="B99" i="5"/>
  <c r="C61" i="5"/>
  <c r="C98" i="5"/>
  <c r="C5" i="5"/>
  <c r="B61" i="5"/>
  <c r="B98" i="5"/>
  <c r="F92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8" i="4"/>
  <c r="C18" i="4"/>
  <c r="D89" i="5"/>
  <c r="D88" i="5"/>
  <c r="D87" i="5"/>
  <c r="D86" i="5"/>
  <c r="D85" i="5"/>
  <c r="B86" i="5"/>
  <c r="B87" i="5"/>
  <c r="B88" i="5"/>
  <c r="B89" i="5"/>
  <c r="B85" i="5"/>
  <c r="C79" i="5"/>
  <c r="C86" i="5"/>
  <c r="E79" i="5"/>
  <c r="E86" i="5"/>
  <c r="C80" i="5"/>
  <c r="C87" i="5"/>
  <c r="E80" i="5"/>
  <c r="E87" i="5"/>
  <c r="C81" i="5"/>
  <c r="C88" i="5"/>
  <c r="E81" i="5"/>
  <c r="E88" i="5"/>
  <c r="C82" i="5"/>
  <c r="C89" i="5"/>
  <c r="E82" i="5"/>
  <c r="E89" i="5"/>
  <c r="E78" i="5"/>
  <c r="E85" i="5"/>
  <c r="C78" i="5"/>
  <c r="C85" i="5"/>
  <c r="B4" i="2"/>
  <c r="B11" i="1"/>
  <c r="C69" i="5"/>
  <c r="C70" i="5"/>
  <c r="C71" i="5"/>
  <c r="C72" i="5"/>
  <c r="C73" i="5"/>
  <c r="B70" i="5"/>
  <c r="B71" i="5"/>
  <c r="B72" i="5"/>
  <c r="B73" i="5"/>
  <c r="B69" i="5"/>
  <c r="D70" i="5"/>
  <c r="E70" i="5"/>
  <c r="D71" i="5"/>
  <c r="E71" i="5"/>
  <c r="D72" i="5"/>
  <c r="E72" i="5"/>
  <c r="D73" i="5"/>
  <c r="E73" i="5"/>
  <c r="E69" i="5"/>
  <c r="D69" i="5"/>
  <c r="F13" i="5"/>
  <c r="G13" i="5"/>
  <c r="F14" i="5"/>
  <c r="G14" i="5"/>
  <c r="F15" i="5"/>
  <c r="G15" i="5"/>
  <c r="F16" i="5"/>
  <c r="G16" i="5"/>
  <c r="G12" i="5"/>
  <c r="F12" i="5"/>
  <c r="I6" i="6"/>
  <c r="G29" i="6"/>
  <c r="C29" i="6"/>
  <c r="G32" i="6"/>
  <c r="F29" i="6"/>
  <c r="F32" i="6"/>
  <c r="E29" i="6"/>
  <c r="E32" i="6"/>
  <c r="D29" i="6"/>
  <c r="D32" i="6"/>
  <c r="C32" i="6"/>
  <c r="B29" i="6"/>
  <c r="B32" i="6"/>
  <c r="G31" i="6"/>
  <c r="I13" i="6"/>
  <c r="I23" i="6"/>
  <c r="I24" i="6"/>
  <c r="G30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5" i="6"/>
  <c r="I26" i="6"/>
  <c r="I27" i="6"/>
  <c r="I28" i="6"/>
  <c r="F30" i="6"/>
  <c r="E30" i="6"/>
  <c r="D30" i="6"/>
  <c r="C30" i="6"/>
  <c r="B30" i="6"/>
  <c r="E13" i="4"/>
  <c r="E14" i="4"/>
  <c r="E15" i="4"/>
  <c r="E16" i="4"/>
  <c r="E17" i="4"/>
  <c r="E12" i="4"/>
  <c r="E5" i="4"/>
  <c r="E6" i="4"/>
  <c r="E7" i="4"/>
  <c r="E8" i="4"/>
  <c r="E4" i="4"/>
  <c r="B15" i="2"/>
  <c r="B16" i="2"/>
  <c r="D26" i="2"/>
  <c r="D27" i="2"/>
  <c r="D28" i="2"/>
  <c r="D30" i="2"/>
  <c r="D29" i="2"/>
  <c r="D31" i="2"/>
  <c r="F31" i="2"/>
  <c r="E28" i="2"/>
  <c r="E30" i="2"/>
  <c r="E29" i="2"/>
  <c r="E31" i="2"/>
  <c r="H31" i="2"/>
  <c r="H27" i="2"/>
  <c r="J31" i="2"/>
  <c r="F29" i="2"/>
  <c r="H29" i="2"/>
  <c r="J29" i="2"/>
  <c r="J27" i="2"/>
  <c r="F30" i="2"/>
  <c r="H30" i="2"/>
  <c r="I31" i="2"/>
  <c r="F28" i="2"/>
  <c r="H28" i="2"/>
  <c r="I29" i="2"/>
  <c r="B6" i="2"/>
  <c r="B26" i="2"/>
  <c r="B27" i="2"/>
  <c r="C27" i="2"/>
  <c r="G27" i="2"/>
  <c r="G28" i="2"/>
  <c r="G30" i="2"/>
  <c r="G29" i="2"/>
  <c r="G31" i="2"/>
  <c r="G26" i="2"/>
  <c r="H26" i="2"/>
  <c r="C3" i="3"/>
  <c r="C2" i="3"/>
  <c r="C17" i="1"/>
  <c r="C16" i="1"/>
  <c r="C15" i="1"/>
  <c r="G19" i="1"/>
  <c r="G18" i="1"/>
  <c r="G17" i="1"/>
  <c r="G14" i="1"/>
  <c r="G15" i="1"/>
  <c r="G16" i="1"/>
  <c r="G13" i="1"/>
  <c r="G12" i="1"/>
  <c r="B12" i="1"/>
  <c r="D12" i="1"/>
  <c r="H12" i="1"/>
  <c r="I12" i="1"/>
  <c r="D13" i="1"/>
  <c r="H13" i="1"/>
  <c r="I13" i="1"/>
  <c r="D14" i="1"/>
  <c r="H14" i="1"/>
  <c r="I14" i="1"/>
  <c r="B15" i="1"/>
  <c r="D15" i="1"/>
  <c r="H15" i="1"/>
  <c r="I15" i="1"/>
  <c r="B16" i="1"/>
  <c r="D16" i="1"/>
  <c r="H16" i="1"/>
  <c r="I16" i="1"/>
  <c r="B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D11" i="1"/>
  <c r="H11" i="1"/>
  <c r="E11" i="1"/>
  <c r="C13" i="1"/>
  <c r="F15" i="1"/>
  <c r="C14" i="1"/>
  <c r="F16" i="1"/>
  <c r="E19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<sst xmlns="http://schemas.openxmlformats.org/spreadsheetml/2006/main" count="444" uniqueCount="188">
  <si>
    <t>Comparing PAAS Options and Costs</t>
  </si>
  <si>
    <t>DBEE Annual Support cost</t>
  </si>
  <si>
    <t>On Premise</t>
  </si>
  <si>
    <t>Cloud</t>
  </si>
  <si>
    <t>Total</t>
  </si>
  <si>
    <t xml:space="preserve">DBEE BYOL+ IAAS (20% Uptime) </t>
  </si>
  <si>
    <t>Additional cost to current</t>
  </si>
  <si>
    <t>Saving from Old Model</t>
  </si>
  <si>
    <t>Old model Support+DBCS (100% uptime)</t>
  </si>
  <si>
    <t>Old model Support+DBCS (20% uptime)</t>
  </si>
  <si>
    <t>On Premise DBEE license cost (sunk cost)</t>
  </si>
  <si>
    <t>*We estimate that the FTE cost of a DBA and sysadmin is 80K/yr and one DBA can manage 40 instances one sysadm can manage 200 CPUs</t>
  </si>
  <si>
    <t>Labor Cost Estimation annual*</t>
  </si>
  <si>
    <t>Total with Labor</t>
  </si>
  <si>
    <t>Additional cost to current with Labor</t>
  </si>
  <si>
    <t>Annual FTE Cost</t>
  </si>
  <si>
    <t>No. DB CPUs managed by a DBA</t>
  </si>
  <si>
    <t>No. Compute CPUs managed by a Sysadmin</t>
  </si>
  <si>
    <t>Amount of DBA Time saved in DBCS</t>
  </si>
  <si>
    <t>Example DBCS Customer</t>
  </si>
  <si>
    <t>BYOL4PAAS OCPU Monthly Price</t>
  </si>
  <si>
    <t>IAAS Compute Monthly price</t>
  </si>
  <si>
    <t>PAYG</t>
  </si>
  <si>
    <t>OCI Classic DBCS Virtual</t>
  </si>
  <si>
    <t>No CPUs</t>
  </si>
  <si>
    <t>Storage volume</t>
  </si>
  <si>
    <t>DB+Options License cost list price per core</t>
  </si>
  <si>
    <t>include core factor DBEE+Tuning Diagnostic+Partitioning</t>
  </si>
  <si>
    <t>Support fee</t>
  </si>
  <si>
    <t>No DBAs</t>
  </si>
  <si>
    <t xml:space="preserve">No. Sysadmins (Storage, Compute) </t>
  </si>
  <si>
    <t>Average cost per FTE</t>
  </si>
  <si>
    <t>On premise SW discount</t>
  </si>
  <si>
    <t>Compute</t>
  </si>
  <si>
    <t>Storage</t>
  </si>
  <si>
    <t>Labor</t>
  </si>
  <si>
    <t>IAAS</t>
  </si>
  <si>
    <t>PAAS</t>
  </si>
  <si>
    <t>Oracle Cloud Old Model (20% Utilization)</t>
  </si>
  <si>
    <t>Oracle Cloud Old Model (100% Utilization)</t>
  </si>
  <si>
    <t>Oracle Cloud New Model (100% Utilization)</t>
  </si>
  <si>
    <t>Oracle Cloud New Model (20% Utilization)</t>
  </si>
  <si>
    <t>On Premise past investment (sunk cost)</t>
  </si>
  <si>
    <t>On Prem Compute cost per CPU core</t>
  </si>
  <si>
    <t>Include server+OS+Virtualization</t>
  </si>
  <si>
    <t>On Premise ongoing cost</t>
  </si>
  <si>
    <t>On Prem Storage cost per TB per year</t>
  </si>
  <si>
    <t>On premise HW support</t>
  </si>
  <si>
    <t>Man-years spent on building the system (integration)</t>
  </si>
  <si>
    <t>DB EE High performance Non metered DBCS</t>
  </si>
  <si>
    <t>DB EE High performance metered DBCS 5 days/w 8 hours/d</t>
  </si>
  <si>
    <t>Cloud Storage Cost per GB/year</t>
  </si>
  <si>
    <t>On premise Compute discount</t>
  </si>
  <si>
    <t>Labor cost savings in Cloud for DBAs</t>
  </si>
  <si>
    <t>Labor cost savings in Cloud for Sysadmins</t>
  </si>
  <si>
    <t>DBCS Old Model annual cost per OCPU/yr 100% utilization</t>
  </si>
  <si>
    <t>DBCS Old Model annual cost per OCPU/yr 20% utilization</t>
  </si>
  <si>
    <t>DBCS New Model annual cost per OCPU/yr 100% utilization</t>
  </si>
  <si>
    <t>DBCS New Model annual cost per OCPU/yr 20% utilization</t>
  </si>
  <si>
    <t>BYOL4PAAS</t>
  </si>
  <si>
    <t>Support</t>
  </si>
  <si>
    <t>Standard Edition</t>
  </si>
  <si>
    <t xml:space="preserve">Enterprise Edition </t>
  </si>
  <si>
    <t>High Performance Edition</t>
  </si>
  <si>
    <t>Extreme Performance Edition</t>
  </si>
  <si>
    <t>Exadata additional OCPUs1</t>
  </si>
  <si>
    <t>DBCS</t>
  </si>
  <si>
    <t>Reduction</t>
  </si>
  <si>
    <t xml:space="preserve">PRIOR </t>
  </si>
  <si>
    <t>List Price</t>
  </si>
  <si>
    <t xml:space="preserve">NEW </t>
  </si>
  <si>
    <t>WebLogic Enterprise (Java CS)</t>
  </si>
  <si>
    <t>WebLogic Suite (Java CS)</t>
  </si>
  <si>
    <t>SOA Suite</t>
  </si>
  <si>
    <t xml:space="preserve">WebCenter Portal </t>
  </si>
  <si>
    <t>Data Integrator</t>
  </si>
  <si>
    <t>GoldenGate</t>
  </si>
  <si>
    <t>BI Server EE</t>
  </si>
  <si>
    <t>Metric</t>
  </si>
  <si>
    <t>Middleware PaaS List Pricing</t>
  </si>
  <si>
    <t>OCPU</t>
  </si>
  <si>
    <t>User (old) OCPU (new)</t>
  </si>
  <si>
    <t>Minimum was 10 users (Could not find in the price list)</t>
  </si>
  <si>
    <t>DB SE</t>
  </si>
  <si>
    <t>DB EE</t>
  </si>
  <si>
    <t>DB EE HP</t>
  </si>
  <si>
    <t>Monthly</t>
  </si>
  <si>
    <t>License (Min NUP)</t>
  </si>
  <si>
    <t>License (CPU)</t>
  </si>
  <si>
    <t>Support (CPU)</t>
  </si>
  <si>
    <t>Support (Min NUP)</t>
  </si>
  <si>
    <t>DBAAS Editions and Options</t>
  </si>
  <si>
    <t>This tab describes the different options available in Public Cloud Services and calculates the list price of the matching On premise license with all the DB options.</t>
  </si>
  <si>
    <r>
      <t>Oracle Database</t>
    </r>
    <r>
      <rPr>
        <sz val="11"/>
        <color rgb="FFFFFFFF"/>
        <rFont val="Times New Roman"/>
        <family val="1"/>
      </rPr>
      <t xml:space="preserve"> </t>
    </r>
  </si>
  <si>
    <t xml:space="preserve">EE </t>
  </si>
  <si>
    <t>EE High Performance</t>
  </si>
  <si>
    <t xml:space="preserve">EE Extreme Performance </t>
  </si>
  <si>
    <t xml:space="preserve">EE Extreme Performance (CY 2015) </t>
  </si>
  <si>
    <t>Typical on premise configuration</t>
  </si>
  <si>
    <t>CPU List price</t>
  </si>
  <si>
    <t>Minimum NUP Price per CPU</t>
  </si>
  <si>
    <r>
      <t>Standard Edition One</t>
    </r>
    <r>
      <rPr>
        <sz val="11"/>
        <color theme="1"/>
        <rFont val="Times New Roman"/>
        <family val="1"/>
      </rPr>
      <t xml:space="preserve"> </t>
    </r>
  </si>
  <si>
    <t>Yes</t>
  </si>
  <si>
    <r>
      <t>-</t>
    </r>
    <r>
      <rPr>
        <b/>
        <sz val="11"/>
        <color rgb="FF5F5F5F"/>
        <rFont val="Times New Roman"/>
        <family val="1"/>
      </rPr>
      <t xml:space="preserve"> </t>
    </r>
  </si>
  <si>
    <r>
      <t>Enterprise Edition</t>
    </r>
    <r>
      <rPr>
        <sz val="11"/>
        <color theme="1"/>
        <rFont val="Times New Roman"/>
        <family val="1"/>
      </rPr>
      <t xml:space="preserve"> </t>
    </r>
  </si>
  <si>
    <r>
      <t>Enterprise Edition Options</t>
    </r>
    <r>
      <rPr>
        <b/>
        <sz val="11"/>
        <color rgb="FFFFFFFF"/>
        <rFont val="Times New Roman"/>
        <family val="1"/>
      </rPr>
      <t xml:space="preserve"> </t>
    </r>
  </si>
  <si>
    <r>
      <t>Real Application Clusters (RAC)</t>
    </r>
    <r>
      <rPr>
        <sz val="11"/>
        <color rgb="FF303030"/>
        <rFont val="Times New Roman"/>
        <family val="1"/>
      </rPr>
      <t xml:space="preserve"> </t>
    </r>
  </si>
  <si>
    <r>
      <t>No</t>
    </r>
    <r>
      <rPr>
        <b/>
        <sz val="11"/>
        <color rgb="FF000000"/>
        <rFont val="Times New Roman"/>
        <family val="1"/>
      </rPr>
      <t xml:space="preserve"> </t>
    </r>
  </si>
  <si>
    <t>No</t>
  </si>
  <si>
    <r>
      <t>RAC One Node</t>
    </r>
    <r>
      <rPr>
        <sz val="11"/>
        <color rgb="FF303030"/>
        <rFont val="Times New Roman"/>
        <family val="1"/>
      </rPr>
      <t xml:space="preserve"> </t>
    </r>
  </si>
  <si>
    <r>
      <t>In-Memory Database</t>
    </r>
    <r>
      <rPr>
        <sz val="11"/>
        <color rgb="FF303030"/>
        <rFont val="Times New Roman"/>
        <family val="1"/>
      </rPr>
      <t xml:space="preserve"> </t>
    </r>
  </si>
  <si>
    <r>
      <t>Active Data Guard</t>
    </r>
    <r>
      <rPr>
        <sz val="11"/>
        <color rgb="FF303030"/>
        <rFont val="Times New Roman"/>
        <family val="1"/>
      </rPr>
      <t xml:space="preserve"> </t>
    </r>
  </si>
  <si>
    <r>
      <t>Multitenant</t>
    </r>
    <r>
      <rPr>
        <sz val="11"/>
        <color rgb="FF303030"/>
        <rFont val="Times New Roman"/>
        <family val="1"/>
      </rPr>
      <t xml:space="preserve"> </t>
    </r>
  </si>
  <si>
    <r>
      <t>Partitioning</t>
    </r>
    <r>
      <rPr>
        <sz val="11"/>
        <color rgb="FF303030"/>
        <rFont val="Times New Roman"/>
        <family val="1"/>
      </rPr>
      <t xml:space="preserve"> </t>
    </r>
  </si>
  <si>
    <r>
      <t>Real Application Testing</t>
    </r>
    <r>
      <rPr>
        <sz val="11"/>
        <color rgb="FF303030"/>
        <rFont val="Times New Roman"/>
        <family val="1"/>
      </rPr>
      <t xml:space="preserve"> </t>
    </r>
  </si>
  <si>
    <r>
      <t>Advanced Compression</t>
    </r>
    <r>
      <rPr>
        <sz val="11"/>
        <color rgb="FF303030"/>
        <rFont val="Times New Roman"/>
        <family val="1"/>
      </rPr>
      <t xml:space="preserve"> </t>
    </r>
  </si>
  <si>
    <r>
      <t>Advanced Security</t>
    </r>
    <r>
      <rPr>
        <sz val="11"/>
        <color rgb="FF303030"/>
        <rFont val="Times New Roman"/>
        <family val="1"/>
      </rPr>
      <t xml:space="preserve"> </t>
    </r>
  </si>
  <si>
    <r>
      <t>Label Security</t>
    </r>
    <r>
      <rPr>
        <sz val="11"/>
        <color rgb="FF303030"/>
        <rFont val="Times New Roman"/>
        <family val="1"/>
      </rPr>
      <t xml:space="preserve"> </t>
    </r>
  </si>
  <si>
    <r>
      <t>Database Vault</t>
    </r>
    <r>
      <rPr>
        <sz val="11"/>
        <color rgb="FF303030"/>
        <rFont val="Times New Roman"/>
        <family val="1"/>
      </rPr>
      <t xml:space="preserve"> </t>
    </r>
  </si>
  <si>
    <r>
      <t>OLAP</t>
    </r>
    <r>
      <rPr>
        <sz val="11"/>
        <color rgb="FF303030"/>
        <rFont val="Times New Roman"/>
        <family val="1"/>
      </rPr>
      <t xml:space="preserve"> </t>
    </r>
  </si>
  <si>
    <r>
      <t>Advanced Analytics</t>
    </r>
    <r>
      <rPr>
        <sz val="11"/>
        <color rgb="FF303030"/>
        <rFont val="Times New Roman"/>
        <family val="1"/>
      </rPr>
      <t xml:space="preserve"> </t>
    </r>
  </si>
  <si>
    <r>
      <t>Spatial and Graph</t>
    </r>
    <r>
      <rPr>
        <sz val="11"/>
        <color rgb="FF303030"/>
        <rFont val="Times New Roman"/>
        <family val="1"/>
      </rPr>
      <t xml:space="preserve"> </t>
    </r>
  </si>
  <si>
    <r>
      <t>DB Enterprise Management</t>
    </r>
    <r>
      <rPr>
        <b/>
        <sz val="11"/>
        <color rgb="FFFFFFFF"/>
        <rFont val="Times New Roman"/>
        <family val="1"/>
      </rPr>
      <t xml:space="preserve"> </t>
    </r>
  </si>
  <si>
    <r>
      <t>Diagnostics Pack</t>
    </r>
    <r>
      <rPr>
        <sz val="11"/>
        <color rgb="FF303030"/>
        <rFont val="Times New Roman"/>
        <family val="1"/>
      </rPr>
      <t xml:space="preserve"> </t>
    </r>
  </si>
  <si>
    <r>
      <t>Tuning Pack</t>
    </r>
    <r>
      <rPr>
        <sz val="11"/>
        <color rgb="FF303030"/>
        <rFont val="Times New Roman"/>
        <family val="1"/>
      </rPr>
      <t xml:space="preserve"> </t>
    </r>
  </si>
  <si>
    <r>
      <t>Database Lifecycle Mgnt Pack</t>
    </r>
    <r>
      <rPr>
        <sz val="11"/>
        <color rgb="FF303030"/>
        <rFont val="Times New Roman"/>
        <family val="1"/>
      </rPr>
      <t xml:space="preserve"> </t>
    </r>
  </si>
  <si>
    <r>
      <t>Data Masking Pack</t>
    </r>
    <r>
      <rPr>
        <sz val="11"/>
        <color rgb="FF303030"/>
        <rFont val="Times New Roman"/>
        <family val="1"/>
      </rPr>
      <t xml:space="preserve"> </t>
    </r>
  </si>
  <si>
    <r>
      <t>Test Data Management Pack</t>
    </r>
    <r>
      <rPr>
        <sz val="11"/>
        <color rgb="FF303030"/>
        <rFont val="Times New Roman"/>
        <family val="1"/>
      </rPr>
      <t xml:space="preserve"> </t>
    </r>
  </si>
  <si>
    <r>
      <t>Cloud Mgnt Pack for Oracle DB</t>
    </r>
    <r>
      <rPr>
        <sz val="11"/>
        <color rgb="FF303030"/>
        <rFont val="Times New Roman"/>
        <family val="1"/>
      </rPr>
      <t xml:space="preserve"> </t>
    </r>
  </si>
  <si>
    <t>On Premise License Cost (CPU)</t>
  </si>
  <si>
    <t>On Premise License Cost (NUP)</t>
  </si>
  <si>
    <t>% Compared to EE</t>
  </si>
  <si>
    <t>SE</t>
  </si>
  <si>
    <t>Cloud Commitment</t>
  </si>
  <si>
    <t>DB EE EP</t>
  </si>
  <si>
    <t>DBEE+ Part+Diag+Tuning</t>
  </si>
  <si>
    <t>Support Saving</t>
  </si>
  <si>
    <t>This comparison is on List price per year and 100% uptime with 0.5 core factor</t>
  </si>
  <si>
    <t>5 Years New License and Support Cost 1 CPU 0,5 core factor list price 100% Uptime</t>
  </si>
  <si>
    <t>New PAYG</t>
  </si>
  <si>
    <t>New Monthly</t>
  </si>
  <si>
    <t>BYOL PAYG</t>
  </si>
  <si>
    <t>BYOL Monthly</t>
  </si>
  <si>
    <t>Comparison of Annual Cost of BYOL4PAAS and New PAAS Credits (100% uptime)</t>
  </si>
  <si>
    <t>PRIOR List Price</t>
  </si>
  <si>
    <t>License (CPU) +Support +uplift</t>
  </si>
  <si>
    <t>The Same with Typical Discount</t>
  </si>
  <si>
    <t>On Premise Discount level</t>
  </si>
  <si>
    <t>Cloud Discount Level (5 years contract)</t>
  </si>
  <si>
    <t>Old DBCS hourly wth 20% uptime</t>
  </si>
  <si>
    <t>Old DBCS Annual cost 100% uptime</t>
  </si>
  <si>
    <t>New DBEE with BYOL4PAAS MC 100% uptime</t>
  </si>
  <si>
    <t>New DBEE with BYOL4PAAS MC 20% uptime</t>
  </si>
  <si>
    <t>DBEE</t>
  </si>
  <si>
    <t>Impact Of Utilization on 5 years TCO of DBCS</t>
  </si>
  <si>
    <t>Monthly 100% Utilization</t>
  </si>
  <si>
    <t>Monthly 23% Utilization</t>
  </si>
  <si>
    <t>DBA FTE Cost</t>
  </si>
  <si>
    <t>No. DB Cores managed by a DBA</t>
  </si>
  <si>
    <t>Annual cost of one core</t>
  </si>
  <si>
    <t>DBEE with BYOL for PAAS (100% utilization PAYG)</t>
  </si>
  <si>
    <t>DBEE with BYOL for IAAS (100% utilization PAYG)</t>
  </si>
  <si>
    <t>DBEE with BYOL for PAAS (20% utilization, PAYG)</t>
  </si>
  <si>
    <t>DBEE with BYOL for IAAS (20% utilization, PAYG)</t>
  </si>
  <si>
    <t>Savings on PAAS</t>
  </si>
  <si>
    <t>Assumptions</t>
  </si>
  <si>
    <t>For Apps Unlimited customers ( JD Edwards, PeopleSoft, Siebel, E-Business Suite, Value Chain Planning )</t>
  </si>
  <si>
    <t>License</t>
  </si>
  <si>
    <t>BYOL</t>
  </si>
  <si>
    <t>New PAAS (PAYG)</t>
  </si>
  <si>
    <t>BYOL (PAYG)+Support</t>
  </si>
  <si>
    <t>New PAAS (Monthly)</t>
  </si>
  <si>
    <t>Sunk cost</t>
  </si>
  <si>
    <t>Annual TCO DBEE plus Part+ Diag +Tuning pack</t>
  </si>
  <si>
    <t>TOTAL</t>
  </si>
  <si>
    <t>New PAAS (Monthly 20% Utilization)</t>
  </si>
  <si>
    <t>242500/</t>
  </si>
  <si>
    <t>Monthly Flex</t>
  </si>
  <si>
    <t>Oracle Cloud Auto Discount</t>
  </si>
  <si>
    <t>Oracle Cloud Additional Discount</t>
  </si>
  <si>
    <t>All Prices below are OCPU cost per month (in case of 100% uptime and Monthly Flex)</t>
  </si>
  <si>
    <t>New Monthly Flex</t>
  </si>
  <si>
    <t>Monthly Flex Price</t>
  </si>
  <si>
    <t>Discount</t>
  </si>
  <si>
    <t>Disount</t>
  </si>
  <si>
    <t>DBEE including Tuning And Diagnostic Pack</t>
  </si>
  <si>
    <t>vs New lic.</t>
  </si>
  <si>
    <t>Another tab to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</si>
</sst>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F_t_-;\-* #,##0.00\ _F_t_-;_-* &quot;-&quot;??\ _F_t_-;_-@_-"/>
    <numFmt numFmtId="164" formatCode="\+0%;\-0%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(* #,##0_);_(* \(#,##0\);_(* &quot;-&quot;??_);_(@_)"/>
    <numFmt numFmtId="168" formatCode="_-* #,##0.00\ [$€-1]_-;\-* #,##0.00\ [$€-1]_-;_-* &quot;-&quot;??\ [$€-1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Times New Roman"/>
      <family val="1"/>
    </font>
    <font>
      <sz val="11"/>
      <color theme="0"/>
      <name val="Calibri"/>
      <family val="2"/>
    </font>
    <font>
      <sz val="11"/>
      <color rgb="FF303030"/>
      <name val="Calibri"/>
      <family val="2"/>
    </font>
    <font>
      <sz val="11"/>
      <color theme="1"/>
      <name val="Times New Roman"/>
      <family val="1"/>
    </font>
    <font>
      <b/>
      <sz val="11"/>
      <color rgb="FF003A1A"/>
      <name val="Calibri"/>
      <family val="2"/>
    </font>
    <font>
      <b/>
      <sz val="11"/>
      <color rgb="FF5F5F5F"/>
      <name val="Calibri"/>
      <family val="2"/>
    </font>
    <font>
      <b/>
      <sz val="11"/>
      <color rgb="FF5F5F5F"/>
      <name val="Times New Roman"/>
      <family val="1"/>
    </font>
    <font>
      <b/>
      <sz val="11"/>
      <color rgb="FFFFFFFF"/>
      <name val="Times New Roman"/>
      <family val="1"/>
    </font>
    <font>
      <sz val="11"/>
      <color rgb="FF5F5F5F"/>
      <name val="Calibri"/>
      <family val="2"/>
    </font>
    <font>
      <sz val="11"/>
      <color rgb="FF303030"/>
      <name val="Times New Roman"/>
      <family val="1"/>
    </font>
    <font>
      <b/>
      <sz val="11"/>
      <color rgb="FFFF0000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  <xf numFmtId="9" fontId="0" fillId="0" borderId="0" xfId="0" applyNumberFormat="1"/>
    <xf numFmtId="0" fontId="2" fillId="2" borderId="0" xfId="0" applyFont="1" applyFill="1"/>
    <xf numFmtId="165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43" fontId="0" fillId="0" borderId="0" xfId="2" applyFont="1"/>
    <xf numFmtId="166" fontId="0" fillId="0" borderId="0" xfId="2" applyNumberFormat="1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9" fontId="0" fillId="0" borderId="0" xfId="1" applyFont="1" applyAlignment="1">
      <alignment vertical="top"/>
    </xf>
    <xf numFmtId="0" fontId="2" fillId="2" borderId="0" xfId="0" applyFont="1" applyFill="1" applyAlignment="1">
      <alignment wrapText="1"/>
    </xf>
    <xf numFmtId="0" fontId="0" fillId="0" borderId="0" xfId="0" applyFont="1"/>
    <xf numFmtId="0" fontId="4" fillId="2" borderId="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right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 wrapText="1" readingOrder="1"/>
    </xf>
    <xf numFmtId="167" fontId="0" fillId="0" borderId="0" xfId="2" applyNumberFormat="1" applyFont="1"/>
    <xf numFmtId="0" fontId="9" fillId="0" borderId="0" xfId="0" applyFont="1" applyBorder="1" applyAlignment="1">
      <alignment horizontal="center" vertical="center" wrapText="1" readingOrder="1"/>
    </xf>
    <xf numFmtId="0" fontId="13" fillId="2" borderId="1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top" wrapText="1" readingOrder="1"/>
    </xf>
    <xf numFmtId="0" fontId="9" fillId="0" borderId="1" xfId="0" applyFont="1" applyBorder="1" applyAlignment="1">
      <alignment horizontal="center" vertical="top" wrapText="1" readingOrder="1"/>
    </xf>
    <xf numFmtId="0" fontId="15" fillId="0" borderId="0" xfId="0" applyFont="1" applyBorder="1" applyAlignment="1">
      <alignment horizontal="center" vertical="top" wrapText="1" readingOrder="1"/>
    </xf>
    <xf numFmtId="0" fontId="9" fillId="0" borderId="4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9" fillId="0" borderId="6" xfId="0" applyFont="1" applyBorder="1" applyAlignment="1">
      <alignment horizontal="center" vertical="top" wrapText="1" readingOrder="1"/>
    </xf>
    <xf numFmtId="0" fontId="9" fillId="0" borderId="0" xfId="0" applyFont="1" applyBorder="1" applyAlignment="1">
      <alignment horizontal="center" vertical="top" wrapText="1" readingOrder="1"/>
    </xf>
    <xf numFmtId="0" fontId="9" fillId="0" borderId="7" xfId="0" applyFont="1" applyBorder="1" applyAlignment="1">
      <alignment horizontal="center" vertical="top" wrapText="1" readingOrder="1"/>
    </xf>
    <xf numFmtId="0" fontId="13" fillId="2" borderId="4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top" wrapText="1" readingOrder="1"/>
    </xf>
    <xf numFmtId="0" fontId="9" fillId="0" borderId="9" xfId="0" applyFont="1" applyBorder="1" applyAlignment="1">
      <alignment horizontal="center" vertical="top" wrapText="1" readingOrder="1"/>
    </xf>
    <xf numFmtId="0" fontId="6" fillId="2" borderId="10" xfId="0" applyFont="1" applyFill="1" applyBorder="1" applyAlignment="1">
      <alignment horizontal="right" vertical="center" wrapText="1" readingOrder="1"/>
    </xf>
    <xf numFmtId="167" fontId="17" fillId="0" borderId="0" xfId="2" applyNumberFormat="1" applyFont="1"/>
    <xf numFmtId="0" fontId="0" fillId="0" borderId="0" xfId="0" applyAlignment="1">
      <alignment vertical="top" wrapText="1"/>
    </xf>
    <xf numFmtId="166" fontId="0" fillId="0" borderId="0" xfId="2" applyNumberFormat="1" applyFont="1" applyAlignment="1">
      <alignment vertical="top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9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17" fillId="0" borderId="11" xfId="0" applyFont="1" applyBorder="1"/>
    <xf numFmtId="166" fontId="17" fillId="0" borderId="11" xfId="0" applyNumberFormat="1" applyFont="1" applyBorder="1"/>
    <xf numFmtId="168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8A77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D8A7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5EC733-E930-4133-9178-6A6A07903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01B-4231-A58A-52C7236E04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3B67B7-747E-4DAA-94C4-A8A19529A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1B-4231-A58A-52C7236E0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 of Commitment'!$A$2:$A$3</c:f>
              <c:strCache>
                <c:ptCount val="2"/>
                <c:pt idx="0">
                  <c:v>Monthly Flex</c:v>
                </c:pt>
                <c:pt idx="1">
                  <c:v>PAYG</c:v>
                </c:pt>
              </c:strCache>
            </c:strRef>
          </c:cat>
          <c:val>
            <c:numRef>
              <c:f>'Impact of Commitment'!$E$2:$E$3</c:f>
              <c:numCache>
                <c:formatCode>General</c:formatCode>
                <c:ptCount val="2"/>
                <c:pt idx="0">
                  <c:v>70</c:v>
                </c:pt>
                <c:pt idx="1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'Impact of Commitment'!$C$2:$C$3</c15:f>
                <c15:dlblRangeCache>
                  <c:ptCount val="2"/>
                  <c:pt idx="0">
                    <c:v>-33%</c:v>
                  </c:pt>
                  <c:pt idx="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1B-4231-A58A-52C7236E0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0171048"/>
        <c:axId val="560177936"/>
      </c:barChart>
      <c:catAx>
        <c:axId val="5601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7936"/>
        <c:crosses val="autoZero"/>
        <c:auto val="1"/>
        <c:lblAlgn val="ctr"/>
        <c:lblOffset val="100"/>
        <c:noMultiLvlLbl val="0"/>
      </c:catAx>
      <c:valAx>
        <c:axId val="56017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17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Middleware PAAS</a:t>
            </a:r>
          </a:p>
          <a:p>
            <a:pPr>
              <a:defRPr/>
            </a:pPr>
            <a:r>
              <a:rPr lang="hu-HU" sz="800"/>
              <a:t>All Prices below are OCPU cost per month (in case of 100% uptime and Monthly Flex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List Price Change'!$C$10:$C$11</c:f>
              <c:strCache>
                <c:ptCount val="2"/>
                <c:pt idx="0">
                  <c:v>PRIOR </c:v>
                </c:pt>
                <c:pt idx="1">
                  <c:v>List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0825921219822112E-3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A-44B0-B065-704FE5C1E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Change'!$A$12:$A$18</c:f>
              <c:strCache>
                <c:ptCount val="7"/>
                <c:pt idx="0">
                  <c:v>WebLogic Enterprise (Java CS)</c:v>
                </c:pt>
                <c:pt idx="1">
                  <c:v>WebLogic Suite (Java CS)</c:v>
                </c:pt>
                <c:pt idx="2">
                  <c:v>SOA Suite</c:v>
                </c:pt>
                <c:pt idx="3">
                  <c:v>WebCenter Portal </c:v>
                </c:pt>
                <c:pt idx="4">
                  <c:v>Data Integrator</c:v>
                </c:pt>
                <c:pt idx="5">
                  <c:v>GoldenGate</c:v>
                </c:pt>
                <c:pt idx="6">
                  <c:v>BI Server EE</c:v>
                </c:pt>
              </c:strCache>
            </c:strRef>
          </c:cat>
          <c:val>
            <c:numRef>
              <c:f>'PAAS List Price Change'!$C$12:$C$18</c:f>
              <c:numCache>
                <c:formatCode>_-[$$-409]* #\ ##0_ ;_-[$$-409]* \-#\ ##0\ ;_-[$$-409]* "-"??_ ;_-@_ </c:formatCode>
                <c:ptCount val="7"/>
                <c:pt idx="0">
                  <c:v>600</c:v>
                </c:pt>
                <c:pt idx="1">
                  <c:v>1400</c:v>
                </c:pt>
                <c:pt idx="2">
                  <c:v>2750</c:v>
                </c:pt>
                <c:pt idx="3">
                  <c:v>2900</c:v>
                </c:pt>
                <c:pt idx="4">
                  <c:v>2000</c:v>
                </c:pt>
                <c:pt idx="5">
                  <c:v>3000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A-44B0-B065-704FE5C1EEB7}"/>
            </c:ext>
          </c:extLst>
        </c:ser>
        <c:ser>
          <c:idx val="1"/>
          <c:order val="1"/>
          <c:tx>
            <c:strRef>
              <c:f>'PAAS List Price Change'!$D$10:$D$11</c:f>
              <c:strCache>
                <c:ptCount val="2"/>
                <c:pt idx="0">
                  <c:v>NEW </c:v>
                </c:pt>
                <c:pt idx="1">
                  <c:v>Monthly Flex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30C9F8-6C33-474D-B04F-855D87EA856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B382EE9-6C6B-49EE-A1A7-50C3A650969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BA-44B0-B065-704FE5C1EE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C266E4-F015-4DF2-A9D2-F9D564A11AA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E38E836-ACE8-47FA-9445-64DDA0A337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DBA-44B0-B065-704FE5C1EE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C0F0C0-2B6F-4A56-A215-6E0CFE14CD7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32084F6-336F-4285-BDD6-382C24971D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DBA-44B0-B065-704FE5C1EE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9B787E-E1F2-4338-B5D9-58CDA21D5DD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DCDE8FE-11BD-4EB7-86F6-F5A8720C9EB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DBA-44B0-B065-704FE5C1EE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C174D9-A4A7-46C8-880F-C609169194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68954BC-9F45-42D7-8C25-21BF2EE5CD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DBA-44B0-B065-704FE5C1EE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A4C256-B8B2-4A73-A8D6-A42CCBDA8D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F89F76-67F5-465B-A5A8-DE7EEF016B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DBA-44B0-B065-704FE5C1EE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5B06B6-84F7-485D-93DE-FA2C214A52B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C5DADE1-05C9-4136-8A07-416AB9EE9E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DBA-44B0-B065-704FE5C1E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Change'!$A$12:$A$18</c:f>
              <c:strCache>
                <c:ptCount val="7"/>
                <c:pt idx="0">
                  <c:v>WebLogic Enterprise (Java CS)</c:v>
                </c:pt>
                <c:pt idx="1">
                  <c:v>WebLogic Suite (Java CS)</c:v>
                </c:pt>
                <c:pt idx="2">
                  <c:v>SOA Suite</c:v>
                </c:pt>
                <c:pt idx="3">
                  <c:v>WebCenter Portal </c:v>
                </c:pt>
                <c:pt idx="4">
                  <c:v>Data Integrator</c:v>
                </c:pt>
                <c:pt idx="5">
                  <c:v>GoldenGate</c:v>
                </c:pt>
                <c:pt idx="6">
                  <c:v>BI Server EE</c:v>
                </c:pt>
              </c:strCache>
            </c:strRef>
          </c:cat>
          <c:val>
            <c:numRef>
              <c:f>'PAAS List Price Change'!$D$12:$D$18</c:f>
              <c:numCache>
                <c:formatCode>_-[$$-409]* #\ ##0_ ;_-[$$-409]* \-#\ ##0\ ;_-[$$-409]* "-"??_ ;_-@_ </c:formatCode>
                <c:ptCount val="7"/>
                <c:pt idx="0">
                  <c:v>288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List Price Change'!$E$12:$E$18</c15:f>
                <c15:dlblRangeCache>
                  <c:ptCount val="7"/>
                  <c:pt idx="0">
                    <c:v>-52%</c:v>
                  </c:pt>
                  <c:pt idx="1">
                    <c:v>-49%</c:v>
                  </c:pt>
                  <c:pt idx="2">
                    <c:v>-74%</c:v>
                  </c:pt>
                  <c:pt idx="3">
                    <c:v>-75%</c:v>
                  </c:pt>
                  <c:pt idx="4">
                    <c:v>-64%</c:v>
                  </c:pt>
                  <c:pt idx="5">
                    <c:v>-76%</c:v>
                  </c:pt>
                  <c:pt idx="6">
                    <c:v>-52%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DBA-44B0-B065-704FE5C1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185272"/>
        <c:axId val="469182320"/>
      </c:barChart>
      <c:catAx>
        <c:axId val="4691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2320"/>
        <c:crosses val="autoZero"/>
        <c:auto val="1"/>
        <c:lblAlgn val="ctr"/>
        <c:lblOffset val="100"/>
        <c:noMultiLvlLbl val="0"/>
      </c:catAx>
      <c:valAx>
        <c:axId val="469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Database PAAS</a:t>
            </a:r>
          </a:p>
          <a:p>
            <a:pPr>
              <a:defRPr/>
            </a:pPr>
            <a:r>
              <a:rPr lang="hu-HU" sz="800"/>
              <a:t>All Prices below are OCPU cost per month (in case of 100% uptime and Monthly Flex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List Price Change'!$C$3</c:f>
              <c:strCache>
                <c:ptCount val="1"/>
                <c:pt idx="0">
                  <c:v>PRIOR List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Change'!$A$4:$A$8</c:f>
              <c:strCache>
                <c:ptCount val="5"/>
                <c:pt idx="0">
                  <c:v>Standard Edition</c:v>
                </c:pt>
                <c:pt idx="1">
                  <c:v>Enterprise Edition </c:v>
                </c:pt>
                <c:pt idx="2">
                  <c:v>High Performance Edition</c:v>
                </c:pt>
                <c:pt idx="3">
                  <c:v>Extreme Performance Edition</c:v>
                </c:pt>
                <c:pt idx="4">
                  <c:v>Exadata additional OCPUs1</c:v>
                </c:pt>
              </c:strCache>
            </c:strRef>
          </c:cat>
          <c:val>
            <c:numRef>
              <c:f>'PAAS List Price Change'!$C$4:$C$8</c:f>
              <c:numCache>
                <c:formatCode>_-[$$-409]* #\ ##0_ ;_-[$$-409]* \-#\ ##0\ ;_-[$$-409]* "-"??_ ;_-@_ </c:formatCode>
                <c:ptCount val="5"/>
                <c:pt idx="0">
                  <c:v>300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1-43F3-888E-0B4594AB5960}"/>
            </c:ext>
          </c:extLst>
        </c:ser>
        <c:ser>
          <c:idx val="1"/>
          <c:order val="1"/>
          <c:tx>
            <c:strRef>
              <c:f>'PAAS List Price Change'!$D$3</c:f>
              <c:strCache>
                <c:ptCount val="1"/>
                <c:pt idx="0">
                  <c:v>New Monthly 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B14B506-2961-4CED-B361-DE3284B18B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D16436E-995E-43F5-9978-6D423AE5DA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9D1-43F3-888E-0B4594AB59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67656-942D-468C-BD16-76BFC6BFB1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FE67E1-405B-4908-8D23-2AF4B010C6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9D1-43F3-888E-0B4594AB59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40626C-B2B7-424A-8696-A7EF812623B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E65DF0D-E39F-46B8-8BD3-E55396A6831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9D1-43F3-888E-0B4594AB59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E08A7A-D916-4358-B159-CC94BA336AB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5995E85-9021-4357-9BDF-0F59F01838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9D1-43F3-888E-0B4594AB59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489E7C-FEC6-4FBC-ACC5-A23B82267AC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0555486-8367-412B-87A0-70C244ECF7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9D1-43F3-888E-0B4594AB5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Change'!$A$4:$A$8</c:f>
              <c:strCache>
                <c:ptCount val="5"/>
                <c:pt idx="0">
                  <c:v>Standard Edition</c:v>
                </c:pt>
                <c:pt idx="1">
                  <c:v>Enterprise Edition </c:v>
                </c:pt>
                <c:pt idx="2">
                  <c:v>High Performance Edition</c:v>
                </c:pt>
                <c:pt idx="3">
                  <c:v>Extreme Performance Edition</c:v>
                </c:pt>
                <c:pt idx="4">
                  <c:v>Exadata additional OCPUs1</c:v>
                </c:pt>
              </c:strCache>
            </c:strRef>
          </c:cat>
          <c:val>
            <c:numRef>
              <c:f>'PAAS List Price Change'!$D$4:$D$8</c:f>
              <c:numCache>
                <c:formatCode>_-[$$-409]* #\ ##0_ ;_-[$$-409]* \-#\ ##0\ ;_-[$$-409]* "-"??_ ;_-@_ 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825</c:v>
                </c:pt>
                <c:pt idx="3">
                  <c:v>1250</c:v>
                </c:pt>
                <c:pt idx="4">
                  <c:v>1250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List Price Change'!$E$4:$E$8</c15:f>
                <c15:dlblRangeCache>
                  <c:ptCount val="5"/>
                  <c:pt idx="0">
                    <c:v>-33%</c:v>
                  </c:pt>
                  <c:pt idx="1">
                    <c:v>-73%</c:v>
                  </c:pt>
                  <c:pt idx="2">
                    <c:v>-59%</c:v>
                  </c:pt>
                  <c:pt idx="3">
                    <c:v>-50%</c:v>
                  </c:pt>
                  <c:pt idx="4">
                    <c:v>-50%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9D1-43F3-888E-0B4594AB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185272"/>
        <c:axId val="469182320"/>
      </c:barChart>
      <c:catAx>
        <c:axId val="4691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2320"/>
        <c:crosses val="autoZero"/>
        <c:auto val="1"/>
        <c:lblAlgn val="ctr"/>
        <c:lblOffset val="100"/>
        <c:noMultiLvlLbl val="0"/>
      </c:catAx>
      <c:valAx>
        <c:axId val="469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and Cloud Cost on List Price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Premise'!$D$6</c:f>
              <c:numCache>
                <c:formatCode>_-[$$-409]* #\ ##0_ ;_-[$$-409]* \-#\ ##0\ ;_-[$$-409]* "-"??_ ;_-@_ </c:formatCode>
                <c:ptCount val="1"/>
                <c:pt idx="0">
                  <c:v>23750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4-41FD-B76C-4CE8CC0C2823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Premise'!$E$6</c:f>
              <c:numCache>
                <c:formatCode>_-[$$-409]* #\ ##0_ ;_-[$$-409]* \-#\ ##0\ ;_-[$$-409]* "-"??_ ;_-@_ </c:formatCode>
                <c:ptCount val="1"/>
                <c:pt idx="0">
                  <c:v>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4-41FD-B76C-4CE8CC0C2823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350842174783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84-41FD-B76C-4CE8CC0C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Premise'!$F$6</c:f>
              <c:numCache>
                <c:formatCode>_-[$$-409]* #\ ##0_ ;_-[$$-409]* \-#\ ##0\ ;_-[$$-409]* "-"??_ ;_-@_ </c:formatCode>
                <c:ptCount val="1"/>
                <c:pt idx="0">
                  <c:v>7064.0640000000003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4-41FD-B76C-4CE8CC0C2823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46194225721784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84-41FD-B76C-4CE8CC0C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Premise'!$G$6</c:f>
              <c:numCache>
                <c:formatCode>_-[$$-409]* #\ ##0_ ;_-[$$-409]* \-#\ ##0\ ;_-[$$-409]* "-"??_ ;_-@_ </c:formatCode>
                <c:ptCount val="1"/>
                <c:pt idx="0">
                  <c:v>4709.3759999999993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4-41FD-B76C-4CE8CC0C28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84-41FD-B76C-4CE8CC0C282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84-41FD-B76C-4CE8CC0C2823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New PAAS Can be Cheaper than Support 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Premise'!$E$5:$E$9</c:f>
              <c:numCache>
                <c:formatCode>_-[$$-409]* #\ ##0_ ;_-[$$-409]* \-#\ ##0\ ;_-[$$-409]* "-"??_ ;_-@_ </c:formatCode>
                <c:ptCount val="5"/>
                <c:pt idx="0">
                  <c:v>1925</c:v>
                </c:pt>
                <c:pt idx="1">
                  <c:v>5225</c:v>
                </c:pt>
                <c:pt idx="2">
                  <c:v>15840</c:v>
                </c:pt>
                <c:pt idx="3">
                  <c:v>7865</c:v>
                </c:pt>
                <c:pt idx="4">
                  <c:v>35310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1BA-98C5-C582FD1A26D6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9810DB-7E98-4479-BEDE-B731BD190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20-41BA-98C5-C582FD1A26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93CB14-D400-4F7E-91F0-322DD2443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20-41BA-98C5-C582FD1A2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C58972-2C33-41AF-9872-C6A570014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20-41BA-98C5-C582FD1A26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2C4828-3221-48F5-8440-067157F1F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20-41BA-98C5-C582FD1A26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D8BA0E-5706-41E8-9C72-A2186A038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20-41BA-98C5-C582FD1A2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Premise'!$F$5:$F$9</c:f>
              <c:numCache>
                <c:formatCode>_-[$$-409]* #\ ##0_ ;_-[$$-409]* \-#\ ##0\ ;_-[$$-409]* "-"??_ ;_-@_ </c:formatCode>
                <c:ptCount val="5"/>
                <c:pt idx="0">
                  <c:v>3532.0320000000002</c:v>
                </c:pt>
                <c:pt idx="1">
                  <c:v>7064.0640000000003</c:v>
                </c:pt>
                <c:pt idx="2">
                  <c:v>14571.384</c:v>
                </c:pt>
                <c:pt idx="3">
                  <c:v>14571.384</c:v>
                </c:pt>
                <c:pt idx="4">
                  <c:v>22076.952000000001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Premise'!$F$12:$F$16</c15:f>
                <c15:dlblRangeCache>
                  <c:ptCount val="5"/>
                  <c:pt idx="0">
                    <c:v>+83%</c:v>
                  </c:pt>
                  <c:pt idx="1">
                    <c:v>+35%</c:v>
                  </c:pt>
                  <c:pt idx="2">
                    <c:v>-8%</c:v>
                  </c:pt>
                  <c:pt idx="3">
                    <c:v>+85%</c:v>
                  </c:pt>
                  <c:pt idx="4">
                    <c:v>-37%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920-41BA-98C5-C582FD1A26D6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176670-A08D-4BD6-8A5E-C911DD4A47A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20-41BA-98C5-C582FD1A26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4C7917-9237-495E-BFBA-341E1D2D246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20-41BA-98C5-C582FD1A2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FE3187-31C9-4F41-A766-7F495850CB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920-41BA-98C5-C582FD1A26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E4DDED-7A40-48BE-B612-90538B1B2FA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920-41BA-98C5-C582FD1A26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AAECA3-5EF5-4D2D-B7C6-C95ED9C263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920-41BA-98C5-C582FD1A2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Premise'!$G$5:$G$9</c:f>
              <c:numCache>
                <c:formatCode>_-[$$-409]* #\ ##0_ ;_-[$$-409]* \-#\ ##0\ ;_-[$$-409]* "-"??_ ;_-@_ </c:formatCode>
                <c:ptCount val="5"/>
                <c:pt idx="0">
                  <c:v>2354.6879999999996</c:v>
                </c:pt>
                <c:pt idx="1">
                  <c:v>4709.3759999999993</c:v>
                </c:pt>
                <c:pt idx="2">
                  <c:v>9713.9639999999999</c:v>
                </c:pt>
                <c:pt idx="3">
                  <c:v>9713.9639999999999</c:v>
                </c:pt>
                <c:pt idx="4">
                  <c:v>14717.675999999999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3-4920-41BA-98C5-C582FD1A2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81456"/>
        <c:axId val="61128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Premise'!$B$5:$B$9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1750</c:v>
                      </c:pt>
                      <c:pt idx="1">
                        <c:v>11875</c:v>
                      </c:pt>
                      <c:pt idx="2">
                        <c:v>63375</c:v>
                      </c:pt>
                      <c:pt idx="3">
                        <c:v>17875</c:v>
                      </c:pt>
                      <c:pt idx="4">
                        <c:v>80250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920-41BA-98C5-C582FD1A26D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Premise'!$D$4</c15:sqref>
                        </c15:formulaRef>
                      </c:ext>
                    </c:extLst>
                    <c:strCache>
                      <c:ptCount val="1"/>
                      <c:pt idx="0">
                        <c:v>License (CPU)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Premise'!$D$5:$D$9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8750</c:v>
                      </c:pt>
                      <c:pt idx="1">
                        <c:v>23750</c:v>
                      </c:pt>
                      <c:pt idx="2">
                        <c:v>72000</c:v>
                      </c:pt>
                      <c:pt idx="3">
                        <c:v>35750</c:v>
                      </c:pt>
                      <c:pt idx="4">
                        <c:v>160500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20-41BA-98C5-C582FD1A26D6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Premise'!$C$5:$C$9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385</c:v>
                      </c:pt>
                      <c:pt idx="1">
                        <c:v>2612.5</c:v>
                      </c:pt>
                      <c:pt idx="2">
                        <c:v>13942.5</c:v>
                      </c:pt>
                      <c:pt idx="3">
                        <c:v>3932.5</c:v>
                      </c:pt>
                      <c:pt idx="4">
                        <c:v>17655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20-41BA-98C5-C582FD1A26D6}"/>
                  </c:ext>
                </c:extLst>
              </c15:ser>
            </c15:filteredBarSeries>
          </c:ext>
        </c:extLst>
      </c:barChart>
      <c:catAx>
        <c:axId val="611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28"/>
        <c:crosses val="autoZero"/>
        <c:auto val="1"/>
        <c:lblAlgn val="ctr"/>
        <c:lblOffset val="100"/>
        <c:noMultiLvlLbl val="0"/>
      </c:catAx>
      <c:valAx>
        <c:axId val="611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5 Years </a:t>
            </a:r>
            <a:r>
              <a:rPr lang="hu-HU" sz="1200"/>
              <a:t>New </a:t>
            </a:r>
            <a:r>
              <a:rPr lang="en-US" sz="1200"/>
              <a:t>License and Support Cost 1 CPU 0,5 core factor list price 100% Uptime</a:t>
            </a:r>
            <a:r>
              <a:rPr lang="hu-HU" sz="1200"/>
              <a:t> Database Enterprise Edition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Premise'!$A$62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73-45A8-8231-8FBF9E35B5D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3-45A8-8231-8FBF9E35B5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CC09A8-4601-4D5A-BF07-47FCE8EED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73-45A8-8231-8FBF9E35B5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904854-320E-4DB0-85B4-19330F992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73-45A8-8231-8FBF9E35B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'PAAS vs On Premise'!$B$60:$E$60</c15:sqref>
                  </c15:fullRef>
                </c:ext>
              </c:extLst>
              <c:f>'PAAS vs On Premise'!$C$60:$E$60</c:f>
              <c:strCache>
                <c:ptCount val="3"/>
                <c:pt idx="0">
                  <c:v>License (CPU) +Support +uplift</c:v>
                </c:pt>
                <c:pt idx="1">
                  <c:v>PAYG</c:v>
                </c:pt>
                <c:pt idx="2">
                  <c:v>Monthly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'PAAS vs On Premise'!$B$62:$E$62</c15:sqref>
                  </c15:fullRef>
                </c:ext>
              </c:extLst>
              <c:f>'PAAS vs On Premise'!$C$62:$E$62</c:f>
              <c:numCache>
                <c:formatCode>_-[$$-409]* #\ ##0_ ;_-[$$-409]* \-#\ ##0\ ;_-[$$-409]* "-"??_ ;_-@_ </c:formatCode>
                <c:ptCount val="3"/>
                <c:pt idx="0">
                  <c:v>49875</c:v>
                </c:pt>
                <c:pt idx="1">
                  <c:v>33638.400000000001</c:v>
                </c:pt>
                <c:pt idx="2">
                  <c:v>23546.879999999997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Premise'!$B$70:$E$70</c15:f>
                <c15:dlblRangeCache>
                  <c:ptCount val="4"/>
                  <c:pt idx="0">
                    <c:v>-48%</c:v>
                  </c:pt>
                  <c:pt idx="1">
                    <c:v>+0%</c:v>
                  </c:pt>
                  <c:pt idx="2">
                    <c:v>-33%</c:v>
                  </c:pt>
                  <c:pt idx="3">
                    <c:v>-53%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73-45A8-8231-8FBF9E35B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5 Years </a:t>
            </a:r>
            <a:r>
              <a:rPr lang="hu-HU" sz="1600" b="1" i="0" u="none" strike="noStrike" baseline="0">
                <a:effectLst/>
              </a:rPr>
              <a:t>New </a:t>
            </a:r>
            <a:r>
              <a:rPr lang="en-US" sz="1600" b="1" i="0" u="none" strike="noStrike" baseline="0">
                <a:effectLst/>
              </a:rPr>
              <a:t>License and Support Cost 1 CPU 0,5 core factor list price 100% Uptime</a:t>
            </a:r>
            <a:r>
              <a:rPr lang="hu-HU" sz="1600" b="1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Premise'!$C$60</c:f>
              <c:strCache>
                <c:ptCount val="1"/>
                <c:pt idx="0">
                  <c:v>License (CPU) +Support +uplift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74000">
                  <a:srgbClr val="FF0000"/>
                </a:gs>
                <a:gs pos="83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41176470588235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6-4D76-BA8D-DBDF78A430A0}"/>
                </c:ext>
              </c:extLst>
            </c:dLbl>
            <c:numFmt formatCode="[$$-C09]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Premise'!$C$61:$C$65</c:f>
              <c:numCache>
                <c:formatCode>_-[$$-409]* #\ ##0_ ;_-[$$-409]* \-#\ ##0\ ;_-[$$-409]* "-"??_ ;_-@_ </c:formatCode>
                <c:ptCount val="5"/>
                <c:pt idx="0">
                  <c:v>18952.5</c:v>
                </c:pt>
                <c:pt idx="1">
                  <c:v>49875</c:v>
                </c:pt>
                <c:pt idx="2">
                  <c:v>155952</c:v>
                </c:pt>
                <c:pt idx="3">
                  <c:v>77434.5</c:v>
                </c:pt>
                <c:pt idx="4">
                  <c:v>347643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D6-4D76-BA8D-DBDF78A430A0}"/>
            </c:ext>
          </c:extLst>
        </c:ser>
        <c:ser>
          <c:idx val="1"/>
          <c:order val="2"/>
          <c:tx>
            <c:strRef>
              <c:f>'PAAS vs On Premise'!$D$60</c:f>
              <c:strCache>
                <c:ptCount val="1"/>
                <c:pt idx="0">
                  <c:v>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3EB1663-2C73-47BA-B289-059FA9B09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D6-4D76-BA8D-DBDF78A4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E337D3-5EB0-4AF7-A6F9-CC98C031B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D6-4D76-BA8D-DBDF78A43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8B5B71-FF25-4B79-871F-2073A2DC1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D6-4D76-BA8D-DBDF78A43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B9BF3F-EC28-4B81-801F-B9067DEF5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D6-4D76-BA8D-DBDF78A43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663DA4-64C1-4BC5-9A20-29BCDBC79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D6-4D76-BA8D-DBDF78A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Premise'!$D$61:$D$65</c:f>
              <c:numCache>
                <c:formatCode>_-[$$-409]* #\ ##0_ ;_-[$$-409]* \-#\ ##0\ ;_-[$$-409]* "-"??_ ;_-@_ </c:formatCode>
                <c:ptCount val="5"/>
                <c:pt idx="0">
                  <c:v>16819.2</c:v>
                </c:pt>
                <c:pt idx="1">
                  <c:v>33638.400000000001</c:v>
                </c:pt>
                <c:pt idx="2">
                  <c:v>69383.58</c:v>
                </c:pt>
                <c:pt idx="3">
                  <c:v>69383.58</c:v>
                </c:pt>
                <c:pt idx="4">
                  <c:v>105128.76000000001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Premise'!$D$69:$D$73</c15:f>
                <c15:dlblRangeCache>
                  <c:ptCount val="5"/>
                  <c:pt idx="0">
                    <c:v>-11%</c:v>
                  </c:pt>
                  <c:pt idx="1">
                    <c:v>-33%</c:v>
                  </c:pt>
                  <c:pt idx="2">
                    <c:v>-56%</c:v>
                  </c:pt>
                  <c:pt idx="3">
                    <c:v>-10%</c:v>
                  </c:pt>
                  <c:pt idx="4">
                    <c:v>-70%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9D6-4D76-BA8D-DBDF78A430A0}"/>
            </c:ext>
          </c:extLst>
        </c:ser>
        <c:ser>
          <c:idx val="4"/>
          <c:order val="3"/>
          <c:tx>
            <c:strRef>
              <c:f>'PAAS vs On Premise'!$E$60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160516-0FBF-4551-8ADE-67543C115F9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D6-4D76-BA8D-DBDF78A4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D1B418-45C5-43A0-B5BA-2C1331D9D13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D6-4D76-BA8D-DBDF78A43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8959E4-2186-44C6-B175-A0A3148094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D6-4D76-BA8D-DBDF78A43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83A05B-A30A-473D-B47C-DBEAD15F360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D6-4D76-BA8D-DBDF78A43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51323C-70A8-46B2-98A7-32243122BA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D6-4D76-BA8D-DBDF78A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Premise'!$E$61:$E$65</c:f>
              <c:numCache>
                <c:formatCode>_-[$$-409]* #\ ##0_ ;_-[$$-409]* \-#\ ##0\ ;_-[$$-409]* "-"??_ ;_-@_ </c:formatCode>
                <c:ptCount val="5"/>
                <c:pt idx="0">
                  <c:v>11773.439999999999</c:v>
                </c:pt>
                <c:pt idx="1">
                  <c:v>23546.879999999997</c:v>
                </c:pt>
                <c:pt idx="2">
                  <c:v>48569.82</c:v>
                </c:pt>
                <c:pt idx="3">
                  <c:v>48569.82</c:v>
                </c:pt>
                <c:pt idx="4">
                  <c:v>73588.38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6-59D6-4D76-BA8D-DBDF78A43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81456"/>
        <c:axId val="61128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Premise'!$B$60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Premise'!$A$61:$A$65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Premise'!$B$61:$B$65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3790.5</c:v>
                      </c:pt>
                      <c:pt idx="1">
                        <c:v>25721.25</c:v>
                      </c:pt>
                      <c:pt idx="2">
                        <c:v>137270.25</c:v>
                      </c:pt>
                      <c:pt idx="3">
                        <c:v>38717.25</c:v>
                      </c:pt>
                      <c:pt idx="4">
                        <c:v>173821.5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9D6-4D76-BA8D-DBDF78A430A0}"/>
                  </c:ext>
                </c:extLst>
              </c15:ser>
            </c15:filteredBarSeries>
          </c:ext>
        </c:extLst>
      </c:barChart>
      <c:catAx>
        <c:axId val="611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28"/>
        <c:crosses val="autoZero"/>
        <c:auto val="1"/>
        <c:lblAlgn val="ctr"/>
        <c:lblOffset val="100"/>
        <c:noMultiLvlLbl val="0"/>
      </c:catAx>
      <c:valAx>
        <c:axId val="611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/>
              <a:t>Comparison of Annual Cost</a:t>
            </a:r>
            <a:r>
              <a:rPr lang="hu-HU" sz="1200" baseline="0"/>
              <a:t> Of New PAAS vs Support+BYOL4PAAS (100% uptime List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Premise'!$B$77</c:f>
              <c:strCache>
                <c:ptCount val="1"/>
                <c:pt idx="0">
                  <c:v>New 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Premise'!$B$78:$B$82</c:f>
              <c:numCache>
                <c:formatCode>_-[$$-409]* #\ ##0_ ;_-[$$-409]* \-#\ ##0\ ;_-[$$-409]* "-"??_ ;_-@_ </c:formatCode>
                <c:ptCount val="5"/>
                <c:pt idx="0">
                  <c:v>3532.0320000000002</c:v>
                </c:pt>
                <c:pt idx="1">
                  <c:v>7064.0640000000003</c:v>
                </c:pt>
                <c:pt idx="2">
                  <c:v>14571.384</c:v>
                </c:pt>
                <c:pt idx="3">
                  <c:v>14571.384</c:v>
                </c:pt>
                <c:pt idx="4">
                  <c:v>22076.952000000001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8-4001-ACFD-D617A826B62E}"/>
            </c:ext>
          </c:extLst>
        </c:ser>
        <c:ser>
          <c:idx val="3"/>
          <c:order val="1"/>
          <c:tx>
            <c:strRef>
              <c:f>'PAAS vs On Premise'!$C$77</c:f>
              <c:strCache>
                <c:ptCount val="1"/>
                <c:pt idx="0">
                  <c:v>BYOL PAYG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CF4EE0-0A5F-4A41-83BE-E0D48E943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78-4001-ACFD-D617A826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B303AF-B0D4-438B-B385-D9854C634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78-4001-ACFD-D617A826B6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85F78D-E1CD-4F51-83E0-E2A158405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978-4001-ACFD-D617A826B6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33D678-750F-4E3B-A9BE-38B77B7FD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978-4001-ACFD-D617A826B6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605125-4156-4E47-A7AD-9BE285EF1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978-4001-ACFD-D617A826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Premise'!$C$78:$C$82</c:f>
              <c:numCache>
                <c:formatCode>_-[$$-409]* #\ ##0_ ;_-[$$-409]* \-#\ ##0\ ;_-[$$-409]* "-"??_ ;_-@_ </c:formatCode>
                <c:ptCount val="5"/>
                <c:pt idx="0">
                  <c:v>4347.1400000000003</c:v>
                </c:pt>
                <c:pt idx="1">
                  <c:v>7647.14</c:v>
                </c:pt>
                <c:pt idx="2">
                  <c:v>18262.14</c:v>
                </c:pt>
                <c:pt idx="3">
                  <c:v>10287.14</c:v>
                </c:pt>
                <c:pt idx="4">
                  <c:v>37732.14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Premise'!$C$85:$C$89</c15:f>
                <c15:dlblRangeCache>
                  <c:ptCount val="5"/>
                  <c:pt idx="0">
                    <c:v>+23%</c:v>
                  </c:pt>
                  <c:pt idx="1">
                    <c:v>+8%</c:v>
                  </c:pt>
                  <c:pt idx="2">
                    <c:v>+25%</c:v>
                  </c:pt>
                  <c:pt idx="3">
                    <c:v>-29%</c:v>
                  </c:pt>
                  <c:pt idx="4">
                    <c:v>+71%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978-4001-ACFD-D617A826B62E}"/>
            </c:ext>
          </c:extLst>
        </c:ser>
        <c:ser>
          <c:idx val="2"/>
          <c:order val="2"/>
          <c:tx>
            <c:strRef>
              <c:f>'PAAS vs On Premise'!$D$77</c:f>
              <c:strCache>
                <c:ptCount val="1"/>
                <c:pt idx="0">
                  <c:v>New 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3843B7-E5D0-4989-B8E5-BD7FC942F82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57-45BB-8025-FFF7D2065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87E573-240D-4A19-BC66-A1EBEE95AE4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57-45BB-8025-FFF7D2065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91B50F-A6F3-41D1-9DD0-F5C3B8A1B7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57-45BB-8025-FFF7D20654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B41DB7-8BF3-4B36-A016-E5798F83B7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57-45BB-8025-FFF7D20654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35BED3-B9E4-450C-A103-93F9AEE8268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57-45BB-8025-FFF7D2065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Premise'!$D$78:$D$82</c:f>
              <c:numCache>
                <c:formatCode>_-[$$-409]* #\ ##0_ ;_-[$$-409]* \-#\ ##0\ ;_-[$$-409]* "-"??_ ;_-@_ </c:formatCode>
                <c:ptCount val="5"/>
                <c:pt idx="0">
                  <c:v>2354.6879999999996</c:v>
                </c:pt>
                <c:pt idx="1">
                  <c:v>4709.3759999999993</c:v>
                </c:pt>
                <c:pt idx="2">
                  <c:v>9713.9639999999999</c:v>
                </c:pt>
                <c:pt idx="3">
                  <c:v>9713.9639999999999</c:v>
                </c:pt>
                <c:pt idx="4">
                  <c:v>14717.675999999999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7-C978-4001-ACFD-D617A826B62E}"/>
            </c:ext>
          </c:extLst>
        </c:ser>
        <c:ser>
          <c:idx val="5"/>
          <c:order val="3"/>
          <c:tx>
            <c:strRef>
              <c:f>'PAAS vs On Premise'!$E$77</c:f>
              <c:strCache>
                <c:ptCount val="1"/>
                <c:pt idx="0">
                  <c:v>BYOL Monthly</c:v>
                </c:pt>
              </c:strCache>
            </c:strRef>
          </c:tx>
          <c:spPr>
            <a:solidFill>
              <a:srgbClr val="FD8A7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E95506-7BFF-4F99-BDC6-C0078F7E5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978-4001-ACFD-D617A826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EA6C4D-98C0-4AAA-9D50-C53C03CBD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978-4001-ACFD-D617A826B6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8233E3-704B-4DC6-99F4-EF7756CAD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978-4001-ACFD-D617A826B6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D0512A-0F09-499B-A658-31AE4BBFD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978-4001-ACFD-D617A826B6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A6B99A-9D26-4CB9-B650-8413D79B6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978-4001-ACFD-D617A826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Premise'!$E$78:$E$82</c:f>
              <c:numCache>
                <c:formatCode>_-[$$-409]* #\ ##0_ ;_-[$$-409]* \-#\ ##0\ ;_-[$$-409]* "-"??_ ;_-@_ </c:formatCode>
                <c:ptCount val="5"/>
                <c:pt idx="0">
                  <c:v>3620.9359999999997</c:v>
                </c:pt>
                <c:pt idx="1">
                  <c:v>6920.9359999999997</c:v>
                </c:pt>
                <c:pt idx="2">
                  <c:v>17535.936000000002</c:v>
                </c:pt>
                <c:pt idx="3">
                  <c:v>9560.9359999999997</c:v>
                </c:pt>
                <c:pt idx="4">
                  <c:v>37005.936000000002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Premise'!$E$85:$E$89</c15:f>
                <c15:dlblRangeCache>
                  <c:ptCount val="5"/>
                  <c:pt idx="0">
                    <c:v>+54%</c:v>
                  </c:pt>
                  <c:pt idx="1">
                    <c:v>+47%</c:v>
                  </c:pt>
                  <c:pt idx="2">
                    <c:v>+81%</c:v>
                  </c:pt>
                  <c:pt idx="3">
                    <c:v>-2%</c:v>
                  </c:pt>
                  <c:pt idx="4">
                    <c:v>+151%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978-4001-ACFD-D617A826B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Annual Cost Of New DBAAS vs Support+BYOL4PAAS (100% uptime List price)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Premise'!$A$79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0F-4A0C-AD5C-A22841A3E0CC}"/>
              </c:ext>
            </c:extLst>
          </c:dPt>
          <c:dPt>
            <c:idx val="3"/>
            <c:invertIfNegative val="0"/>
            <c:bubble3D val="0"/>
            <c:spPr>
              <a:solidFill>
                <a:srgbClr val="FD8A7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0F-4A0C-AD5C-A22841A3E0C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89E0B2-1431-4AB0-A4D9-40549FEF6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0F-4A0C-AD5C-A22841A3E0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681533-A3A8-4F85-BA2F-2260278E9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0F-4A0C-AD5C-A22841A3E0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B46204-52B9-4B42-8920-527C3E5C2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0F-4A0C-AD5C-A22841A3E0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F4F91D-9378-4AEE-B4CA-1C1042A42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0F-4A0C-AD5C-A22841A3E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Premise'!$B$77:$E$77</c:f>
              <c:strCache>
                <c:ptCount val="4"/>
                <c:pt idx="0">
                  <c:v>New PAYG</c:v>
                </c:pt>
                <c:pt idx="1">
                  <c:v>BYOL PAYG</c:v>
                </c:pt>
                <c:pt idx="2">
                  <c:v>New Monthly</c:v>
                </c:pt>
                <c:pt idx="3">
                  <c:v>BYOL Monthly</c:v>
                </c:pt>
              </c:strCache>
            </c:strRef>
          </c:cat>
          <c:val>
            <c:numRef>
              <c:f>'PAAS vs On Premise'!$B$79:$E$79</c:f>
              <c:numCache>
                <c:formatCode>_-[$$-409]* #\ ##0_ ;_-[$$-409]* \-#\ ##0\ ;_-[$$-409]* "-"??_ ;_-@_ </c:formatCode>
                <c:ptCount val="4"/>
                <c:pt idx="0">
                  <c:v>7064.0640000000003</c:v>
                </c:pt>
                <c:pt idx="1">
                  <c:v>7647.14</c:v>
                </c:pt>
                <c:pt idx="2">
                  <c:v>4709.3759999999993</c:v>
                </c:pt>
                <c:pt idx="3">
                  <c:v>6920.9359999999997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Premise'!$B$86:$E$86</c15:f>
                <c15:dlblRangeCache>
                  <c:ptCount val="4"/>
                  <c:pt idx="0">
                    <c:v> $7 064 </c:v>
                  </c:pt>
                  <c:pt idx="1">
                    <c:v>+8%</c:v>
                  </c:pt>
                  <c:pt idx="2">
                    <c:v> $4 709 </c:v>
                  </c:pt>
                  <c:pt idx="3">
                    <c:v>+47%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B0F-4A0C-AD5C-A22841A3E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5 Years </a:t>
            </a:r>
            <a:r>
              <a:rPr lang="hu-HU" sz="1000"/>
              <a:t>New </a:t>
            </a:r>
            <a:r>
              <a:rPr lang="en-US" sz="1000"/>
              <a:t>License and Support Cost 1 CPU 0,5 core factor </a:t>
            </a:r>
            <a:r>
              <a:rPr lang="hu-HU" sz="1000"/>
              <a:t>Typical</a:t>
            </a:r>
            <a:r>
              <a:rPr lang="hu-HU" sz="1000" baseline="0"/>
              <a:t> Large Cutomer Discounts </a:t>
            </a:r>
            <a:r>
              <a:rPr lang="en-US" sz="1000"/>
              <a:t>100% Uptime</a:t>
            </a:r>
            <a:r>
              <a:rPr lang="hu-HU" sz="1000"/>
              <a:t> Database Enterprise Edition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Premise'!$A$99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A5-4CAA-9A1F-9749FE93F55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A5-4CAA-9A1F-9749FE93F5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5A0449-431D-4C73-9818-10B0DDCC1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A5-4CAA-9A1F-9749FE93F5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522502-B9EF-45D7-BD5B-63234559E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AA5-4CAA-9A1F-9749FE93F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'PAAS vs On Premise'!$B$97:$E$97</c15:sqref>
                  </c15:fullRef>
                </c:ext>
              </c:extLst>
              <c:f>'PAAS vs On Premise'!$C$97:$E$97</c:f>
              <c:strCache>
                <c:ptCount val="3"/>
                <c:pt idx="0">
                  <c:v>License (CPU) +Support +uplift</c:v>
                </c:pt>
                <c:pt idx="1">
                  <c:v>PAYG</c:v>
                </c:pt>
                <c:pt idx="2">
                  <c:v>Monthly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'PAAS vs On Premise'!$B$99:$E$99</c15:sqref>
                  </c15:fullRef>
                </c:ext>
              </c:extLst>
              <c:f>'PAAS vs On Premise'!$C$99:$E$99</c:f>
              <c:numCache>
                <c:formatCode>_-[$$-409]* #\ ##0_ ;_-[$$-409]* \-#\ ##0\ ;_-[$$-409]* "-"??_ ;_-@_ </c:formatCode>
                <c:ptCount val="3"/>
                <c:pt idx="0">
                  <c:v>15959.999999999998</c:v>
                </c:pt>
                <c:pt idx="1">
                  <c:v>23546.880000000001</c:v>
                </c:pt>
                <c:pt idx="2">
                  <c:v>16482.815999999999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Premise'!$B$107:$E$107</c15:f>
                <c15:dlblRangeCache>
                  <c:ptCount val="4"/>
                  <c:pt idx="0">
                    <c:v>-48%</c:v>
                  </c:pt>
                  <c:pt idx="1">
                    <c:v>+0%</c:v>
                  </c:pt>
                  <c:pt idx="2">
                    <c:v>+48%</c:v>
                  </c:pt>
                  <c:pt idx="3">
                    <c:v>+3%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AA5-4CAA-9A1F-9749FE93F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Annual Cost Of New DBAAS vs Support+BYOL4PAAS (100% uptime Typical Discounts for Large Customers)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Premise'!$A$116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73-4FD6-9EB8-3ED685625904}"/>
              </c:ext>
            </c:extLst>
          </c:dPt>
          <c:dPt>
            <c:idx val="3"/>
            <c:invertIfNegative val="0"/>
            <c:bubble3D val="0"/>
            <c:spPr>
              <a:solidFill>
                <a:srgbClr val="FD8A7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73-4FD6-9EB8-3ED6856259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5FB8D74-763D-4B03-9FE0-B3E217A4D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73-4FD6-9EB8-3ED6856259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50004B-9DAE-48F3-95AC-B4096FA84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73-4FD6-9EB8-3ED6856259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68207F-F956-4968-BF27-3F41E4B3F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73-4FD6-9EB8-3ED6856259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0741C9-E797-47EB-A764-A54DDB8D3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73-4FD6-9EB8-3ED685625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Premise'!$B$114:$E$114</c:f>
              <c:strCache>
                <c:ptCount val="4"/>
                <c:pt idx="0">
                  <c:v>New PAYG</c:v>
                </c:pt>
                <c:pt idx="1">
                  <c:v>BYOL PAYG</c:v>
                </c:pt>
                <c:pt idx="2">
                  <c:v>New Monthly</c:v>
                </c:pt>
                <c:pt idx="3">
                  <c:v>BYOL Monthly</c:v>
                </c:pt>
              </c:strCache>
            </c:strRef>
          </c:cat>
          <c:val>
            <c:numRef>
              <c:f>'PAAS vs On Premise'!$B$116:$E$116</c:f>
              <c:numCache>
                <c:formatCode>_-[$$-409]* #\ ##0_ ;_-[$$-409]* \-#\ ##0\ ;_-[$$-409]* "-"??_ ;_-@_ </c:formatCode>
                <c:ptCount val="4"/>
                <c:pt idx="0">
                  <c:v>4944.8447999999999</c:v>
                </c:pt>
                <c:pt idx="1">
                  <c:v>4432.5847999999996</c:v>
                </c:pt>
                <c:pt idx="2">
                  <c:v>3296.5631999999991</c:v>
                </c:pt>
                <c:pt idx="3">
                  <c:v>4200.1995199999992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Premise'!$B$123:$E$123</c15:f>
                <c15:dlblRangeCache>
                  <c:ptCount val="4"/>
                  <c:pt idx="0">
                    <c:v> $4 945 </c:v>
                  </c:pt>
                  <c:pt idx="1">
                    <c:v>-10%</c:v>
                  </c:pt>
                  <c:pt idx="2">
                    <c:v> $3 297 </c:v>
                  </c:pt>
                  <c:pt idx="3">
                    <c:v>+27%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B73-4FD6-9EB8-3ED685625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8E4-8F35-70A6FA7D01F4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C-48E4-8F35-70A6FA7D01F4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80-453A-8F21-6ED0466FC634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60-4F9E-A750-565E281317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only'!$E$11:$E$19</c:f>
              <c:numCache>
                <c:formatCode>\+0%;\-0%</c:formatCode>
                <c:ptCount val="9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0.92843326885880084</c:v>
                </c:pt>
                <c:pt idx="5">
                  <c:v>0.18568665377176008</c:v>
                </c:pt>
                <c:pt idx="6">
                  <c:v>3.481624758220514E-2</c:v>
                </c:pt>
                <c:pt idx="7">
                  <c:v>1.7079458413926498</c:v>
                </c:pt>
                <c:pt idx="8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0-4F9E-A750-565E281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Premise'!$A$130</c:f>
              <c:strCache>
                <c:ptCount val="1"/>
                <c:pt idx="0">
                  <c:v>DBEE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Premise'!$B$129:$E$129</c:f>
              <c:strCache>
                <c:ptCount val="4"/>
                <c:pt idx="0">
                  <c:v>License (Min NUP)</c:v>
                </c:pt>
                <c:pt idx="1">
                  <c:v>License (CPU) +Support +uplift</c:v>
                </c:pt>
                <c:pt idx="2">
                  <c:v>Monthly 100% Utilization</c:v>
                </c:pt>
                <c:pt idx="3">
                  <c:v>Monthly 23% Utilization</c:v>
                </c:pt>
              </c:strCache>
            </c:strRef>
          </c:cat>
          <c:val>
            <c:numRef>
              <c:f>'PAAS vs On Premise'!$B$130:$E$130</c:f>
              <c:numCache>
                <c:formatCode>_-[$$-409]* #\ ##0_ ;_-[$$-409]* \-#\ ##0\ ;_-[$$-409]* "-"??_ ;_-@_ </c:formatCode>
                <c:ptCount val="4"/>
                <c:pt idx="0">
                  <c:v>25721.25</c:v>
                </c:pt>
                <c:pt idx="1">
                  <c:v>49875</c:v>
                </c:pt>
                <c:pt idx="2">
                  <c:v>23546.879999999997</c:v>
                </c:pt>
                <c:pt idx="3">
                  <c:v>5415.7824000000001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F-4AAF-A212-2056437C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4149048"/>
        <c:axId val="414158232"/>
      </c:barChart>
      <c:catAx>
        <c:axId val="4141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8232"/>
        <c:crosses val="autoZero"/>
        <c:auto val="1"/>
        <c:lblAlgn val="ctr"/>
        <c:lblOffset val="100"/>
        <c:noMultiLvlLbl val="0"/>
      </c:catAx>
      <c:valAx>
        <c:axId val="414158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crossAx val="41414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(inc. Diag and Tuning pack) and Cloud Cost on List Price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Premise'!$O$6</c:f>
              <c:numCache>
                <c:formatCode>_-[$$-409]* #\ ##0_ ;_-[$$-409]* \-#\ ##0\ ;_-[$$-409]* "-"??_ ;_-@_ 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185-A22B-43879A46F910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Premise'!$P$6</c:f>
              <c:numCache>
                <c:formatCode>_-[$$-409]* #\ ##0_ ;_-[$$-409]* \-#\ ##0\ ;_-[$$-409]* "-"??_ ;_-@_ </c:formatCode>
                <c:ptCount val="1"/>
                <c:pt idx="0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185-A22B-43879A46F910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Premise'!$Q$6</c:f>
              <c:numCache>
                <c:formatCode>_-[$$-409]* #\ ##0_ ;_-[$$-409]* \-#\ ##0\ ;_-[$$-409]* "-"??_ ;_-@_ </c:formatCode>
                <c:ptCount val="1"/>
                <c:pt idx="0">
                  <c:v>7064.0640000000003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6-4185-A22B-43879A46F910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-[$$-409]* #\ ##0_ ;_-[$$-409]* \-#\ ##0\ ;_-[$$-409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Premise'!$R$6</c:f>
              <c:numCache>
                <c:formatCode>_-[$$-409]* #\ ##0_ ;_-[$$-409]* \-#\ ##0\ ;_-[$$-409]* "-"??_ ;_-@_ </c:formatCode>
                <c:ptCount val="1"/>
                <c:pt idx="0">
                  <c:v>4709.3759999999993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6-4185-A22B-43879A46F9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7D6-4185-A22B-43879A46F91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D6-4185-A22B-43879A46F910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(Incl. Diagnostic and Tuning Pack) and Cloud Cost on 75%/30% Discount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Premise'!$U$6</c:f>
              <c:numCache>
                <c:formatCode>_-[$$-409]* #\ ##0_ ;_-[$$-409]* \-#\ ##0\ ;_-[$$-409]* "-"??_ ;_-@_ 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0-4D2D-BC3C-BD30D818F7FA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Premise'!$V$6</c:f>
              <c:numCache>
                <c:formatCode>_-[$$-409]* #\ ##0_ ;_-[$$-409]* \-#\ ##0\ ;_-[$$-409]* "-"??_ ;_-@_ 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0-4D2D-BC3C-BD30D818F7FA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Premise'!$W$6</c:f>
              <c:numCache>
                <c:formatCode>_-[$$-409]* #\ ##0_ ;_-[$$-409]* \-#\ ##0\ ;_-[$$-409]* "-"??_ ;_-@_ </c:formatCode>
                <c:ptCount val="1"/>
                <c:pt idx="0">
                  <c:v>4944.8447999999999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0-4D2D-BC3C-BD30D818F7FA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-[$$-409]* #\ ##0_ ;_-[$$-409]* \-#\ ##0\ ;_-[$$-409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Premise'!$X$6</c:f>
              <c:numCache>
                <c:formatCode>_-[$$-409]* #\ ##0_ ;_-[$$-409]* \-#\ ##0\ ;_-[$$-409]* "-"??_ ;_-@_ </c:formatCode>
                <c:ptCount val="1"/>
                <c:pt idx="0">
                  <c:v>3296.5631999999991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0-4D2D-BC3C-BD30D818F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D0-4D2D-BC3C-BD30D818F7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D0-4D2D-BC3C-BD30D818F7FA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D36-BE15-69F36C092ED2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1-4D36-BE15-69F36C092ED2}"/>
            </c:ext>
          </c:extLst>
        </c:ser>
        <c:ser>
          <c:idx val="3"/>
          <c:order val="2"/>
          <c:tx>
            <c:strRef>
              <c:f>'DBCS SW only'!$G$10</c:f>
              <c:strCache>
                <c:ptCount val="1"/>
                <c:pt idx="0">
                  <c:v>Labor Cost Estimation annual*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'DBCS SW only'!$G$11:$G$19</c:f>
              <c:numCache>
                <c:formatCode>_-[$$-409]* #\ ##0_ ;_-[$$-409]* \-#\ ##0\ ;_-[$$-409]* "-"??_ ;_-@_ </c:formatCode>
                <c:ptCount val="9"/>
                <c:pt idx="1">
                  <c:v>2400</c:v>
                </c:pt>
                <c:pt idx="2">
                  <c:v>1080</c:v>
                </c:pt>
                <c:pt idx="3">
                  <c:v>1080</c:v>
                </c:pt>
                <c:pt idx="4">
                  <c:v>1080</c:v>
                </c:pt>
                <c:pt idx="5">
                  <c:v>1080</c:v>
                </c:pt>
                <c:pt idx="6">
                  <c:v>2000</c:v>
                </c:pt>
                <c:pt idx="7">
                  <c:v>1080</c:v>
                </c:pt>
                <c:pt idx="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1-4D36-BE15-69F36C092ED2}"/>
            </c:ext>
          </c:extLst>
        </c:ser>
        <c:ser>
          <c:idx val="2"/>
          <c:order val="3"/>
          <c:tx>
            <c:strRef>
              <c:f>'DBCS SW only'!$I$10</c:f>
              <c:strCache>
                <c:ptCount val="1"/>
                <c:pt idx="0">
                  <c:v>Additional cost to current with 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6129032258063924E-3"/>
                  <c:y val="0.203704382524363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E1-4D36-BE15-69F36C092ED2}"/>
                </c:ext>
              </c:extLst>
            </c:dLbl>
            <c:dLbl>
              <c:idx val="5"/>
              <c:layout>
                <c:manualLayout>
                  <c:x val="-1.6129032258065698E-3"/>
                  <c:y val="0.199546509009598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E1-4D36-BE15-69F36C092ED2}"/>
                </c:ext>
              </c:extLst>
            </c:dLbl>
            <c:dLbl>
              <c:idx val="6"/>
              <c:layout>
                <c:manualLayout>
                  <c:x val="0"/>
                  <c:y val="0.207859310442337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1-4D36-BE15-69F36C092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only'!$I$11:$I$19</c:f>
              <c:numCache>
                <c:formatCode>\+0%;\-0%</c:formatCode>
                <c:ptCount val="9"/>
                <c:pt idx="1">
                  <c:v>0</c:v>
                </c:pt>
                <c:pt idx="2">
                  <c:v>3.8982826948480849</c:v>
                </c:pt>
                <c:pt idx="3">
                  <c:v>0.30912549537648615</c:v>
                </c:pt>
                <c:pt idx="4">
                  <c:v>0.45970937912813747</c:v>
                </c:pt>
                <c:pt idx="5">
                  <c:v>-4.7556142668428003E-2</c:v>
                </c:pt>
                <c:pt idx="6">
                  <c:v>-2.9062087186261576E-2</c:v>
                </c:pt>
                <c:pt idx="7">
                  <c:v>0.99208454425363279</c:v>
                </c:pt>
                <c:pt idx="8">
                  <c:v>4.5812417437252311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1-4D36-BE15-69F36C09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only'!$B$11:$B$19</c15:sqref>
                  </c15:fullRef>
                </c:ext>
              </c:extLst>
              <c:f>('DBCS SW only'!$B$11:$B$14,'DBCS SW only'!$B$18:$B$19)</c:f>
              <c:numCache>
                <c:formatCode>_-[$$-409]* #\ ##0_ ;_-[$$-409]* \-#\ ##0\ ;_-[$$-409]* "-"??_ ;_-@_ </c:formatCode>
                <c:ptCount val="6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4-41DD-B8D7-93369C871B64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only'!$C$11:$C$19</c15:sqref>
                  </c15:fullRef>
                </c:ext>
              </c:extLst>
              <c:f>('DBCS SW only'!$C$11:$C$14,'DBCS SW only'!$C$18:$C$19)</c:f>
              <c:numCache>
                <c:formatCode>_-[$$-409]* #\ ##0_ ;_-[$$-409]* \-#\ ##0\ ;_-[$$-409]* "-"??_ ;_-@_ </c:formatCode>
                <c:ptCount val="6"/>
                <c:pt idx="2">
                  <c:v>36000</c:v>
                </c:pt>
                <c:pt idx="3">
                  <c:v>8830.08</c:v>
                </c:pt>
                <c:pt idx="4">
                  <c:v>8830.08</c:v>
                </c:pt>
                <c:pt idx="5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4-41DD-B8D7-93369C871B64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94-41DD-B8D7-93369C871B64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94-41DD-B8D7-93369C87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only'!$E$11:$E$19</c15:sqref>
                  </c15:fullRef>
                </c:ext>
              </c:extLst>
              <c:f>('DBCS SW only'!$E$11:$E$14,'DBCS SW only'!$E$18:$E$19)</c:f>
              <c:numCache>
                <c:formatCode>\+0%;\-0%</c:formatCode>
                <c:ptCount val="6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1.7079458413926498</c:v>
                </c:pt>
                <c:pt idx="5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4-41DD-B8D7-93369C87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4CBF-A615-B630F0F4D59F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F-4CBF-A615-B630F0F4D59F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9F-4CBF-A615-B630F0F4D59F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9F-4CBF-A615-B630F0F4D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only'!$E$11:$E$19</c:f>
              <c:numCache>
                <c:formatCode>\+0%;\-0%</c:formatCode>
                <c:ptCount val="9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0.92843326885880084</c:v>
                </c:pt>
                <c:pt idx="5">
                  <c:v>0.18568665377176008</c:v>
                </c:pt>
                <c:pt idx="6">
                  <c:v>3.481624758220514E-2</c:v>
                </c:pt>
                <c:pt idx="7">
                  <c:v>1.7079458413926498</c:v>
                </c:pt>
                <c:pt idx="8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F-4CBF-A615-B630F0F4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Example'!$B$25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Example'!$B$26:$B$31</c:f>
              <c:numCache>
                <c:formatCode>_-[$$-409]* #\ ##0_ ;_-[$$-409]* \-#\ ##0\ ;_-[$$-409]* "-"??_ ;_-@_ </c:formatCode>
                <c:ptCount val="6"/>
                <c:pt idx="0">
                  <c:v>37520</c:v>
                </c:pt>
                <c:pt idx="1">
                  <c:v>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5BD-AD10-8FD5B2C1B224}"/>
            </c:ext>
          </c:extLst>
        </c:ser>
        <c:ser>
          <c:idx val="1"/>
          <c:order val="1"/>
          <c:tx>
            <c:strRef>
              <c:f>'DB Example'!$C$25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Example'!$C$26:$C$31</c:f>
              <c:numCache>
                <c:formatCode>_-[$$-409]* #\ ##0_ ;_-[$$-409]* \-#\ ##0\ ;_-[$$-409]* "-"??_ ;_-@_ </c:formatCode>
                <c:ptCount val="6"/>
                <c:pt idx="1">
                  <c:v>85937.5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45BD-AD10-8FD5B2C1B224}"/>
            </c:ext>
          </c:extLst>
        </c:ser>
        <c:ser>
          <c:idx val="2"/>
          <c:order val="2"/>
          <c:tx>
            <c:strRef>
              <c:f>'DB Example'!$D$25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License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2D-45BD-AD10-8FD5B2C1B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Example'!$D$26:$D$31</c:f>
              <c:numCache>
                <c:formatCode>_-[$$-409]* #\ ##0_ ;_-[$$-409]* \-#\ ##0\ ;_-[$$-409]* "-"??_ ;_-@_ </c:formatCode>
                <c:ptCount val="6"/>
                <c:pt idx="0">
                  <c:v>858000</c:v>
                </c:pt>
                <c:pt idx="1">
                  <c:v>188760</c:v>
                </c:pt>
                <c:pt idx="2">
                  <c:v>188760</c:v>
                </c:pt>
                <c:pt idx="3">
                  <c:v>188760</c:v>
                </c:pt>
                <c:pt idx="4">
                  <c:v>188760</c:v>
                </c:pt>
                <c:pt idx="5">
                  <c:v>188760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D-45BD-AD10-8FD5B2C1B224}"/>
            </c:ext>
          </c:extLst>
        </c:ser>
        <c:ser>
          <c:idx val="3"/>
          <c:order val="3"/>
          <c:tx>
            <c:strRef>
              <c:f>'DB Example'!$E$25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Example'!$E$26:$E$31</c:f>
              <c:numCache>
                <c:formatCode>General</c:formatCode>
                <c:ptCount val="6"/>
                <c:pt idx="2" formatCode="_-[$$-409]* #\ ##0_ ;_-[$$-409]* \-#\ ##0\ ;_-[$$-409]* &quot;-&quot;??_ ;_-@_ ">
                  <c:v>1122</c:v>
                </c:pt>
                <c:pt idx="3" formatCode="_-[$$-409]* #\ ##0_ ;_-[$$-409]* \-#\ ##0\ ;_-[$$-409]* &quot;-&quot;??_ ;_-@_ ">
                  <c:v>1122</c:v>
                </c:pt>
                <c:pt idx="4" formatCode="_-[$$-409]* #\ ##0_ ;_-[$$-409]* \-#\ ##0\ ;_-[$$-409]* &quot;-&quot;??_ ;_-@_ ">
                  <c:v>1122</c:v>
                </c:pt>
                <c:pt idx="5" formatCode="_-[$$-409]* #\ ##0_ ;_-[$$-409]* \-#\ ##0\ ;_-[$$-409]* &quot;-&quot;??_ ;_-@_ ">
                  <c:v>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D-45BD-AD10-8FD5B2C1B224}"/>
            </c:ext>
          </c:extLst>
        </c:ser>
        <c:ser>
          <c:idx val="4"/>
          <c:order val="4"/>
          <c:tx>
            <c:strRef>
              <c:f>'DB Example'!$F$25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rgbClr val="FD8A77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2D-45BD-AD10-8FD5B2C1B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Example'!$F$26:$F$31</c:f>
              <c:numCache>
                <c:formatCode>General</c:formatCode>
                <c:ptCount val="6"/>
                <c:pt idx="2" formatCode="_-[$$-409]* #\ ##0_ ;_-[$$-409]* \-#\ ##0\ ;_-[$$-409]* &quot;-&quot;??_ ;_-@_ ">
                  <c:v>2079360</c:v>
                </c:pt>
                <c:pt idx="3" formatCode="_-[$$-409]* #\ ##0_ ;_-[$$-409]* \-#\ ##0\ ;_-[$$-409]* &quot;-&quot;??_ ;_-@_ ">
                  <c:v>108212.63039999999</c:v>
                </c:pt>
                <c:pt idx="4" formatCode="_-[$$-409]* #\ ##0_ ;_-[$$-409]* \-#\ ##0\ ;_-[$$-409]* &quot;-&quot;??_ ;_-@_ ">
                  <c:v>1020050.8415999998</c:v>
                </c:pt>
                <c:pt idx="5" formatCode="_-[$$-409]* #\ ##0_ ;_-[$$-409]* \-#\ ##0\ ;_-[$$-409]* &quot;-&quot;??_ ;_-@_ ">
                  <c:v>21642.52608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D-45BD-AD10-8FD5B2C1B224}"/>
            </c:ext>
          </c:extLst>
        </c:ser>
        <c:ser>
          <c:idx val="5"/>
          <c:order val="5"/>
          <c:tx>
            <c:strRef>
              <c:f>'DB Example'!$G$25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Example'!$G$26:$G$31</c:f>
              <c:numCache>
                <c:formatCode>_-[$$-409]* #\ ##0_ ;_-[$$-409]* \-#\ ##0\ ;_-[$$-409]* "-"??_ ;_-@_ </c:formatCode>
                <c:ptCount val="6"/>
                <c:pt idx="0">
                  <c:v>160000</c:v>
                </c:pt>
                <c:pt idx="1">
                  <c:v>640000</c:v>
                </c:pt>
                <c:pt idx="2">
                  <c:v>166400</c:v>
                </c:pt>
                <c:pt idx="3">
                  <c:v>166400</c:v>
                </c:pt>
                <c:pt idx="4">
                  <c:v>166400</c:v>
                </c:pt>
                <c:pt idx="5">
                  <c:v>166400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D-45BD-AD10-8FD5B2C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69128"/>
        <c:axId val="409877984"/>
      </c:barChart>
      <c:lineChart>
        <c:grouping val="stacked"/>
        <c:varyColors val="0"/>
        <c:ser>
          <c:idx val="6"/>
          <c:order val="6"/>
          <c:tx>
            <c:strRef>
              <c:f>'DB Example'!$H$25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numFmt formatCode="[$$-C09]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Example'!$H$26:$H$31</c:f>
              <c:numCache>
                <c:formatCode>_-[$$-409]* #\ ##0_ ;_-[$$-409]* \-#\ ##0\ ;_-[$$-409]* "-"??_ ;_-@_ </c:formatCode>
                <c:ptCount val="6"/>
                <c:pt idx="0">
                  <c:v>1055520</c:v>
                </c:pt>
                <c:pt idx="1">
                  <c:v>918449.5</c:v>
                </c:pt>
                <c:pt idx="2">
                  <c:v>2435642</c:v>
                </c:pt>
                <c:pt idx="3">
                  <c:v>464494.63040000002</c:v>
                </c:pt>
                <c:pt idx="4">
                  <c:v>1376332.8415999999</c:v>
                </c:pt>
                <c:pt idx="5">
                  <c:v>377924.52607999998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2D-45BD-AD10-8FD5B2C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09869128"/>
        <c:axId val="409877984"/>
      </c:lineChart>
      <c:catAx>
        <c:axId val="4098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7984"/>
        <c:crosses val="autoZero"/>
        <c:auto val="1"/>
        <c:lblAlgn val="ctr"/>
        <c:lblOffset val="100"/>
        <c:noMultiLvlLbl val="0"/>
      </c:catAx>
      <c:valAx>
        <c:axId val="409877984"/>
        <c:scaling>
          <c:orientation val="minMax"/>
        </c:scaling>
        <c:delete val="1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crossAx val="40986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100"/>
              <a:t>Annual Oracle SW Cost of</a:t>
            </a:r>
            <a:r>
              <a:rPr lang="hu-HU" sz="1100" baseline="0"/>
              <a:t> DB EE+ Diag +Tuning +Partioning Opt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Example'!$A$56</c:f>
              <c:strCache>
                <c:ptCount val="1"/>
                <c:pt idx="0">
                  <c:v>License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Example'!$B$56:$G$56</c15:sqref>
                  </c15:fullRef>
                </c:ext>
              </c:extLst>
              <c:f>'DB Example'!$C$56:$G$56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CD-4DC0-AE8C-646F11AC424D}"/>
            </c:ext>
          </c:extLst>
        </c:ser>
        <c:ser>
          <c:idx val="1"/>
          <c:order val="1"/>
          <c:tx>
            <c:strRef>
              <c:f>'DB Example'!$A$57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Example'!$B$57:$G$57</c15:sqref>
                  </c15:fullRef>
                </c:ext>
              </c:extLst>
              <c:f>'DB Example'!$C$57:$G$57</c:f>
              <c:numCache>
                <c:formatCode>_-[$$-409]* #\ ##0_ ;_-[$$-409]* \-#\ ##0\ ;_-[$$-409]* "-"??_ ;_-@_ </c:formatCode>
                <c:ptCount val="5"/>
                <c:pt idx="0">
                  <c:v>7865</c:v>
                </c:pt>
                <c:pt idx="2">
                  <c:v>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D-4DC0-AE8C-646F11AC424D}"/>
            </c:ext>
          </c:extLst>
        </c:ser>
        <c:ser>
          <c:idx val="2"/>
          <c:order val="2"/>
          <c:tx>
            <c:strRef>
              <c:f>'DB Example'!$A$58</c:f>
              <c:strCache>
                <c:ptCount val="1"/>
                <c:pt idx="0">
                  <c:v>DBCS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Example'!$B$58:$G$58</c15:sqref>
                  </c15:fullRef>
                </c:ext>
              </c:extLst>
              <c:f>'DB Example'!$C$58:$G$58</c:f>
              <c:numCache>
                <c:formatCode>General</c:formatCode>
                <c:ptCount val="5"/>
                <c:pt idx="1" formatCode="_-[$$-409]* #\ ##0_ ;_-[$$-409]* \-#\ ##0\ ;_-[$$-409]* &quot;-&quot;??_ ;_-@_ ">
                  <c:v>6727.6800000000012</c:v>
                </c:pt>
                <c:pt idx="3" formatCode="_-[$$-409]* #\ ##0_ ;_-[$$-409]* \-#\ ##0\ ;_-[$$-409]* &quot;-&quot;??_ ;_-@_ ">
                  <c:v>4709.3760000000002</c:v>
                </c:pt>
                <c:pt idx="4" formatCode="_-[$$-409]* #\ ##0_ ;_-[$$-409]* \-#\ ##0\ ;_-[$$-409]* &quot;-&quot;??_ ;_-@_ ">
                  <c:v>941.87520000000006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D-4DC0-AE8C-646F11AC424D}"/>
            </c:ext>
          </c:extLst>
        </c:ser>
        <c:ser>
          <c:idx val="3"/>
          <c:order val="3"/>
          <c:tx>
            <c:strRef>
              <c:f>'DB Example'!$A$59</c:f>
              <c:strCache>
                <c:ptCount val="1"/>
                <c:pt idx="0">
                  <c:v>BYOL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Example'!$B$59:$G$59</c15:sqref>
                  </c15:fullRef>
                </c:ext>
              </c:extLst>
              <c:f>'DB Example'!$C$59:$G$59</c:f>
              <c:numCache>
                <c:formatCode>General</c:formatCode>
                <c:ptCount val="5"/>
                <c:pt idx="2" formatCode="_-[$$-409]* #\ ##0_ ;_-[$$-409]* \-#\ ##0\ ;_-[$$-409]* &quot;-&quot;??_ ;_-@_ ">
                  <c:v>3363.8400000000006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D-4DC0-AE8C-646F11A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367880"/>
        <c:axId val="558365584"/>
      </c:barChart>
      <c:lineChart>
        <c:grouping val="stacked"/>
        <c:varyColors val="0"/>
        <c:ser>
          <c:idx val="4"/>
          <c:order val="4"/>
          <c:tx>
            <c:strRef>
              <c:f>'DB Example'!$A$60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CD-4DC0-AE8C-646F11AC42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C77C0C-49D4-44EE-B91C-4D4A7D4B8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CD-4DC0-AE8C-646F11AC42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ACEEAB-E179-4267-AA4C-C684E2E2E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CD-4DC0-AE8C-646F11AC42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501166-6299-435D-ADD6-B6A151643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CD-4DC0-AE8C-646F11AC42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AB81FC-E7FA-4E0F-B34D-95EB0CB04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CD-4DC0-AE8C-646F11AC4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Example'!$B$60:$G$60</c15:sqref>
                  </c15:fullRef>
                </c:ext>
              </c:extLst>
              <c:f>'DB Example'!$C$60:$G$60</c:f>
              <c:numCache>
                <c:formatCode>_-[$$-409]* #\ ##0_ ;_-[$$-409]* \-#\ ##0\ ;_-[$$-409]* "-"??_ ;_-@_ </c:formatCode>
                <c:ptCount val="5"/>
                <c:pt idx="0">
                  <c:v>7865</c:v>
                </c:pt>
                <c:pt idx="1">
                  <c:v>6727.6800000000012</c:v>
                </c:pt>
                <c:pt idx="2">
                  <c:v>11228.84</c:v>
                </c:pt>
                <c:pt idx="3">
                  <c:v>4709.3760000000002</c:v>
                </c:pt>
                <c:pt idx="4">
                  <c:v>941.87520000000006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'DB Example'!$B$61:$G$61</c15:f>
                <c15:dlblRangeCache>
                  <c:ptCount val="6"/>
                  <c:pt idx="1">
                    <c:v>+0%</c:v>
                  </c:pt>
                  <c:pt idx="2">
                    <c:v>-14%</c:v>
                  </c:pt>
                  <c:pt idx="3">
                    <c:v>+43%</c:v>
                  </c:pt>
                  <c:pt idx="4">
                    <c:v>-40%</c:v>
                  </c:pt>
                  <c:pt idx="5">
                    <c:v>-88%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9CD-4DC0-AE8C-646F11A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67880"/>
        <c:axId val="558365584"/>
      </c:lineChart>
      <c:catAx>
        <c:axId val="5583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5584"/>
        <c:crosses val="autoZero"/>
        <c:auto val="1"/>
        <c:lblAlgn val="ctr"/>
        <c:lblOffset val="100"/>
        <c:noMultiLvlLbl val="0"/>
      </c:catAx>
      <c:valAx>
        <c:axId val="558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'BYOL PAASvsIAAS'!$B$6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PAASvsIAAS'!$B$7:$B$10</c:f>
              <c:numCache>
                <c:formatCode>_-[$$-409]* #\ ##0_ ;_-[$$-409]* \-#\ ##0\ ;_-[$$-409]* "-"??_ ;_-@_ </c:formatCode>
                <c:ptCount val="4"/>
                <c:pt idx="0">
                  <c:v>2422.1400000000003</c:v>
                </c:pt>
                <c:pt idx="1">
                  <c:v>657</c:v>
                </c:pt>
                <c:pt idx="2">
                  <c:v>484.42800000000005</c:v>
                </c:pt>
                <c:pt idx="3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1-4CD3-BEEE-5AF003C4C71A}"/>
            </c:ext>
          </c:extLst>
        </c:ser>
        <c:ser>
          <c:idx val="1"/>
          <c:order val="1"/>
          <c:tx>
            <c:strRef>
              <c:f>'BYOL PAASvsIAAS'!$C$6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PAASvsIAAS'!$C$7:$C$10</c:f>
              <c:numCache>
                <c:formatCode>_-[$$-409]* #\ ##0_ ;_-[$$-409]* \-#\ ##0\ ;_-[$$-409]* "-"??_ ;_-@_ </c:formatCode>
                <c:ptCount val="4"/>
                <c:pt idx="0">
                  <c:v>1440</c:v>
                </c:pt>
                <c:pt idx="1">
                  <c:v>2666.6666666666665</c:v>
                </c:pt>
                <c:pt idx="2">
                  <c:v>1440</c:v>
                </c:pt>
                <c:pt idx="3">
                  <c:v>2666.6666666666665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1-4CD3-BEEE-5AF003C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185608"/>
        <c:axId val="412185936"/>
      </c:barChart>
      <c:lineChart>
        <c:grouping val="stacked"/>
        <c:varyColors val="0"/>
        <c:ser>
          <c:idx val="2"/>
          <c:order val="2"/>
          <c:tx>
            <c:strRef>
              <c:f>'BYOL PAASvsIAAS'!$D$6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1-4CD3-BEEE-5AF003C4C7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157F75-DB27-40C4-A3B6-6CFDCF032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21-4CD3-BEEE-5AF003C4C71A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1-4CD3-BEEE-5AF003C4C7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7811BF-4A4C-4690-8A66-8EB335E25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A21-4CD3-BEEE-5AF003C4C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PAASvsIAAS'!$D$7:$D$10</c:f>
              <c:numCache>
                <c:formatCode>_-[$$-409]* #\ ##0_ ;_-[$$-409]* \-#\ ##0\ ;_-[$$-409]* "-"??_ ;_-@_ </c:formatCode>
                <c:ptCount val="4"/>
                <c:pt idx="0">
                  <c:v>3862.1400000000003</c:v>
                </c:pt>
                <c:pt idx="1">
                  <c:v>3323.6666666666665</c:v>
                </c:pt>
                <c:pt idx="2">
                  <c:v>1924.4280000000001</c:v>
                </c:pt>
                <c:pt idx="3">
                  <c:v>2798.0666666666666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'BYOL PAASvsIAAS'!$E$7:$E$10</c15:f>
                <c15:dlblRangeCache>
                  <c:ptCount val="4"/>
                  <c:pt idx="1">
                    <c:v>-14%</c:v>
                  </c:pt>
                  <c:pt idx="3">
                    <c:v>+45%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21-4CD3-BEEE-5AF003C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5608"/>
        <c:axId val="412185936"/>
      </c:lineChart>
      <c:catAx>
        <c:axId val="41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936"/>
        <c:crosses val="autoZero"/>
        <c:auto val="1"/>
        <c:lblAlgn val="ctr"/>
        <c:lblOffset val="100"/>
        <c:noMultiLvlLbl val="0"/>
      </c:catAx>
      <c:valAx>
        <c:axId val="412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'BYOL PAASvsIAAS'!$H$6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PAASvsIAAS'!$H$7:$H$10</c:f>
              <c:numCache>
                <c:formatCode>_-[$$-409]* #\ ##0_ ;_-[$$-409]* \-#\ ##0\ ;_-[$$-409]* "-"??_ ;_-@_ </c:formatCode>
                <c:ptCount val="4"/>
                <c:pt idx="0">
                  <c:v>2422.1400000000003</c:v>
                </c:pt>
                <c:pt idx="1">
                  <c:v>657</c:v>
                </c:pt>
                <c:pt idx="2">
                  <c:v>484.42800000000005</c:v>
                </c:pt>
                <c:pt idx="3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B-4A10-804F-F469D7C28EB9}"/>
            </c:ext>
          </c:extLst>
        </c:ser>
        <c:ser>
          <c:idx val="1"/>
          <c:order val="1"/>
          <c:tx>
            <c:strRef>
              <c:f>'BYOL PAASvsIAAS'!$I$6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PAASvsIAAS'!$I$7:$I$10</c:f>
              <c:numCache>
                <c:formatCode>_-[$$-409]* #\ ##0_ ;_-[$$-409]* \-#\ ##0\ ;_-[$$-409]* "-"??_ ;_-@_ </c:formatCode>
                <c:ptCount val="4"/>
                <c:pt idx="0">
                  <c:v>2880</c:v>
                </c:pt>
                <c:pt idx="1">
                  <c:v>5333.333333333333</c:v>
                </c:pt>
                <c:pt idx="2">
                  <c:v>2880</c:v>
                </c:pt>
                <c:pt idx="3">
                  <c:v>5333.333333333333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B-4A10-804F-F469D7C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185608"/>
        <c:axId val="412185936"/>
      </c:barChart>
      <c:lineChart>
        <c:grouping val="stacked"/>
        <c:varyColors val="0"/>
        <c:ser>
          <c:idx val="2"/>
          <c:order val="2"/>
          <c:tx>
            <c:strRef>
              <c:f>'BYOL PAASvsIAAS'!$J$6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EB-4A10-804F-F469D7C28E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AA71D0-AEC6-4C0E-ACCC-C074578A4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EB-4A10-804F-F469D7C28EB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EB-4A10-804F-F469D7C28E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62EF07-5AB5-4E96-A04C-170E1D726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EB-4A10-804F-F469D7C28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PAASvsIAAS'!$J$7:$J$10</c:f>
              <c:numCache>
                <c:formatCode>_-[$$-409]* #\ ##0_ ;_-[$$-409]* \-#\ ##0\ ;_-[$$-409]* "-"??_ ;_-@_ </c:formatCode>
                <c:ptCount val="4"/>
                <c:pt idx="0">
                  <c:v>5302.14</c:v>
                </c:pt>
                <c:pt idx="1">
                  <c:v>5990.333333333333</c:v>
                </c:pt>
                <c:pt idx="2">
                  <c:v>3364.4279999999999</c:v>
                </c:pt>
                <c:pt idx="3">
                  <c:v>5464.7333333333327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'BYOL PAASvsIAAS'!$K$7:$K$10</c15:f>
                <c15:dlblRangeCache>
                  <c:ptCount val="4"/>
                  <c:pt idx="1">
                    <c:v>+13%</c:v>
                  </c:pt>
                  <c:pt idx="3">
                    <c:v>+62%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3EB-4A10-804F-F469D7C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5608"/>
        <c:axId val="412185936"/>
      </c:lineChart>
      <c:catAx>
        <c:axId val="41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936"/>
        <c:crosses val="autoZero"/>
        <c:auto val="1"/>
        <c:lblAlgn val="ctr"/>
        <c:lblOffset val="100"/>
        <c:noMultiLvlLbl val="0"/>
      </c:catAx>
      <c:valAx>
        <c:axId val="412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79375</xdr:rowOff>
    </xdr:from>
    <xdr:to>
      <xdr:col>5</xdr:col>
      <xdr:colOff>53975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09006-B248-44A7-9D56-D50DDBE1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17</xdr:row>
      <xdr:rowOff>282575</xdr:rowOff>
    </xdr:from>
    <xdr:to>
      <xdr:col>13</xdr:col>
      <xdr:colOff>298450</xdr:colOff>
      <xdr:row>30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49C48-EBC8-44ED-BDE0-E4AD7FD8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13</xdr:col>
      <xdr:colOff>311150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F1495-3E50-4695-98A6-C08BB1B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111125</xdr:rowOff>
    </xdr:from>
    <xdr:to>
      <xdr:col>7</xdr:col>
      <xdr:colOff>149225</xdr:colOff>
      <xdr:row>31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FC17B-C1F3-404A-A7A7-A729F3AC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33</xdr:row>
      <xdr:rowOff>6350</xdr:rowOff>
    </xdr:from>
    <xdr:to>
      <xdr:col>11</xdr:col>
      <xdr:colOff>123826</xdr:colOff>
      <xdr:row>51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BBFBC-870F-4A17-A6A5-A502AAB1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577850</xdr:colOff>
      <xdr:row>59</xdr:row>
      <xdr:rowOff>333375</xdr:rowOff>
    </xdr:from>
    <xdr:to>
      <xdr:col>14</xdr:col>
      <xdr:colOff>273050</xdr:colOff>
      <xdr:row>71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097D8-104F-4462-956B-E33DAEB3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26</xdr:col>
      <xdr:colOff>327026</xdr:colOff>
      <xdr:row>73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03C255-927A-471D-9AC0-7BE42E03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6350</xdr:colOff>
      <xdr:row>74</xdr:row>
      <xdr:rowOff>158750</xdr:rowOff>
    </xdr:from>
    <xdr:to>
      <xdr:col>26</xdr:col>
      <xdr:colOff>304800</xdr:colOff>
      <xdr:row>87</xdr:row>
      <xdr:rowOff>355600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E6601-4CC7-47D1-8E33-42483C50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222250</xdr:colOff>
      <xdr:row>76</xdr:row>
      <xdr:rowOff>25400</xdr:rowOff>
    </xdr:from>
    <xdr:to>
      <xdr:col>14</xdr:col>
      <xdr:colOff>527050</xdr:colOff>
      <xdr:row>87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B4361-9A2A-44E2-8774-F3C215B72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14</xdr:col>
      <xdr:colOff>304800</xdr:colOff>
      <xdr:row>104</xdr:row>
      <xdr:rowOff>349250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11FC01-0026-4E91-AE8D-73AD4908C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113</xdr:row>
      <xdr:rowOff>0</xdr:rowOff>
    </xdr:from>
    <xdr:to>
      <xdr:col>13</xdr:col>
      <xdr:colOff>304800</xdr:colOff>
      <xdr:row>123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BE361A-DEA2-4F77-8D94-E6DCB6D4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85725</xdr:colOff>
      <xdr:row>132</xdr:row>
      <xdr:rowOff>104775</xdr:rowOff>
    </xdr:from>
    <xdr:to>
      <xdr:col>6</xdr:col>
      <xdr:colOff>301625</xdr:colOff>
      <xdr:row>147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EB2E-348B-42C3-80FF-20599792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6350</xdr:colOff>
      <xdr:row>16</xdr:row>
      <xdr:rowOff>6350</xdr:rowOff>
    </xdr:from>
    <xdr:to>
      <xdr:col>20</xdr:col>
      <xdr:colOff>412750</xdr:colOff>
      <xdr:row>30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9E06D0-17CD-4100-A838-D5DB00179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30</xdr:col>
      <xdr:colOff>38100</xdr:colOff>
      <xdr:row>30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6F8BC-5768-4CB2-8FF1-BD995BEE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0.40424</cdr:x>
      <cdr:y>0.76188</cdr:y>
    </cdr:from>
    <cdr:to>
      <cdr:x>0.91228</cdr:x>
      <cdr:y>0.76188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1844771" y="2102074"/>
          <a:ext cx="23184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0.54457</cdr:x>
      <cdr:y>0.22106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25" y="606412"/>
          <a:ext cx="2121253" cy="183849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0.14844</cdr:x>
      <cdr:y>0.22056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605040"/>
          <a:ext cx="1953307" cy="183632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0.84935</cdr:x>
      <cdr:y>0.77812</cdr:y>
    </cdr:from>
    <cdr:to>
      <cdr:x>0.92787</cdr:x>
      <cdr:y>0.77812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95C01F-E39A-4ED9-8BBE-C804FD81D73F}"/>
            </a:ext>
          </a:extLst>
        </cdr:cNvPr>
        <cdr:cNvCxnSpPr/>
      </cdr:nvCxnSpPr>
      <cdr:spPr>
        <a:xfrm xmlns:a="http://schemas.openxmlformats.org/drawingml/2006/main">
          <a:off x="3876014" y="2146878"/>
          <a:ext cx="35833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0.88143</cdr:x>
      <cdr:y>0.74832</cdr:y>
    </cdr:from>
    <cdr:to>
      <cdr:x>0.88272</cdr:x>
      <cdr:y>0.80005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C1AD660-FBF9-438D-A500-A21BC74439F4}"/>
            </a:ext>
          </a:extLst>
        </cdr:cNvPr>
        <cdr:cNvCxnSpPr/>
      </cdr:nvCxnSpPr>
      <cdr:spPr>
        <a:xfrm xmlns:a="http://schemas.openxmlformats.org/drawingml/2006/main" flipH="1" flipV="1">
          <a:off x="4022422" y="2064659"/>
          <a:ext cx="5907" cy="1427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0.89089</cdr:x>
      <cdr:y>0.73228</cdr:y>
    </cdr:from>
    <cdr:to>
      <cdr:x>0.96187</cdr:x>
      <cdr:y>0.81255</cdr:y>
    </cdr:to>
    <cdr:sp macro="" textlink="'PAAS vs On Premise'!$G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065585" y="2020416"/>
          <a:ext cx="323935" cy="22146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3C6522-7DBA-4CEE-A0AF-FEE029E233AD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-10%</a:t>
          </a:fld>
          <a:endParaRPr lang="en-US" sz="8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0.77275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50" y="2119806"/>
          <a:ext cx="728732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0.78704</cdr:y>
    </cdr:from>
    <cdr:to>
      <cdr:x>0.85223</cdr:x>
      <cdr:y>0.89294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914" y="2159008"/>
          <a:ext cx="728732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0.55495</cdr:x>
      <cdr:y>0.71052</cdr:y>
    </cdr:from>
    <cdr:to>
      <cdr:x>0.63347</cdr:x>
      <cdr:y>0.71052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2727534" y="1949102"/>
          <a:ext cx="38591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0.57883</cdr:x>
      <cdr:y>0.58751</cdr:y>
    </cdr:from>
    <cdr:to>
      <cdr:x>0.64982</cdr:x>
      <cdr:y>0.66778</cdr:y>
    </cdr:to>
    <cdr:sp macro="" textlink="'PAAS vs On Premise'!$F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2844882" y="1611664"/>
          <a:ext cx="348909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87C22613-A5C7-4446-9A4B-ED0F58337D9F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+35%</a:t>
          </a:fld>
          <a:endParaRPr lang="en-US" sz="400"/>
        </a:p>
      </cdr:txBody>
    </cdr:sp>
  </cdr:relSizeAnchor>
  <cdr:relSizeAnchor xmlns:cdr="http://schemas.openxmlformats.org/drawingml/2006/chartDrawing">
    <cdr:from>
      <cdr:x>0.61589</cdr:x>
      <cdr:y>0.70606</cdr:y>
    </cdr:from>
    <cdr:to>
      <cdr:x>0.61718</cdr:x>
      <cdr:y>0.75779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027038" y="1936853"/>
          <a:ext cx="6340" cy="1419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0.68327</cdr:x>
      <cdr:y>0.7143</cdr:y>
    </cdr:from>
    <cdr:to>
      <cdr:x>0.76179</cdr:x>
      <cdr:y>0.7143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1A814236-FEA9-4A6C-8041-59F04B9E1E62}"/>
            </a:ext>
          </a:extLst>
        </cdr:cNvPr>
        <cdr:cNvCxnSpPr/>
      </cdr:nvCxnSpPr>
      <cdr:spPr>
        <a:xfrm xmlns:a="http://schemas.openxmlformats.org/drawingml/2006/main">
          <a:off x="3358184" y="1959460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0.20625</cdr:x>
      <cdr:y>0.50579</cdr:y>
    </cdr:from>
    <cdr:to>
      <cdr:x>0.79375</cdr:x>
      <cdr:y>0.76273</cdr:y>
    </cdr:to>
    <cdr:cxnSp macro="">
      <cdr:nvCxnSpPr>
        <cdr:cNvPr id="5" name="Connector: Elbow 4">
          <a:extLst xmlns:a="http://schemas.openxmlformats.org/drawingml/2006/main">
            <a:ext uri="{FF2B5EF4-FFF2-40B4-BE49-F238E27FC236}">
              <a16:creationId xmlns:a16="http://schemas.microsoft.com/office/drawing/2014/main" id="{A07B2AC0-6FB0-4E12-976D-D3EBC5521F58}"/>
            </a:ext>
          </a:extLst>
        </cdr:cNvPr>
        <cdr:cNvCxnSpPr/>
      </cdr:nvCxnSpPr>
      <cdr:spPr>
        <a:xfrm xmlns:a="http://schemas.openxmlformats.org/drawingml/2006/main">
          <a:off x="942975" y="1387475"/>
          <a:ext cx="2686050" cy="704850"/>
        </a:xfrm>
        <a:prstGeom xmlns:a="http://schemas.openxmlformats.org/drawingml/2006/main" prst="bentConnector3">
          <a:avLst>
            <a:gd name="adj1" fmla="val 99882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0.43958</cdr:x>
      <cdr:y>0.15625</cdr:y>
    </cdr:from>
    <cdr:to>
      <cdr:x>0.91181</cdr:x>
      <cdr:y>0.76736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A52C495D-BBE5-4003-ACAC-2B5CC92500EF}"/>
            </a:ext>
          </a:extLst>
        </cdr:cNvPr>
        <cdr:cNvCxnSpPr/>
      </cdr:nvCxnSpPr>
      <cdr:spPr>
        <a:xfrm xmlns:a="http://schemas.openxmlformats.org/drawingml/2006/main">
          <a:off x="2009775" y="428625"/>
          <a:ext cx="2159000" cy="1676400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0.85903</cdr:x>
      <cdr:y>0.26273</cdr:y>
    </cdr:from>
    <cdr:to>
      <cdr:x>0.95903</cdr:x>
      <cdr:y>0.36227</cdr:y>
    </cdr:to>
    <cdr:sp macro="" textlink="'PAAS vs On Premise'!$C$131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2D4CDA36-5742-408B-ADC6-E363D2CF53AF}"/>
            </a:ext>
          </a:extLst>
        </cdr:cNvPr>
        <cdr:cNvSpPr/>
      </cdr:nvSpPr>
      <cdr:spPr>
        <a:xfrm xmlns:a="http://schemas.openxmlformats.org/drawingml/2006/main">
          <a:off x="3927475" y="720725"/>
          <a:ext cx="457200" cy="27305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2">
                <a:lumMod val="90000"/>
                <a:shade val="30000"/>
                <a:satMod val="115000"/>
              </a:schemeClr>
            </a:gs>
            <a:gs pos="50000">
              <a:schemeClr val="bg2">
                <a:lumMod val="90000"/>
                <a:shade val="67500"/>
                <a:satMod val="115000"/>
              </a:schemeClr>
            </a:gs>
            <a:gs pos="100000">
              <a:schemeClr val="bg2">
                <a:lumMod val="9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18D6BE5-A277-47C6-8C70-10B4720D75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-89%</a:t>
          </a:fld>
          <a:endParaRPr lang="en-US" sz="1000"/>
        </a:p>
      </cdr:txBody>
    </cdr:sp>
  </cdr:relSizeAnchor>
  <cdr:relSizeAnchor xmlns:cdr="http://schemas.openxmlformats.org/drawingml/2006/chartDrawing">
    <cdr:from>
      <cdr:x>0.74514</cdr:x>
      <cdr:y>0.57523</cdr:y>
    </cdr:from>
    <cdr:to>
      <cdr:x>0.84514</cdr:x>
      <cdr:y>0.67477</cdr:y>
    </cdr:to>
    <cdr:sp macro="" textlink="'PAAS vs On Premise'!$B$131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CCBC4788-4E7B-4544-8747-5E7075560735}"/>
            </a:ext>
          </a:extLst>
        </cdr:cNvPr>
        <cdr:cNvSpPr/>
      </cdr:nvSpPr>
      <cdr:spPr>
        <a:xfrm xmlns:a="http://schemas.openxmlformats.org/drawingml/2006/main">
          <a:off x="3406775" y="1577975"/>
          <a:ext cx="457200" cy="27305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2">
                <a:lumMod val="90000"/>
                <a:shade val="30000"/>
                <a:satMod val="115000"/>
              </a:schemeClr>
            </a:gs>
            <a:gs pos="50000">
              <a:schemeClr val="bg2">
                <a:lumMod val="90000"/>
                <a:shade val="67500"/>
                <a:satMod val="115000"/>
              </a:schemeClr>
            </a:gs>
            <a:gs pos="100000">
              <a:schemeClr val="bg2">
                <a:lumMod val="9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B85E704A-EB8A-430B-8763-7AC71FB1F063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-79%</a:t>
          </a:fld>
          <a:endParaRPr lang="en-US" sz="10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0.54457</cdr:x>
      <cdr:y>0.28009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07" y="768350"/>
          <a:ext cx="2121271" cy="16765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0.4107</cdr:x>
      <cdr:y>0.78503</cdr:y>
    </cdr:from>
    <cdr:to>
      <cdr:x>0.91874</cdr:x>
      <cdr:y>0.78503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2018549" y="2153489"/>
          <a:ext cx="249696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0.14844</cdr:x>
      <cdr:y>0.27778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762000"/>
          <a:ext cx="1953328" cy="167936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0.84289</cdr:x>
      <cdr:y>0.85219</cdr:y>
    </cdr:from>
    <cdr:to>
      <cdr:x>0.92141</cdr:x>
      <cdr:y>0.85219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95C01F-E39A-4ED9-8BBE-C804FD81D73F}"/>
            </a:ext>
          </a:extLst>
        </cdr:cNvPr>
        <cdr:cNvCxnSpPr/>
      </cdr:nvCxnSpPr>
      <cdr:spPr>
        <a:xfrm xmlns:a="http://schemas.openxmlformats.org/drawingml/2006/main">
          <a:off x="4142720" y="2337739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0.84913</cdr:x>
      <cdr:y>0.78536</cdr:y>
    </cdr:from>
    <cdr:to>
      <cdr:x>0.85042</cdr:x>
      <cdr:y>0.83709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C1AD660-FBF9-438D-A500-A21BC74439F4}"/>
            </a:ext>
          </a:extLst>
        </cdr:cNvPr>
        <cdr:cNvCxnSpPr/>
      </cdr:nvCxnSpPr>
      <cdr:spPr>
        <a:xfrm xmlns:a="http://schemas.openxmlformats.org/drawingml/2006/main" flipH="1" flipV="1">
          <a:off x="4173390" y="2154391"/>
          <a:ext cx="6341" cy="14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0.86117</cdr:x>
      <cdr:y>0.77395</cdr:y>
    </cdr:from>
    <cdr:to>
      <cdr:x>0.93215</cdr:x>
      <cdr:y>0.85422</cdr:y>
    </cdr:to>
    <cdr:sp macro="" textlink="'PAAS vs On Premise'!$R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232585" y="2123090"/>
          <a:ext cx="348860" cy="22019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73DB8DE5-F452-42E6-9B3D-8062D6B2BD0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-64%</a:t>
          </a:fld>
          <a:endParaRPr lang="en-US" sz="5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0.84954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33" y="2330450"/>
          <a:ext cx="728732" cy="79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0.87627</cdr:y>
    </cdr:from>
    <cdr:to>
      <cdr:x>0.85223</cdr:x>
      <cdr:y>0.91435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893" y="2403794"/>
          <a:ext cx="728732" cy="104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0.63376</cdr:x>
      <cdr:y>0.83321</cdr:y>
    </cdr:from>
    <cdr:to>
      <cdr:x>0.71228</cdr:x>
      <cdr:y>0.83321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3114874" y="2285648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0.66798</cdr:x>
      <cdr:y>0.70094</cdr:y>
    </cdr:from>
    <cdr:to>
      <cdr:x>0.73897</cdr:x>
      <cdr:y>0.78121</cdr:y>
    </cdr:to>
    <cdr:sp macro="" textlink="'PAAS vs On Premise'!$Q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3283042" y="1922807"/>
          <a:ext cx="348908" cy="22019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6A967B5E-AF20-4CFA-8987-6995A12C0DC7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-46%</a:t>
          </a:fld>
          <a:endParaRPr lang="en-US" sz="200"/>
        </a:p>
      </cdr:txBody>
    </cdr:sp>
  </cdr:relSizeAnchor>
  <cdr:relSizeAnchor xmlns:cdr="http://schemas.openxmlformats.org/drawingml/2006/chartDrawing">
    <cdr:from>
      <cdr:x>0.66886</cdr:x>
      <cdr:y>0.77319</cdr:y>
    </cdr:from>
    <cdr:to>
      <cdr:x>0.67015</cdr:x>
      <cdr:y>0.82492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287388" y="2121014"/>
          <a:ext cx="6340" cy="14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0.14844</cdr:x>
      <cdr:y>0.25694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704850"/>
          <a:ext cx="1953328" cy="173651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0.25926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07" y="711200"/>
          <a:ext cx="2121271" cy="173370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0.4126</cdr:x>
      <cdr:y>0.77639</cdr:y>
    </cdr:from>
    <cdr:to>
      <cdr:x>0.92064</cdr:x>
      <cdr:y>0.77639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2023487" y="2126173"/>
          <a:ext cx="2491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0.85988</cdr:x>
      <cdr:y>0.72302</cdr:y>
    </cdr:from>
    <cdr:to>
      <cdr:x>0.93086</cdr:x>
      <cdr:y>0.80329</cdr:y>
    </cdr:to>
    <cdr:sp macro="" textlink="'PAAS vs On Premise'!$X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226214" y="1983400"/>
          <a:ext cx="348860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3FB73668-549B-4EA8-9862-F5403200F0C2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-0%</a:t>
          </a:fld>
          <a:endParaRPr lang="en-US" sz="2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0.69676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33" y="1911350"/>
          <a:ext cx="728732" cy="498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0.75926</cdr:y>
    </cdr:from>
    <cdr:to>
      <cdr:x>0.85223</cdr:x>
      <cdr:y>0.91435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893" y="2082800"/>
          <a:ext cx="728732" cy="425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0.62244</cdr:x>
      <cdr:y>0.71506</cdr:y>
    </cdr:from>
    <cdr:to>
      <cdr:x>0.70096</cdr:x>
      <cdr:y>0.71506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3052594" y="1958213"/>
          <a:ext cx="385079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0.68245</cdr:x>
      <cdr:y>0.63667</cdr:y>
    </cdr:from>
    <cdr:to>
      <cdr:x>0.75344</cdr:x>
      <cdr:y>0.71694</cdr:y>
    </cdr:to>
    <cdr:sp macro="" textlink="'PAAS vs On Premise'!$W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3346864" y="1743531"/>
          <a:ext cx="348150" cy="219821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C9057125-F7ED-460E-A983-C11A7C3C6C61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+50%</a:t>
          </a:fld>
          <a:endParaRPr lang="en-US" sz="100"/>
        </a:p>
      </cdr:txBody>
    </cdr:sp>
  </cdr:relSizeAnchor>
  <cdr:relSizeAnchor xmlns:cdr="http://schemas.openxmlformats.org/drawingml/2006/chartDrawing">
    <cdr:from>
      <cdr:x>0.70124</cdr:x>
      <cdr:y>0.7176</cdr:y>
    </cdr:from>
    <cdr:to>
      <cdr:x>0.70192</cdr:x>
      <cdr:y>0.77252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439027" y="1965159"/>
          <a:ext cx="3342" cy="1503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0.37726</cdr:x>
      <cdr:y>0.35648</cdr:y>
    </cdr:from>
    <cdr:to>
      <cdr:x>0.9031</cdr:x>
      <cdr:y>0.70602</cdr:y>
    </cdr:to>
    <cdr:cxnSp macro="">
      <cdr:nvCxnSpPr>
        <cdr:cNvPr id="10" name="Connector: Elbow 9">
          <a:extLst xmlns:a="http://schemas.openxmlformats.org/drawingml/2006/main">
            <a:ext uri="{FF2B5EF4-FFF2-40B4-BE49-F238E27FC236}">
              <a16:creationId xmlns:a16="http://schemas.microsoft.com/office/drawing/2014/main" id="{B702EB2F-B023-4764-A217-33F91B407587}"/>
            </a:ext>
          </a:extLst>
        </cdr:cNvPr>
        <cdr:cNvCxnSpPr/>
      </cdr:nvCxnSpPr>
      <cdr:spPr>
        <a:xfrm xmlns:a="http://schemas.openxmlformats.org/drawingml/2006/main">
          <a:off x="1854200" y="977900"/>
          <a:ext cx="2584450" cy="958850"/>
        </a:xfrm>
        <a:prstGeom xmlns:a="http://schemas.openxmlformats.org/drawingml/2006/main" prst="bentConnector3">
          <a:avLst>
            <a:gd name="adj1" fmla="val 99877"/>
          </a:avLst>
        </a:prstGeom>
        <a:ln xmlns:a="http://schemas.openxmlformats.org/drawingml/2006/main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0.73326</cdr:x>
      <cdr:y>0.32256</cdr:y>
    </cdr:from>
    <cdr:to>
      <cdr:x>0.80424</cdr:x>
      <cdr:y>0.40283</cdr:y>
    </cdr:to>
    <cdr:sp macro="" textlink="'PAAS vs On Premise'!$X$14">
      <cdr:nvSpPr>
        <cdr:cNvPr id="22" name="Oval 21">
          <a:extLst xmlns:a="http://schemas.openxmlformats.org/drawingml/2006/main">
            <a:ext uri="{FF2B5EF4-FFF2-40B4-BE49-F238E27FC236}">
              <a16:creationId xmlns:a16="http://schemas.microsoft.com/office/drawing/2014/main" id="{EA2F888E-463B-412B-BC64-1AE15E69AE53}"/>
            </a:ext>
          </a:extLst>
        </cdr:cNvPr>
        <cdr:cNvSpPr/>
      </cdr:nvSpPr>
      <cdr:spPr>
        <a:xfrm xmlns:a="http://schemas.openxmlformats.org/drawingml/2006/main">
          <a:off x="3603914" y="884850"/>
          <a:ext cx="348860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FEC8DE76-AD3F-4F84-AE5F-30B35D103D06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-78%</a:t>
          </a:fld>
          <a:endParaRPr lang="en-US" sz="2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20</xdr:row>
      <xdr:rowOff>22224</xdr:rowOff>
    </xdr:from>
    <xdr:to>
      <xdr:col>5</xdr:col>
      <xdr:colOff>354542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F01E-A77D-441E-95DF-8B7DB291A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8</xdr:col>
      <xdr:colOff>31750</xdr:colOff>
      <xdr:row>55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70B40-C010-42E5-BAAA-F12B88FD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31750</xdr:colOff>
      <xdr:row>75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08EDA-119F-4604-A9F7-64B2E4DE4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204258</xdr:colOff>
      <xdr:row>36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3FF36-8426-4F5D-A36D-C7A735752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0.64976</cdr:x>
      <cdr:y>0.46034</cdr:y>
    </cdr:from>
    <cdr:to>
      <cdr:x>0.80908</cdr:x>
      <cdr:y>0.46034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C663922-F9A8-4A2B-9D42-EC2362B75812}"/>
            </a:ext>
          </a:extLst>
        </cdr:cNvPr>
        <cdr:cNvCxnSpPr/>
      </cdr:nvCxnSpPr>
      <cdr:spPr>
        <a:xfrm xmlns:a="http://schemas.openxmlformats.org/drawingml/2006/main" flipV="1">
          <a:off x="5030258" y="1406527"/>
          <a:ext cx="123339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0.71241</cdr:x>
      <cdr:y>0.42404</cdr:y>
    </cdr:from>
    <cdr:to>
      <cdr:x>0.76008</cdr:x>
      <cdr:y>0.49718</cdr:y>
    </cdr:to>
    <cdr:sp macro="" textlink="'DBCS SW only'!$F$16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9244D15-63A4-4403-B8BA-D887EC445C2D}"/>
            </a:ext>
          </a:extLst>
        </cdr:cNvPr>
        <cdr:cNvSpPr/>
      </cdr:nvSpPr>
      <cdr:spPr>
        <a:xfrm xmlns:a="http://schemas.openxmlformats.org/drawingml/2006/main">
          <a:off x="5515286" y="1295619"/>
          <a:ext cx="369047" cy="22347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22CC83-7B0D-407F-9561-216116316B6F}" type="TxLink">
            <a:rPr lang="en-US" sz="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-56%</a:t>
          </a:fld>
          <a:endParaRPr lang="en-US" sz="600"/>
        </a:p>
      </cdr:txBody>
    </cdr:sp>
  </cdr:relSizeAnchor>
  <cdr:relSizeAnchor xmlns:cdr="http://schemas.openxmlformats.org/drawingml/2006/chartDrawing">
    <cdr:from>
      <cdr:x>0.21385</cdr:x>
      <cdr:y>0.67163</cdr:y>
    </cdr:from>
    <cdr:to>
      <cdr:x>0.96518</cdr:x>
      <cdr:y>0.67253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266940" y="2052117"/>
          <a:ext cx="4451292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0.55065</cdr:x>
      <cdr:y>0.08971</cdr:y>
    </cdr:from>
    <cdr:to>
      <cdr:x>0.91258</cdr:x>
      <cdr:y>0.09081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0106AAD-38C3-4F1E-9315-E1BB448FDD92}"/>
            </a:ext>
          </a:extLst>
        </cdr:cNvPr>
        <cdr:cNvCxnSpPr/>
      </cdr:nvCxnSpPr>
      <cdr:spPr>
        <a:xfrm xmlns:a="http://schemas.openxmlformats.org/drawingml/2006/main">
          <a:off x="4262967" y="274110"/>
          <a:ext cx="2801930" cy="33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0.91806</cdr:x>
      <cdr:y>0.08908</cdr:y>
    </cdr:from>
    <cdr:to>
      <cdr:x>0.91806</cdr:x>
      <cdr:y>0.4779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52723C1-1E9D-4657-9EA7-7ABFFC234A4D}"/>
            </a:ext>
          </a:extLst>
        </cdr:cNvPr>
        <cdr:cNvCxnSpPr/>
      </cdr:nvCxnSpPr>
      <cdr:spPr>
        <a:xfrm xmlns:a="http://schemas.openxmlformats.org/drawingml/2006/main">
          <a:off x="7107358" y="272190"/>
          <a:ext cx="0" cy="1188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0.64974</cdr:x>
      <cdr:y>0.45827</cdr:y>
    </cdr:from>
    <cdr:to>
      <cdr:x>0.65044</cdr:x>
      <cdr:y>0.56252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E8A1B074-222F-48F9-BD52-D59902FA1D11}"/>
            </a:ext>
          </a:extLst>
        </cdr:cNvPr>
        <cdr:cNvCxnSpPr/>
      </cdr:nvCxnSpPr>
      <cdr:spPr>
        <a:xfrm xmlns:a="http://schemas.openxmlformats.org/drawingml/2006/main">
          <a:off x="5030066" y="1400198"/>
          <a:ext cx="5484" cy="3185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0.54926</cdr:x>
      <cdr:y>0.08764</cdr:y>
    </cdr:from>
    <cdr:to>
      <cdr:x>0.54926</cdr:x>
      <cdr:y>0.54715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C13B25B-40E0-49C3-86B9-87FD6991BB90}"/>
            </a:ext>
          </a:extLst>
        </cdr:cNvPr>
        <cdr:cNvCxnSpPr/>
      </cdr:nvCxnSpPr>
      <cdr:spPr>
        <a:xfrm xmlns:a="http://schemas.openxmlformats.org/drawingml/2006/main">
          <a:off x="4252191" y="267780"/>
          <a:ext cx="0" cy="1404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0.52468</cdr:x>
      <cdr:y>0.20534</cdr:y>
    </cdr:from>
    <cdr:to>
      <cdr:x>0.57235</cdr:x>
      <cdr:y>0.27848</cdr:y>
    </cdr:to>
    <cdr:sp macro="" textlink="'DBCS SW only'!$F$15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F1ADCEB8-ADBE-4857-81A0-2AB0A258C81C}"/>
            </a:ext>
          </a:extLst>
        </cdr:cNvPr>
        <cdr:cNvSpPr/>
      </cdr:nvSpPr>
      <cdr:spPr>
        <a:xfrm xmlns:a="http://schemas.openxmlformats.org/drawingml/2006/main">
          <a:off x="4061937" y="627393"/>
          <a:ext cx="369046" cy="22347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4BC216-3788-4A97-B284-F78C30960A1C}" type="TxLink">
            <a:rPr lang="en-US" sz="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-76%</a:t>
          </a:fld>
          <a:endParaRPr lang="en-US" sz="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0.19662</cdr:x>
      <cdr:y>0.60755</cdr:y>
    </cdr:from>
    <cdr:to>
      <cdr:x>0.94795</cdr:x>
      <cdr:y>0.60845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548154" y="1856303"/>
          <a:ext cx="5915972" cy="2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0.20669</cdr:x>
      <cdr:y>0.68029</cdr:y>
    </cdr:from>
    <cdr:to>
      <cdr:x>0.95802</cdr:x>
      <cdr:y>0.68119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627491" y="2078576"/>
          <a:ext cx="5915973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0.91806</cdr:x>
      <cdr:y>0.08908</cdr:y>
    </cdr:from>
    <cdr:to>
      <cdr:x>0.91806</cdr:x>
      <cdr:y>0.4779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52723C1-1E9D-4657-9EA7-7ABFFC234A4D}"/>
            </a:ext>
          </a:extLst>
        </cdr:cNvPr>
        <cdr:cNvCxnSpPr/>
      </cdr:nvCxnSpPr>
      <cdr:spPr>
        <a:xfrm xmlns:a="http://schemas.openxmlformats.org/drawingml/2006/main">
          <a:off x="7107358" y="272190"/>
          <a:ext cx="0" cy="1188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0.64708</cdr:x>
      <cdr:y>0.49498</cdr:y>
    </cdr:from>
    <cdr:to>
      <cdr:x>0.79135</cdr:x>
      <cdr:y>0.49532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C663922-F9A8-4A2B-9D42-EC2362B75812}"/>
            </a:ext>
          </a:extLst>
        </cdr:cNvPr>
        <cdr:cNvCxnSpPr/>
      </cdr:nvCxnSpPr>
      <cdr:spPr>
        <a:xfrm xmlns:a="http://schemas.openxmlformats.org/drawingml/2006/main">
          <a:off x="3833661" y="1512360"/>
          <a:ext cx="854756" cy="10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0.68472</cdr:x>
      <cdr:y>0.4327</cdr:y>
    </cdr:from>
    <cdr:to>
      <cdr:x>0.7592</cdr:x>
      <cdr:y>0.55421</cdr:y>
    </cdr:to>
    <cdr:sp macro="" textlink="'DBCS SW only'!$F$16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9244D15-63A4-4403-B8BA-D887EC445C2D}"/>
            </a:ext>
          </a:extLst>
        </cdr:cNvPr>
        <cdr:cNvSpPr/>
      </cdr:nvSpPr>
      <cdr:spPr>
        <a:xfrm xmlns:a="http://schemas.openxmlformats.org/drawingml/2006/main">
          <a:off x="4056668" y="1322074"/>
          <a:ext cx="441249" cy="37126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22CC83-7B0D-407F-9561-216116316B6F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-56%</a:t>
          </a:fld>
          <a:endParaRPr lang="en-US" sz="1000"/>
        </a:p>
      </cdr:txBody>
    </cdr:sp>
  </cdr:relSizeAnchor>
  <cdr:relSizeAnchor xmlns:cdr="http://schemas.openxmlformats.org/drawingml/2006/chartDrawing">
    <cdr:from>
      <cdr:x>0.21385</cdr:x>
      <cdr:y>0.67163</cdr:y>
    </cdr:from>
    <cdr:to>
      <cdr:x>0.96518</cdr:x>
      <cdr:y>0.67253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266940" y="2052117"/>
          <a:ext cx="4451292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0.54752</cdr:x>
      <cdr:y>0.06062</cdr:y>
    </cdr:from>
    <cdr:to>
      <cdr:x>0.88757</cdr:x>
      <cdr:y>0.06062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0106AAD-38C3-4F1E-9315-E1BB448FDD92}"/>
            </a:ext>
          </a:extLst>
        </cdr:cNvPr>
        <cdr:cNvCxnSpPr/>
      </cdr:nvCxnSpPr>
      <cdr:spPr>
        <a:xfrm xmlns:a="http://schemas.openxmlformats.org/drawingml/2006/main">
          <a:off x="3243792" y="185208"/>
          <a:ext cx="201466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0.64795</cdr:x>
      <cdr:y>0.49291</cdr:y>
    </cdr:from>
    <cdr:to>
      <cdr:x>0.64865</cdr:x>
      <cdr:y>0.59716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E8A1B074-222F-48F9-BD52-D59902FA1D11}"/>
            </a:ext>
          </a:extLst>
        </cdr:cNvPr>
        <cdr:cNvCxnSpPr/>
      </cdr:nvCxnSpPr>
      <cdr:spPr>
        <a:xfrm xmlns:a="http://schemas.openxmlformats.org/drawingml/2006/main">
          <a:off x="3838833" y="1506036"/>
          <a:ext cx="4147" cy="3185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0.54837</cdr:x>
      <cdr:y>0.0582</cdr:y>
    </cdr:from>
    <cdr:to>
      <cdr:x>0.54837</cdr:x>
      <cdr:y>0.51771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C13B25B-40E0-49C3-86B9-87FD6991BB90}"/>
            </a:ext>
          </a:extLst>
        </cdr:cNvPr>
        <cdr:cNvCxnSpPr/>
      </cdr:nvCxnSpPr>
      <cdr:spPr>
        <a:xfrm xmlns:a="http://schemas.openxmlformats.org/drawingml/2006/main">
          <a:off x="3248827" y="177817"/>
          <a:ext cx="0" cy="14039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0.51039</cdr:x>
      <cdr:y>0.20534</cdr:y>
    </cdr:from>
    <cdr:to>
      <cdr:x>0.58146</cdr:x>
      <cdr:y>0.30828</cdr:y>
    </cdr:to>
    <cdr:sp macro="" textlink="'DBCS SW only'!$F$15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F1ADCEB8-ADBE-4857-81A0-2AB0A258C81C}"/>
            </a:ext>
          </a:extLst>
        </cdr:cNvPr>
        <cdr:cNvSpPr/>
      </cdr:nvSpPr>
      <cdr:spPr>
        <a:xfrm xmlns:a="http://schemas.openxmlformats.org/drawingml/2006/main">
          <a:off x="3023826" y="627397"/>
          <a:ext cx="421049" cy="31452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4BC216-3788-4A97-B284-F78C30960A1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-76%</a:t>
          </a:fld>
          <a:endParaRPr lang="en-US" sz="6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9524</xdr:rowOff>
    </xdr:from>
    <xdr:to>
      <xdr:col>4</xdr:col>
      <xdr:colOff>469900</xdr:colOff>
      <xdr:row>51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C9CB4-CE84-496E-ACCD-A110DE53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879475</xdr:colOff>
      <xdr:row>63</xdr:row>
      <xdr:rowOff>60325</xdr:rowOff>
    </xdr:from>
    <xdr:to>
      <xdr:col>3</xdr:col>
      <xdr:colOff>492125</xdr:colOff>
      <xdr:row>78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0C07C-13E5-4FBE-ADCF-04C7433A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</cdr:x>
      <cdr:y>0.12686</cdr:y>
    </cdr:from>
    <cdr:to>
      <cdr:x>0.53824</cdr:x>
      <cdr:y>0.65179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38825994-D28E-474E-8B5B-C1F7989ED243}"/>
            </a:ext>
          </a:extLst>
        </cdr:cNvPr>
        <cdr:cNvCxnSpPr/>
      </cdr:nvCxnSpPr>
      <cdr:spPr>
        <a:xfrm xmlns:a="http://schemas.openxmlformats.org/drawingml/2006/main" rot="16200000" flipH="1">
          <a:off x="2247900" y="1127125"/>
          <a:ext cx="1905003" cy="571503"/>
        </a:xfrm>
        <a:prstGeom xmlns:a="http://schemas.openxmlformats.org/drawingml/2006/main" prst="bentConnector3">
          <a:avLst>
            <a:gd name="adj1" fmla="val 33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0.49804</cdr:x>
      <cdr:y>0.2021</cdr:y>
    </cdr:from>
    <cdr:to>
      <cdr:x>0.57745</cdr:x>
      <cdr:y>0.31759</cdr:y>
    </cdr:to>
    <cdr:sp macro="" textlink="'DB Example'!$I$29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46B4941E-AB96-4B77-8B95-8FC5C6810138}"/>
            </a:ext>
          </a:extLst>
        </cdr:cNvPr>
        <cdr:cNvSpPr/>
      </cdr:nvSpPr>
      <cdr:spPr>
        <a:xfrm xmlns:a="http://schemas.openxmlformats.org/drawingml/2006/main">
          <a:off x="3225800" y="733426"/>
          <a:ext cx="514350" cy="419100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11C89C4F-D0B8-4368-A790-2EF0CFCF207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-81%</a:t>
          </a:fld>
          <a:endParaRPr lang="en-US" sz="1100"/>
        </a:p>
      </cdr:txBody>
    </cdr:sp>
  </cdr:relSizeAnchor>
  <cdr:relSizeAnchor xmlns:cdr="http://schemas.openxmlformats.org/drawingml/2006/chartDrawing">
    <cdr:from>
      <cdr:x>0.77059</cdr:x>
      <cdr:y>0.37183</cdr:y>
    </cdr:from>
    <cdr:to>
      <cdr:x>0.84412</cdr:x>
      <cdr:y>0.66754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4DC2363A-8B1A-4470-911B-1E11D2A06854}"/>
            </a:ext>
          </a:extLst>
        </cdr:cNvPr>
        <cdr:cNvCxnSpPr/>
      </cdr:nvCxnSpPr>
      <cdr:spPr>
        <a:xfrm xmlns:a="http://schemas.openxmlformats.org/drawingml/2006/main" rot="16200000" flipH="1">
          <a:off x="4692658" y="1647833"/>
          <a:ext cx="1073145" cy="476239"/>
        </a:xfrm>
        <a:prstGeom xmlns:a="http://schemas.openxmlformats.org/drawingml/2006/main" prst="bentConnector3">
          <a:avLst>
            <a:gd name="adj1" fmla="val 296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0.79693</cdr:x>
      <cdr:y>0.31871</cdr:y>
    </cdr:from>
    <cdr:to>
      <cdr:x>0.87634</cdr:x>
      <cdr:y>0.43419</cdr:y>
    </cdr:to>
    <cdr:sp macro="" textlink="'DB Example'!$I$31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3117AC50-CDD7-4ED6-AF6E-9D565D37E276}"/>
            </a:ext>
          </a:extLst>
        </cdr:cNvPr>
        <cdr:cNvSpPr/>
      </cdr:nvSpPr>
      <cdr:spPr>
        <a:xfrm xmlns:a="http://schemas.openxmlformats.org/drawingml/2006/main">
          <a:off x="5161702" y="1156615"/>
          <a:ext cx="514338" cy="419079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57503298-7D7B-4367-B606-F23C0A7C5A5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-73%</a:t>
          </a:fld>
          <a:endParaRPr lang="en-US" sz="1050"/>
        </a:p>
      </cdr:txBody>
    </cdr:sp>
  </cdr:relSizeAnchor>
  <cdr:relSizeAnchor xmlns:cdr="http://schemas.openxmlformats.org/drawingml/2006/chartDrawing">
    <cdr:from>
      <cdr:x>0.22941</cdr:x>
      <cdr:y>0.53981</cdr:y>
    </cdr:from>
    <cdr:to>
      <cdr:x>0.9549</cdr:x>
      <cdr:y>0.53981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9C04789D-2D29-4F1E-A8E4-183C0C481476}"/>
            </a:ext>
          </a:extLst>
        </cdr:cNvPr>
        <cdr:cNvCxnSpPr/>
      </cdr:nvCxnSpPr>
      <cdr:spPr>
        <a:xfrm xmlns:a="http://schemas.openxmlformats.org/drawingml/2006/main">
          <a:off x="1485889" y="1958969"/>
          <a:ext cx="4698998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0.51683</cdr:x>
      <cdr:y>0.53981</cdr:y>
    </cdr:from>
    <cdr:to>
      <cdr:x>0.51765</cdr:x>
      <cdr:y>0.64662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FDCD1FF-E585-4948-B846-E0DF90AC2909}"/>
            </a:ext>
          </a:extLst>
        </cdr:cNvPr>
        <cdr:cNvCxnSpPr/>
      </cdr:nvCxnSpPr>
      <cdr:spPr>
        <a:xfrm xmlns:a="http://schemas.openxmlformats.org/drawingml/2006/main" flipH="1">
          <a:off x="3347503" y="1958976"/>
          <a:ext cx="5297" cy="38762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0.51176</cdr:x>
      <cdr:y>0.64782</cdr:y>
    </cdr:from>
    <cdr:to>
      <cdr:x>0.55326</cdr:x>
      <cdr:y>0.64782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5DB9BD85-0298-4157-9A6A-D9EFF2EE2B1D}"/>
            </a:ext>
          </a:extLst>
        </cdr:cNvPr>
        <cdr:cNvCxnSpPr/>
      </cdr:nvCxnSpPr>
      <cdr:spPr>
        <a:xfrm xmlns:a="http://schemas.openxmlformats.org/drawingml/2006/main">
          <a:off x="3314664" y="2350962"/>
          <a:ext cx="268796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0.45613</cdr:x>
      <cdr:y>0.55231</cdr:y>
    </cdr:from>
    <cdr:to>
      <cdr:x>0.51765</cdr:x>
      <cdr:y>0.6308</cdr:y>
    </cdr:to>
    <cdr:sp macro="" textlink="'DB Example'!$J$29">
      <cdr:nvSpPr>
        <cdr:cNvPr id="20" name="Oval 19">
          <a:extLst xmlns:a="http://schemas.openxmlformats.org/drawingml/2006/main">
            <a:ext uri="{FF2B5EF4-FFF2-40B4-BE49-F238E27FC236}">
              <a16:creationId xmlns:a16="http://schemas.microsoft.com/office/drawing/2014/main" id="{548CDDF4-7AB8-4133-8AF2-7399857CD94D}"/>
            </a:ext>
          </a:extLst>
        </cdr:cNvPr>
        <cdr:cNvSpPr/>
      </cdr:nvSpPr>
      <cdr:spPr>
        <a:xfrm xmlns:a="http://schemas.openxmlformats.org/drawingml/2006/main">
          <a:off x="2954357" y="2004341"/>
          <a:ext cx="398465" cy="284842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307F6C97-044B-473D-8E2A-88FE778FCF15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-49%</a:t>
          </a:fld>
          <a:endParaRPr lang="en-US" sz="600"/>
        </a:p>
      </cdr:txBody>
    </cdr:sp>
  </cdr:relSizeAnchor>
  <cdr:relSizeAnchor xmlns:cdr="http://schemas.openxmlformats.org/drawingml/2006/chartDrawing">
    <cdr:from>
      <cdr:x>0.93529</cdr:x>
      <cdr:y>0.53806</cdr:y>
    </cdr:from>
    <cdr:to>
      <cdr:x>0.93627</cdr:x>
      <cdr:y>0.66929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5EB97272-DDFA-46B4-AAF3-0B39756AFE39}"/>
            </a:ext>
          </a:extLst>
        </cdr:cNvPr>
        <cdr:cNvCxnSpPr/>
      </cdr:nvCxnSpPr>
      <cdr:spPr>
        <a:xfrm xmlns:a="http://schemas.openxmlformats.org/drawingml/2006/main" flipH="1">
          <a:off x="6057873" y="1952626"/>
          <a:ext cx="6377" cy="4762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0.83658</cdr:x>
      <cdr:y>0.66877</cdr:y>
    </cdr:from>
    <cdr:to>
      <cdr:x>0.96443</cdr:x>
      <cdr:y>0.66892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87BAC3F2-E54E-4B25-B05D-9097C2B5AA32}"/>
            </a:ext>
          </a:extLst>
        </cdr:cNvPr>
        <cdr:cNvCxnSpPr/>
      </cdr:nvCxnSpPr>
      <cdr:spPr>
        <a:xfrm xmlns:a="http://schemas.openxmlformats.org/drawingml/2006/main">
          <a:off x="5418531" y="2426996"/>
          <a:ext cx="828085" cy="544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0.93313</cdr:x>
      <cdr:y>0.57656</cdr:y>
    </cdr:from>
    <cdr:to>
      <cdr:x>0.9902</cdr:x>
      <cdr:y>0.64305</cdr:y>
    </cdr:to>
    <cdr:sp macro="" textlink="'DB Example'!$J$31">
      <cdr:nvSpPr>
        <cdr:cNvPr id="24" name="Oval 23">
          <a:extLst xmlns:a="http://schemas.openxmlformats.org/drawingml/2006/main">
            <a:ext uri="{FF2B5EF4-FFF2-40B4-BE49-F238E27FC236}">
              <a16:creationId xmlns:a16="http://schemas.microsoft.com/office/drawing/2014/main" id="{5470F4B8-0DAA-4600-B381-D9FD3C094874}"/>
            </a:ext>
          </a:extLst>
        </cdr:cNvPr>
        <cdr:cNvSpPr/>
      </cdr:nvSpPr>
      <cdr:spPr>
        <a:xfrm xmlns:a="http://schemas.openxmlformats.org/drawingml/2006/main">
          <a:off x="6043875" y="2092342"/>
          <a:ext cx="369643" cy="241294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A792081C-AB94-4CA8-810A-7B56732EAAD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-59%</a:t>
          </a:fld>
          <a:endParaRPr lang="en-US" sz="5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11</xdr:row>
      <xdr:rowOff>28575</xdr:rowOff>
    </xdr:from>
    <xdr:to>
      <xdr:col>3</xdr:col>
      <xdr:colOff>301625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2A163-2120-40C5-ACBD-84D0FF33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C4824-7CF2-42B3-8900-9DE7CFE6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4.5" x14ac:dyDescent="0.35"/>
  <cols>
    <col min="1" max="1" width="16.90625" customWidth="1"/>
    <col min="2" max="2" width="23.08984375" customWidth="1"/>
  </cols>
  <sheetData>
    <row r="1" spans="1:5" x14ac:dyDescent="0.35">
      <c r="B1" t="s">
        <v>23</v>
      </c>
    </row>
    <row r="2" spans="1:5" x14ac:dyDescent="0.35">
      <c r="A2" t="s">
        <v>177</v>
      </c>
      <c r="B2">
        <f>ROUNDUP(0.5376*744,0)</f>
        <v>400</v>
      </c>
      <c r="C2" s="1">
        <f>B2/$B$3-1</f>
        <v>-0.33333333333333337</v>
      </c>
      <c r="E2">
        <v>70</v>
      </c>
    </row>
    <row r="3" spans="1:5" x14ac:dyDescent="0.35">
      <c r="A3" t="s">
        <v>22</v>
      </c>
      <c r="B3">
        <f>ROUNDUP(0.8064*744,0)</f>
        <v>600</v>
      </c>
      <c r="C3" s="1">
        <f>B3/$B$3-1</f>
        <v>0</v>
      </c>
      <c r="E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B10" zoomScale="120" zoomScaleNormal="120" workbookViewId="0">
      <selection activeCell="B10" sqref="B10"/>
    </sheetView>
  </sheetViews>
  <sheetFormatPr defaultRowHeight="14.5" x14ac:dyDescent="0.35"/>
  <cols>
    <col min="1" max="1" width="47.81640625" customWidth="1"/>
    <col min="7" max="7" width="10.6328125" customWidth="1"/>
    <col min="8" max="8" width="10.26953125" bestFit="1" customWidth="1"/>
  </cols>
  <sheetData>
    <row r="1" spans="1:10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10" x14ac:dyDescent="0.35">
      <c r="A3" t="s">
        <v>15</v>
      </c>
      <c r="B3" s="9">
        <v>80000</v>
      </c>
    </row>
    <row r="4" spans="1:10" x14ac:dyDescent="0.35">
      <c r="A4" t="s">
        <v>16</v>
      </c>
      <c r="B4">
        <v>40</v>
      </c>
    </row>
    <row r="5" spans="1:10" x14ac:dyDescent="0.35">
      <c r="A5" t="s">
        <v>18</v>
      </c>
      <c r="B5" s="5">
        <v>0.46</v>
      </c>
    </row>
    <row r="6" spans="1:10" x14ac:dyDescent="0.35">
      <c r="A6" t="s">
        <v>17</v>
      </c>
      <c r="B6">
        <v>200</v>
      </c>
    </row>
    <row r="7" spans="1:10" x14ac:dyDescent="0.35">
      <c r="A7" t="s">
        <v>20</v>
      </c>
      <c r="B7">
        <f>'Impact of Commitment'!B2</f>
        <v>400</v>
      </c>
    </row>
    <row r="8" spans="1:10" x14ac:dyDescent="0.35">
      <c r="A8" t="s">
        <v>21</v>
      </c>
      <c r="B8">
        <v>75</v>
      </c>
    </row>
    <row r="10" spans="1:10" ht="43" customHeight="1" x14ac:dyDescent="0.35">
      <c r="B10" t="s">
        <v>2</v>
      </c>
      <c r="C10" t="s">
        <v>3</v>
      </c>
      <c r="D10" t="s">
        <v>4</v>
      </c>
      <c r="E10" s="3" t="s">
        <v>6</v>
      </c>
      <c r="F10" s="3" t="s">
        <v>7</v>
      </c>
      <c r="G10" s="3" t="s">
        <v>12</v>
      </c>
      <c r="H10" s="3" t="s">
        <v>13</v>
      </c>
      <c r="I10" s="3" t="s">
        <v>14</v>
      </c>
      <c r="J10" s="4" t="s">
        <v>11</v>
      </c>
    </row>
    <row r="11" spans="1:10" x14ac:dyDescent="0.35">
      <c r="A11" t="s">
        <v>10</v>
      </c>
      <c r="B11" s="9">
        <f>47000*0.5</f>
        <v>23500</v>
      </c>
      <c r="D11" s="9">
        <f>SUM(B11:C11)</f>
        <v>23500</v>
      </c>
      <c r="E11" s="2">
        <f t="shared" ref="E11:E19" si="0">D11/$D$12-1</f>
        <v>3.5454545454545459</v>
      </c>
      <c r="G11" s="9"/>
      <c r="H11" s="9">
        <f>D11+G11</f>
        <v>23500</v>
      </c>
      <c r="I11" s="2"/>
    </row>
    <row r="12" spans="1:10" x14ac:dyDescent="0.35">
      <c r="A12" t="s">
        <v>1</v>
      </c>
      <c r="B12" s="9">
        <f>B11*0.22</f>
        <v>5170</v>
      </c>
      <c r="C12" s="9"/>
      <c r="D12" s="9">
        <f t="shared" ref="D12:D18" si="1">SUM(B12:C12)</f>
        <v>5170</v>
      </c>
      <c r="E12" s="2">
        <f t="shared" si="0"/>
        <v>0</v>
      </c>
      <c r="G12" s="9">
        <f>$B$3/$B$4+$B$3/$B$6</f>
        <v>2400</v>
      </c>
      <c r="H12" s="9">
        <f t="shared" ref="H12:H19" si="2">D12+G12</f>
        <v>7570</v>
      </c>
      <c r="I12" s="2">
        <f t="shared" ref="I12:I19" si="3">H12/H$12-1</f>
        <v>0</v>
      </c>
    </row>
    <row r="13" spans="1:10" x14ac:dyDescent="0.35">
      <c r="A13" t="s">
        <v>150</v>
      </c>
      <c r="B13" s="9"/>
      <c r="C13" s="9">
        <f>3000*12</f>
        <v>36000</v>
      </c>
      <c r="D13" s="9">
        <f t="shared" si="1"/>
        <v>36000</v>
      </c>
      <c r="E13" s="2">
        <f t="shared" si="0"/>
        <v>5.9632495164410058</v>
      </c>
      <c r="G13" s="9">
        <f>$B$3/$B$4*(1-$B$5)</f>
        <v>1080</v>
      </c>
      <c r="H13" s="9">
        <f t="shared" si="2"/>
        <v>37080</v>
      </c>
      <c r="I13" s="2">
        <f t="shared" si="3"/>
        <v>3.8982826948480849</v>
      </c>
    </row>
    <row r="14" spans="1:10" x14ac:dyDescent="0.35">
      <c r="A14" t="s">
        <v>149</v>
      </c>
      <c r="B14" s="9"/>
      <c r="C14" s="9">
        <f>365*24*20%*5.04</f>
        <v>8830.08</v>
      </c>
      <c r="D14" s="9">
        <f t="shared" si="1"/>
        <v>8830.08</v>
      </c>
      <c r="E14" s="2">
        <f t="shared" si="0"/>
        <v>0.70794584139264982</v>
      </c>
      <c r="G14" s="9">
        <f t="shared" ref="G14:G19" si="4">$B$3/$B$4*(1-$B$5)</f>
        <v>1080</v>
      </c>
      <c r="H14" s="9">
        <f t="shared" si="2"/>
        <v>9910.08</v>
      </c>
      <c r="I14" s="2">
        <f t="shared" si="3"/>
        <v>0.30912549537648615</v>
      </c>
    </row>
    <row r="15" spans="1:10" x14ac:dyDescent="0.35">
      <c r="A15" t="s">
        <v>151</v>
      </c>
      <c r="B15" s="9">
        <f>B12</f>
        <v>5170</v>
      </c>
      <c r="C15" s="9">
        <f>$B$7*12</f>
        <v>4800</v>
      </c>
      <c r="D15" s="9">
        <f t="shared" si="1"/>
        <v>9970</v>
      </c>
      <c r="E15" s="2">
        <f t="shared" si="0"/>
        <v>0.92843326885880084</v>
      </c>
      <c r="F15" s="1">
        <f>(D15/D19)-1</f>
        <v>-0.75783337381588534</v>
      </c>
      <c r="G15" s="9">
        <f t="shared" si="4"/>
        <v>1080</v>
      </c>
      <c r="H15" s="9">
        <f t="shared" si="2"/>
        <v>11050</v>
      </c>
      <c r="I15" s="2">
        <f t="shared" si="3"/>
        <v>0.45970937912813747</v>
      </c>
    </row>
    <row r="16" spans="1:10" x14ac:dyDescent="0.35">
      <c r="A16" t="s">
        <v>152</v>
      </c>
      <c r="B16" s="9">
        <f>B12</f>
        <v>5170</v>
      </c>
      <c r="C16" s="9">
        <f>$B$7*12*20%</f>
        <v>960</v>
      </c>
      <c r="D16" s="9">
        <f t="shared" si="1"/>
        <v>6130</v>
      </c>
      <c r="E16" s="2">
        <f t="shared" si="0"/>
        <v>0.18568665377176008</v>
      </c>
      <c r="F16" s="1">
        <f>(D16/D18)-1</f>
        <v>-0.56214535916937614</v>
      </c>
      <c r="G16" s="9">
        <f t="shared" si="4"/>
        <v>1080</v>
      </c>
      <c r="H16" s="9">
        <f t="shared" si="2"/>
        <v>7210</v>
      </c>
      <c r="I16" s="2">
        <f t="shared" si="3"/>
        <v>-4.7556142668428003E-2</v>
      </c>
    </row>
    <row r="17" spans="1:9" x14ac:dyDescent="0.35">
      <c r="A17" t="s">
        <v>5</v>
      </c>
      <c r="B17" s="9">
        <f>B12</f>
        <v>5170</v>
      </c>
      <c r="C17" s="9">
        <f>$B$8*12*20%</f>
        <v>180</v>
      </c>
      <c r="D17" s="9">
        <f t="shared" si="1"/>
        <v>5350</v>
      </c>
      <c r="E17" s="2">
        <f t="shared" si="0"/>
        <v>3.481624758220514E-2</v>
      </c>
      <c r="G17" s="9">
        <f>$B$3/$B$4</f>
        <v>2000</v>
      </c>
      <c r="H17" s="9">
        <f t="shared" si="2"/>
        <v>7350</v>
      </c>
      <c r="I17" s="2">
        <f t="shared" si="3"/>
        <v>-2.9062087186261576E-2</v>
      </c>
    </row>
    <row r="18" spans="1:9" x14ac:dyDescent="0.35">
      <c r="A18" t="s">
        <v>9</v>
      </c>
      <c r="B18" s="9">
        <f>B12</f>
        <v>5170</v>
      </c>
      <c r="C18" s="9">
        <f>C14</f>
        <v>8830.08</v>
      </c>
      <c r="D18" s="9">
        <f t="shared" si="1"/>
        <v>14000.08</v>
      </c>
      <c r="E18" s="2">
        <f t="shared" si="0"/>
        <v>1.7079458413926498</v>
      </c>
      <c r="G18" s="9">
        <f t="shared" si="4"/>
        <v>1080</v>
      </c>
      <c r="H18" s="9">
        <f t="shared" si="2"/>
        <v>15080.08</v>
      </c>
      <c r="I18" s="2">
        <f t="shared" si="3"/>
        <v>0.99208454425363279</v>
      </c>
    </row>
    <row r="19" spans="1:9" x14ac:dyDescent="0.35">
      <c r="A19" t="s">
        <v>8</v>
      </c>
      <c r="B19" s="9">
        <f>$B$12</f>
        <v>5170</v>
      </c>
      <c r="C19" s="9">
        <f>C13</f>
        <v>36000</v>
      </c>
      <c r="D19" s="9">
        <f>SUM(B19:C19)</f>
        <v>41170</v>
      </c>
      <c r="E19" s="2">
        <f t="shared" si="0"/>
        <v>6.9632495164410058</v>
      </c>
      <c r="G19" s="9">
        <f t="shared" si="4"/>
        <v>1080</v>
      </c>
      <c r="H19" s="9">
        <f t="shared" si="2"/>
        <v>42250</v>
      </c>
      <c r="I19" s="2">
        <f t="shared" si="3"/>
        <v>4.5812417437252311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73" zoomScaleNormal="100" workbookViewId="0">
      <selection activeCell="H45" sqref="H45"/>
    </sheetView>
  </sheetViews>
  <sheetFormatPr defaultRowHeight="14.5" x14ac:dyDescent="0.35"/>
  <cols>
    <col min="1" max="1" width="48.08984375" customWidth="1"/>
    <col min="2" max="2" width="13.08984375" bestFit="1" customWidth="1"/>
    <col min="3" max="3" width="9.81640625" bestFit="1" customWidth="1"/>
    <col min="4" max="4" width="15" customWidth="1"/>
    <col min="5" max="5" width="10.90625" customWidth="1"/>
    <col min="6" max="6" width="13.08984375" customWidth="1"/>
    <col min="7" max="7" width="12.90625" bestFit="1" customWidth="1"/>
    <col min="8" max="8" width="13.36328125" bestFit="1" customWidth="1"/>
  </cols>
  <sheetData>
    <row r="1" spans="1:9" x14ac:dyDescent="0.35">
      <c r="A1" s="6" t="s">
        <v>19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t="s">
        <v>24</v>
      </c>
      <c r="B2">
        <v>96</v>
      </c>
    </row>
    <row r="3" spans="1:9" x14ac:dyDescent="0.35">
      <c r="A3" t="s">
        <v>25</v>
      </c>
      <c r="B3">
        <v>44000</v>
      </c>
    </row>
    <row r="4" spans="1:9" x14ac:dyDescent="0.35">
      <c r="A4" t="s">
        <v>26</v>
      </c>
      <c r="B4" s="7">
        <f>71500*0.5</f>
        <v>35750</v>
      </c>
      <c r="C4" t="s">
        <v>27</v>
      </c>
    </row>
    <row r="5" spans="1:9" x14ac:dyDescent="0.35">
      <c r="A5" t="s">
        <v>28</v>
      </c>
      <c r="B5" s="5">
        <v>0.22</v>
      </c>
    </row>
    <row r="6" spans="1:9" x14ac:dyDescent="0.35">
      <c r="A6" t="s">
        <v>43</v>
      </c>
      <c r="B6" s="8">
        <f>400+(4400/12)+(180/12)</f>
        <v>781.66666666666674</v>
      </c>
      <c r="C6" t="s">
        <v>44</v>
      </c>
    </row>
    <row r="7" spans="1:9" x14ac:dyDescent="0.35">
      <c r="A7" t="s">
        <v>47</v>
      </c>
      <c r="B7" s="1">
        <v>0.1</v>
      </c>
    </row>
    <row r="8" spans="1:9" x14ac:dyDescent="0.35">
      <c r="A8" t="s">
        <v>46</v>
      </c>
      <c r="B8" s="8">
        <v>2000</v>
      </c>
    </row>
    <row r="9" spans="1:9" x14ac:dyDescent="0.35">
      <c r="A9" t="s">
        <v>29</v>
      </c>
      <c r="B9">
        <v>3</v>
      </c>
    </row>
    <row r="10" spans="1:9" x14ac:dyDescent="0.35">
      <c r="A10" t="s">
        <v>30</v>
      </c>
      <c r="B10">
        <v>5</v>
      </c>
    </row>
    <row r="11" spans="1:9" x14ac:dyDescent="0.35">
      <c r="A11" t="s">
        <v>48</v>
      </c>
      <c r="B11">
        <v>2</v>
      </c>
    </row>
    <row r="12" spans="1:9" x14ac:dyDescent="0.35">
      <c r="A12" t="s">
        <v>31</v>
      </c>
      <c r="B12" s="7">
        <v>80000</v>
      </c>
    </row>
    <row r="13" spans="1:9" x14ac:dyDescent="0.35">
      <c r="A13" t="s">
        <v>53</v>
      </c>
      <c r="B13" s="1">
        <v>0.46</v>
      </c>
    </row>
    <row r="14" spans="1:9" x14ac:dyDescent="0.35">
      <c r="A14" t="s">
        <v>54</v>
      </c>
      <c r="B14" s="1">
        <v>0.8</v>
      </c>
    </row>
    <row r="15" spans="1:9" x14ac:dyDescent="0.35">
      <c r="A15" t="s">
        <v>55</v>
      </c>
      <c r="B15" s="7">
        <f>2000*12*(1-B23)</f>
        <v>22800</v>
      </c>
      <c r="C15" t="s">
        <v>49</v>
      </c>
    </row>
    <row r="16" spans="1:9" x14ac:dyDescent="0.35">
      <c r="A16" t="s">
        <v>56</v>
      </c>
      <c r="B16" s="7">
        <f>(365*24*20%)*6.72*(1-B23)</f>
        <v>11184.767999999998</v>
      </c>
      <c r="C16" t="s">
        <v>50</v>
      </c>
    </row>
    <row r="17" spans="1:10" x14ac:dyDescent="0.35">
      <c r="A17" t="s">
        <v>57</v>
      </c>
      <c r="B17" s="7">
        <f>0.1935*(24*365)</f>
        <v>1695.06</v>
      </c>
      <c r="C17" t="s">
        <v>59</v>
      </c>
    </row>
    <row r="18" spans="1:10" x14ac:dyDescent="0.35">
      <c r="A18" t="s">
        <v>58</v>
      </c>
      <c r="B18" s="7">
        <f>0.1935*(24*365*20%)</f>
        <v>339.012</v>
      </c>
      <c r="C18" t="s">
        <v>59</v>
      </c>
    </row>
    <row r="19" spans="1:10" x14ac:dyDescent="0.35">
      <c r="A19" t="s">
        <v>51</v>
      </c>
      <c r="B19" s="7">
        <f>0.0425*12</f>
        <v>0.51</v>
      </c>
    </row>
    <row r="20" spans="1:10" x14ac:dyDescent="0.35">
      <c r="A20" t="s">
        <v>32</v>
      </c>
      <c r="B20" s="5">
        <v>0.5</v>
      </c>
    </row>
    <row r="21" spans="1:10" x14ac:dyDescent="0.35">
      <c r="A21" t="s">
        <v>52</v>
      </c>
      <c r="B21" s="5">
        <v>0.5</v>
      </c>
    </row>
    <row r="22" spans="1:10" x14ac:dyDescent="0.35">
      <c r="A22" t="s">
        <v>178</v>
      </c>
      <c r="B22" s="5">
        <v>0.3</v>
      </c>
    </row>
    <row r="23" spans="1:10" x14ac:dyDescent="0.35">
      <c r="A23" t="s">
        <v>179</v>
      </c>
      <c r="B23" s="5">
        <v>0.05</v>
      </c>
    </row>
    <row r="25" spans="1:10" x14ac:dyDescent="0.35">
      <c r="A25" s="6"/>
      <c r="B25" s="6" t="s">
        <v>33</v>
      </c>
      <c r="C25" s="6" t="s">
        <v>34</v>
      </c>
      <c r="D25" s="6" t="s">
        <v>60</v>
      </c>
      <c r="E25" s="6" t="s">
        <v>36</v>
      </c>
      <c r="F25" s="6" t="s">
        <v>37</v>
      </c>
      <c r="G25" s="6" t="s">
        <v>35</v>
      </c>
      <c r="H25" s="6" t="s">
        <v>4</v>
      </c>
    </row>
    <row r="26" spans="1:10" x14ac:dyDescent="0.35">
      <c r="A26" t="s">
        <v>42</v>
      </c>
      <c r="B26" s="9">
        <f>B6*B2*(1-B21)</f>
        <v>37520</v>
      </c>
      <c r="D26" s="9">
        <f>B4*B2*0.5*(1-B20)</f>
        <v>858000</v>
      </c>
      <c r="G26" s="9">
        <f>B11*B12</f>
        <v>160000</v>
      </c>
      <c r="H26" s="9">
        <f>SUM(B26:G26)</f>
        <v>1055520</v>
      </c>
    </row>
    <row r="27" spans="1:10" x14ac:dyDescent="0.35">
      <c r="A27" t="s">
        <v>45</v>
      </c>
      <c r="B27" s="9">
        <f>B26*B7</f>
        <v>3752</v>
      </c>
      <c r="C27" s="9">
        <f>B8*B3/1024</f>
        <v>85937.5</v>
      </c>
      <c r="D27" s="9">
        <f>D26*B5</f>
        <v>188760</v>
      </c>
      <c r="G27" s="9">
        <f>(B9+B10)*B12</f>
        <v>640000</v>
      </c>
      <c r="H27" s="9">
        <f t="shared" ref="H27:H31" si="0">SUM(B27:G27)</f>
        <v>918449.5</v>
      </c>
      <c r="J27" s="1">
        <f>H27/$H$27-1</f>
        <v>0</v>
      </c>
    </row>
    <row r="28" spans="1:10" x14ac:dyDescent="0.35">
      <c r="A28" t="s">
        <v>39</v>
      </c>
      <c r="D28" s="9">
        <f>D27</f>
        <v>188760</v>
      </c>
      <c r="E28" s="9">
        <f>B3*B19*B23</f>
        <v>1122</v>
      </c>
      <c r="F28" s="9">
        <f>B2*B15*(1-B23)</f>
        <v>2079360</v>
      </c>
      <c r="G28" s="9">
        <f>(B10*(1-B14)+B11*(1-B13))*B12</f>
        <v>166400</v>
      </c>
      <c r="H28" s="9">
        <f t="shared" si="0"/>
        <v>2435642</v>
      </c>
    </row>
    <row r="29" spans="1:10" x14ac:dyDescent="0.35">
      <c r="A29" t="s">
        <v>40</v>
      </c>
      <c r="D29" s="9">
        <f>D30</f>
        <v>188760</v>
      </c>
      <c r="E29" s="9">
        <f>E30</f>
        <v>1122</v>
      </c>
      <c r="F29" s="9">
        <f>B2*B17*(1-B22)*(1-B23)</f>
        <v>108212.63039999999</v>
      </c>
      <c r="G29" s="9">
        <f>G30</f>
        <v>166400</v>
      </c>
      <c r="H29" s="9">
        <f>SUM(B29:G29)</f>
        <v>464494.63040000002</v>
      </c>
      <c r="I29" s="1">
        <f>H29/H28-1</f>
        <v>-0.80929273251159239</v>
      </c>
      <c r="J29" s="1">
        <f>H29/$H$27-1</f>
        <v>-0.49426219906483693</v>
      </c>
    </row>
    <row r="30" spans="1:10" x14ac:dyDescent="0.35">
      <c r="A30" t="s">
        <v>38</v>
      </c>
      <c r="D30" s="9">
        <f>D28</f>
        <v>188760</v>
      </c>
      <c r="E30" s="9">
        <f>E28</f>
        <v>1122</v>
      </c>
      <c r="F30" s="9">
        <f>B2*B16*(1-B23)</f>
        <v>1020050.8415999998</v>
      </c>
      <c r="G30" s="9">
        <f>G28</f>
        <v>166400</v>
      </c>
      <c r="H30" s="9">
        <f t="shared" si="0"/>
        <v>1376332.8415999999</v>
      </c>
    </row>
    <row r="31" spans="1:10" x14ac:dyDescent="0.35">
      <c r="A31" t="s">
        <v>41</v>
      </c>
      <c r="D31" s="9">
        <f>D29</f>
        <v>188760</v>
      </c>
      <c r="E31" s="9">
        <f>E29</f>
        <v>1122</v>
      </c>
      <c r="F31" s="9">
        <f>B2*B18*(1-B22)*(1-B23)</f>
        <v>21642.52608</v>
      </c>
      <c r="G31" s="9">
        <f>G29</f>
        <v>166400</v>
      </c>
      <c r="H31" s="9">
        <f t="shared" si="0"/>
        <v>377924.52607999998</v>
      </c>
      <c r="I31" s="1">
        <f>H31/H30-1</f>
        <v>-0.72541196819756248</v>
      </c>
      <c r="J31" s="1">
        <f>H31/$H$27-1</f>
        <v>-0.58851899197506241</v>
      </c>
    </row>
    <row r="54" spans="1:7" x14ac:dyDescent="0.35">
      <c r="A54" s="6" t="s">
        <v>166</v>
      </c>
      <c r="B54" s="51"/>
      <c r="C54" s="51"/>
      <c r="D54" s="51"/>
      <c r="E54" s="51"/>
      <c r="F54" s="51"/>
      <c r="G54" s="51"/>
    </row>
    <row r="55" spans="1:7" x14ac:dyDescent="0.35">
      <c r="A55" s="6" t="s">
        <v>173</v>
      </c>
      <c r="B55" s="6" t="s">
        <v>172</v>
      </c>
      <c r="C55" s="6" t="s">
        <v>2</v>
      </c>
      <c r="D55" s="6" t="s">
        <v>169</v>
      </c>
      <c r="E55" s="6" t="s">
        <v>170</v>
      </c>
      <c r="F55" s="6" t="s">
        <v>171</v>
      </c>
      <c r="G55" s="6" t="s">
        <v>175</v>
      </c>
    </row>
    <row r="56" spans="1:7" x14ac:dyDescent="0.35">
      <c r="A56" t="s">
        <v>167</v>
      </c>
      <c r="B56" s="9">
        <f>$B$4</f>
        <v>35750</v>
      </c>
      <c r="D56" s="9"/>
      <c r="E56" s="9"/>
      <c r="F56" s="9"/>
      <c r="G56" s="9"/>
    </row>
    <row r="57" spans="1:7" x14ac:dyDescent="0.35">
      <c r="A57" t="s">
        <v>60</v>
      </c>
      <c r="C57" s="9">
        <f>$B$4*($B$5)</f>
        <v>7865</v>
      </c>
      <c r="D57" s="9"/>
      <c r="E57" s="9">
        <f>$B$4*($B$5)</f>
        <v>7865</v>
      </c>
      <c r="F57" s="9"/>
      <c r="G57" s="9"/>
    </row>
    <row r="58" spans="1:7" x14ac:dyDescent="0.35">
      <c r="A58" t="s">
        <v>66</v>
      </c>
      <c r="D58" s="9">
        <f>0.768*24*365</f>
        <v>6727.6800000000012</v>
      </c>
      <c r="E58" s="9"/>
      <c r="F58" s="9">
        <f>0.5376*24*365</f>
        <v>4709.3760000000002</v>
      </c>
      <c r="G58" s="9">
        <f>0.5376*24*365*20%</f>
        <v>941.87520000000006</v>
      </c>
    </row>
    <row r="59" spans="1:7" x14ac:dyDescent="0.35">
      <c r="A59" t="s">
        <v>168</v>
      </c>
      <c r="D59" s="9"/>
      <c r="E59" s="9">
        <f>0.384*24*365</f>
        <v>3363.8400000000006</v>
      </c>
      <c r="F59" s="9"/>
      <c r="G59" s="9"/>
    </row>
    <row r="60" spans="1:7" x14ac:dyDescent="0.35">
      <c r="A60" s="52" t="s">
        <v>174</v>
      </c>
      <c r="B60" s="53">
        <f>SUM(B56:B59)</f>
        <v>35750</v>
      </c>
      <c r="C60" s="53">
        <f t="shared" ref="C60:G60" si="1">SUM(C56:C59)</f>
        <v>7865</v>
      </c>
      <c r="D60" s="53">
        <f t="shared" si="1"/>
        <v>6727.6800000000012</v>
      </c>
      <c r="E60" s="53">
        <f t="shared" si="1"/>
        <v>11228.84</v>
      </c>
      <c r="F60" s="53">
        <f t="shared" si="1"/>
        <v>4709.3760000000002</v>
      </c>
      <c r="G60" s="53">
        <f t="shared" si="1"/>
        <v>941.87520000000006</v>
      </c>
    </row>
    <row r="61" spans="1:7" x14ac:dyDescent="0.35">
      <c r="C61" s="2">
        <f>C60/$C$60-1</f>
        <v>0</v>
      </c>
      <c r="D61" s="2">
        <f t="shared" ref="D61:G61" si="2">D60/$C$60-1</f>
        <v>-0.14460521296884921</v>
      </c>
      <c r="E61" s="2">
        <f t="shared" si="2"/>
        <v>0.42769739351557545</v>
      </c>
      <c r="F61" s="2">
        <f t="shared" si="2"/>
        <v>-0.40122364907819452</v>
      </c>
      <c r="G61" s="2">
        <f t="shared" si="2"/>
        <v>-0.88024472981563884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6" workbookViewId="0">
      <selection activeCell="H7" sqref="H7"/>
    </sheetView>
  </sheetViews>
  <sheetFormatPr defaultRowHeight="14.5" x14ac:dyDescent="0.35"/>
  <cols>
    <col min="1" max="1" width="45.54296875" customWidth="1"/>
    <col min="2" max="2" width="10.81640625" bestFit="1" customWidth="1"/>
    <col min="3" max="3" width="11.81640625" bestFit="1" customWidth="1"/>
    <col min="4" max="4" width="8.7265625" customWidth="1"/>
  </cols>
  <sheetData>
    <row r="1" spans="1:11" x14ac:dyDescent="0.35">
      <c r="A1" s="45" t="s">
        <v>165</v>
      </c>
    </row>
    <row r="2" spans="1:11" x14ac:dyDescent="0.35">
      <c r="A2" t="s">
        <v>157</v>
      </c>
      <c r="B2" s="9">
        <v>80000</v>
      </c>
    </row>
    <row r="3" spans="1:11" x14ac:dyDescent="0.35">
      <c r="A3" t="s">
        <v>158</v>
      </c>
      <c r="B3">
        <v>30</v>
      </c>
      <c r="C3">
        <v>15</v>
      </c>
    </row>
    <row r="4" spans="1:11" x14ac:dyDescent="0.35">
      <c r="A4" t="s">
        <v>164</v>
      </c>
      <c r="B4" s="5">
        <v>0.46</v>
      </c>
    </row>
    <row r="6" spans="1:11" x14ac:dyDescent="0.35">
      <c r="A6" t="s">
        <v>159</v>
      </c>
      <c r="B6" t="s">
        <v>3</v>
      </c>
      <c r="C6" t="s">
        <v>35</v>
      </c>
      <c r="D6" t="s">
        <v>4</v>
      </c>
      <c r="G6" t="s">
        <v>159</v>
      </c>
      <c r="H6" t="s">
        <v>3</v>
      </c>
      <c r="I6" t="s">
        <v>35</v>
      </c>
      <c r="J6" t="s">
        <v>4</v>
      </c>
    </row>
    <row r="7" spans="1:11" x14ac:dyDescent="0.35">
      <c r="A7" t="s">
        <v>160</v>
      </c>
      <c r="B7" s="9">
        <f>0.2765*(24*365)</f>
        <v>2422.1400000000003</v>
      </c>
      <c r="C7" s="9">
        <f>$B$2/$B$3*(1-$B$4)</f>
        <v>1440</v>
      </c>
      <c r="D7" s="9">
        <f>SUM(B7:C7)</f>
        <v>3862.1400000000003</v>
      </c>
      <c r="E7" s="50"/>
      <c r="G7" t="s">
        <v>160</v>
      </c>
      <c r="H7" s="9">
        <f>0.2765*(24*365)</f>
        <v>2422.1400000000003</v>
      </c>
      <c r="I7" s="9">
        <f>$B$2/$C$3*(1-$B$4)</f>
        <v>2880</v>
      </c>
      <c r="J7" s="9">
        <f>SUM(H7:I7)</f>
        <v>5302.14</v>
      </c>
      <c r="K7" s="50"/>
    </row>
    <row r="8" spans="1:11" x14ac:dyDescent="0.35">
      <c r="A8" t="s">
        <v>161</v>
      </c>
      <c r="B8" s="9">
        <f>0.075*(24*365)</f>
        <v>657</v>
      </c>
      <c r="C8" s="9">
        <f>$B$2/$B$3</f>
        <v>2666.6666666666665</v>
      </c>
      <c r="D8" s="9">
        <f>SUM(B8:C8)</f>
        <v>3323.6666666666665</v>
      </c>
      <c r="E8" s="2">
        <f>D8/D7-1</f>
        <v>-0.13942356655463906</v>
      </c>
      <c r="G8" t="s">
        <v>161</v>
      </c>
      <c r="H8" s="9">
        <f>0.075*(24*365)</f>
        <v>657</v>
      </c>
      <c r="I8" s="9">
        <f>$B$2/$C$3</f>
        <v>5333.333333333333</v>
      </c>
      <c r="J8" s="9">
        <f>SUM(H8:I8)</f>
        <v>5990.333333333333</v>
      </c>
      <c r="K8" s="2">
        <f>J8/J7-1</f>
        <v>0.12979539079189406</v>
      </c>
    </row>
    <row r="9" spans="1:11" x14ac:dyDescent="0.35">
      <c r="A9" t="s">
        <v>162</v>
      </c>
      <c r="B9" s="9">
        <f>0.2765*(24*365*0.2)</f>
        <v>484.42800000000005</v>
      </c>
      <c r="C9" s="9">
        <f>$B$2/$B$3*(1-$B$4)</f>
        <v>1440</v>
      </c>
      <c r="D9" s="9">
        <f t="shared" ref="D9:D10" si="0">SUM(B9:C9)</f>
        <v>1924.4280000000001</v>
      </c>
      <c r="E9" s="50"/>
      <c r="G9" t="s">
        <v>162</v>
      </c>
      <c r="H9" s="9">
        <f>0.2765*(24*365*0.2)</f>
        <v>484.42800000000005</v>
      </c>
      <c r="I9" s="9">
        <f>$B$2/$C$3*(1-$B$4)</f>
        <v>2880</v>
      </c>
      <c r="J9" s="9">
        <f t="shared" ref="J9:J10" si="1">SUM(H9:I9)</f>
        <v>3364.4279999999999</v>
      </c>
      <c r="K9" s="50"/>
    </row>
    <row r="10" spans="1:11" x14ac:dyDescent="0.35">
      <c r="A10" t="s">
        <v>163</v>
      </c>
      <c r="B10" s="9">
        <f>0.075*(24*365*0.2)</f>
        <v>131.4</v>
      </c>
      <c r="C10" s="9">
        <f>$B$2/$B$3</f>
        <v>2666.6666666666665</v>
      </c>
      <c r="D10" s="9">
        <f t="shared" si="0"/>
        <v>2798.0666666666666</v>
      </c>
      <c r="E10" s="2">
        <f>D10/D9-1</f>
        <v>0.45397316328107173</v>
      </c>
      <c r="G10" t="s">
        <v>163</v>
      </c>
      <c r="H10" s="9">
        <f>0.075*(24*365*0.2)</f>
        <v>131.4</v>
      </c>
      <c r="I10" s="9">
        <f>$B$2/$C$3</f>
        <v>5333.333333333333</v>
      </c>
      <c r="J10" s="9">
        <f t="shared" si="1"/>
        <v>5464.7333333333327</v>
      </c>
      <c r="K10" s="2">
        <f>J10/J9-1</f>
        <v>0.62426817674009749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6" workbookViewId="0">
      <selection activeCell="D11" sqref="D11"/>
    </sheetView>
  </sheetViews>
  <sheetFormatPr defaultRowHeight="14.5" x14ac:dyDescent="0.35"/>
  <cols>
    <col min="1" max="1" width="28.81640625" customWidth="1"/>
    <col min="2" max="2" width="7.26953125" customWidth="1"/>
    <col min="3" max="3" width="15.26953125" customWidth="1"/>
    <col min="5" max="5" width="9.54296875" customWidth="1"/>
  </cols>
  <sheetData>
    <row r="1" spans="1:5" x14ac:dyDescent="0.35">
      <c r="A1" t="s">
        <v>180</v>
      </c>
    </row>
    <row r="3" spans="1:5" x14ac:dyDescent="0.35">
      <c r="A3" s="6" t="s">
        <v>66</v>
      </c>
      <c r="B3" s="6" t="s">
        <v>78</v>
      </c>
      <c r="C3" s="6" t="s">
        <v>144</v>
      </c>
      <c r="D3" s="6" t="s">
        <v>181</v>
      </c>
      <c r="E3" s="6" t="s">
        <v>67</v>
      </c>
    </row>
    <row r="4" spans="1:5" x14ac:dyDescent="0.35">
      <c r="A4" t="s">
        <v>61</v>
      </c>
      <c r="C4" s="11">
        <v>300</v>
      </c>
      <c r="D4" s="11">
        <v>200</v>
      </c>
      <c r="E4" s="1">
        <f>D4/C4-1</f>
        <v>-0.33333333333333337</v>
      </c>
    </row>
    <row r="5" spans="1:5" x14ac:dyDescent="0.35">
      <c r="A5" t="s">
        <v>62</v>
      </c>
      <c r="C5" s="9">
        <v>1500</v>
      </c>
      <c r="D5" s="11">
        <v>400</v>
      </c>
      <c r="E5" s="1">
        <f t="shared" ref="E5:E8" si="0">D5/C5-1</f>
        <v>-0.73333333333333339</v>
      </c>
    </row>
    <row r="6" spans="1:5" x14ac:dyDescent="0.35">
      <c r="A6" t="s">
        <v>63</v>
      </c>
      <c r="C6" s="9">
        <v>2000</v>
      </c>
      <c r="D6" s="11">
        <v>825</v>
      </c>
      <c r="E6" s="1">
        <f t="shared" si="0"/>
        <v>-0.58750000000000002</v>
      </c>
    </row>
    <row r="7" spans="1:5" x14ac:dyDescent="0.35">
      <c r="A7" t="s">
        <v>64</v>
      </c>
      <c r="C7" s="9">
        <v>2500</v>
      </c>
      <c r="D7" s="11">
        <v>1250</v>
      </c>
      <c r="E7" s="1">
        <f t="shared" si="0"/>
        <v>-0.5</v>
      </c>
    </row>
    <row r="8" spans="1:5" x14ac:dyDescent="0.35">
      <c r="A8" t="s">
        <v>65</v>
      </c>
      <c r="C8" s="9">
        <v>2500</v>
      </c>
      <c r="D8" s="11">
        <v>1250</v>
      </c>
      <c r="E8" s="1">
        <f t="shared" si="0"/>
        <v>-0.5</v>
      </c>
    </row>
    <row r="10" spans="1:5" x14ac:dyDescent="0.35">
      <c r="A10" s="6" t="s">
        <v>79</v>
      </c>
      <c r="B10" s="6" t="s">
        <v>78</v>
      </c>
      <c r="C10" s="6" t="s">
        <v>68</v>
      </c>
      <c r="D10" s="6" t="s">
        <v>70</v>
      </c>
      <c r="E10" s="6"/>
    </row>
    <row r="11" spans="1:5" x14ac:dyDescent="0.35">
      <c r="A11" s="6"/>
      <c r="B11" s="6"/>
      <c r="C11" s="6" t="s">
        <v>69</v>
      </c>
      <c r="D11" s="6" t="s">
        <v>182</v>
      </c>
      <c r="E11" s="6" t="s">
        <v>67</v>
      </c>
    </row>
    <row r="12" spans="1:5" x14ac:dyDescent="0.35">
      <c r="A12" s="12" t="s">
        <v>71</v>
      </c>
      <c r="B12" s="12" t="s">
        <v>80</v>
      </c>
      <c r="C12" s="11">
        <v>600</v>
      </c>
      <c r="D12" s="11">
        <v>288</v>
      </c>
      <c r="E12" s="1">
        <f t="shared" ref="E12:E18" si="1">D12/C12-1</f>
        <v>-0.52</v>
      </c>
    </row>
    <row r="13" spans="1:5" x14ac:dyDescent="0.35">
      <c r="A13" s="12" t="s">
        <v>72</v>
      </c>
      <c r="B13" s="12" t="s">
        <v>80</v>
      </c>
      <c r="C13" s="11">
        <v>1400</v>
      </c>
      <c r="D13" s="11">
        <v>720</v>
      </c>
      <c r="E13" s="1">
        <f t="shared" si="1"/>
        <v>-0.48571428571428577</v>
      </c>
    </row>
    <row r="14" spans="1:5" x14ac:dyDescent="0.35">
      <c r="A14" s="12" t="s">
        <v>73</v>
      </c>
      <c r="B14" s="12" t="s">
        <v>80</v>
      </c>
      <c r="C14" s="11">
        <v>2750</v>
      </c>
      <c r="D14" s="11">
        <v>720</v>
      </c>
      <c r="E14" s="1">
        <f t="shared" si="1"/>
        <v>-0.73818181818181816</v>
      </c>
    </row>
    <row r="15" spans="1:5" x14ac:dyDescent="0.35">
      <c r="A15" s="12" t="s">
        <v>74</v>
      </c>
      <c r="B15" s="12" t="s">
        <v>80</v>
      </c>
      <c r="C15" s="11">
        <v>2900</v>
      </c>
      <c r="D15" s="11">
        <v>720</v>
      </c>
      <c r="E15" s="1">
        <f t="shared" si="1"/>
        <v>-0.75172413793103443</v>
      </c>
    </row>
    <row r="16" spans="1:5" x14ac:dyDescent="0.35">
      <c r="A16" s="12" t="s">
        <v>75</v>
      </c>
      <c r="B16" s="12" t="s">
        <v>80</v>
      </c>
      <c r="C16" s="11">
        <v>2000</v>
      </c>
      <c r="D16" s="11">
        <v>720</v>
      </c>
      <c r="E16" s="1">
        <f t="shared" si="1"/>
        <v>-0.64</v>
      </c>
    </row>
    <row r="17" spans="1:6" x14ac:dyDescent="0.35">
      <c r="A17" s="12" t="s">
        <v>76</v>
      </c>
      <c r="B17" s="12" t="s">
        <v>80</v>
      </c>
      <c r="C17" s="11">
        <v>3000</v>
      </c>
      <c r="D17" s="11">
        <v>720</v>
      </c>
      <c r="E17" s="14">
        <f t="shared" si="1"/>
        <v>-0.76</v>
      </c>
    </row>
    <row r="18" spans="1:6" ht="58" x14ac:dyDescent="0.35">
      <c r="A18" s="12" t="s">
        <v>77</v>
      </c>
      <c r="B18" s="13" t="s">
        <v>81</v>
      </c>
      <c r="C18" s="44">
        <f>150*10</f>
        <v>1500</v>
      </c>
      <c r="D18" s="44">
        <v>720</v>
      </c>
      <c r="E18" s="14">
        <f t="shared" si="1"/>
        <v>-0.52</v>
      </c>
      <c r="F18" s="12" t="s">
        <v>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opLeftCell="A62" zoomScaleNormal="100" workbookViewId="0">
      <selection activeCell="A62" sqref="A62"/>
    </sheetView>
  </sheetViews>
  <sheetFormatPr defaultRowHeight="14.5" x14ac:dyDescent="0.35"/>
  <cols>
    <col min="2" max="2" width="10" customWidth="1"/>
    <col min="3" max="3" width="13.08984375" customWidth="1"/>
    <col min="4" max="4" width="11.6328125" customWidth="1"/>
    <col min="5" max="5" width="10.1796875" customWidth="1"/>
    <col min="9" max="9" width="12.453125" bestFit="1" customWidth="1"/>
    <col min="10" max="10" width="13.08984375" customWidth="1"/>
    <col min="16" max="16" width="11" bestFit="1" customWidth="1"/>
    <col min="18" max="18" width="9.90625" customWidth="1"/>
  </cols>
  <sheetData>
    <row r="1" spans="1:24" x14ac:dyDescent="0.35">
      <c r="A1" s="46" t="s">
        <v>137</v>
      </c>
      <c r="O1" s="57" t="s">
        <v>185</v>
      </c>
      <c r="P1" s="57"/>
      <c r="Q1" s="57"/>
      <c r="R1" s="57"/>
      <c r="S1" s="57"/>
      <c r="T1" s="57"/>
      <c r="U1" s="57"/>
      <c r="V1" s="57"/>
      <c r="W1" s="57"/>
      <c r="X1" s="57"/>
    </row>
    <row r="2" spans="1:24" x14ac:dyDescent="0.35">
      <c r="K2" s="57" t="s">
        <v>183</v>
      </c>
      <c r="L2" s="57"/>
      <c r="M2" s="57"/>
      <c r="O2" s="55"/>
      <c r="P2" s="57" t="s">
        <v>183</v>
      </c>
      <c r="Q2" s="57"/>
      <c r="R2" s="57"/>
      <c r="U2" s="57" t="s">
        <v>184</v>
      </c>
      <c r="V2" s="57"/>
      <c r="W2" s="57"/>
      <c r="X2" s="57"/>
    </row>
    <row r="3" spans="1:24" x14ac:dyDescent="0.35">
      <c r="A3" s="6"/>
      <c r="B3" s="6"/>
      <c r="C3" s="6"/>
      <c r="D3" s="6"/>
      <c r="E3" s="6"/>
      <c r="F3" s="56" t="s">
        <v>133</v>
      </c>
      <c r="G3" s="56"/>
      <c r="H3" s="56"/>
      <c r="K3" s="5">
        <v>0.5</v>
      </c>
      <c r="L3" s="58">
        <v>0.3</v>
      </c>
      <c r="M3" s="57"/>
      <c r="O3" s="58">
        <v>0</v>
      </c>
      <c r="P3" s="58"/>
      <c r="Q3" s="58">
        <v>0</v>
      </c>
      <c r="R3" s="58"/>
      <c r="U3" s="58">
        <v>0.75</v>
      </c>
      <c r="V3" s="58"/>
      <c r="W3" s="58">
        <v>0.3</v>
      </c>
      <c r="X3" s="58"/>
    </row>
    <row r="4" spans="1:24" ht="29" x14ac:dyDescent="0.35">
      <c r="A4" s="6"/>
      <c r="B4" s="15" t="s">
        <v>87</v>
      </c>
      <c r="C4" s="15" t="s">
        <v>90</v>
      </c>
      <c r="D4" s="15" t="s">
        <v>88</v>
      </c>
      <c r="E4" s="15" t="s">
        <v>89</v>
      </c>
      <c r="F4" s="6" t="s">
        <v>22</v>
      </c>
      <c r="G4" s="6" t="s">
        <v>86</v>
      </c>
      <c r="K4" s="15" t="s">
        <v>89</v>
      </c>
      <c r="L4" s="6" t="s">
        <v>22</v>
      </c>
      <c r="M4" s="6" t="s">
        <v>86</v>
      </c>
      <c r="O4" s="15" t="s">
        <v>88</v>
      </c>
      <c r="P4" s="15" t="s">
        <v>89</v>
      </c>
      <c r="Q4" s="6" t="s">
        <v>22</v>
      </c>
      <c r="R4" s="6" t="s">
        <v>86</v>
      </c>
      <c r="U4" s="15" t="s">
        <v>88</v>
      </c>
      <c r="V4" s="15" t="s">
        <v>89</v>
      </c>
      <c r="W4" s="6" t="s">
        <v>22</v>
      </c>
      <c r="X4" s="6" t="s">
        <v>86</v>
      </c>
    </row>
    <row r="5" spans="1:24" x14ac:dyDescent="0.35">
      <c r="A5" t="s">
        <v>83</v>
      </c>
      <c r="B5" s="11">
        <v>1750</v>
      </c>
      <c r="C5" s="11">
        <f>B5*22%</f>
        <v>385</v>
      </c>
      <c r="D5" s="11">
        <v>8750</v>
      </c>
      <c r="E5" s="11">
        <f>D5*22%</f>
        <v>1925</v>
      </c>
      <c r="F5" s="11">
        <f>0.4032*((365*24))</f>
        <v>3532.0320000000002</v>
      </c>
      <c r="G5" s="11">
        <f>0.2688*((365*24))</f>
        <v>2354.6879999999996</v>
      </c>
      <c r="K5" s="11">
        <f>E5*(1-$K$3)</f>
        <v>962.5</v>
      </c>
      <c r="L5" s="11">
        <f>(0.4032*((365*24))*(1-$L$3))</f>
        <v>2472.4223999999999</v>
      </c>
      <c r="M5" s="11">
        <f>(0.2688*((365*24)))*((1-$L$3))</f>
        <v>1648.2815999999996</v>
      </c>
      <c r="O5" s="11"/>
      <c r="P5" s="11"/>
      <c r="Q5" s="11"/>
      <c r="R5" s="11"/>
      <c r="U5" s="11"/>
      <c r="V5" s="11"/>
      <c r="W5" s="11"/>
      <c r="X5" s="11"/>
    </row>
    <row r="6" spans="1:24" x14ac:dyDescent="0.35">
      <c r="A6" t="s">
        <v>84</v>
      </c>
      <c r="B6" s="11">
        <v>11875</v>
      </c>
      <c r="C6" s="11">
        <f t="shared" ref="C6:C9" si="0">B6*22%</f>
        <v>2612.5</v>
      </c>
      <c r="D6" s="11">
        <v>23750</v>
      </c>
      <c r="E6" s="11">
        <f t="shared" ref="E6:E9" si="1">D6*22%</f>
        <v>5225</v>
      </c>
      <c r="F6" s="11">
        <f>0.8064*((365*24))</f>
        <v>7064.0640000000003</v>
      </c>
      <c r="G6" s="11">
        <f>0.5376*((365*24))</f>
        <v>4709.3759999999993</v>
      </c>
      <c r="K6" s="11">
        <f t="shared" ref="K6:K9" si="2">E6*(1-$K$3)</f>
        <v>2612.5</v>
      </c>
      <c r="L6" s="11">
        <f>(0.8064*((365*24)))*((1-$L$3))</f>
        <v>4944.8447999999999</v>
      </c>
      <c r="M6" s="11">
        <f>(0.5376*((365*24)))*((1-$L$3))</f>
        <v>3296.5631999999991</v>
      </c>
      <c r="N6" t="s">
        <v>153</v>
      </c>
      <c r="O6" s="11">
        <f>60000*(1-$O$3)</f>
        <v>60000</v>
      </c>
      <c r="P6" s="11">
        <f>60000*0.22*(1-$O$3)</f>
        <v>13200</v>
      </c>
      <c r="Q6" s="11">
        <f>(0.8064*((365*24)))*((1-$Q$3))</f>
        <v>7064.0640000000003</v>
      </c>
      <c r="R6" s="11">
        <f>(0.5376*((365*24)))*((1-$Q$3))</f>
        <v>4709.3759999999993</v>
      </c>
      <c r="T6" t="s">
        <v>153</v>
      </c>
      <c r="U6" s="11">
        <f>60000*(1-$U$3)</f>
        <v>15000</v>
      </c>
      <c r="V6" s="11">
        <f>60000*0.22*(1-$U$3)</f>
        <v>3300</v>
      </c>
      <c r="W6" s="11">
        <f>(0.8064*((365*24)))*((1-$W$3))</f>
        <v>4944.8447999999999</v>
      </c>
      <c r="X6" s="11">
        <f>(0.5376*((365*24)))*((1-$W$3))</f>
        <v>3296.5631999999991</v>
      </c>
    </row>
    <row r="7" spans="1:24" x14ac:dyDescent="0.35">
      <c r="A7" t="s">
        <v>85</v>
      </c>
      <c r="B7" s="11">
        <v>63375</v>
      </c>
      <c r="C7" s="11">
        <f t="shared" si="0"/>
        <v>13942.5</v>
      </c>
      <c r="D7" s="11">
        <v>72000</v>
      </c>
      <c r="E7" s="11">
        <f t="shared" si="1"/>
        <v>15840</v>
      </c>
      <c r="F7" s="11">
        <f>1.6634*((365*24))</f>
        <v>14571.384</v>
      </c>
      <c r="G7" s="11">
        <f>1.1089*((365*24))</f>
        <v>9713.9639999999999</v>
      </c>
      <c r="K7" s="11">
        <f t="shared" si="2"/>
        <v>7920</v>
      </c>
      <c r="L7" s="11">
        <f>(1.6634*((365*24)))*((1-$L$3))</f>
        <v>10199.968799999999</v>
      </c>
      <c r="M7" s="11">
        <f>(1.1089*((365*24)))*((1-$L$3))</f>
        <v>6799.7747999999992</v>
      </c>
      <c r="P7" s="11"/>
      <c r="Q7" s="11"/>
      <c r="R7" s="11"/>
      <c r="V7" s="11"/>
      <c r="W7" s="11"/>
      <c r="X7" s="11"/>
    </row>
    <row r="8" spans="1:24" ht="43.5" x14ac:dyDescent="0.35">
      <c r="A8" s="43" t="s">
        <v>135</v>
      </c>
      <c r="B8" s="11">
        <v>17875</v>
      </c>
      <c r="C8" s="44">
        <f>B8*22%</f>
        <v>3932.5</v>
      </c>
      <c r="D8" s="11">
        <v>35750</v>
      </c>
      <c r="E8" s="44">
        <f>D8*22%</f>
        <v>7865</v>
      </c>
      <c r="F8" s="11">
        <f>1.6634*((365*24))</f>
        <v>14571.384</v>
      </c>
      <c r="G8" s="11">
        <f>1.1089*((365*24))</f>
        <v>9713.9639999999999</v>
      </c>
      <c r="K8" s="11">
        <f t="shared" si="2"/>
        <v>3932.5</v>
      </c>
      <c r="L8" s="11">
        <f>(1.6634*((365*24)))*((1-$L$3))</f>
        <v>10199.968799999999</v>
      </c>
      <c r="M8" s="11">
        <f>(1.1089*((365*24)))*((1-$L$3))</f>
        <v>6799.7747999999992</v>
      </c>
      <c r="P8" s="11"/>
      <c r="Q8" s="11"/>
      <c r="R8" s="11"/>
      <c r="V8" s="11"/>
      <c r="W8" s="11"/>
      <c r="X8" s="11"/>
    </row>
    <row r="9" spans="1:24" x14ac:dyDescent="0.35">
      <c r="A9" t="s">
        <v>134</v>
      </c>
      <c r="B9" s="11">
        <v>80250</v>
      </c>
      <c r="C9" s="11">
        <f t="shared" si="0"/>
        <v>17655</v>
      </c>
      <c r="D9" s="11">
        <v>160500</v>
      </c>
      <c r="E9" s="11">
        <f t="shared" si="1"/>
        <v>35310</v>
      </c>
      <c r="F9" s="11">
        <f>2.5202*((365*24))</f>
        <v>22076.952000000001</v>
      </c>
      <c r="G9" s="11">
        <f>1.6801*((365*24))</f>
        <v>14717.675999999999</v>
      </c>
      <c r="K9" s="11">
        <f t="shared" si="2"/>
        <v>17655</v>
      </c>
      <c r="L9" s="11">
        <f>(2.5202*((365*24)))*((1-$L$3))</f>
        <v>15453.866399999999</v>
      </c>
      <c r="M9" s="11">
        <f>(1.6801*((365*24)))*((1-$L$3))</f>
        <v>10302.373199999998</v>
      </c>
      <c r="P9" s="11"/>
      <c r="Q9" s="11"/>
      <c r="R9" s="11"/>
      <c r="V9" s="11"/>
      <c r="W9" s="11"/>
      <c r="X9" s="11"/>
    </row>
    <row r="11" spans="1:24" ht="29" x14ac:dyDescent="0.35">
      <c r="A11" s="15" t="s">
        <v>136</v>
      </c>
      <c r="F11" s="6" t="s">
        <v>22</v>
      </c>
      <c r="G11" s="6" t="s">
        <v>86</v>
      </c>
      <c r="L11" s="6" t="s">
        <v>22</v>
      </c>
      <c r="M11" s="6" t="s">
        <v>86</v>
      </c>
      <c r="Q11" s="6" t="s">
        <v>22</v>
      </c>
      <c r="R11" s="6" t="s">
        <v>86</v>
      </c>
      <c r="W11" s="6" t="s">
        <v>22</v>
      </c>
      <c r="X11" s="6" t="s">
        <v>86</v>
      </c>
    </row>
    <row r="12" spans="1:24" x14ac:dyDescent="0.35">
      <c r="A12" t="s">
        <v>83</v>
      </c>
      <c r="F12" s="2">
        <f>F5/$E5-1</f>
        <v>0.83482181818181833</v>
      </c>
      <c r="G12" s="2">
        <f t="shared" ref="G12" si="3">G5/$E5-1</f>
        <v>0.22321454545454533</v>
      </c>
      <c r="K12" t="str">
        <f t="shared" ref="K12:K16" si="4">A12</f>
        <v>DB SE</v>
      </c>
      <c r="L12" s="2">
        <f>L5/$K5-1</f>
        <v>1.5687505454545452</v>
      </c>
      <c r="M12" s="2">
        <f>M5/$K5-1</f>
        <v>0.71250036363636315</v>
      </c>
      <c r="Q12" s="2"/>
      <c r="R12" s="2"/>
      <c r="W12" s="2"/>
      <c r="X12" s="2"/>
    </row>
    <row r="13" spans="1:24" x14ac:dyDescent="0.35">
      <c r="A13" t="s">
        <v>84</v>
      </c>
      <c r="F13" s="2">
        <f t="shared" ref="F13:G13" si="5">F6/$E6-1</f>
        <v>0.35197397129186614</v>
      </c>
      <c r="G13" s="2">
        <f t="shared" si="5"/>
        <v>-9.8684019138756129E-2</v>
      </c>
      <c r="K13" t="str">
        <f t="shared" si="4"/>
        <v>DB EE</v>
      </c>
      <c r="L13" s="2">
        <f t="shared" ref="L13:M16" si="6">L6/$K6-1</f>
        <v>0.89276355980861233</v>
      </c>
      <c r="M13" s="2">
        <f t="shared" si="6"/>
        <v>0.26184237320574133</v>
      </c>
      <c r="P13" t="s">
        <v>153</v>
      </c>
      <c r="Q13" s="2">
        <f>Q6/$P6-1</f>
        <v>-0.46484363636363635</v>
      </c>
      <c r="R13" s="2">
        <f>R6/$P6-1</f>
        <v>-0.64322909090909097</v>
      </c>
      <c r="V13" t="s">
        <v>153</v>
      </c>
      <c r="W13" s="2">
        <f>W6/$V6-1</f>
        <v>0.49843781818181809</v>
      </c>
      <c r="X13" s="2">
        <f>X6/$V6-1</f>
        <v>-1.0414545454547897E-3</v>
      </c>
    </row>
    <row r="14" spans="1:24" x14ac:dyDescent="0.35">
      <c r="A14" t="s">
        <v>85</v>
      </c>
      <c r="F14" s="2">
        <f t="shared" ref="F14:G14" si="7">F7/$E7-1</f>
        <v>-8.008939393939396E-2</v>
      </c>
      <c r="G14" s="2">
        <f t="shared" si="7"/>
        <v>-0.38674469696969693</v>
      </c>
      <c r="K14" t="str">
        <f t="shared" si="4"/>
        <v>DB EE HP</v>
      </c>
      <c r="L14" s="2">
        <f t="shared" si="6"/>
        <v>0.28787484848484834</v>
      </c>
      <c r="M14" s="2">
        <f t="shared" si="6"/>
        <v>-0.14144257575757591</v>
      </c>
      <c r="P14" t="s">
        <v>186</v>
      </c>
      <c r="Q14" s="2">
        <f>Q6/$O$6-1</f>
        <v>-0.88226559999999998</v>
      </c>
      <c r="R14" s="2">
        <f>R6/$O$6-1</f>
        <v>-0.92151040000000006</v>
      </c>
      <c r="V14" t="s">
        <v>186</v>
      </c>
      <c r="W14" s="2">
        <f>W6/$U$6-1</f>
        <v>-0.67034368</v>
      </c>
      <c r="X14" s="2">
        <f>X6/$U$6-1</f>
        <v>-0.78022912</v>
      </c>
    </row>
    <row r="15" spans="1:24" ht="43.5" x14ac:dyDescent="0.35">
      <c r="A15" s="43" t="s">
        <v>135</v>
      </c>
      <c r="F15" s="2">
        <f t="shared" ref="F15:G15" si="8">F8/$E8-1</f>
        <v>0.85268709472345838</v>
      </c>
      <c r="G15" s="2">
        <f t="shared" si="8"/>
        <v>0.23508760330578515</v>
      </c>
      <c r="K15" t="str">
        <f t="shared" si="4"/>
        <v>DBEE+ Part+Diag+Tuning</v>
      </c>
      <c r="L15" s="2">
        <f t="shared" si="6"/>
        <v>1.5937619326128414</v>
      </c>
      <c r="M15" s="2">
        <f t="shared" si="6"/>
        <v>0.72912264462809895</v>
      </c>
      <c r="P15" s="2"/>
      <c r="Q15" s="2"/>
    </row>
    <row r="16" spans="1:24" x14ac:dyDescent="0.35">
      <c r="A16" t="s">
        <v>134</v>
      </c>
      <c r="F16" s="2">
        <f t="shared" ref="F16:G16" si="9">F9/$E9-1</f>
        <v>-0.37476771452846214</v>
      </c>
      <c r="G16" s="2">
        <f t="shared" si="9"/>
        <v>-0.58318674596431608</v>
      </c>
      <c r="K16" t="str">
        <f t="shared" si="4"/>
        <v>DB EE EP</v>
      </c>
      <c r="L16" s="2">
        <f t="shared" si="6"/>
        <v>-0.12467480033984712</v>
      </c>
      <c r="M16" s="2">
        <f t="shared" si="6"/>
        <v>-0.41646144435004262</v>
      </c>
      <c r="P16" s="2"/>
      <c r="Q16" s="2"/>
    </row>
    <row r="55" spans="1:15" x14ac:dyDescent="0.35">
      <c r="I55">
        <v>0.86819999999999997</v>
      </c>
    </row>
    <row r="57" spans="1:15" x14ac:dyDescent="0.35">
      <c r="I57" s="9">
        <f>8*C62</f>
        <v>399000</v>
      </c>
      <c r="J57" s="9">
        <f>D62*8</f>
        <v>269107.20000000001</v>
      </c>
    </row>
    <row r="58" spans="1:15" x14ac:dyDescent="0.35">
      <c r="A58" s="45" t="s">
        <v>138</v>
      </c>
      <c r="I58" s="54">
        <f>I57*$I$55</f>
        <v>346411.8</v>
      </c>
      <c r="J58" s="54">
        <f>J57*$I$55</f>
        <v>233638.87104</v>
      </c>
      <c r="L58" s="1">
        <f>242500/I58-1</f>
        <v>-0.29996610969949633</v>
      </c>
    </row>
    <row r="59" spans="1:15" x14ac:dyDescent="0.35">
      <c r="A59" s="6"/>
      <c r="B59" s="6"/>
      <c r="C59" s="6"/>
      <c r="D59" s="56" t="s">
        <v>133</v>
      </c>
      <c r="E59" s="56"/>
      <c r="F59" s="56"/>
      <c r="I59" s="54">
        <f>I58*0.7</f>
        <v>242488.25999999998</v>
      </c>
      <c r="L59" s="1">
        <f>242500/I59-1</f>
        <v>4.8414715005273834E-5</v>
      </c>
    </row>
    <row r="60" spans="1:15" ht="43.5" x14ac:dyDescent="0.35">
      <c r="A60" s="6"/>
      <c r="B60" s="15" t="s">
        <v>87</v>
      </c>
      <c r="C60" s="15" t="s">
        <v>145</v>
      </c>
      <c r="D60" s="6" t="s">
        <v>22</v>
      </c>
      <c r="E60" s="6" t="s">
        <v>86</v>
      </c>
      <c r="H60" s="9" t="s">
        <v>176</v>
      </c>
      <c r="I60" s="9"/>
      <c r="J60" s="9"/>
      <c r="K60" s="9"/>
      <c r="L60" s="9"/>
      <c r="M60" s="9"/>
    </row>
    <row r="61" spans="1:15" x14ac:dyDescent="0.35">
      <c r="A61" t="s">
        <v>83</v>
      </c>
      <c r="B61" s="11">
        <f>B5+5*C5*(1+(4*3%/2))</f>
        <v>3790.5</v>
      </c>
      <c r="C61" s="11">
        <f>D5+5*E5*(1+(4*3%/2))</f>
        <v>18952.5</v>
      </c>
      <c r="D61" s="44">
        <f>(0.384*(365*24))*5</f>
        <v>16819.2</v>
      </c>
      <c r="E61" s="44">
        <f>(0.2688*(365*24))*5</f>
        <v>11773.439999999999</v>
      </c>
      <c r="H61" s="9"/>
      <c r="I61" s="9"/>
      <c r="J61" s="9"/>
      <c r="K61" s="9"/>
      <c r="L61" s="9"/>
      <c r="M61" s="9"/>
      <c r="N61" s="1"/>
      <c r="O61" s="10"/>
    </row>
    <row r="62" spans="1:15" x14ac:dyDescent="0.35">
      <c r="A62" t="s">
        <v>84</v>
      </c>
      <c r="B62" s="11">
        <f t="shared" ref="B62:B65" si="10">B6+5*C6*(1+(4*3%/2))</f>
        <v>25721.25</v>
      </c>
      <c r="C62" s="11">
        <f>D6+5*E6*(1)</f>
        <v>49875</v>
      </c>
      <c r="D62" s="44">
        <f>(0.768*(365*24))*5</f>
        <v>33638.400000000001</v>
      </c>
      <c r="E62" s="44">
        <f>(0.5376*(365*24))*5</f>
        <v>23546.879999999997</v>
      </c>
    </row>
    <row r="63" spans="1:15" x14ac:dyDescent="0.35">
      <c r="A63" t="s">
        <v>85</v>
      </c>
      <c r="B63" s="11">
        <f t="shared" si="10"/>
        <v>137270.25</v>
      </c>
      <c r="C63" s="11">
        <f>D7+5*E7*(1+(4*3%/2))</f>
        <v>155952</v>
      </c>
      <c r="D63" s="44">
        <f>(1.5841*(365*24))*5</f>
        <v>69383.58</v>
      </c>
      <c r="E63" s="44">
        <f>(1.1089*(365*24))*5</f>
        <v>48569.82</v>
      </c>
      <c r="M63" s="10"/>
    </row>
    <row r="64" spans="1:15" ht="43.5" x14ac:dyDescent="0.35">
      <c r="A64" s="43" t="s">
        <v>135</v>
      </c>
      <c r="B64" s="11">
        <f t="shared" si="10"/>
        <v>38717.25</v>
      </c>
      <c r="C64" s="11">
        <f>D8+5*E8*(1+(4*3%/2))</f>
        <v>77434.5</v>
      </c>
      <c r="D64" s="44">
        <v>69383.58</v>
      </c>
      <c r="E64" s="44">
        <v>48569.82</v>
      </c>
      <c r="H64" s="44"/>
      <c r="M64" s="9"/>
    </row>
    <row r="65" spans="1:8" x14ac:dyDescent="0.35">
      <c r="A65" t="s">
        <v>134</v>
      </c>
      <c r="B65" s="11">
        <f t="shared" si="10"/>
        <v>173821.5</v>
      </c>
      <c r="C65" s="11">
        <f>D9+5*E9*(1+(4*3%/2))</f>
        <v>347643</v>
      </c>
      <c r="D65" s="44">
        <f>(2.4002*(365*24))*5</f>
        <v>105128.76000000001</v>
      </c>
      <c r="E65" s="44">
        <f>(1.6801*(365*24))*5</f>
        <v>73588.38</v>
      </c>
    </row>
    <row r="67" spans="1:8" x14ac:dyDescent="0.35">
      <c r="A67" s="6"/>
      <c r="B67" s="6"/>
      <c r="C67" s="6"/>
      <c r="D67" s="56" t="s">
        <v>133</v>
      </c>
      <c r="E67" s="56"/>
      <c r="F67" s="56"/>
    </row>
    <row r="68" spans="1:8" ht="29" x14ac:dyDescent="0.35">
      <c r="A68" s="6"/>
      <c r="B68" s="15" t="s">
        <v>87</v>
      </c>
      <c r="C68" s="15" t="s">
        <v>88</v>
      </c>
      <c r="D68" s="6" t="s">
        <v>22</v>
      </c>
      <c r="E68" s="6" t="s">
        <v>86</v>
      </c>
    </row>
    <row r="69" spans="1:8" x14ac:dyDescent="0.35">
      <c r="A69" t="s">
        <v>83</v>
      </c>
      <c r="B69" s="2">
        <f>B61/$C61-1</f>
        <v>-0.8</v>
      </c>
      <c r="C69" s="2">
        <f>C61/$C61-1</f>
        <v>0</v>
      </c>
      <c r="D69" s="2">
        <f>D61/$C61-1</f>
        <v>-0.11256034823901861</v>
      </c>
      <c r="E69" s="2">
        <f>E61/$C61-1</f>
        <v>-0.37879224376731313</v>
      </c>
    </row>
    <row r="70" spans="1:8" x14ac:dyDescent="0.35">
      <c r="A70" t="s">
        <v>84</v>
      </c>
      <c r="B70" s="2">
        <f t="shared" ref="B70:C73" si="11">B62/$C62-1</f>
        <v>-0.48428571428571432</v>
      </c>
      <c r="C70" s="2">
        <f t="shared" si="11"/>
        <v>0</v>
      </c>
      <c r="D70" s="2">
        <f t="shared" ref="D70" si="12">D62/$C62-1</f>
        <v>-0.32554586466165414</v>
      </c>
      <c r="E70" s="2">
        <f>E62/$C62-1</f>
        <v>-0.52788210526315793</v>
      </c>
    </row>
    <row r="71" spans="1:8" x14ac:dyDescent="0.35">
      <c r="A71" t="s">
        <v>85</v>
      </c>
      <c r="B71" s="2">
        <f t="shared" si="11"/>
        <v>-0.11979166666666663</v>
      </c>
      <c r="C71" s="2">
        <f t="shared" si="11"/>
        <v>0</v>
      </c>
      <c r="D71" s="2">
        <f t="shared" ref="D71" si="13">D63/$C63-1</f>
        <v>-0.555096568174823</v>
      </c>
      <c r="E71" s="2">
        <f>E63/$C63-1</f>
        <v>-0.68855917205293937</v>
      </c>
    </row>
    <row r="72" spans="1:8" ht="43.5" x14ac:dyDescent="0.35">
      <c r="A72" s="43" t="s">
        <v>135</v>
      </c>
      <c r="B72" s="2">
        <f t="shared" si="11"/>
        <v>-0.5</v>
      </c>
      <c r="C72" s="2">
        <f t="shared" si="11"/>
        <v>0</v>
      </c>
      <c r="D72" s="2">
        <f t="shared" ref="D72" si="14">D64/$C64-1</f>
        <v>-0.10397071072971342</v>
      </c>
      <c r="E72" s="2">
        <f>E64/$C64-1</f>
        <v>-0.37276252833039536</v>
      </c>
    </row>
    <row r="73" spans="1:8" x14ac:dyDescent="0.35">
      <c r="A73" t="s">
        <v>134</v>
      </c>
      <c r="B73" s="2">
        <f t="shared" si="11"/>
        <v>-0.5</v>
      </c>
      <c r="C73" s="2">
        <f t="shared" si="11"/>
        <v>0</v>
      </c>
      <c r="D73" s="2">
        <f t="shared" ref="D73" si="15">D65/$C65-1</f>
        <v>-0.697595636903375</v>
      </c>
      <c r="E73" s="2">
        <f>E65/$C65-1</f>
        <v>-0.78832198548510968</v>
      </c>
    </row>
    <row r="76" spans="1:8" x14ac:dyDescent="0.35">
      <c r="A76" s="45" t="s">
        <v>143</v>
      </c>
    </row>
    <row r="77" spans="1:8" ht="29" x14ac:dyDescent="0.35">
      <c r="A77" s="15"/>
      <c r="B77" s="15" t="s">
        <v>139</v>
      </c>
      <c r="C77" s="15" t="s">
        <v>141</v>
      </c>
      <c r="D77" s="15" t="s">
        <v>140</v>
      </c>
      <c r="E77" s="15" t="s">
        <v>142</v>
      </c>
    </row>
    <row r="78" spans="1:8" x14ac:dyDescent="0.35">
      <c r="A78" t="s">
        <v>83</v>
      </c>
      <c r="B78" s="9">
        <f t="shared" ref="B78:B82" si="16">F5</f>
        <v>3532.0320000000002</v>
      </c>
      <c r="C78" s="9">
        <f>(0.2765*((365*24)))+($E5)</f>
        <v>4347.1400000000003</v>
      </c>
      <c r="D78" s="9">
        <f>G5</f>
        <v>2354.6879999999996</v>
      </c>
      <c r="E78" s="9">
        <f>(0.1936*((365*24)))+($E5)</f>
        <v>3620.9359999999997</v>
      </c>
      <c r="H78" s="9"/>
    </row>
    <row r="79" spans="1:8" x14ac:dyDescent="0.35">
      <c r="A79" t="s">
        <v>84</v>
      </c>
      <c r="B79" s="9">
        <f t="shared" si="16"/>
        <v>7064.0640000000003</v>
      </c>
      <c r="C79" s="9">
        <f>(0.2765*((365*24)))+($E6)</f>
        <v>7647.14</v>
      </c>
      <c r="D79" s="9">
        <f>G6</f>
        <v>4709.3759999999993</v>
      </c>
      <c r="E79" s="9">
        <f>(0.1936*((365*24)))+($E6)</f>
        <v>6920.9359999999997</v>
      </c>
    </row>
    <row r="80" spans="1:8" x14ac:dyDescent="0.35">
      <c r="A80" t="s">
        <v>85</v>
      </c>
      <c r="B80" s="9">
        <f t="shared" si="16"/>
        <v>14571.384</v>
      </c>
      <c r="C80" s="9">
        <f>(0.2765*((365*24)))+($E7)</f>
        <v>18262.14</v>
      </c>
      <c r="D80" s="9">
        <f>G7</f>
        <v>9713.9639999999999</v>
      </c>
      <c r="E80" s="9">
        <f>(0.1936*((365*24)))+($E7)</f>
        <v>17535.936000000002</v>
      </c>
    </row>
    <row r="81" spans="1:6" ht="43.5" x14ac:dyDescent="0.35">
      <c r="A81" s="43" t="s">
        <v>135</v>
      </c>
      <c r="B81" s="9">
        <f t="shared" si="16"/>
        <v>14571.384</v>
      </c>
      <c r="C81" s="9">
        <f>(0.2765*((365*24)))+($E8)</f>
        <v>10287.14</v>
      </c>
      <c r="D81" s="9">
        <f>G8</f>
        <v>9713.9639999999999</v>
      </c>
      <c r="E81" s="9">
        <f>(0.1936*((365*24)))+($E8)</f>
        <v>9560.9359999999997</v>
      </c>
    </row>
    <row r="82" spans="1:6" x14ac:dyDescent="0.35">
      <c r="A82" t="s">
        <v>134</v>
      </c>
      <c r="B82" s="9">
        <f t="shared" si="16"/>
        <v>22076.952000000001</v>
      </c>
      <c r="C82" s="9">
        <f>(0.2765*((365*24)))+($E9)</f>
        <v>37732.14</v>
      </c>
      <c r="D82" s="9">
        <f>G9</f>
        <v>14717.675999999999</v>
      </c>
      <c r="E82" s="9">
        <f>(0.1936*((365*24)))+($E9)</f>
        <v>37005.936000000002</v>
      </c>
    </row>
    <row r="84" spans="1:6" ht="29" x14ac:dyDescent="0.35">
      <c r="A84" s="15"/>
      <c r="B84" s="15" t="s">
        <v>139</v>
      </c>
      <c r="C84" s="15" t="s">
        <v>141</v>
      </c>
      <c r="D84" s="15" t="s">
        <v>140</v>
      </c>
      <c r="E84" s="15" t="s">
        <v>142</v>
      </c>
    </row>
    <row r="85" spans="1:6" x14ac:dyDescent="0.35">
      <c r="A85" t="s">
        <v>83</v>
      </c>
      <c r="B85" s="9">
        <f>B78</f>
        <v>3532.0320000000002</v>
      </c>
      <c r="C85" s="2">
        <f>C78/B78-1</f>
        <v>0.23077593860984269</v>
      </c>
      <c r="D85" s="9">
        <f>D78</f>
        <v>2354.6879999999996</v>
      </c>
      <c r="E85" s="2">
        <f>E78/D78-1</f>
        <v>0.53775616981952612</v>
      </c>
    </row>
    <row r="86" spans="1:6" x14ac:dyDescent="0.35">
      <c r="A86" t="s">
        <v>84</v>
      </c>
      <c r="B86" s="9">
        <f t="shared" ref="B86:B89" si="17">B79</f>
        <v>7064.0640000000003</v>
      </c>
      <c r="C86" s="2">
        <f>C79/B79-1</f>
        <v>8.254115478002455E-2</v>
      </c>
      <c r="D86" s="9">
        <f>D79</f>
        <v>4709.3759999999993</v>
      </c>
      <c r="E86" s="2">
        <f>E79/D79-1</f>
        <v>0.46960786312241809</v>
      </c>
    </row>
    <row r="87" spans="1:6" x14ac:dyDescent="0.35">
      <c r="A87" t="s">
        <v>85</v>
      </c>
      <c r="B87" s="9">
        <f t="shared" si="17"/>
        <v>14571.384</v>
      </c>
      <c r="C87" s="2">
        <f>C80/B80-1</f>
        <v>0.25328795123373316</v>
      </c>
      <c r="D87" s="9">
        <f>D80</f>
        <v>9713.9639999999999</v>
      </c>
      <c r="E87" s="2">
        <f>E80/D80-1</f>
        <v>0.80522966731192347</v>
      </c>
    </row>
    <row r="88" spans="1:6" ht="43.5" x14ac:dyDescent="0.35">
      <c r="A88" s="43" t="s">
        <v>135</v>
      </c>
      <c r="B88" s="9">
        <f t="shared" si="17"/>
        <v>14571.384</v>
      </c>
      <c r="C88" s="2">
        <f>C81/B81-1</f>
        <v>-0.2940176444461281</v>
      </c>
      <c r="D88" s="9">
        <f>D81</f>
        <v>9713.9639999999999</v>
      </c>
      <c r="E88" s="2">
        <f>E81/D81-1</f>
        <v>-1.5753404068617138E-2</v>
      </c>
    </row>
    <row r="89" spans="1:6" x14ac:dyDescent="0.35">
      <c r="A89" t="s">
        <v>134</v>
      </c>
      <c r="B89" s="9">
        <f t="shared" si="17"/>
        <v>22076.952000000001</v>
      </c>
      <c r="C89" s="2">
        <f>C82/B82-1</f>
        <v>0.70911908491715692</v>
      </c>
      <c r="D89" s="9">
        <f>D82</f>
        <v>14717.675999999999</v>
      </c>
      <c r="E89" s="2">
        <f>E82/D82-1</f>
        <v>1.5143871899340633</v>
      </c>
    </row>
    <row r="91" spans="1:6" ht="21" x14ac:dyDescent="0.5">
      <c r="A91" s="47" t="s">
        <v>146</v>
      </c>
    </row>
    <row r="92" spans="1:6" x14ac:dyDescent="0.35">
      <c r="A92" s="48" t="s">
        <v>147</v>
      </c>
      <c r="E92" s="5">
        <v>0.68</v>
      </c>
      <c r="F92" s="49">
        <f>(1-$E$92)</f>
        <v>0.31999999999999995</v>
      </c>
    </row>
    <row r="93" spans="1:6" x14ac:dyDescent="0.35">
      <c r="A93" s="48" t="s">
        <v>148</v>
      </c>
      <c r="E93" s="5">
        <v>0.3</v>
      </c>
      <c r="F93" s="49">
        <f>(1-$E$93)</f>
        <v>0.7</v>
      </c>
    </row>
    <row r="94" spans="1:6" x14ac:dyDescent="0.35">
      <c r="A94" s="46"/>
    </row>
    <row r="95" spans="1:6" x14ac:dyDescent="0.35">
      <c r="A95" s="45" t="s">
        <v>138</v>
      </c>
    </row>
    <row r="96" spans="1:6" x14ac:dyDescent="0.35">
      <c r="A96" s="6"/>
      <c r="B96" s="6"/>
      <c r="C96" s="6"/>
      <c r="D96" s="56" t="s">
        <v>133</v>
      </c>
      <c r="E96" s="56"/>
      <c r="F96" s="56"/>
    </row>
    <row r="97" spans="1:9" ht="43.5" x14ac:dyDescent="0.35">
      <c r="A97" s="6"/>
      <c r="B97" s="15" t="s">
        <v>87</v>
      </c>
      <c r="C97" s="15" t="s">
        <v>145</v>
      </c>
      <c r="D97" s="6" t="s">
        <v>22</v>
      </c>
      <c r="E97" s="6" t="s">
        <v>86</v>
      </c>
    </row>
    <row r="98" spans="1:9" x14ac:dyDescent="0.35">
      <c r="A98" t="s">
        <v>83</v>
      </c>
      <c r="B98" s="44">
        <f t="shared" ref="B98:C102" si="18">(B61)*((1-$E$92))</f>
        <v>1212.9599999999998</v>
      </c>
      <c r="C98" s="44">
        <f t="shared" si="18"/>
        <v>6064.7999999999993</v>
      </c>
      <c r="D98" s="44">
        <f t="shared" ref="D98:D102" si="19">(D61)*((1-$E$93))</f>
        <v>11773.44</v>
      </c>
      <c r="E98" s="44">
        <f>(E61)*((1-$E$93))</f>
        <v>8241.4079999999994</v>
      </c>
    </row>
    <row r="99" spans="1:9" x14ac:dyDescent="0.35">
      <c r="A99" t="s">
        <v>84</v>
      </c>
      <c r="B99" s="44">
        <f t="shared" si="18"/>
        <v>8230.7999999999993</v>
      </c>
      <c r="C99" s="44">
        <f t="shared" si="18"/>
        <v>15959.999999999998</v>
      </c>
      <c r="D99" s="44">
        <f t="shared" si="19"/>
        <v>23546.880000000001</v>
      </c>
      <c r="E99" s="44">
        <f>(E62)*((1-$E$93))</f>
        <v>16482.815999999999</v>
      </c>
    </row>
    <row r="100" spans="1:9" x14ac:dyDescent="0.35">
      <c r="A100" t="s">
        <v>85</v>
      </c>
      <c r="B100" s="44">
        <f t="shared" si="18"/>
        <v>43926.479999999996</v>
      </c>
      <c r="C100" s="44">
        <f t="shared" si="18"/>
        <v>49904.639999999992</v>
      </c>
      <c r="D100" s="44">
        <f t="shared" si="19"/>
        <v>48568.506000000001</v>
      </c>
      <c r="E100" s="44">
        <f>(E63)*((1-$E$93))</f>
        <v>33998.873999999996</v>
      </c>
    </row>
    <row r="101" spans="1:9" ht="43.5" x14ac:dyDescent="0.35">
      <c r="A101" s="43" t="s">
        <v>135</v>
      </c>
      <c r="B101" s="44">
        <f t="shared" si="18"/>
        <v>12389.519999999999</v>
      </c>
      <c r="C101" s="44">
        <f t="shared" si="18"/>
        <v>24779.039999999997</v>
      </c>
      <c r="D101" s="44">
        <f t="shared" si="19"/>
        <v>48568.506000000001</v>
      </c>
      <c r="E101" s="44">
        <f>(E64)*((1-$E$93))</f>
        <v>33998.873999999996</v>
      </c>
    </row>
    <row r="102" spans="1:9" x14ac:dyDescent="0.35">
      <c r="A102" t="s">
        <v>134</v>
      </c>
      <c r="B102" s="44">
        <f t="shared" si="18"/>
        <v>55622.87999999999</v>
      </c>
      <c r="C102" s="44">
        <f t="shared" si="18"/>
        <v>111245.75999999998</v>
      </c>
      <c r="D102" s="44">
        <f t="shared" si="19"/>
        <v>73590.131999999998</v>
      </c>
      <c r="E102" s="44">
        <f>(E65)*((1-$E$93))</f>
        <v>51511.866000000002</v>
      </c>
    </row>
    <row r="104" spans="1:9" x14ac:dyDescent="0.35">
      <c r="A104" s="6"/>
      <c r="B104" s="6"/>
      <c r="C104" s="6"/>
      <c r="D104" s="56" t="s">
        <v>133</v>
      </c>
      <c r="E104" s="56"/>
      <c r="F104" s="56"/>
    </row>
    <row r="105" spans="1:9" ht="29" x14ac:dyDescent="0.35">
      <c r="A105" s="6"/>
      <c r="B105" s="15" t="s">
        <v>87</v>
      </c>
      <c r="C105" s="15" t="s">
        <v>88</v>
      </c>
      <c r="D105" s="6" t="s">
        <v>22</v>
      </c>
      <c r="E105" s="6" t="s">
        <v>86</v>
      </c>
    </row>
    <row r="106" spans="1:9" x14ac:dyDescent="0.35">
      <c r="A106" t="s">
        <v>83</v>
      </c>
      <c r="B106" s="2">
        <f>B98/$C98-1</f>
        <v>-0.8</v>
      </c>
      <c r="C106" s="2">
        <f>C98/$C98-1</f>
        <v>0</v>
      </c>
      <c r="D106" s="2">
        <f>D98/$C98-1</f>
        <v>0.94127423822714706</v>
      </c>
      <c r="E106" s="2">
        <f>E98/$C98-1</f>
        <v>0.35889196675900292</v>
      </c>
    </row>
    <row r="107" spans="1:9" x14ac:dyDescent="0.35">
      <c r="A107" t="s">
        <v>84</v>
      </c>
      <c r="B107" s="2">
        <f t="shared" ref="B107:C110" si="20">B99/$C99-1</f>
        <v>-0.48428571428571432</v>
      </c>
      <c r="C107" s="2">
        <f t="shared" si="20"/>
        <v>0</v>
      </c>
      <c r="D107" s="2">
        <f t="shared" ref="D107" si="21">D99/$C99-1</f>
        <v>0.47536842105263188</v>
      </c>
      <c r="E107" s="2">
        <f>E99/$C99-1</f>
        <v>3.2757894736842097E-2</v>
      </c>
    </row>
    <row r="108" spans="1:9" x14ac:dyDescent="0.35">
      <c r="A108" t="s">
        <v>85</v>
      </c>
      <c r="B108" s="2">
        <f t="shared" si="20"/>
        <v>-0.11979166666666663</v>
      </c>
      <c r="C108" s="2">
        <f t="shared" si="20"/>
        <v>0</v>
      </c>
      <c r="D108" s="2">
        <f t="shared" ref="D108" si="22">D100/$C100-1</f>
        <v>-2.6773742882425178E-2</v>
      </c>
      <c r="E108" s="2">
        <f>E100/$C100-1</f>
        <v>-0.31872318886580486</v>
      </c>
    </row>
    <row r="109" spans="1:9" ht="43.5" x14ac:dyDescent="0.35">
      <c r="A109" s="43" t="s">
        <v>135</v>
      </c>
      <c r="B109" s="2">
        <f t="shared" si="20"/>
        <v>-0.5</v>
      </c>
      <c r="C109" s="2">
        <f t="shared" si="20"/>
        <v>0</v>
      </c>
      <c r="D109" s="2">
        <f t="shared" ref="D109" si="23">D101/$C101-1</f>
        <v>0.96006407027875196</v>
      </c>
      <c r="E109" s="2">
        <f>E101/$C101-1</f>
        <v>0.37208196927726012</v>
      </c>
    </row>
    <row r="110" spans="1:9" x14ac:dyDescent="0.35">
      <c r="A110" t="s">
        <v>134</v>
      </c>
      <c r="B110" s="2">
        <f t="shared" si="20"/>
        <v>-0.5</v>
      </c>
      <c r="C110" s="2">
        <f t="shared" si="20"/>
        <v>0</v>
      </c>
      <c r="D110" s="2">
        <f t="shared" ref="D110" si="24">D102/$C102-1</f>
        <v>-0.33849045572613279</v>
      </c>
      <c r="E110" s="2">
        <f>E102/$C102-1</f>
        <v>-0.53695434324867741</v>
      </c>
    </row>
    <row r="112" spans="1:9" x14ac:dyDescent="0.35">
      <c r="I112" s="5">
        <f>(1-$E$93)</f>
        <v>0.7</v>
      </c>
    </row>
    <row r="113" spans="1:5" x14ac:dyDescent="0.35">
      <c r="A113" s="45" t="s">
        <v>143</v>
      </c>
    </row>
    <row r="114" spans="1:5" ht="29" x14ac:dyDescent="0.35">
      <c r="A114" s="15"/>
      <c r="B114" s="15" t="s">
        <v>139</v>
      </c>
      <c r="C114" s="15" t="s">
        <v>141</v>
      </c>
      <c r="D114" s="15" t="s">
        <v>140</v>
      </c>
      <c r="E114" s="15" t="s">
        <v>142</v>
      </c>
    </row>
    <row r="115" spans="1:5" x14ac:dyDescent="0.35">
      <c r="A115" t="s">
        <v>83</v>
      </c>
      <c r="B115" s="9">
        <f>(B78)*((1-$E$93))</f>
        <v>2472.4223999999999</v>
      </c>
      <c r="C115" s="9">
        <f>(0.2765*((365*24)))*(1-$E$92)+$E5*(1-$E$93)</f>
        <v>2122.5848000000001</v>
      </c>
      <c r="D115" s="9">
        <f>(D78)*((1-$E$93))</f>
        <v>1648.2815999999996</v>
      </c>
      <c r="E115" s="9">
        <f>(0.1936*((365*24)))*(1-$E$92)+$E5*(1-$E$93)</f>
        <v>1890.1995199999999</v>
      </c>
    </row>
    <row r="116" spans="1:5" x14ac:dyDescent="0.35">
      <c r="A116" t="s">
        <v>84</v>
      </c>
      <c r="B116" s="9">
        <f>B79*(1-$E$93)</f>
        <v>4944.8447999999999</v>
      </c>
      <c r="C116" s="9">
        <f t="shared" ref="C116:C119" si="25">(0.2765*((365*24)))*(1-$E$92)+$E6*(1-$E$93)</f>
        <v>4432.5847999999996</v>
      </c>
      <c r="D116" s="9">
        <f>D79*(1-$E$93)</f>
        <v>3296.5631999999991</v>
      </c>
      <c r="E116" s="9">
        <f t="shared" ref="E116:E119" si="26">(0.1936*((365*24)))*(1-$E$92)+$E6*(1-$E$93)</f>
        <v>4200.1995199999992</v>
      </c>
    </row>
    <row r="117" spans="1:5" x14ac:dyDescent="0.35">
      <c r="A117" t="s">
        <v>85</v>
      </c>
      <c r="B117" s="9">
        <f>(B80)*((1-$E$93))</f>
        <v>10199.968799999999</v>
      </c>
      <c r="C117" s="9">
        <f t="shared" si="25"/>
        <v>11863.084800000001</v>
      </c>
      <c r="D117" s="9">
        <f>(D80)*((1-$E$93))</f>
        <v>6799.7747999999992</v>
      </c>
      <c r="E117" s="9">
        <f t="shared" si="26"/>
        <v>11630.69952</v>
      </c>
    </row>
    <row r="118" spans="1:5" ht="43.5" x14ac:dyDescent="0.35">
      <c r="A118" s="43" t="s">
        <v>135</v>
      </c>
      <c r="B118" s="9">
        <f>(B81)*((1-$E$93))</f>
        <v>10199.968799999999</v>
      </c>
      <c r="C118" s="9">
        <f t="shared" si="25"/>
        <v>6280.5847999999996</v>
      </c>
      <c r="D118" s="9">
        <f>(D81)*((1-$E$93))</f>
        <v>6799.7747999999992</v>
      </c>
      <c r="E118" s="9">
        <f t="shared" si="26"/>
        <v>6048.1995200000001</v>
      </c>
    </row>
    <row r="119" spans="1:5" x14ac:dyDescent="0.35">
      <c r="A119" t="s">
        <v>134</v>
      </c>
      <c r="B119" s="9">
        <f>(B82)*((1-$E$93))</f>
        <v>15453.866399999999</v>
      </c>
      <c r="C119" s="9">
        <f t="shared" si="25"/>
        <v>25492.084800000001</v>
      </c>
      <c r="D119" s="9">
        <f>(D82)*((1-$E$93))</f>
        <v>10302.373199999998</v>
      </c>
      <c r="E119" s="9">
        <f t="shared" si="26"/>
        <v>25259.699519999998</v>
      </c>
    </row>
    <row r="121" spans="1:5" ht="29" x14ac:dyDescent="0.35">
      <c r="A121" s="15"/>
      <c r="B121" s="15" t="s">
        <v>139</v>
      </c>
      <c r="C121" s="15" t="s">
        <v>141</v>
      </c>
      <c r="D121" s="15" t="s">
        <v>140</v>
      </c>
      <c r="E121" s="15" t="s">
        <v>142</v>
      </c>
    </row>
    <row r="122" spans="1:5" x14ac:dyDescent="0.35">
      <c r="A122" t="s">
        <v>83</v>
      </c>
      <c r="B122" s="9">
        <f>B115</f>
        <v>2472.4223999999999</v>
      </c>
      <c r="C122" s="2">
        <f>C115/B115-1</f>
        <v>-0.14149588678698266</v>
      </c>
      <c r="D122" s="9">
        <f>D115</f>
        <v>1648.2815999999996</v>
      </c>
      <c r="E122" s="2">
        <f>E115/D115-1</f>
        <v>0.14676977526170298</v>
      </c>
    </row>
    <row r="123" spans="1:5" x14ac:dyDescent="0.35">
      <c r="A123" t="s">
        <v>84</v>
      </c>
      <c r="B123" s="9">
        <f t="shared" ref="B123" si="27">B116</f>
        <v>4944.8447999999999</v>
      </c>
      <c r="C123" s="2">
        <f>C116/B116-1</f>
        <v>-0.10359475791838813</v>
      </c>
      <c r="D123" s="9">
        <f t="shared" ref="D123:D126" si="28">D116</f>
        <v>3296.5631999999991</v>
      </c>
      <c r="E123" s="2">
        <f>E116/D116-1</f>
        <v>0.27411466584350652</v>
      </c>
    </row>
    <row r="124" spans="1:5" x14ac:dyDescent="0.35">
      <c r="A124" t="s">
        <v>85</v>
      </c>
      <c r="B124" s="9">
        <f t="shared" ref="B124" si="29">B117</f>
        <v>10199.968799999999</v>
      </c>
      <c r="C124" s="2">
        <f>C117/B117-1</f>
        <v>0.16305108697979565</v>
      </c>
      <c r="D124" s="9">
        <f t="shared" si="28"/>
        <v>6799.7747999999992</v>
      </c>
      <c r="E124" s="2">
        <f>E117/D117-1</f>
        <v>0.71045363443507004</v>
      </c>
    </row>
    <row r="125" spans="1:5" ht="43.5" x14ac:dyDescent="0.35">
      <c r="A125" s="43" t="s">
        <v>135</v>
      </c>
      <c r="B125" s="9">
        <f t="shared" ref="B125" si="30">B118</f>
        <v>10199.968799999999</v>
      </c>
      <c r="C125" s="2">
        <f>C118/B118-1</f>
        <v>-0.38425450870006583</v>
      </c>
      <c r="D125" s="9">
        <f t="shared" si="28"/>
        <v>6799.7747999999992</v>
      </c>
      <c r="E125" s="2">
        <f>E118/D118-1</f>
        <v>-0.11052943694547046</v>
      </c>
    </row>
    <row r="126" spans="1:5" x14ac:dyDescent="0.35">
      <c r="A126" t="s">
        <v>134</v>
      </c>
      <c r="B126" s="9">
        <f t="shared" ref="B126" si="31">B119</f>
        <v>15453.866399999999</v>
      </c>
      <c r="C126" s="2">
        <f>C119/B119-1</f>
        <v>0.64956031973979034</v>
      </c>
      <c r="D126" s="9">
        <f t="shared" si="28"/>
        <v>10302.373199999998</v>
      </c>
      <c r="E126" s="2">
        <f>E119/D119-1</f>
        <v>1.4518330902631251</v>
      </c>
    </row>
    <row r="128" spans="1:5" x14ac:dyDescent="0.35">
      <c r="A128" t="s">
        <v>154</v>
      </c>
    </row>
    <row r="129" spans="1:5" ht="47" customHeight="1" x14ac:dyDescent="0.35">
      <c r="B129" s="15" t="s">
        <v>87</v>
      </c>
      <c r="C129" s="15" t="s">
        <v>145</v>
      </c>
      <c r="D129" s="15" t="s">
        <v>155</v>
      </c>
      <c r="E129" s="15" t="s">
        <v>156</v>
      </c>
    </row>
    <row r="130" spans="1:5" x14ac:dyDescent="0.35">
      <c r="A130" t="s">
        <v>153</v>
      </c>
      <c r="B130" s="11">
        <f>B62</f>
        <v>25721.25</v>
      </c>
      <c r="C130" s="11">
        <f>C62</f>
        <v>49875</v>
      </c>
      <c r="D130" s="44">
        <f>(0.5376*(365*24))*5</f>
        <v>23546.879999999997</v>
      </c>
      <c r="E130" s="44">
        <f>(0.5376*(365*24))*5*23%</f>
        <v>5415.7824000000001</v>
      </c>
    </row>
    <row r="131" spans="1:5" x14ac:dyDescent="0.35">
      <c r="B131" s="1">
        <f>$E$130/B130-1</f>
        <v>-0.78944326578218393</v>
      </c>
      <c r="C131" s="1">
        <f>$E$130/C130-1</f>
        <v>-0.89141288421052634</v>
      </c>
    </row>
  </sheetData>
  <mergeCells count="14">
    <mergeCell ref="P2:R2"/>
    <mergeCell ref="F3:H3"/>
    <mergeCell ref="D59:F59"/>
    <mergeCell ref="O1:X1"/>
    <mergeCell ref="U2:X2"/>
    <mergeCell ref="U3:V3"/>
    <mergeCell ref="W3:X3"/>
    <mergeCell ref="O3:P3"/>
    <mergeCell ref="Q3:R3"/>
    <mergeCell ref="D67:F67"/>
    <mergeCell ref="D96:F96"/>
    <mergeCell ref="D104:F104"/>
    <mergeCell ref="K2:M2"/>
    <mergeCell ref="L3:M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>
    <row r="1" spans="1:1" x14ac:dyDescent="0.35">
      <c r="A1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G13" sqref="G13"/>
    </sheetView>
  </sheetViews>
  <sheetFormatPr defaultColWidth="9.1796875" defaultRowHeight="14.5" x14ac:dyDescent="0.35"/>
  <cols>
    <col min="1" max="1" width="34.7265625" style="16" customWidth="1"/>
    <col min="2" max="2" width="9.54296875" style="16" customWidth="1"/>
    <col min="3" max="3" width="8.26953125" style="16" customWidth="1"/>
    <col min="4" max="4" width="9.7265625" style="16" customWidth="1"/>
    <col min="5" max="5" width="13.54296875" style="16" customWidth="1"/>
    <col min="6" max="7" width="18.26953125" style="16" customWidth="1"/>
    <col min="8" max="8" width="9.26953125" style="16" customWidth="1"/>
    <col min="9" max="16384" width="9.1796875" style="16"/>
  </cols>
  <sheetData>
    <row r="1" spans="1:9" x14ac:dyDescent="0.35">
      <c r="A1" s="59" t="s">
        <v>91</v>
      </c>
      <c r="B1" s="59"/>
      <c r="C1" s="59"/>
      <c r="D1" s="59"/>
      <c r="E1" s="59"/>
      <c r="F1" s="59"/>
      <c r="G1" s="59"/>
      <c r="H1" s="59"/>
      <c r="I1" s="59"/>
    </row>
    <row r="2" spans="1:9" ht="40.5" customHeight="1" x14ac:dyDescent="0.35">
      <c r="A2" s="60" t="s">
        <v>92</v>
      </c>
      <c r="B2" s="61"/>
      <c r="C2" s="61"/>
      <c r="D2" s="61"/>
      <c r="E2" s="61"/>
      <c r="F2" s="61"/>
      <c r="G2" s="61"/>
      <c r="H2" s="61"/>
      <c r="I2" s="61"/>
    </row>
    <row r="3" spans="1:9" ht="15" thickBot="1" x14ac:dyDescent="0.4"/>
    <row r="4" spans="1:9" ht="44" thickBot="1" x14ac:dyDescent="0.4">
      <c r="A4" s="17" t="s">
        <v>93</v>
      </c>
      <c r="B4" s="18" t="s">
        <v>132</v>
      </c>
      <c r="C4" s="18" t="s">
        <v>94</v>
      </c>
      <c r="D4" s="18" t="s">
        <v>95</v>
      </c>
      <c r="E4" s="18" t="s">
        <v>96</v>
      </c>
      <c r="F4" s="18" t="s">
        <v>97</v>
      </c>
      <c r="G4" s="19" t="s">
        <v>98</v>
      </c>
      <c r="H4" s="18" t="s">
        <v>99</v>
      </c>
      <c r="I4" s="20" t="s">
        <v>100</v>
      </c>
    </row>
    <row r="5" spans="1:9" ht="15" thickBot="1" x14ac:dyDescent="0.4">
      <c r="A5" s="21" t="s">
        <v>101</v>
      </c>
      <c r="B5" s="22" t="s">
        <v>102</v>
      </c>
      <c r="C5" s="23" t="s">
        <v>103</v>
      </c>
      <c r="D5" s="23" t="s">
        <v>103</v>
      </c>
      <c r="E5" s="23" t="s">
        <v>103</v>
      </c>
      <c r="F5" s="23" t="s">
        <v>103</v>
      </c>
      <c r="G5" s="24"/>
      <c r="H5" s="25">
        <v>17500</v>
      </c>
      <c r="I5" s="16">
        <v>3500</v>
      </c>
    </row>
    <row r="6" spans="1:9" ht="15" thickBot="1" x14ac:dyDescent="0.4">
      <c r="A6" s="21" t="s">
        <v>104</v>
      </c>
      <c r="B6" s="23" t="s">
        <v>103</v>
      </c>
      <c r="C6" s="22" t="s">
        <v>102</v>
      </c>
      <c r="D6" s="22" t="s">
        <v>102</v>
      </c>
      <c r="E6" s="22" t="s">
        <v>102</v>
      </c>
      <c r="F6" s="22" t="s">
        <v>102</v>
      </c>
      <c r="G6" s="26" t="s">
        <v>102</v>
      </c>
      <c r="H6" s="25">
        <v>47500</v>
      </c>
      <c r="I6" s="16">
        <f t="shared" ref="I6:I28" si="0">H6/2</f>
        <v>23750</v>
      </c>
    </row>
    <row r="7" spans="1:9" ht="15" thickBot="1" x14ac:dyDescent="0.4">
      <c r="A7" s="17" t="s">
        <v>105</v>
      </c>
      <c r="B7" s="27"/>
      <c r="C7" s="27"/>
      <c r="D7" s="27"/>
      <c r="E7" s="27"/>
      <c r="F7" s="27"/>
      <c r="G7" s="28"/>
      <c r="H7" s="25"/>
    </row>
    <row r="8" spans="1:9" ht="23.25" customHeight="1" thickBot="1" x14ac:dyDescent="0.4">
      <c r="A8" s="21" t="s">
        <v>106</v>
      </c>
      <c r="B8" s="29" t="s">
        <v>107</v>
      </c>
      <c r="C8" s="29" t="s">
        <v>107</v>
      </c>
      <c r="D8" s="30" t="s">
        <v>107</v>
      </c>
      <c r="E8" s="30" t="s">
        <v>107</v>
      </c>
      <c r="F8" s="31" t="s">
        <v>102</v>
      </c>
      <c r="G8" s="32" t="s">
        <v>108</v>
      </c>
      <c r="H8" s="25">
        <v>23000</v>
      </c>
      <c r="I8" s="16">
        <f t="shared" si="0"/>
        <v>11500</v>
      </c>
    </row>
    <row r="9" spans="1:9" ht="15" thickBot="1" x14ac:dyDescent="0.4">
      <c r="A9" s="21" t="s">
        <v>109</v>
      </c>
      <c r="B9" s="29" t="s">
        <v>107</v>
      </c>
      <c r="C9" s="29" t="s">
        <v>107</v>
      </c>
      <c r="D9" s="30" t="s">
        <v>107</v>
      </c>
      <c r="E9" s="30" t="s">
        <v>107</v>
      </c>
      <c r="F9" s="31" t="s">
        <v>108</v>
      </c>
      <c r="G9" s="32" t="s">
        <v>108</v>
      </c>
      <c r="H9" s="25">
        <v>10000</v>
      </c>
      <c r="I9" s="16">
        <f t="shared" si="0"/>
        <v>5000</v>
      </c>
    </row>
    <row r="10" spans="1:9" ht="15" thickBot="1" x14ac:dyDescent="0.4">
      <c r="A10" s="21" t="s">
        <v>110</v>
      </c>
      <c r="B10" s="29" t="s">
        <v>107</v>
      </c>
      <c r="C10" s="29" t="s">
        <v>107</v>
      </c>
      <c r="D10" s="30" t="s">
        <v>107</v>
      </c>
      <c r="E10" s="31" t="s">
        <v>102</v>
      </c>
      <c r="F10" s="31" t="s">
        <v>102</v>
      </c>
      <c r="G10" s="32" t="s">
        <v>108</v>
      </c>
      <c r="H10" s="25">
        <v>23000</v>
      </c>
      <c r="I10" s="16">
        <f t="shared" si="0"/>
        <v>11500</v>
      </c>
    </row>
    <row r="11" spans="1:9" ht="15" thickBot="1" x14ac:dyDescent="0.4">
      <c r="A11" s="21" t="s">
        <v>111</v>
      </c>
      <c r="B11" s="29" t="s">
        <v>107</v>
      </c>
      <c r="C11" s="29" t="s">
        <v>107</v>
      </c>
      <c r="D11" s="30" t="s">
        <v>107</v>
      </c>
      <c r="E11" s="31" t="s">
        <v>102</v>
      </c>
      <c r="F11" s="31" t="s">
        <v>102</v>
      </c>
      <c r="G11" s="32" t="s">
        <v>108</v>
      </c>
      <c r="H11" s="25">
        <v>11500</v>
      </c>
      <c r="I11" s="16">
        <f t="shared" si="0"/>
        <v>5750</v>
      </c>
    </row>
    <row r="12" spans="1:9" ht="15" thickBot="1" x14ac:dyDescent="0.4">
      <c r="A12" s="21" t="s">
        <v>112</v>
      </c>
      <c r="B12" s="29" t="s">
        <v>107</v>
      </c>
      <c r="C12" s="29" t="s">
        <v>107</v>
      </c>
      <c r="D12" s="22" t="s">
        <v>102</v>
      </c>
      <c r="E12" s="22" t="s">
        <v>102</v>
      </c>
      <c r="F12" s="33" t="s">
        <v>102</v>
      </c>
      <c r="G12" s="32" t="s">
        <v>108</v>
      </c>
      <c r="H12" s="25">
        <v>17500</v>
      </c>
      <c r="I12" s="16">
        <f t="shared" si="0"/>
        <v>8750</v>
      </c>
    </row>
    <row r="13" spans="1:9" ht="15" thickBot="1" x14ac:dyDescent="0.4">
      <c r="A13" s="21" t="s">
        <v>113</v>
      </c>
      <c r="B13" s="29" t="s">
        <v>107</v>
      </c>
      <c r="C13" s="29" t="s">
        <v>107</v>
      </c>
      <c r="D13" s="31" t="s">
        <v>102</v>
      </c>
      <c r="E13" s="34" t="s">
        <v>102</v>
      </c>
      <c r="F13" s="35" t="s">
        <v>102</v>
      </c>
      <c r="G13" s="36" t="s">
        <v>102</v>
      </c>
      <c r="H13" s="25">
        <v>11500</v>
      </c>
      <c r="I13" s="16">
        <f t="shared" si="0"/>
        <v>5750</v>
      </c>
    </row>
    <row r="14" spans="1:9" ht="15" thickBot="1" x14ac:dyDescent="0.4">
      <c r="A14" s="21" t="s">
        <v>114</v>
      </c>
      <c r="B14" s="29" t="s">
        <v>107</v>
      </c>
      <c r="C14" s="29" t="s">
        <v>107</v>
      </c>
      <c r="D14" s="31" t="s">
        <v>102</v>
      </c>
      <c r="E14" s="31" t="s">
        <v>102</v>
      </c>
      <c r="F14" s="37" t="s">
        <v>102</v>
      </c>
      <c r="G14" s="32" t="s">
        <v>108</v>
      </c>
      <c r="H14" s="25">
        <v>11500</v>
      </c>
      <c r="I14" s="16">
        <f t="shared" si="0"/>
        <v>5750</v>
      </c>
    </row>
    <row r="15" spans="1:9" ht="15" thickBot="1" x14ac:dyDescent="0.4">
      <c r="A15" s="21" t="s">
        <v>115</v>
      </c>
      <c r="B15" s="29" t="s">
        <v>107</v>
      </c>
      <c r="C15" s="29" t="s">
        <v>107</v>
      </c>
      <c r="D15" s="31" t="s">
        <v>102</v>
      </c>
      <c r="E15" s="31" t="s">
        <v>102</v>
      </c>
      <c r="F15" s="31" t="s">
        <v>102</v>
      </c>
      <c r="G15" s="32" t="s">
        <v>108</v>
      </c>
      <c r="H15" s="25">
        <v>11500</v>
      </c>
      <c r="I15" s="16">
        <f t="shared" si="0"/>
        <v>5750</v>
      </c>
    </row>
    <row r="16" spans="1:9" ht="15" thickBot="1" x14ac:dyDescent="0.4">
      <c r="A16" s="21" t="s">
        <v>116</v>
      </c>
      <c r="B16" s="29" t="s">
        <v>107</v>
      </c>
      <c r="C16" s="29" t="s">
        <v>107</v>
      </c>
      <c r="D16" s="31" t="s">
        <v>102</v>
      </c>
      <c r="E16" s="31" t="s">
        <v>102</v>
      </c>
      <c r="F16" s="31" t="s">
        <v>102</v>
      </c>
      <c r="G16" s="32" t="s">
        <v>108</v>
      </c>
      <c r="H16" s="25">
        <v>15000</v>
      </c>
      <c r="I16" s="16">
        <f t="shared" si="0"/>
        <v>7500</v>
      </c>
    </row>
    <row r="17" spans="1:9" ht="15" thickBot="1" x14ac:dyDescent="0.4">
      <c r="A17" s="21" t="s">
        <v>117</v>
      </c>
      <c r="B17" s="29" t="s">
        <v>107</v>
      </c>
      <c r="C17" s="29" t="s">
        <v>107</v>
      </c>
      <c r="D17" s="31" t="s">
        <v>102</v>
      </c>
      <c r="E17" s="31" t="s">
        <v>102</v>
      </c>
      <c r="F17" s="31" t="s">
        <v>102</v>
      </c>
      <c r="G17" s="32" t="s">
        <v>108</v>
      </c>
      <c r="H17" s="25">
        <v>11500</v>
      </c>
      <c r="I17" s="16">
        <f t="shared" si="0"/>
        <v>5750</v>
      </c>
    </row>
    <row r="18" spans="1:9" ht="15" thickBot="1" x14ac:dyDescent="0.4">
      <c r="A18" s="21" t="s">
        <v>118</v>
      </c>
      <c r="B18" s="29" t="s">
        <v>107</v>
      </c>
      <c r="C18" s="29" t="s">
        <v>107</v>
      </c>
      <c r="D18" s="31" t="s">
        <v>102</v>
      </c>
      <c r="E18" s="31" t="s">
        <v>102</v>
      </c>
      <c r="F18" s="31" t="s">
        <v>102</v>
      </c>
      <c r="G18" s="32" t="s">
        <v>108</v>
      </c>
      <c r="H18" s="25">
        <v>11500</v>
      </c>
      <c r="I18" s="16">
        <f t="shared" si="0"/>
        <v>5750</v>
      </c>
    </row>
    <row r="19" spans="1:9" ht="15" thickBot="1" x14ac:dyDescent="0.4">
      <c r="A19" s="21" t="s">
        <v>119</v>
      </c>
      <c r="B19" s="29" t="s">
        <v>107</v>
      </c>
      <c r="C19" s="29" t="s">
        <v>107</v>
      </c>
      <c r="D19" s="31" t="s">
        <v>102</v>
      </c>
      <c r="E19" s="31" t="s">
        <v>102</v>
      </c>
      <c r="F19" s="31" t="s">
        <v>102</v>
      </c>
      <c r="G19" s="32" t="s">
        <v>108</v>
      </c>
      <c r="H19" s="25">
        <v>23000</v>
      </c>
      <c r="I19" s="16">
        <f t="shared" si="0"/>
        <v>11500</v>
      </c>
    </row>
    <row r="20" spans="1:9" ht="15" thickBot="1" x14ac:dyDescent="0.4">
      <c r="A20" s="21" t="s">
        <v>120</v>
      </c>
      <c r="B20" s="29" t="s">
        <v>107</v>
      </c>
      <c r="C20" s="29" t="s">
        <v>107</v>
      </c>
      <c r="D20" s="31" t="s">
        <v>102</v>
      </c>
      <c r="E20" s="31" t="s">
        <v>102</v>
      </c>
      <c r="F20" s="31" t="s">
        <v>102</v>
      </c>
      <c r="G20" s="32" t="s">
        <v>108</v>
      </c>
      <c r="H20" s="25">
        <v>23000</v>
      </c>
      <c r="I20" s="16">
        <f t="shared" si="0"/>
        <v>11500</v>
      </c>
    </row>
    <row r="21" spans="1:9" ht="15" thickBot="1" x14ac:dyDescent="0.4">
      <c r="A21" s="21" t="s">
        <v>121</v>
      </c>
      <c r="B21" s="29" t="s">
        <v>107</v>
      </c>
      <c r="C21" s="29" t="s">
        <v>107</v>
      </c>
      <c r="D21" s="31" t="s">
        <v>102</v>
      </c>
      <c r="E21" s="31" t="s">
        <v>102</v>
      </c>
      <c r="F21" s="31" t="s">
        <v>102</v>
      </c>
      <c r="G21" s="32" t="s">
        <v>108</v>
      </c>
      <c r="H21" s="25">
        <v>17500</v>
      </c>
      <c r="I21" s="16">
        <f t="shared" si="0"/>
        <v>8750</v>
      </c>
    </row>
    <row r="22" spans="1:9" ht="15" thickBot="1" x14ac:dyDescent="0.4">
      <c r="A22" s="17" t="s">
        <v>122</v>
      </c>
      <c r="B22" s="27"/>
      <c r="C22" s="27"/>
      <c r="D22" s="27"/>
      <c r="E22" s="27"/>
      <c r="F22" s="38"/>
      <c r="G22" s="28"/>
      <c r="H22" s="25"/>
    </row>
    <row r="23" spans="1:9" ht="15" thickBot="1" x14ac:dyDescent="0.4">
      <c r="A23" s="21" t="s">
        <v>123</v>
      </c>
      <c r="B23" s="30" t="s">
        <v>107</v>
      </c>
      <c r="C23" s="30" t="s">
        <v>107</v>
      </c>
      <c r="D23" s="31" t="s">
        <v>102</v>
      </c>
      <c r="E23" s="34" t="s">
        <v>102</v>
      </c>
      <c r="F23" s="39" t="s">
        <v>102</v>
      </c>
      <c r="G23" s="36" t="s">
        <v>102</v>
      </c>
      <c r="H23" s="25">
        <v>7500</v>
      </c>
      <c r="I23" s="16">
        <f t="shared" si="0"/>
        <v>3750</v>
      </c>
    </row>
    <row r="24" spans="1:9" ht="15" thickBot="1" x14ac:dyDescent="0.4">
      <c r="A24" s="21" t="s">
        <v>124</v>
      </c>
      <c r="B24" s="30" t="s">
        <v>107</v>
      </c>
      <c r="C24" s="30" t="s">
        <v>107</v>
      </c>
      <c r="D24" s="31" t="s">
        <v>102</v>
      </c>
      <c r="E24" s="34" t="s">
        <v>102</v>
      </c>
      <c r="F24" s="40" t="s">
        <v>102</v>
      </c>
      <c r="G24" s="36" t="s">
        <v>102</v>
      </c>
      <c r="H24" s="25">
        <v>5000</v>
      </c>
      <c r="I24" s="16">
        <f t="shared" si="0"/>
        <v>2500</v>
      </c>
    </row>
    <row r="25" spans="1:9" ht="15" thickBot="1" x14ac:dyDescent="0.4">
      <c r="A25" s="21" t="s">
        <v>125</v>
      </c>
      <c r="B25" s="30" t="s">
        <v>107</v>
      </c>
      <c r="C25" s="30" t="s">
        <v>107</v>
      </c>
      <c r="D25" s="31" t="s">
        <v>102</v>
      </c>
      <c r="E25" s="31" t="s">
        <v>102</v>
      </c>
      <c r="F25" s="37" t="s">
        <v>102</v>
      </c>
      <c r="G25" s="32" t="s">
        <v>108</v>
      </c>
      <c r="H25" s="25">
        <v>12000</v>
      </c>
      <c r="I25" s="16">
        <f t="shared" si="0"/>
        <v>6000</v>
      </c>
    </row>
    <row r="26" spans="1:9" ht="15" thickBot="1" x14ac:dyDescent="0.4">
      <c r="A26" s="21" t="s">
        <v>126</v>
      </c>
      <c r="B26" s="30" t="s">
        <v>107</v>
      </c>
      <c r="C26" s="30" t="s">
        <v>107</v>
      </c>
      <c r="D26" s="31" t="s">
        <v>102</v>
      </c>
      <c r="E26" s="31" t="s">
        <v>102</v>
      </c>
      <c r="F26" s="31" t="s">
        <v>102</v>
      </c>
      <c r="G26" s="32" t="s">
        <v>108</v>
      </c>
      <c r="H26" s="25">
        <v>11500</v>
      </c>
      <c r="I26" s="16">
        <f t="shared" si="0"/>
        <v>5750</v>
      </c>
    </row>
    <row r="27" spans="1:9" ht="15" thickBot="1" x14ac:dyDescent="0.4">
      <c r="A27" s="21" t="s">
        <v>127</v>
      </c>
      <c r="B27" s="30" t="s">
        <v>107</v>
      </c>
      <c r="C27" s="30" t="s">
        <v>107</v>
      </c>
      <c r="D27" s="31" t="s">
        <v>102</v>
      </c>
      <c r="E27" s="31" t="s">
        <v>102</v>
      </c>
      <c r="F27" s="31" t="s">
        <v>102</v>
      </c>
      <c r="G27" s="32" t="s">
        <v>108</v>
      </c>
      <c r="H27" s="25">
        <v>11500</v>
      </c>
      <c r="I27" s="16">
        <f t="shared" si="0"/>
        <v>5750</v>
      </c>
    </row>
    <row r="28" spans="1:9" ht="15" thickBot="1" x14ac:dyDescent="0.4">
      <c r="A28" s="21" t="s">
        <v>128</v>
      </c>
      <c r="B28" s="30" t="s">
        <v>107</v>
      </c>
      <c r="C28" s="30" t="s">
        <v>107</v>
      </c>
      <c r="D28" s="31" t="s">
        <v>102</v>
      </c>
      <c r="E28" s="31" t="s">
        <v>102</v>
      </c>
      <c r="F28" s="31" t="s">
        <v>102</v>
      </c>
      <c r="G28" s="32" t="s">
        <v>108</v>
      </c>
      <c r="H28" s="25">
        <v>5000</v>
      </c>
      <c r="I28" s="16">
        <f t="shared" si="0"/>
        <v>2500</v>
      </c>
    </row>
    <row r="29" spans="1:9" x14ac:dyDescent="0.35">
      <c r="A29" s="41" t="s">
        <v>129</v>
      </c>
      <c r="B29" s="42">
        <f t="shared" ref="B29:G29" si="1">SUMIF(B5:B28,"Yes",$H5:$H28)</f>
        <v>17500</v>
      </c>
      <c r="C29" s="42">
        <f t="shared" si="1"/>
        <v>47500</v>
      </c>
      <c r="D29" s="42">
        <f t="shared" si="1"/>
        <v>253500</v>
      </c>
      <c r="E29" s="42">
        <f t="shared" si="1"/>
        <v>288000</v>
      </c>
      <c r="F29" s="42">
        <f t="shared" si="1"/>
        <v>311000</v>
      </c>
      <c r="G29" s="42">
        <f t="shared" si="1"/>
        <v>71500</v>
      </c>
    </row>
    <row r="30" spans="1:9" x14ac:dyDescent="0.35">
      <c r="A30" s="41" t="s">
        <v>130</v>
      </c>
      <c r="B30" s="42">
        <f t="shared" ref="B30:G30" si="2">SUMIF(B5:B28,"Yes",$I5:$I28)</f>
        <v>3500</v>
      </c>
      <c r="C30" s="42">
        <f t="shared" si="2"/>
        <v>23750</v>
      </c>
      <c r="D30" s="42">
        <f t="shared" si="2"/>
        <v>126750</v>
      </c>
      <c r="E30" s="42">
        <f t="shared" si="2"/>
        <v>144000</v>
      </c>
      <c r="F30" s="42">
        <f t="shared" si="2"/>
        <v>155500</v>
      </c>
      <c r="G30" s="42">
        <f t="shared" si="2"/>
        <v>35750</v>
      </c>
    </row>
    <row r="31" spans="1:9" x14ac:dyDescent="0.35">
      <c r="G31" s="1">
        <f>G29/F29</f>
        <v>0.22990353697749197</v>
      </c>
    </row>
    <row r="32" spans="1:9" x14ac:dyDescent="0.35">
      <c r="A32" t="s">
        <v>131</v>
      </c>
      <c r="B32" s="1">
        <f t="shared" ref="B32:G32" si="3">B29/$C$29</f>
        <v>0.36842105263157893</v>
      </c>
      <c r="C32" s="1">
        <f t="shared" si="3"/>
        <v>1</v>
      </c>
      <c r="D32" s="1">
        <f t="shared" si="3"/>
        <v>5.3368421052631581</v>
      </c>
      <c r="E32" s="1">
        <f t="shared" si="3"/>
        <v>6.0631578947368423</v>
      </c>
      <c r="F32" s="1">
        <f t="shared" si="3"/>
        <v>6.5473684210526315</v>
      </c>
      <c r="G32" s="1">
        <f t="shared" si="3"/>
        <v>1.5052631578947369</v>
      </c>
    </row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Impact of Commitment</vt:lpstr>
      <vt:lpstr>DBCS SW only</vt:lpstr>
      <vt:lpstr>DB Example</vt:lpstr>
      <vt:lpstr>BYOL PAASvsIAAS</vt:lpstr>
      <vt:lpstr>PAAS List Price Change</vt:lpstr>
      <vt:lpstr>PAAS vs On Premise</vt:lpstr>
      <vt:lpstr>Another tab</vt:lpstr>
      <vt:lpstr>DBEE On Premise list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BMOLNAR;Balazs Molnar</dc:creator>
  <cp:lastModifiedBy>Balazs Molnar</cp:lastModifiedBy>
  <dcterms:created xsi:type="dcterms:W3CDTF">2017-09-22T08:35:18Z</dcterms:created>
  <dcterms:modified xsi:type="dcterms:W3CDTF">2018-01-17T15:56:10Z</dcterms:modified>
</cp:coreProperties>
</file>