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e_ae/Skagit Dropbox/FINSIGHT/6. pre-IPO/3. Equity research/Klarna/"/>
    </mc:Choice>
  </mc:AlternateContent>
  <xr:revisionPtr revIDLastSave="0" documentId="13_ncr:1_{7C683B7A-1229-D844-B958-3E720864D2A3}" xr6:coauthVersionLast="45" xr6:coauthVersionMax="47" xr10:uidLastSave="{00000000-0000-0000-0000-000000000000}"/>
  <bookViews>
    <workbookView xWindow="0" yWindow="0" windowWidth="28800" windowHeight="18000" activeTab="1" xr2:uid="{C4302D2F-A1E2-C74E-BF7F-8F55E0B800C7}"/>
  </bookViews>
  <sheets>
    <sheet name="Financial Dynamics (Sek)" sheetId="2" r:id="rId1"/>
    <sheet name="Financial Dynamics ($)" sheetId="4" r:id="rId2"/>
    <sheet name="H1 2022 Results" sheetId="6" r:id="rId3"/>
    <sheet name="TTM Results" sheetId="5" r:id="rId4"/>
    <sheet name="PnL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4" l="1"/>
  <c r="L16" i="4" s="1"/>
  <c r="L5" i="4"/>
  <c r="L6" i="4" s="1"/>
  <c r="H17" i="2" l="1"/>
  <c r="G17" i="4"/>
  <c r="H17" i="4" l="1"/>
  <c r="C16" i="5"/>
  <c r="D19" i="5" l="1"/>
  <c r="E19" i="5" s="1"/>
  <c r="D14" i="5"/>
  <c r="C15" i="5"/>
  <c r="C17" i="5"/>
  <c r="C18" i="5"/>
  <c r="C19" i="5"/>
  <c r="C20" i="5"/>
  <c r="C14" i="5"/>
  <c r="E14" i="5" l="1"/>
  <c r="K19" i="1"/>
  <c r="K17" i="4"/>
  <c r="K13" i="4"/>
  <c r="K11" i="4"/>
  <c r="K9" i="4"/>
  <c r="K7" i="4"/>
  <c r="K16" i="4"/>
  <c r="G16" i="4"/>
  <c r="G6" i="4"/>
  <c r="K6" i="4"/>
  <c r="K10" i="2"/>
  <c r="K6" i="2"/>
  <c r="K12" i="2"/>
  <c r="K14" i="2"/>
  <c r="K16" i="2"/>
  <c r="K18" i="2"/>
  <c r="D18" i="5" l="1"/>
  <c r="E18" i="5" s="1"/>
  <c r="L13" i="4"/>
  <c r="L14" i="4" s="1"/>
  <c r="D15" i="5"/>
  <c r="E15" i="5" s="1"/>
  <c r="L7" i="4"/>
  <c r="L8" i="4" s="1"/>
  <c r="D20" i="5"/>
  <c r="E20" i="5" s="1"/>
  <c r="L17" i="4"/>
  <c r="L18" i="4" s="1"/>
  <c r="D16" i="5"/>
  <c r="E16" i="5" s="1"/>
  <c r="L9" i="4"/>
  <c r="L10" i="4" s="1"/>
  <c r="D17" i="5"/>
  <c r="E17" i="5" s="1"/>
  <c r="L11" i="4"/>
  <c r="L12" i="4" s="1"/>
  <c r="K14" i="4"/>
  <c r="K8" i="4"/>
  <c r="K10" i="4"/>
  <c r="K18" i="4"/>
  <c r="K12" i="4"/>
  <c r="J17" i="2"/>
  <c r="I17" i="2"/>
  <c r="J15" i="2"/>
  <c r="I15" i="2"/>
  <c r="J13" i="2"/>
  <c r="I13" i="2"/>
  <c r="J11" i="2"/>
  <c r="I11" i="2"/>
  <c r="J9" i="2"/>
  <c r="I9" i="2"/>
  <c r="H18" i="2"/>
  <c r="H15" i="2"/>
  <c r="H13" i="2"/>
  <c r="H11" i="2"/>
  <c r="H9" i="2"/>
  <c r="J26" i="2"/>
  <c r="I26" i="2"/>
  <c r="I5" i="2"/>
  <c r="H26" i="2"/>
  <c r="G18" i="2"/>
  <c r="G16" i="2"/>
  <c r="G12" i="2"/>
  <c r="G10" i="2"/>
  <c r="G6" i="2"/>
  <c r="G7" i="2"/>
  <c r="F22" i="2"/>
  <c r="F24" i="2" s="1"/>
  <c r="E22" i="2"/>
  <c r="D22" i="2"/>
  <c r="D24" i="2" s="1"/>
  <c r="C24" i="2"/>
  <c r="F17" i="2"/>
  <c r="F18" i="2" s="1"/>
  <c r="E17" i="2"/>
  <c r="E18" i="2" s="1"/>
  <c r="D17" i="2"/>
  <c r="F15" i="2"/>
  <c r="F16" i="2" s="1"/>
  <c r="E15" i="2"/>
  <c r="E16" i="2" s="1"/>
  <c r="D15" i="2"/>
  <c r="E13" i="2"/>
  <c r="E14" i="2" s="1"/>
  <c r="F13" i="2"/>
  <c r="F14" i="2" s="1"/>
  <c r="F11" i="2"/>
  <c r="F12" i="2" s="1"/>
  <c r="D11" i="2"/>
  <c r="E11" i="2"/>
  <c r="E12" i="2" s="1"/>
  <c r="F9" i="2"/>
  <c r="F10" i="2" s="1"/>
  <c r="E9" i="2"/>
  <c r="E10" i="2" s="1"/>
  <c r="D9" i="2"/>
  <c r="F26" i="2"/>
  <c r="F27" i="2"/>
  <c r="E26" i="2"/>
  <c r="E27" i="2"/>
  <c r="D27" i="2"/>
  <c r="D26" i="2"/>
  <c r="D7" i="2" s="1"/>
  <c r="C37" i="2"/>
  <c r="C35" i="2"/>
  <c r="C31" i="2"/>
  <c r="C29" i="2"/>
  <c r="C32" i="2"/>
  <c r="D13" i="2" s="1"/>
  <c r="C9" i="5" s="1"/>
  <c r="D5" i="2"/>
  <c r="C8" i="2"/>
  <c r="C27" i="2" s="1"/>
  <c r="C13" i="2"/>
  <c r="G14" i="2" s="1"/>
  <c r="J28" i="1"/>
  <c r="J25" i="1"/>
  <c r="J24" i="1"/>
  <c r="J18" i="1"/>
  <c r="J13" i="1"/>
  <c r="J14" i="1"/>
  <c r="J7" i="1"/>
  <c r="J8" i="1"/>
  <c r="J9" i="1"/>
  <c r="J5" i="1"/>
  <c r="I28" i="1"/>
  <c r="I25" i="1"/>
  <c r="I24" i="1"/>
  <c r="I18" i="1"/>
  <c r="I14" i="1"/>
  <c r="I13" i="1"/>
  <c r="I7" i="1"/>
  <c r="I8" i="1"/>
  <c r="I9" i="1"/>
  <c r="E13" i="1"/>
  <c r="E14" i="1"/>
  <c r="E9" i="1"/>
  <c r="E8" i="1"/>
  <c r="E7" i="1"/>
  <c r="D6" i="1"/>
  <c r="D10" i="1" s="1"/>
  <c r="E18" i="1"/>
  <c r="E24" i="1"/>
  <c r="E25" i="1"/>
  <c r="E28" i="1"/>
  <c r="D26" i="1"/>
  <c r="J26" i="1" s="1"/>
  <c r="C26" i="1"/>
  <c r="I26" i="1" s="1"/>
  <c r="C6" i="1"/>
  <c r="C22" i="1" s="1"/>
  <c r="C5" i="1"/>
  <c r="I5" i="1" s="1"/>
  <c r="C7" i="5" l="1"/>
  <c r="C8" i="5"/>
  <c r="H16" i="2"/>
  <c r="C10" i="5"/>
  <c r="D7" i="5"/>
  <c r="E7" i="5" s="1"/>
  <c r="H6" i="2"/>
  <c r="C5" i="5"/>
  <c r="I6" i="2"/>
  <c r="D8" i="5"/>
  <c r="D11" i="5"/>
  <c r="G8" i="2"/>
  <c r="K8" i="2"/>
  <c r="D9" i="5"/>
  <c r="E9" i="5" s="1"/>
  <c r="C11" i="5"/>
  <c r="J7" i="2"/>
  <c r="D10" i="5"/>
  <c r="I12" i="2"/>
  <c r="K7" i="1"/>
  <c r="K24" i="1"/>
  <c r="D25" i="2"/>
  <c r="D6" i="2" s="1"/>
  <c r="J5" i="2"/>
  <c r="J6" i="2" s="1"/>
  <c r="H14" i="2"/>
  <c r="J10" i="2"/>
  <c r="J14" i="2"/>
  <c r="J18" i="2"/>
  <c r="I16" i="2"/>
  <c r="H10" i="2"/>
  <c r="J12" i="2"/>
  <c r="J16" i="2"/>
  <c r="F7" i="2"/>
  <c r="F8" i="2" s="1"/>
  <c r="I7" i="2"/>
  <c r="H12" i="2"/>
  <c r="I18" i="2"/>
  <c r="H7" i="2"/>
  <c r="I14" i="2"/>
  <c r="I10" i="2"/>
  <c r="D8" i="2"/>
  <c r="E24" i="2"/>
  <c r="E25" i="2" s="1"/>
  <c r="E6" i="2" s="1"/>
  <c r="E7" i="2"/>
  <c r="E8" i="2" s="1"/>
  <c r="D10" i="2"/>
  <c r="D12" i="2"/>
  <c r="D16" i="2"/>
  <c r="C33" i="2"/>
  <c r="D14" i="2" s="1"/>
  <c r="K18" i="1"/>
  <c r="K14" i="1"/>
  <c r="I6" i="1"/>
  <c r="I12" i="1" s="1"/>
  <c r="K9" i="1"/>
  <c r="K13" i="1"/>
  <c r="K25" i="1"/>
  <c r="J6" i="1"/>
  <c r="J10" i="1" s="1"/>
  <c r="K28" i="1"/>
  <c r="K26" i="1"/>
  <c r="K8" i="1"/>
  <c r="D12" i="1"/>
  <c r="C12" i="1"/>
  <c r="E26" i="1"/>
  <c r="C10" i="1"/>
  <c r="C29" i="1"/>
  <c r="D29" i="1"/>
  <c r="E6" i="1"/>
  <c r="D22" i="1"/>
  <c r="E11" i="5" l="1"/>
  <c r="E8" i="5"/>
  <c r="H8" i="2"/>
  <c r="D6" i="5"/>
  <c r="J8" i="2"/>
  <c r="E10" i="5"/>
  <c r="C6" i="5"/>
  <c r="D5" i="5"/>
  <c r="E5" i="5" s="1"/>
  <c r="I10" i="1"/>
  <c r="I29" i="1"/>
  <c r="K6" i="1"/>
  <c r="I22" i="1"/>
  <c r="I8" i="2"/>
  <c r="F25" i="2"/>
  <c r="F6" i="2" s="1"/>
  <c r="D15" i="1"/>
  <c r="J15" i="1" s="1"/>
  <c r="J12" i="1"/>
  <c r="K12" i="1" s="1"/>
  <c r="J29" i="1"/>
  <c r="J22" i="1"/>
  <c r="C15" i="1"/>
  <c r="I15" i="1" s="1"/>
  <c r="K15" i="1" s="1"/>
  <c r="E12" i="1"/>
  <c r="E6" i="5" l="1"/>
</calcChain>
</file>

<file path=xl/sharedStrings.xml><?xml version="1.0" encoding="utf-8"?>
<sst xmlns="http://schemas.openxmlformats.org/spreadsheetml/2006/main" count="192" uniqueCount="55">
  <si>
    <t>Change, % YoY</t>
  </si>
  <si>
    <t>GMV</t>
  </si>
  <si>
    <t>Revenue</t>
  </si>
  <si>
    <t>Rev/GMV</t>
  </si>
  <si>
    <t>Net operating income</t>
  </si>
  <si>
    <t>Net operating margin</t>
  </si>
  <si>
    <t>Inerest Income</t>
  </si>
  <si>
    <t>Сommission Income</t>
  </si>
  <si>
    <t>Other Income</t>
  </si>
  <si>
    <t>Sweden</t>
  </si>
  <si>
    <t>Germany</t>
  </si>
  <si>
    <t>Other Countries</t>
  </si>
  <si>
    <t>G&amp;A Expenses</t>
  </si>
  <si>
    <t>Credit Losses</t>
  </si>
  <si>
    <t>Other Expenses</t>
  </si>
  <si>
    <t>Net Loss</t>
  </si>
  <si>
    <t>in M Sek</t>
  </si>
  <si>
    <t>Net Loss margin</t>
  </si>
  <si>
    <t>Operating expenses</t>
  </si>
  <si>
    <t>Сommision expenses</t>
  </si>
  <si>
    <t>Interest expenses</t>
  </si>
  <si>
    <t>Klarna 2021 PnL</t>
  </si>
  <si>
    <t>Interest Income</t>
  </si>
  <si>
    <t>Commission Income</t>
  </si>
  <si>
    <t>Net Operating Income</t>
  </si>
  <si>
    <t>Q1</t>
  </si>
  <si>
    <t>Q2</t>
  </si>
  <si>
    <t>Q3</t>
  </si>
  <si>
    <t>Q4</t>
  </si>
  <si>
    <t>In M Sek</t>
  </si>
  <si>
    <t>Growth, %YoY</t>
  </si>
  <si>
    <t>Klarna Financial Results</t>
  </si>
  <si>
    <t xml:space="preserve">  GMV Dynamics</t>
  </si>
  <si>
    <t xml:space="preserve">       Revenue Dynamics</t>
  </si>
  <si>
    <t>Q1'20</t>
  </si>
  <si>
    <t>Q2'20</t>
  </si>
  <si>
    <t>Q3'20</t>
  </si>
  <si>
    <t>Q4'20</t>
  </si>
  <si>
    <t>Q1'21</t>
  </si>
  <si>
    <t>Q2'21</t>
  </si>
  <si>
    <t>Q3'21</t>
  </si>
  <si>
    <t>Q4'21</t>
  </si>
  <si>
    <t>In $M</t>
  </si>
  <si>
    <t>in M USD</t>
  </si>
  <si>
    <t>Q1'22</t>
  </si>
  <si>
    <t xml:space="preserve">       Revenue Dynamics      </t>
  </si>
  <si>
    <t>2019: $1 = 9.5 Sek; 2020: 1$ = 9.2 Sek; 2021: 1$ = 8.6 Sek; Q1'22: $1=9.35 Sek</t>
  </si>
  <si>
    <t>TTM Q1'21</t>
  </si>
  <si>
    <t>TTM Q1'22</t>
  </si>
  <si>
    <t>% YoY</t>
  </si>
  <si>
    <t>Klaarna TTM (Q1)</t>
  </si>
  <si>
    <t>Q2'22</t>
  </si>
  <si>
    <t>H1'22</t>
  </si>
  <si>
    <t>H1'21</t>
  </si>
  <si>
    <t>Klarna H1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</si>
</sst>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5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charset val="204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Arial"/>
      <family val="2"/>
    </font>
    <font>
      <sz val="12"/>
      <color theme="1"/>
      <name val="Arial"/>
      <family val="2"/>
    </font>
    <font>
      <sz val="12"/>
      <color theme="0" tint="-0.499984740745262"/>
      <name val="Arial"/>
      <family val="2"/>
    </font>
    <font>
      <i/>
      <sz val="12"/>
      <color theme="0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color rgb="FFFCF4EE"/>
      <name val="Calibri"/>
      <family val="2"/>
      <scheme val="minor"/>
    </font>
    <font>
      <b/>
      <sz val="12"/>
      <color rgb="FFFCF4EE"/>
      <name val="Calibri"/>
      <family val="2"/>
      <scheme val="minor"/>
    </font>
    <font>
      <b/>
      <sz val="12"/>
      <color rgb="FFFCF4EE"/>
      <name val="Arial"/>
      <family val="2"/>
    </font>
    <font>
      <sz val="8"/>
      <name val="Calibri"/>
      <family val="2"/>
      <charset val="204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2C484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1">
    <xf numFmtId="0" fontId="0" fillId="0" borderId="0" xfId="0"/>
    <xf numFmtId="9" fontId="0" fillId="0" borderId="0" xfId="0" applyNumberFormat="1"/>
    <xf numFmtId="1" fontId="0" fillId="0" borderId="0" xfId="0" applyNumberFormat="1"/>
    <xf numFmtId="0" fontId="0" fillId="3" borderId="0" xfId="0" applyFill="1"/>
    <xf numFmtId="3" fontId="0" fillId="3" borderId="0" xfId="0" applyNumberFormat="1" applyFill="1" applyBorder="1"/>
    <xf numFmtId="0" fontId="0" fillId="2" borderId="0" xfId="0" applyFill="1"/>
    <xf numFmtId="0" fontId="6" fillId="3" borderId="0" xfId="0" applyFont="1" applyFill="1"/>
    <xf numFmtId="0" fontId="6" fillId="3" borderId="0" xfId="0" applyFont="1" applyFill="1" applyAlignment="1">
      <alignment vertical="center"/>
    </xf>
    <xf numFmtId="0" fontId="6" fillId="3" borderId="4" xfId="0" applyFont="1" applyFill="1" applyBorder="1" applyAlignment="1">
      <alignment vertical="center"/>
    </xf>
    <xf numFmtId="3" fontId="6" fillId="3" borderId="5" xfId="0" applyNumberFormat="1" applyFont="1" applyFill="1" applyBorder="1" applyAlignment="1">
      <alignment vertical="center"/>
    </xf>
    <xf numFmtId="9" fontId="6" fillId="3" borderId="6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3" fontId="6" fillId="3" borderId="0" xfId="0" applyNumberFormat="1" applyFont="1" applyFill="1" applyBorder="1" applyAlignment="1">
      <alignment vertical="center"/>
    </xf>
    <xf numFmtId="9" fontId="6" fillId="3" borderId="8" xfId="0" applyNumberFormat="1" applyFont="1" applyFill="1" applyBorder="1" applyAlignment="1">
      <alignment vertical="center"/>
    </xf>
    <xf numFmtId="0" fontId="7" fillId="3" borderId="7" xfId="0" applyFont="1" applyFill="1" applyBorder="1" applyAlignment="1">
      <alignment horizontal="right" vertical="center"/>
    </xf>
    <xf numFmtId="3" fontId="7" fillId="3" borderId="0" xfId="0" applyNumberFormat="1" applyFont="1" applyFill="1" applyBorder="1" applyAlignment="1">
      <alignment vertical="center"/>
    </xf>
    <xf numFmtId="9" fontId="7" fillId="3" borderId="8" xfId="0" applyNumberFormat="1" applyFont="1" applyFill="1" applyBorder="1" applyAlignment="1">
      <alignment vertical="center"/>
    </xf>
    <xf numFmtId="164" fontId="6" fillId="3" borderId="0" xfId="1" applyNumberFormat="1" applyFont="1" applyFill="1" applyBorder="1" applyAlignment="1">
      <alignment vertical="center"/>
    </xf>
    <xf numFmtId="0" fontId="6" fillId="3" borderId="8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3" borderId="7" xfId="0" applyFont="1" applyFill="1" applyBorder="1" applyAlignment="1">
      <alignment horizontal="left" vertical="center"/>
    </xf>
    <xf numFmtId="10" fontId="7" fillId="3" borderId="0" xfId="0" applyNumberFormat="1" applyFont="1" applyFill="1" applyBorder="1" applyAlignment="1">
      <alignment vertical="center"/>
    </xf>
    <xf numFmtId="9" fontId="6" fillId="3" borderId="0" xfId="1" applyFont="1" applyFill="1" applyBorder="1" applyAlignment="1">
      <alignment vertical="center"/>
    </xf>
    <xf numFmtId="0" fontId="6" fillId="3" borderId="9" xfId="0" applyFont="1" applyFill="1" applyBorder="1" applyAlignment="1">
      <alignment vertical="center"/>
    </xf>
    <xf numFmtId="9" fontId="6" fillId="3" borderId="10" xfId="1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1" applyNumberFormat="1" applyFont="1"/>
    <xf numFmtId="0" fontId="2" fillId="3" borderId="7" xfId="0" applyFont="1" applyFill="1" applyBorder="1"/>
    <xf numFmtId="0" fontId="8" fillId="3" borderId="7" xfId="0" applyFont="1" applyFill="1" applyBorder="1"/>
    <xf numFmtId="9" fontId="3" fillId="3" borderId="0" xfId="0" applyNumberFormat="1" applyFont="1" applyFill="1" applyBorder="1"/>
    <xf numFmtId="9" fontId="3" fillId="3" borderId="0" xfId="1" applyFont="1" applyFill="1" applyBorder="1"/>
    <xf numFmtId="9" fontId="3" fillId="3" borderId="8" xfId="1" applyFont="1" applyFill="1" applyBorder="1"/>
    <xf numFmtId="0" fontId="8" fillId="3" borderId="9" xfId="0" applyFont="1" applyFill="1" applyBorder="1"/>
    <xf numFmtId="9" fontId="3" fillId="3" borderId="10" xfId="0" applyNumberFormat="1" applyFont="1" applyFill="1" applyBorder="1"/>
    <xf numFmtId="9" fontId="3" fillId="3" borderId="10" xfId="1" applyFont="1" applyFill="1" applyBorder="1"/>
    <xf numFmtId="9" fontId="3" fillId="3" borderId="11" xfId="1" applyFont="1" applyFill="1" applyBorder="1"/>
    <xf numFmtId="164" fontId="0" fillId="2" borderId="0" xfId="1" applyNumberFormat="1" applyFont="1" applyFill="1"/>
    <xf numFmtId="3" fontId="0" fillId="3" borderId="8" xfId="0" applyNumberFormat="1" applyFill="1" applyBorder="1"/>
    <xf numFmtId="14" fontId="0" fillId="2" borderId="0" xfId="0" applyNumberFormat="1" applyFill="1"/>
    <xf numFmtId="9" fontId="0" fillId="2" borderId="0" xfId="1" applyFont="1" applyFill="1"/>
    <xf numFmtId="0" fontId="10" fillId="5" borderId="4" xfId="0" applyFont="1" applyFill="1" applyBorder="1"/>
    <xf numFmtId="0" fontId="11" fillId="5" borderId="5" xfId="0" applyFont="1" applyFill="1" applyBorder="1" applyAlignment="1">
      <alignment horizontal="center"/>
    </xf>
    <xf numFmtId="0" fontId="11" fillId="5" borderId="6" xfId="0" applyFont="1" applyFill="1" applyBorder="1" applyAlignment="1">
      <alignment horizontal="center"/>
    </xf>
    <xf numFmtId="0" fontId="12" fillId="5" borderId="1" xfId="0" applyFont="1" applyFill="1" applyBorder="1" applyAlignment="1">
      <alignment vertical="center"/>
    </xf>
    <xf numFmtId="0" fontId="12" fillId="5" borderId="2" xfId="0" applyFont="1" applyFill="1" applyBorder="1" applyAlignment="1">
      <alignment vertical="center"/>
    </xf>
    <xf numFmtId="0" fontId="12" fillId="5" borderId="3" xfId="0" applyFont="1" applyFill="1" applyBorder="1" applyAlignment="1">
      <alignment horizontal="right" vertical="center"/>
    </xf>
    <xf numFmtId="0" fontId="9" fillId="3" borderId="0" xfId="0" applyFont="1" applyFill="1" applyAlignment="1"/>
    <xf numFmtId="9" fontId="0" fillId="3" borderId="0" xfId="1" applyFont="1" applyFill="1"/>
    <xf numFmtId="10" fontId="0" fillId="2" borderId="0" xfId="0" applyNumberFormat="1" applyFill="1"/>
    <xf numFmtId="43" fontId="6" fillId="3" borderId="8" xfId="2" applyFont="1" applyFill="1" applyBorder="1" applyAlignment="1">
      <alignment vertical="center"/>
    </xf>
    <xf numFmtId="0" fontId="10" fillId="5" borderId="4" xfId="0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/>
    </xf>
    <xf numFmtId="3" fontId="0" fillId="3" borderId="0" xfId="0" applyNumberFormat="1" applyFill="1"/>
    <xf numFmtId="0" fontId="0" fillId="3" borderId="5" xfId="0" applyFill="1" applyBorder="1"/>
    <xf numFmtId="3" fontId="0" fillId="2" borderId="0" xfId="0" applyNumberFormat="1" applyFill="1"/>
    <xf numFmtId="0" fontId="5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10" fillId="5" borderId="1" xfId="0" applyFont="1" applyFill="1" applyBorder="1"/>
    <xf numFmtId="0" fontId="11" fillId="5" borderId="1" xfId="0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9" fontId="0" fillId="3" borderId="0" xfId="0" applyNumberFormat="1" applyFill="1" applyBorder="1"/>
    <xf numFmtId="9" fontId="0" fillId="3" borderId="10" xfId="0" applyNumberFormat="1" applyFill="1" applyBorder="1"/>
    <xf numFmtId="0" fontId="8" fillId="3" borderId="0" xfId="0" applyFont="1" applyFill="1" applyBorder="1"/>
    <xf numFmtId="9" fontId="8" fillId="3" borderId="8" xfId="0" applyNumberFormat="1" applyFont="1" applyFill="1" applyBorder="1"/>
    <xf numFmtId="9" fontId="8" fillId="3" borderId="11" xfId="0" applyNumberFormat="1" applyFont="1" applyFill="1" applyBorder="1"/>
    <xf numFmtId="0" fontId="14" fillId="3" borderId="0" xfId="0" applyFont="1" applyFill="1" applyAlignment="1">
      <alignment horizontal="center" vertic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2" defaultPivotStyle="PivotStyleLight16"/>
  <colors>
    <mruColors>
      <color rgb="FFF3E1C8"/>
      <color rgb="FF2C4846"/>
      <color rgb="FFFCF4EE"/>
      <color rgb="FFDF8243"/>
      <color rgb="FFA5A5A5"/>
      <color rgb="FFFF92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'Financial Dynamics (Sek)'!$B$5</c:f>
              <c:strCache>
                <c:ptCount val="1"/>
                <c:pt idx="0">
                  <c:v>GMV</c:v>
                </c:pt>
              </c:strCache>
            </c:strRef>
          </c:tx>
          <c:spPr>
            <a:solidFill>
              <a:srgbClr val="F3E1C8"/>
            </a:solidFill>
            <a:ln>
              <a:noFill/>
            </a:ln>
            <a:effectLst/>
          </c:spPr>
          <c:invertIfNegative val="0"/>
          <c:cat>
            <c:strRef>
              <c:f>'Financial Dynamics (Sek)'!$C$4:$L$4</c:f>
              <c:strCache>
                <c:ptCount val="10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</c:strCache>
            </c:strRef>
          </c:cat>
          <c:val>
            <c:numRef>
              <c:f>'Financial Dynamics (Sek)'!$C$5:$L$5</c:f>
              <c:numCache>
                <c:formatCode>#,##0</c:formatCode>
                <c:ptCount val="10"/>
                <c:pt idx="0">
                  <c:v>97000</c:v>
                </c:pt>
                <c:pt idx="1">
                  <c:v>118000</c:v>
                </c:pt>
                <c:pt idx="2">
                  <c:v>107000</c:v>
                </c:pt>
                <c:pt idx="3">
                  <c:v>162000</c:v>
                </c:pt>
                <c:pt idx="4">
                  <c:v>157000</c:v>
                </c:pt>
                <c:pt idx="5">
                  <c:v>171000</c:v>
                </c:pt>
                <c:pt idx="6">
                  <c:v>165000</c:v>
                </c:pt>
                <c:pt idx="7">
                  <c:v>195000</c:v>
                </c:pt>
                <c:pt idx="8">
                  <c:v>187000</c:v>
                </c:pt>
                <c:pt idx="9">
                  <c:v>209000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590-AB41-9F3D-4860BB039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8"/>
        <c:axId val="19539616"/>
        <c:axId val="19541264"/>
      </c:barChart>
      <c:lineChart>
        <c:grouping val="standard"/>
        <c:varyColors val="0"/>
        <c:ser>
          <c:idx val="3"/>
          <c:order val="1"/>
          <c:tx>
            <c:strRef>
              <c:f>'Financial Dynamics (Sek)'!$B$6</c:f>
              <c:strCache>
                <c:ptCount val="1"/>
                <c:pt idx="0">
                  <c:v>Growth, %YoY</c:v>
                </c:pt>
              </c:strCache>
            </c:strRef>
          </c:tx>
          <c:spPr>
            <a:ln w="28575" cap="rnd">
              <a:solidFill>
                <a:srgbClr val="2C4846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5.5182239077349503E-2"/>
                  <c:y val="5.71577123050259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590-AB41-9F3D-4860BB039B37}"/>
                </c:ext>
              </c:extLst>
            </c:dLbl>
            <c:dLbl>
              <c:idx val="6"/>
              <c:layout>
                <c:manualLayout>
                  <c:x val="-6.4763842398971927E-2"/>
                  <c:y val="6.06239168110918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590-AB41-9F3D-4860BB039B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'Financial Dynamics (Sek)'!$C$4:$L$4</c:f>
              <c:strCache>
                <c:ptCount val="10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</c:strCache>
            </c:strRef>
          </c:cat>
          <c:val>
            <c:numRef>
              <c:f>'Financial Dynamics (Sek)'!$C$6:$L$6</c:f>
              <c:numCache>
                <c:formatCode>0%</c:formatCode>
                <c:ptCount val="10"/>
                <c:pt idx="0">
                  <c:v>0.44</c:v>
                </c:pt>
                <c:pt idx="1">
                  <c:v>0.43999999999999995</c:v>
                </c:pt>
                <c:pt idx="2">
                  <c:v>0.41032068104717401</c:v>
                </c:pt>
                <c:pt idx="3">
                  <c:v>0.52352972972972944</c:v>
                </c:pt>
                <c:pt idx="4">
                  <c:v>0.61855670103092786</c:v>
                </c:pt>
                <c:pt idx="5">
                  <c:v>0.44915254237288127</c:v>
                </c:pt>
                <c:pt idx="6">
                  <c:v>0.5420560747663552</c:v>
                </c:pt>
                <c:pt idx="7">
                  <c:v>0.20370370370370372</c:v>
                </c:pt>
                <c:pt idx="8">
                  <c:v>0.19108280254777066</c:v>
                </c:pt>
                <c:pt idx="9">
                  <c:v>0.22222222222222232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590-AB41-9F3D-4860BB039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5328"/>
        <c:axId val="22412128"/>
      </c:lineChart>
      <c:catAx>
        <c:axId val="1953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41264"/>
        <c:crosses val="autoZero"/>
        <c:auto val="1"/>
        <c:lblAlgn val="ctr"/>
        <c:lblOffset val="100"/>
        <c:noMultiLvlLbl val="0"/>
      </c:catAx>
      <c:valAx>
        <c:axId val="1954126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39616"/>
        <c:crosses val="autoZero"/>
        <c:crossBetween val="between"/>
      </c:valAx>
      <c:valAx>
        <c:axId val="2241212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900">
                <a:solidFill>
                  <a:schemeClr val="bg2">
                    <a:lumMod val="50000"/>
                  </a:schemeClr>
                </a:solidFill>
              </a:defRPr>
            </a:pPr>
            <a:endParaRPr lang="ru-RU"/>
          </a:p>
        </c:txPr>
        <c:crossAx val="22405328"/>
        <c:crosses val="max"/>
        <c:crossBetween val="between"/>
      </c:valAx>
      <c:catAx>
        <c:axId val="2240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12128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'Financial Dynamics (Sek)'!$B$7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F3E1C8"/>
            </a:solidFill>
          </c:spPr>
          <c:invertIfNegative val="0"/>
          <c:cat>
            <c:strRef>
              <c:f>'Financial Dynamics (Sek)'!$C$4:$L$4</c:f>
              <c:strCache>
                <c:ptCount val="10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</c:strCache>
            </c:strRef>
          </c:cat>
          <c:val>
            <c:numRef>
              <c:f>'Financial Dynamics (Sek)'!$C$7:$L$7</c:f>
              <c:numCache>
                <c:formatCode>#,##0</c:formatCode>
                <c:ptCount val="10"/>
                <c:pt idx="0">
                  <c:v>2384</c:v>
                </c:pt>
                <c:pt idx="1">
                  <c:v>2682</c:v>
                </c:pt>
                <c:pt idx="2">
                  <c:v>2660</c:v>
                </c:pt>
                <c:pt idx="3">
                  <c:v>3357</c:v>
                </c:pt>
                <c:pt idx="4">
                  <c:v>3389</c:v>
                </c:pt>
                <c:pt idx="5">
                  <c:v>3861</c:v>
                </c:pt>
                <c:pt idx="6">
                  <c:v>3860</c:v>
                </c:pt>
                <c:pt idx="7">
                  <c:v>4847</c:v>
                </c:pt>
                <c:pt idx="8">
                  <c:v>4387</c:v>
                </c:pt>
                <c:pt idx="9">
                  <c:v>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3-A84E-9A59-4E7DA183A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8"/>
        <c:overlap val="-31"/>
        <c:axId val="19539616"/>
        <c:axId val="19541264"/>
      </c:barChart>
      <c:lineChart>
        <c:grouping val="standard"/>
        <c:varyColors val="0"/>
        <c:ser>
          <c:idx val="1"/>
          <c:order val="1"/>
          <c:tx>
            <c:v>Growth, %YoY</c:v>
          </c:tx>
          <c:spPr>
            <a:ln w="28575">
              <a:solidFill>
                <a:srgbClr val="2C4846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4.3932976629251067E-2"/>
                  <c:y val="5.92808307973635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4D-F249-8D8B-A1C751B80493}"/>
                </c:ext>
              </c:extLst>
            </c:dLbl>
            <c:dLbl>
              <c:idx val="7"/>
              <c:layout>
                <c:manualLayout>
                  <c:x val="-6.3879785139889428E-2"/>
                  <c:y val="8.00780578337586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16-244F-893C-BA486607DB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'Financial Dynamics (Sek)'!$C$8:$L$8</c:f>
              <c:numCache>
                <c:formatCode>0%</c:formatCode>
                <c:ptCount val="10"/>
                <c:pt idx="0">
                  <c:v>0.33857383492419979</c:v>
                </c:pt>
                <c:pt idx="1">
                  <c:v>0.39542143600416257</c:v>
                </c:pt>
                <c:pt idx="2">
                  <c:v>0.31748390292223871</c:v>
                </c:pt>
                <c:pt idx="3">
                  <c:v>0.42668933276668075</c:v>
                </c:pt>
                <c:pt idx="4">
                  <c:v>0.42156040268456385</c:v>
                </c:pt>
                <c:pt idx="5">
                  <c:v>0.43959731543624159</c:v>
                </c:pt>
                <c:pt idx="6">
                  <c:v>0.45112781954887216</c:v>
                </c:pt>
                <c:pt idx="7">
                  <c:v>0.44384867441167719</c:v>
                </c:pt>
                <c:pt idx="8">
                  <c:v>0.29448214812629092</c:v>
                </c:pt>
                <c:pt idx="9">
                  <c:v>0.22610722610722611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93-A84E-9A59-4E7DA183A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74080"/>
        <c:axId val="24272432"/>
      </c:lineChart>
      <c:catAx>
        <c:axId val="1953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41264"/>
        <c:crosses val="autoZero"/>
        <c:auto val="1"/>
        <c:lblAlgn val="ctr"/>
        <c:lblOffset val="100"/>
        <c:noMultiLvlLbl val="0"/>
      </c:catAx>
      <c:valAx>
        <c:axId val="1954126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39616"/>
        <c:crosses val="autoZero"/>
        <c:crossBetween val="between"/>
      </c:valAx>
      <c:valAx>
        <c:axId val="2427243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74080"/>
        <c:crosses val="max"/>
        <c:crossBetween val="between"/>
      </c:valAx>
      <c:catAx>
        <c:axId val="24274080"/>
        <c:scaling>
          <c:orientation val="minMax"/>
        </c:scaling>
        <c:delete val="1"/>
        <c:axPos val="b"/>
        <c:majorTickMark val="out"/>
        <c:minorTickMark val="none"/>
        <c:tickLblPos val="nextTo"/>
        <c:crossAx val="24272432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'Financial Dynamics ($)'!$B$5</c:f>
              <c:strCache>
                <c:ptCount val="1"/>
                <c:pt idx="0">
                  <c:v>GMV</c:v>
                </c:pt>
              </c:strCache>
            </c:strRef>
          </c:tx>
          <c:spPr>
            <a:solidFill>
              <a:srgbClr val="F3E1C8"/>
            </a:solidFill>
            <a:ln>
              <a:noFill/>
            </a:ln>
            <a:effectLst/>
          </c:spPr>
          <c:invertIfNegative val="0"/>
          <c:cat>
            <c:strRef>
              <c:f>'Financial Dynamics ($)'!$C$4:$L$4</c:f>
              <c:strCache>
                <c:ptCount val="10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</c:strCache>
            </c:strRef>
          </c:cat>
          <c:val>
            <c:numRef>
              <c:f>'Financial Dynamics ($)'!$C$5:$L$5</c:f>
              <c:numCache>
                <c:formatCode>#,##0</c:formatCode>
                <c:ptCount val="10"/>
                <c:pt idx="0">
                  <c:v>10543.478260869566</c:v>
                </c:pt>
                <c:pt idx="1">
                  <c:v>12826.08695652174</c:v>
                </c:pt>
                <c:pt idx="2">
                  <c:v>11630.434782608696</c:v>
                </c:pt>
                <c:pt idx="3">
                  <c:v>17608.695652173916</c:v>
                </c:pt>
                <c:pt idx="4">
                  <c:v>18700</c:v>
                </c:pt>
                <c:pt idx="5">
                  <c:v>19883.720930232557</c:v>
                </c:pt>
                <c:pt idx="6">
                  <c:v>19186.046511627908</c:v>
                </c:pt>
                <c:pt idx="7">
                  <c:v>22674.418604651164</c:v>
                </c:pt>
                <c:pt idx="8">
                  <c:v>20000</c:v>
                </c:pt>
                <c:pt idx="9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0-BE47-9E9B-C053763F7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8"/>
        <c:axId val="19539616"/>
        <c:axId val="19541264"/>
      </c:barChart>
      <c:lineChart>
        <c:grouping val="standard"/>
        <c:varyColors val="0"/>
        <c:ser>
          <c:idx val="3"/>
          <c:order val="1"/>
          <c:tx>
            <c:strRef>
              <c:f>'Financial Dynamics ($)'!$B$6</c:f>
              <c:strCache>
                <c:ptCount val="1"/>
                <c:pt idx="0">
                  <c:v>Growth, %YoY</c:v>
                </c:pt>
              </c:strCache>
            </c:strRef>
          </c:tx>
          <c:spPr>
            <a:ln w="28575" cap="rnd">
              <a:solidFill>
                <a:srgbClr val="2C4846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5.5182245836856166E-2"/>
                  <c:y val="7.08539115120789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30-BE47-9E9B-C053763F7EAE}"/>
                </c:ext>
              </c:extLst>
            </c:dLbl>
            <c:dLbl>
              <c:idx val="6"/>
              <c:layout>
                <c:manualLayout>
                  <c:x val="-6.4763842398971927E-2"/>
                  <c:y val="6.06239168110918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30-BE47-9E9B-C053763F7E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'Financial Dynamics ($)'!$C$4:$L$4</c:f>
              <c:strCache>
                <c:ptCount val="10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</c:strCache>
            </c:strRef>
          </c:cat>
          <c:val>
            <c:numRef>
              <c:f>'Financial Dynamics ($)'!$C$6:$L$6</c:f>
              <c:numCache>
                <c:formatCode>0%</c:formatCode>
                <c:ptCount val="10"/>
                <c:pt idx="0">
                  <c:v>0.44</c:v>
                </c:pt>
                <c:pt idx="1">
                  <c:v>0.43999999999999972</c:v>
                </c:pt>
                <c:pt idx="2">
                  <c:v>0.41032068104717401</c:v>
                </c:pt>
                <c:pt idx="3">
                  <c:v>0.52352972972972966</c:v>
                </c:pt>
                <c:pt idx="4">
                  <c:v>0.7736082474226802</c:v>
                </c:pt>
                <c:pt idx="5">
                  <c:v>0.55025620811982634</c:v>
                </c:pt>
                <c:pt idx="6">
                  <c:v>0.6496413823081939</c:v>
                </c:pt>
                <c:pt idx="7">
                  <c:v>0.28768303186907818</c:v>
                </c:pt>
                <c:pt idx="8">
                  <c:v>6.9518716577540163E-2</c:v>
                </c:pt>
                <c:pt idx="9">
                  <c:v>5.6140350877192935E-2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30-BE47-9E9B-C053763F7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5328"/>
        <c:axId val="22412128"/>
      </c:lineChart>
      <c:catAx>
        <c:axId val="1953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41264"/>
        <c:crosses val="autoZero"/>
        <c:auto val="1"/>
        <c:lblAlgn val="ctr"/>
        <c:lblOffset val="100"/>
        <c:noMultiLvlLbl val="0"/>
      </c:catAx>
      <c:valAx>
        <c:axId val="1954126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39616"/>
        <c:crosses val="autoZero"/>
        <c:crossBetween val="between"/>
      </c:valAx>
      <c:valAx>
        <c:axId val="2241212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900">
                <a:solidFill>
                  <a:schemeClr val="bg2">
                    <a:lumMod val="50000"/>
                  </a:schemeClr>
                </a:solidFill>
              </a:defRPr>
            </a:pPr>
            <a:endParaRPr lang="ru-RU"/>
          </a:p>
        </c:txPr>
        <c:crossAx val="22405328"/>
        <c:crosses val="max"/>
        <c:crossBetween val="between"/>
      </c:valAx>
      <c:catAx>
        <c:axId val="2240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12128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'Financial Dynamics ($)'!$B$7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F3E1C8"/>
            </a:solidFill>
          </c:spPr>
          <c:invertIfNegative val="0"/>
          <c:cat>
            <c:strRef>
              <c:f>'Financial Dynamics (Sek)'!$C$4:$L$4</c:f>
              <c:strCache>
                <c:ptCount val="10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</c:strCache>
            </c:strRef>
          </c:cat>
          <c:val>
            <c:numRef>
              <c:f>'Financial Dynamics ($)'!$C$7:$L$7</c:f>
              <c:numCache>
                <c:formatCode>#,##0</c:formatCode>
                <c:ptCount val="10"/>
                <c:pt idx="0">
                  <c:v>259.13043478260869</c:v>
                </c:pt>
                <c:pt idx="1">
                  <c:v>291.52173913043481</c:v>
                </c:pt>
                <c:pt idx="2">
                  <c:v>289.13043478260875</c:v>
                </c:pt>
                <c:pt idx="3">
                  <c:v>364.89130434782612</c:v>
                </c:pt>
                <c:pt idx="4">
                  <c:v>394.06976744186051</c:v>
                </c:pt>
                <c:pt idx="5">
                  <c:v>448.95348837209303</c:v>
                </c:pt>
                <c:pt idx="6">
                  <c:v>448.83720930232562</c:v>
                </c:pt>
                <c:pt idx="7">
                  <c:v>563.60465116279067</c:v>
                </c:pt>
                <c:pt idx="8">
                  <c:v>469.19786096256684</c:v>
                </c:pt>
                <c:pt idx="9">
                  <c:v>475.14809863339275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4-5542-A95D-5040B7C9A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8"/>
        <c:overlap val="-31"/>
        <c:axId val="19539616"/>
        <c:axId val="19541264"/>
      </c:barChart>
      <c:lineChart>
        <c:grouping val="standard"/>
        <c:varyColors val="0"/>
        <c:ser>
          <c:idx val="1"/>
          <c:order val="1"/>
          <c:tx>
            <c:v>Growth, %YoY</c:v>
          </c:tx>
          <c:spPr>
            <a:ln w="28575">
              <a:solidFill>
                <a:srgbClr val="2C4846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5.0591381732162655E-2"/>
                  <c:y val="5.5136308022645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91-CF47-A8E7-192B4A7199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'Financial Dynamics ($)'!$C$8:$L$8</c:f>
              <c:numCache>
                <c:formatCode>0%</c:formatCode>
                <c:ptCount val="10"/>
                <c:pt idx="0">
                  <c:v>0.36</c:v>
                </c:pt>
                <c:pt idx="1">
                  <c:v>0.4409243089173418</c:v>
                </c:pt>
                <c:pt idx="2">
                  <c:v>0.36044533453926886</c:v>
                </c:pt>
                <c:pt idx="3">
                  <c:v>0.47321181100907239</c:v>
                </c:pt>
                <c:pt idx="4">
                  <c:v>0.52073903542999855</c:v>
                </c:pt>
                <c:pt idx="5">
                  <c:v>0.54003433744342111</c:v>
                </c:pt>
                <c:pt idx="6">
                  <c:v>0.55236929533135148</c:v>
                </c:pt>
                <c:pt idx="7">
                  <c:v>0.54458230285900311</c:v>
                </c:pt>
                <c:pt idx="8">
                  <c:v>0.19064668169904819</c:v>
                </c:pt>
                <c:pt idx="9">
                  <c:v>5.8345933241952253E-2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44-5542-A95D-5040B7C9A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74080"/>
        <c:axId val="24272432"/>
      </c:lineChart>
      <c:catAx>
        <c:axId val="1953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41264"/>
        <c:crosses val="autoZero"/>
        <c:auto val="1"/>
        <c:lblAlgn val="ctr"/>
        <c:lblOffset val="100"/>
        <c:noMultiLvlLbl val="0"/>
      </c:catAx>
      <c:valAx>
        <c:axId val="1954126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39616"/>
        <c:crosses val="autoZero"/>
        <c:crossBetween val="between"/>
      </c:valAx>
      <c:valAx>
        <c:axId val="2427243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74080"/>
        <c:crosses val="max"/>
        <c:crossBetween val="between"/>
      </c:valAx>
      <c:catAx>
        <c:axId val="24274080"/>
        <c:scaling>
          <c:orientation val="minMax"/>
        </c:scaling>
        <c:delete val="1"/>
        <c:axPos val="b"/>
        <c:majorTickMark val="out"/>
        <c:minorTickMark val="none"/>
        <c:tickLblPos val="nextTo"/>
        <c:crossAx val="24272432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768350</xdr:colOff>
      <xdr:row>37</xdr:row>
      <xdr:rowOff>19050</xdr:rowOff>
    </xdr:from>
    <xdr:to>
      <xdr:col>4</xdr:col>
      <xdr:colOff>711200</xdr:colOff>
      <xdr:row>55</xdr:row>
      <xdr:rowOff>25400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AE141CE-1E68-9F47-B06C-45841BE39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264160</xdr:colOff>
      <xdr:row>20</xdr:row>
      <xdr:rowOff>0</xdr:rowOff>
    </xdr:from>
    <xdr:to>
      <xdr:col>10</xdr:col>
      <xdr:colOff>792480</xdr:colOff>
      <xdr:row>55</xdr:row>
      <xdr:rowOff>6350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02DA236-0840-8546-9384-51F202136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768350</xdr:colOff>
      <xdr:row>37</xdr:row>
      <xdr:rowOff>19050</xdr:rowOff>
    </xdr:from>
    <xdr:to>
      <xdr:col>4</xdr:col>
      <xdr:colOff>711200</xdr:colOff>
      <xdr:row>55</xdr:row>
      <xdr:rowOff>25400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C78CBF-5398-1244-9EE8-AB326EA5F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470147</xdr:colOff>
      <xdr:row>37</xdr:row>
      <xdr:rowOff>11239</xdr:rowOff>
    </xdr:from>
    <xdr:to>
      <xdr:col>11</xdr:col>
      <xdr:colOff>175508</xdr:colOff>
      <xdr:row>55</xdr:row>
      <xdr:rowOff>17589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D9D3363-E3C6-3D4B-B949-B880D6223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E0800-E6BD-E442-819A-64DF669621F5}">
  <dimension ref="A1:M56"/>
  <sheetViews>
    <sheetView topLeftCell="A4" zoomScale="125" workbookViewId="0">
      <selection activeCell="M39" sqref="M39"/>
    </sheetView>
  </sheetViews>
  <sheetFormatPr baseColWidth="10" defaultRowHeight="16" x14ac:dyDescent="0.2"/>
  <cols>
    <col min="1" max="1" width="10.83203125" style="5"/>
    <col min="2" max="2" width="20.5" style="5" customWidth="1"/>
    <col min="3" max="11" width="10.83203125" style="5"/>
    <col min="12" max="12" width="12.5" style="5" bestFit="1" customWidth="1"/>
    <col min="13" max="16384" width="10.83203125" style="5"/>
  </cols>
  <sheetData>
    <row r="1" spans="1:13" x14ac:dyDescent="0.2">
      <c r="A1" s="3"/>
      <c r="B1" s="59" t="s">
        <v>31</v>
      </c>
      <c r="C1" s="59"/>
      <c r="D1" s="59"/>
      <c r="E1" s="59"/>
      <c r="F1" s="59"/>
      <c r="G1" s="59"/>
      <c r="H1" s="59"/>
      <c r="I1" s="59"/>
      <c r="J1" s="59"/>
      <c r="K1" s="3"/>
      <c r="L1" s="3"/>
      <c r="M1" s="3"/>
    </row>
    <row r="2" spans="1:13" x14ac:dyDescent="0.2">
      <c r="A2" s="3"/>
      <c r="B2" s="59"/>
      <c r="C2" s="59"/>
      <c r="D2" s="59"/>
      <c r="E2" s="59"/>
      <c r="F2" s="59"/>
      <c r="G2" s="59"/>
      <c r="H2" s="59"/>
      <c r="I2" s="59"/>
      <c r="J2" s="59"/>
      <c r="K2" s="3"/>
      <c r="L2" s="3"/>
      <c r="M2" s="3"/>
    </row>
    <row r="3" spans="1:13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3"/>
      <c r="B4" s="42" t="s">
        <v>29</v>
      </c>
      <c r="C4" s="43" t="s">
        <v>34</v>
      </c>
      <c r="D4" s="43" t="s">
        <v>35</v>
      </c>
      <c r="E4" s="43" t="s">
        <v>36</v>
      </c>
      <c r="F4" s="43" t="s">
        <v>37</v>
      </c>
      <c r="G4" s="43" t="s">
        <v>38</v>
      </c>
      <c r="H4" s="43" t="s">
        <v>39</v>
      </c>
      <c r="I4" s="43" t="s">
        <v>40</v>
      </c>
      <c r="J4" s="43" t="s">
        <v>41</v>
      </c>
      <c r="K4" s="43" t="s">
        <v>44</v>
      </c>
      <c r="L4" s="44" t="s">
        <v>51</v>
      </c>
      <c r="M4" s="3"/>
    </row>
    <row r="5" spans="1:13" x14ac:dyDescent="0.2">
      <c r="A5" s="3"/>
      <c r="B5" s="29" t="s">
        <v>1</v>
      </c>
      <c r="C5" s="4">
        <v>97000</v>
      </c>
      <c r="D5" s="4">
        <f>215000-C5</f>
        <v>118000</v>
      </c>
      <c r="E5" s="4">
        <v>107000</v>
      </c>
      <c r="F5" s="4">
        <v>162000</v>
      </c>
      <c r="G5" s="4">
        <v>157000</v>
      </c>
      <c r="H5" s="4">
        <v>171000</v>
      </c>
      <c r="I5" s="4">
        <f>493000-H5-G5</f>
        <v>165000</v>
      </c>
      <c r="J5" s="4">
        <f>688000-I5-H5-G5</f>
        <v>195000</v>
      </c>
      <c r="K5" s="4">
        <v>187000</v>
      </c>
      <c r="L5" s="39">
        <v>209000</v>
      </c>
      <c r="M5" s="3"/>
    </row>
    <row r="6" spans="1:13" x14ac:dyDescent="0.2">
      <c r="A6" s="3"/>
      <c r="B6" s="30" t="s">
        <v>30</v>
      </c>
      <c r="C6" s="31">
        <v>0.44</v>
      </c>
      <c r="D6" s="32">
        <f>D5/D25-1</f>
        <v>0.43999999999999995</v>
      </c>
      <c r="E6" s="32">
        <f t="shared" ref="E6:F6" si="0">E5/E25-1</f>
        <v>0.41032068104717401</v>
      </c>
      <c r="F6" s="32">
        <f t="shared" si="0"/>
        <v>0.52352972972972944</v>
      </c>
      <c r="G6" s="32">
        <f>G5/C5-1</f>
        <v>0.61855670103092786</v>
      </c>
      <c r="H6" s="32">
        <f>H5/D5-1</f>
        <v>0.44915254237288127</v>
      </c>
      <c r="I6" s="32">
        <f t="shared" ref="I6:J6" si="1">I5/E5-1</f>
        <v>0.5420560747663552</v>
      </c>
      <c r="J6" s="32">
        <f t="shared" si="1"/>
        <v>0.20370370370370372</v>
      </c>
      <c r="K6" s="32">
        <f>K5/G5-1</f>
        <v>0.19108280254777066</v>
      </c>
      <c r="L6" s="33">
        <v>0.22222222222222232</v>
      </c>
      <c r="M6" s="3"/>
    </row>
    <row r="7" spans="1:13" x14ac:dyDescent="0.2">
      <c r="A7" s="3"/>
      <c r="B7" s="29" t="s">
        <v>2</v>
      </c>
      <c r="C7" s="4">
        <v>2384</v>
      </c>
      <c r="D7" s="4">
        <f>D26-C26</f>
        <v>2682</v>
      </c>
      <c r="E7" s="4">
        <f>E26-D26</f>
        <v>2660</v>
      </c>
      <c r="F7" s="4">
        <f>F26-E26</f>
        <v>3357</v>
      </c>
      <c r="G7" s="4">
        <f>G9+G11+G13</f>
        <v>3389</v>
      </c>
      <c r="H7" s="4">
        <f>H26-G7</f>
        <v>3861</v>
      </c>
      <c r="I7" s="4">
        <f>I26-H26</f>
        <v>3860</v>
      </c>
      <c r="J7" s="4">
        <f>J26-I26</f>
        <v>4847</v>
      </c>
      <c r="K7" s="4">
        <v>4387</v>
      </c>
      <c r="L7" s="39">
        <v>4734</v>
      </c>
      <c r="M7" s="3"/>
    </row>
    <row r="8" spans="1:13" x14ac:dyDescent="0.2">
      <c r="A8" s="3"/>
      <c r="B8" s="30" t="s">
        <v>30</v>
      </c>
      <c r="C8" s="31">
        <f>C7/1781-1</f>
        <v>0.33857383492419979</v>
      </c>
      <c r="D8" s="32">
        <f>D7/(D27-C27)-1</f>
        <v>0.39542143600416257</v>
      </c>
      <c r="E8" s="32">
        <f>E7/(E27-D27)-1</f>
        <v>0.31748390292223871</v>
      </c>
      <c r="F8" s="32">
        <f>F7/(F27-E27)-1</f>
        <v>0.42668933276668075</v>
      </c>
      <c r="G8" s="32">
        <f>G7/C7-1</f>
        <v>0.42156040268456385</v>
      </c>
      <c r="H8" s="32">
        <f>H7/D7-1</f>
        <v>0.43959731543624159</v>
      </c>
      <c r="I8" s="32">
        <f t="shared" ref="I8" si="2">I7/E7-1</f>
        <v>0.45112781954887216</v>
      </c>
      <c r="J8" s="32">
        <f t="shared" ref="J8:K8" si="3">J7/F7-1</f>
        <v>0.44384867441167719</v>
      </c>
      <c r="K8" s="32">
        <f t="shared" si="3"/>
        <v>0.29448214812629092</v>
      </c>
      <c r="L8" s="33">
        <v>0.22610722610722611</v>
      </c>
      <c r="M8" s="3"/>
    </row>
    <row r="9" spans="1:13" x14ac:dyDescent="0.2">
      <c r="A9" s="3"/>
      <c r="B9" s="29" t="s">
        <v>22</v>
      </c>
      <c r="C9" s="4">
        <v>789</v>
      </c>
      <c r="D9" s="4">
        <f>D28-C28</f>
        <v>802</v>
      </c>
      <c r="E9" s="4">
        <f>E28-D28</f>
        <v>807</v>
      </c>
      <c r="F9" s="4">
        <f>F28-E28</f>
        <v>867</v>
      </c>
      <c r="G9" s="4">
        <v>780</v>
      </c>
      <c r="H9" s="4">
        <f>H28-G9</f>
        <v>1101</v>
      </c>
      <c r="I9" s="4">
        <f>I28-H28</f>
        <v>1047</v>
      </c>
      <c r="J9" s="4">
        <f>J28-I28</f>
        <v>1112</v>
      </c>
      <c r="K9" s="4">
        <v>1089</v>
      </c>
      <c r="L9" s="39">
        <v>1078</v>
      </c>
      <c r="M9" s="3"/>
    </row>
    <row r="10" spans="1:13" x14ac:dyDescent="0.2">
      <c r="A10" s="3"/>
      <c r="B10" s="30" t="s">
        <v>30</v>
      </c>
      <c r="C10" s="31">
        <v>0.25</v>
      </c>
      <c r="D10" s="32">
        <f>D9/(D29-C29)-1</f>
        <v>0.18674163953832501</v>
      </c>
      <c r="E10" s="32">
        <f>E9/(E29-D29)-1</f>
        <v>0.15948275862068972</v>
      </c>
      <c r="F10" s="32">
        <f>F9/(F29-E29)-1</f>
        <v>9.4696969696969724E-2</v>
      </c>
      <c r="G10" s="32">
        <f>G9/C9-1</f>
        <v>-1.1406844106463865E-2</v>
      </c>
      <c r="H10" s="32">
        <f>H9/D9-1</f>
        <v>0.37281795511221949</v>
      </c>
      <c r="I10" s="32">
        <f t="shared" ref="I10" si="4">I9/E9-1</f>
        <v>0.29739776951672869</v>
      </c>
      <c r="J10" s="32">
        <f t="shared" ref="J10" si="5">J9/F9-1</f>
        <v>0.28258362168396767</v>
      </c>
      <c r="K10" s="32">
        <f>K9/G9-1</f>
        <v>0.39615384615384608</v>
      </c>
      <c r="L10" s="33">
        <v>-2.0890099909173454E-2</v>
      </c>
      <c r="M10" s="3"/>
    </row>
    <row r="11" spans="1:13" x14ac:dyDescent="0.2">
      <c r="A11" s="3"/>
      <c r="B11" s="29" t="s">
        <v>23</v>
      </c>
      <c r="C11" s="4">
        <v>1572</v>
      </c>
      <c r="D11" s="4">
        <f>D30-C30</f>
        <v>1850</v>
      </c>
      <c r="E11" s="4">
        <f>E30-D30</f>
        <v>1826</v>
      </c>
      <c r="F11" s="4">
        <f>F30-E30</f>
        <v>2425</v>
      </c>
      <c r="G11" s="4">
        <v>2498</v>
      </c>
      <c r="H11" s="4">
        <f>H30-G11</f>
        <v>2658</v>
      </c>
      <c r="I11" s="4">
        <f>I30-H30</f>
        <v>2646</v>
      </c>
      <c r="J11" s="4">
        <f>J30-I30</f>
        <v>3452</v>
      </c>
      <c r="K11" s="4">
        <v>3071</v>
      </c>
      <c r="L11" s="39">
        <v>3270</v>
      </c>
      <c r="M11" s="3"/>
    </row>
    <row r="12" spans="1:13" x14ac:dyDescent="0.2">
      <c r="A12" s="3"/>
      <c r="B12" s="30" t="s">
        <v>30</v>
      </c>
      <c r="C12" s="31">
        <v>0.37</v>
      </c>
      <c r="D12" s="32">
        <f>D11/(D31-C31)-1</f>
        <v>0.49126832827320022</v>
      </c>
      <c r="E12" s="32">
        <f>E11/(E31-D31)-1</f>
        <v>0.39602446483180431</v>
      </c>
      <c r="F12" s="32">
        <f>F11/(F31-E31)-1</f>
        <v>0.57877604166666674</v>
      </c>
      <c r="G12" s="32">
        <f>G11/C11-1</f>
        <v>0.58905852417302795</v>
      </c>
      <c r="H12" s="32">
        <f>H11/D11-1</f>
        <v>0.43675675675675674</v>
      </c>
      <c r="I12" s="32">
        <f t="shared" ref="I12" si="6">I11/E11-1</f>
        <v>0.44906900328587085</v>
      </c>
      <c r="J12" s="32">
        <f t="shared" ref="J12:K12" si="7">J11/F11-1</f>
        <v>0.42350515463917526</v>
      </c>
      <c r="K12" s="32">
        <f t="shared" si="7"/>
        <v>0.22938350680544439</v>
      </c>
      <c r="L12" s="33">
        <v>0.23024830699774257</v>
      </c>
      <c r="M12" s="3"/>
    </row>
    <row r="13" spans="1:13" x14ac:dyDescent="0.2">
      <c r="A13" s="3"/>
      <c r="B13" s="29" t="s">
        <v>8</v>
      </c>
      <c r="C13" s="4">
        <f>C7-C9-C11</f>
        <v>23</v>
      </c>
      <c r="D13" s="4">
        <f>D32-C32</f>
        <v>30</v>
      </c>
      <c r="E13" s="4">
        <f>E32-D32</f>
        <v>27</v>
      </c>
      <c r="F13" s="4">
        <f>F32-E32</f>
        <v>65</v>
      </c>
      <c r="G13" s="4">
        <v>111</v>
      </c>
      <c r="H13" s="4">
        <f>H32-G13</f>
        <v>102</v>
      </c>
      <c r="I13" s="4">
        <f>I32-H32</f>
        <v>167</v>
      </c>
      <c r="J13" s="4">
        <f>J32-I32</f>
        <v>283</v>
      </c>
      <c r="K13" s="4">
        <v>228</v>
      </c>
      <c r="L13" s="39">
        <v>382</v>
      </c>
      <c r="M13" s="3"/>
    </row>
    <row r="14" spans="1:13" x14ac:dyDescent="0.2">
      <c r="A14" s="3"/>
      <c r="B14" s="30" t="s">
        <v>30</v>
      </c>
      <c r="C14" s="31">
        <v>5.4</v>
      </c>
      <c r="D14" s="32">
        <f>D13/(D33-C33)-1</f>
        <v>5.8085106382978724</v>
      </c>
      <c r="E14" s="32">
        <f>E13/(E33-D33)-1</f>
        <v>0.8</v>
      </c>
      <c r="F14" s="32">
        <f>F13/(F33-E33)-1</f>
        <v>1.6</v>
      </c>
      <c r="G14" s="32">
        <f>G13/C13-1</f>
        <v>3.8260869565217392</v>
      </c>
      <c r="H14" s="32">
        <f>H13/D13-1</f>
        <v>2.4</v>
      </c>
      <c r="I14" s="32">
        <f t="shared" ref="I14" si="8">I13/E13-1</f>
        <v>5.1851851851851851</v>
      </c>
      <c r="J14" s="32">
        <f t="shared" ref="J14:K14" si="9">J13/F13-1</f>
        <v>3.3538461538461535</v>
      </c>
      <c r="K14" s="32">
        <f t="shared" si="9"/>
        <v>1.0540540540540539</v>
      </c>
      <c r="L14" s="33">
        <v>2.7450980392156863</v>
      </c>
      <c r="M14" s="3"/>
    </row>
    <row r="15" spans="1:13" x14ac:dyDescent="0.2">
      <c r="A15" s="3"/>
      <c r="B15" s="29" t="s">
        <v>24</v>
      </c>
      <c r="C15" s="4">
        <v>2080</v>
      </c>
      <c r="D15" s="4">
        <f>D34-C34</f>
        <v>2438</v>
      </c>
      <c r="E15" s="4">
        <f>E34-D34</f>
        <v>2453</v>
      </c>
      <c r="F15" s="4">
        <f>F34-E34</f>
        <v>3029</v>
      </c>
      <c r="G15" s="4">
        <v>2952</v>
      </c>
      <c r="H15" s="4">
        <f>H34-G15</f>
        <v>3393</v>
      </c>
      <c r="I15" s="4">
        <f>I34-H34</f>
        <v>3419</v>
      </c>
      <c r="J15" s="4">
        <f>J34-I34</f>
        <v>3990</v>
      </c>
      <c r="K15" s="4">
        <v>3551.49</v>
      </c>
      <c r="L15" s="39">
        <v>3943.51</v>
      </c>
      <c r="M15" s="3"/>
    </row>
    <row r="16" spans="1:13" x14ac:dyDescent="0.2">
      <c r="A16" s="3"/>
      <c r="B16" s="30" t="s">
        <v>30</v>
      </c>
      <c r="C16" s="31">
        <v>0.31</v>
      </c>
      <c r="D16" s="32">
        <f>D15/(D35-C35)-1</f>
        <v>0.41233958626301215</v>
      </c>
      <c r="E16" s="32">
        <f>E15/(E35-D35)-1</f>
        <v>0.38041643218908283</v>
      </c>
      <c r="F16" s="32">
        <f>F15/(F35-E35)-1</f>
        <v>0.46825012118274367</v>
      </c>
      <c r="G16" s="32">
        <f>G15/C15-1</f>
        <v>0.4192307692307693</v>
      </c>
      <c r="H16" s="32">
        <f>H15/D15-1</f>
        <v>0.39171452009844132</v>
      </c>
      <c r="I16" s="32">
        <f t="shared" ref="I16" si="10">I15/E15-1</f>
        <v>0.39380350591112934</v>
      </c>
      <c r="J16" s="32">
        <f t="shared" ref="J16:K16" si="11">J15/F15-1</f>
        <v>0.31726642456256182</v>
      </c>
      <c r="K16" s="32">
        <f t="shared" si="11"/>
        <v>0.20307926829268275</v>
      </c>
      <c r="L16" s="33">
        <v>0.16224874742116135</v>
      </c>
      <c r="M16" s="3"/>
    </row>
    <row r="17" spans="1:13" x14ac:dyDescent="0.2">
      <c r="A17" s="3"/>
      <c r="B17" s="29" t="s">
        <v>15</v>
      </c>
      <c r="C17" s="4">
        <v>-470</v>
      </c>
      <c r="D17" s="4">
        <f>D36-C36</f>
        <v>-82</v>
      </c>
      <c r="E17" s="4">
        <f>E36-D36</f>
        <v>-69</v>
      </c>
      <c r="F17" s="4">
        <f>F36-E36</f>
        <v>-755</v>
      </c>
      <c r="G17" s="4">
        <v>-650</v>
      </c>
      <c r="H17" s="4">
        <f>H36-G17</f>
        <v>-758</v>
      </c>
      <c r="I17" s="4">
        <f>I36-H36</f>
        <v>-1118</v>
      </c>
      <c r="J17" s="4">
        <f>J36-I36</f>
        <v>-4567</v>
      </c>
      <c r="K17" s="4">
        <v>-2570</v>
      </c>
      <c r="L17" s="39">
        <v>-3644</v>
      </c>
      <c r="M17" s="3"/>
    </row>
    <row r="18" spans="1:13" x14ac:dyDescent="0.2">
      <c r="A18" s="3"/>
      <c r="B18" s="34" t="s">
        <v>30</v>
      </c>
      <c r="C18" s="35">
        <v>3.9</v>
      </c>
      <c r="D18" s="36"/>
      <c r="E18" s="36">
        <f>E17/(E37-D37)-1</f>
        <v>-0.7931034482758621</v>
      </c>
      <c r="F18" s="36">
        <f>F17/(F37-E37)-1</f>
        <v>0.55670103092783507</v>
      </c>
      <c r="G18" s="36">
        <f>G17/C17-1</f>
        <v>0.38297872340425543</v>
      </c>
      <c r="H18" s="36">
        <f>H17/D17-1</f>
        <v>8.2439024390243905</v>
      </c>
      <c r="I18" s="36">
        <f t="shared" ref="I18" si="12">I17/E17-1</f>
        <v>15.202898550724637</v>
      </c>
      <c r="J18" s="36">
        <f t="shared" ref="J18:K18" si="13">J17/F17-1</f>
        <v>5.049006622516556</v>
      </c>
      <c r="K18" s="36">
        <f t="shared" si="13"/>
        <v>2.953846153846154</v>
      </c>
      <c r="L18" s="37">
        <v>3.8073878627968334</v>
      </c>
      <c r="M18" s="3"/>
    </row>
    <row r="19" spans="1:13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ht="21" x14ac:dyDescent="0.25">
      <c r="A20" s="3"/>
      <c r="B20" s="60" t="s">
        <v>32</v>
      </c>
      <c r="C20" s="60"/>
      <c r="D20" s="60"/>
      <c r="E20" s="60"/>
      <c r="F20" s="3"/>
      <c r="G20" s="60" t="s">
        <v>33</v>
      </c>
      <c r="H20" s="60"/>
      <c r="I20" s="60"/>
      <c r="J20" s="60"/>
      <c r="K20" s="60"/>
      <c r="L20" s="3"/>
      <c r="M20" s="3"/>
    </row>
    <row r="21" spans="1:13" hidden="1" x14ac:dyDescent="0.2">
      <c r="A21"/>
      <c r="B21" t="s">
        <v>29</v>
      </c>
      <c r="C21" s="27" t="s">
        <v>25</v>
      </c>
      <c r="D21" s="27" t="s">
        <v>26</v>
      </c>
      <c r="E21" s="27" t="s">
        <v>27</v>
      </c>
      <c r="F21" s="27" t="s">
        <v>28</v>
      </c>
      <c r="G21" s="26" t="s">
        <v>25</v>
      </c>
      <c r="H21" s="26" t="s">
        <v>26</v>
      </c>
      <c r="I21" s="26" t="s">
        <v>27</v>
      </c>
      <c r="J21" s="26" t="s">
        <v>28</v>
      </c>
      <c r="K21"/>
      <c r="L21" s="3"/>
      <c r="M21" s="3"/>
    </row>
    <row r="22" spans="1:13" hidden="1" x14ac:dyDescent="0.2">
      <c r="A22"/>
      <c r="B22" t="s">
        <v>1</v>
      </c>
      <c r="C22">
        <v>97000</v>
      </c>
      <c r="D22">
        <f>215000</f>
        <v>215000</v>
      </c>
      <c r="E22">
        <f>322000</f>
        <v>322000</v>
      </c>
      <c r="F22">
        <f>484000</f>
        <v>484000</v>
      </c>
      <c r="G22"/>
      <c r="H22"/>
      <c r="I22"/>
      <c r="J22"/>
      <c r="K22"/>
      <c r="L22" s="3"/>
      <c r="M22" s="3"/>
    </row>
    <row r="23" spans="1:13" hidden="1" x14ac:dyDescent="0.2">
      <c r="A23"/>
      <c r="B23"/>
      <c r="C23" s="1">
        <v>0.44</v>
      </c>
      <c r="D23" s="1">
        <v>0.44</v>
      </c>
      <c r="E23" s="1">
        <v>0.43</v>
      </c>
      <c r="F23" s="1">
        <v>0.46</v>
      </c>
      <c r="G23"/>
      <c r="H23"/>
      <c r="I23"/>
      <c r="J23"/>
      <c r="K23"/>
      <c r="L23" s="3"/>
      <c r="M23" s="3"/>
    </row>
    <row r="24" spans="1:13" hidden="1" x14ac:dyDescent="0.2">
      <c r="A24"/>
      <c r="B24"/>
      <c r="C24">
        <f>C22/(1+C23)</f>
        <v>67361.111111111109</v>
      </c>
      <c r="D24">
        <f>D22/(1+D23)</f>
        <v>149305.55555555556</v>
      </c>
      <c r="E24">
        <f>E22/(1+E23)</f>
        <v>225174.82517482518</v>
      </c>
      <c r="F24">
        <f>F22/(1+F23)</f>
        <v>331506.84931506851</v>
      </c>
      <c r="G24"/>
      <c r="H24"/>
      <c r="I24"/>
      <c r="J24"/>
      <c r="K24"/>
      <c r="L24" s="3"/>
      <c r="M24" s="3"/>
    </row>
    <row r="25" spans="1:13" hidden="1" x14ac:dyDescent="0.2">
      <c r="A25"/>
      <c r="B25"/>
      <c r="C25"/>
      <c r="D25" s="2">
        <f>D24-C24</f>
        <v>81944.444444444453</v>
      </c>
      <c r="E25" s="2">
        <f t="shared" ref="E25:F25" si="14">E24-D24</f>
        <v>75869.269619269617</v>
      </c>
      <c r="F25" s="2">
        <f t="shared" si="14"/>
        <v>106332.02414024333</v>
      </c>
      <c r="G25"/>
      <c r="H25"/>
      <c r="I25"/>
      <c r="J25"/>
      <c r="K25"/>
      <c r="L25" s="3"/>
      <c r="M25" s="3"/>
    </row>
    <row r="26" spans="1:13" hidden="1" x14ac:dyDescent="0.2">
      <c r="A26"/>
      <c r="B26" t="s">
        <v>2</v>
      </c>
      <c r="C26">
        <v>2384</v>
      </c>
      <c r="D26">
        <f t="shared" ref="D26:F27" si="15">D28+D30+D32</f>
        <v>5066</v>
      </c>
      <c r="E26">
        <f t="shared" si="15"/>
        <v>7726</v>
      </c>
      <c r="F26">
        <f t="shared" si="15"/>
        <v>11083</v>
      </c>
      <c r="G26"/>
      <c r="H26">
        <f>H28+H30+H32</f>
        <v>7250</v>
      </c>
      <c r="I26">
        <f>I28+I30+I32</f>
        <v>11110</v>
      </c>
      <c r="J26">
        <f>J28+J30+J32</f>
        <v>15957</v>
      </c>
      <c r="K26"/>
      <c r="L26" s="3"/>
      <c r="M26" s="3"/>
    </row>
    <row r="27" spans="1:13" hidden="1" x14ac:dyDescent="0.2">
      <c r="A27"/>
      <c r="B27"/>
      <c r="C27" s="28">
        <f>C26/(1+C8)</f>
        <v>1781.0000000000002</v>
      </c>
      <c r="D27">
        <f t="shared" si="15"/>
        <v>3703</v>
      </c>
      <c r="E27">
        <f t="shared" si="15"/>
        <v>5722</v>
      </c>
      <c r="F27">
        <f t="shared" si="15"/>
        <v>8075</v>
      </c>
      <c r="G27"/>
      <c r="H27"/>
      <c r="I27"/>
      <c r="J27"/>
      <c r="K27"/>
      <c r="L27" s="3"/>
      <c r="M27" s="3"/>
    </row>
    <row r="28" spans="1:13" hidden="1" x14ac:dyDescent="0.2">
      <c r="A28"/>
      <c r="B28" t="s">
        <v>22</v>
      </c>
      <c r="C28">
        <v>789</v>
      </c>
      <c r="D28">
        <v>1591</v>
      </c>
      <c r="E28">
        <v>2398</v>
      </c>
      <c r="F28">
        <v>3265</v>
      </c>
      <c r="G28"/>
      <c r="H28">
        <v>1881</v>
      </c>
      <c r="I28">
        <v>2928</v>
      </c>
      <c r="J28">
        <v>4040</v>
      </c>
      <c r="K28"/>
      <c r="L28" s="3"/>
      <c r="M28" s="3"/>
    </row>
    <row r="29" spans="1:13" hidden="1" x14ac:dyDescent="0.2">
      <c r="A29"/>
      <c r="B29"/>
      <c r="C29" s="28">
        <f>C28/(1+C10)</f>
        <v>631.20000000000005</v>
      </c>
      <c r="D29">
        <v>1307</v>
      </c>
      <c r="E29">
        <v>2003</v>
      </c>
      <c r="F29">
        <v>2795</v>
      </c>
      <c r="G29"/>
      <c r="H29"/>
      <c r="I29"/>
      <c r="J29"/>
      <c r="K29"/>
      <c r="L29" s="3"/>
      <c r="M29" s="3"/>
    </row>
    <row r="30" spans="1:13" hidden="1" x14ac:dyDescent="0.2">
      <c r="A30"/>
      <c r="B30" t="s">
        <v>23</v>
      </c>
      <c r="C30">
        <v>1572</v>
      </c>
      <c r="D30">
        <v>3422</v>
      </c>
      <c r="E30">
        <v>5248</v>
      </c>
      <c r="F30">
        <v>7673</v>
      </c>
      <c r="G30"/>
      <c r="H30">
        <v>5156</v>
      </c>
      <c r="I30">
        <v>7802</v>
      </c>
      <c r="J30">
        <v>11254</v>
      </c>
      <c r="K30"/>
      <c r="L30" s="3"/>
      <c r="M30" s="3"/>
    </row>
    <row r="31" spans="1:13" hidden="1" x14ac:dyDescent="0.2">
      <c r="A31"/>
      <c r="B31"/>
      <c r="C31" s="28">
        <f>C30/(1+C12)</f>
        <v>1147.4452554744526</v>
      </c>
      <c r="D31">
        <v>2388</v>
      </c>
      <c r="E31">
        <v>3696</v>
      </c>
      <c r="F31">
        <v>5232</v>
      </c>
      <c r="G31"/>
      <c r="H31"/>
      <c r="I31"/>
      <c r="J31"/>
      <c r="K31"/>
      <c r="L31" s="3"/>
      <c r="M31" s="3"/>
    </row>
    <row r="32" spans="1:13" hidden="1" x14ac:dyDescent="0.2">
      <c r="A32"/>
      <c r="B32" t="s">
        <v>8</v>
      </c>
      <c r="C32">
        <f>C26-C28-C30</f>
        <v>23</v>
      </c>
      <c r="D32">
        <v>53</v>
      </c>
      <c r="E32">
        <v>80</v>
      </c>
      <c r="F32">
        <v>145</v>
      </c>
      <c r="G32"/>
      <c r="H32">
        <v>213</v>
      </c>
      <c r="I32">
        <v>380</v>
      </c>
      <c r="J32">
        <v>663</v>
      </c>
      <c r="K32"/>
      <c r="L32" s="3"/>
      <c r="M32" s="3"/>
    </row>
    <row r="33" spans="1:13" hidden="1" x14ac:dyDescent="0.2">
      <c r="A33"/>
      <c r="B33"/>
      <c r="C33" s="28">
        <f>C32/(1+C14)</f>
        <v>3.59375</v>
      </c>
      <c r="D33">
        <v>8</v>
      </c>
      <c r="E33">
        <v>23</v>
      </c>
      <c r="F33">
        <v>48</v>
      </c>
      <c r="G33"/>
      <c r="H33"/>
      <c r="I33"/>
      <c r="J33"/>
      <c r="K33"/>
      <c r="L33" s="3"/>
      <c r="M33" s="3"/>
    </row>
    <row r="34" spans="1:13" hidden="1" x14ac:dyDescent="0.2">
      <c r="A34"/>
      <c r="B34" t="s">
        <v>24</v>
      </c>
      <c r="C34">
        <v>2080</v>
      </c>
      <c r="D34">
        <v>4518</v>
      </c>
      <c r="E34">
        <v>6971</v>
      </c>
      <c r="F34">
        <v>10000</v>
      </c>
      <c r="G34"/>
      <c r="H34">
        <v>6345</v>
      </c>
      <c r="I34">
        <v>9764</v>
      </c>
      <c r="J34">
        <v>13754</v>
      </c>
      <c r="K34"/>
      <c r="L34" s="3"/>
      <c r="M34" s="3"/>
    </row>
    <row r="35" spans="1:13" hidden="1" x14ac:dyDescent="0.2">
      <c r="A35"/>
      <c r="B35"/>
      <c r="C35" s="28">
        <f>C34/(1+C16)</f>
        <v>1587.7862595419847</v>
      </c>
      <c r="D35">
        <v>3314</v>
      </c>
      <c r="E35">
        <v>5091</v>
      </c>
      <c r="F35">
        <v>7154</v>
      </c>
      <c r="G35"/>
      <c r="H35"/>
      <c r="I35"/>
      <c r="J35"/>
      <c r="K35"/>
      <c r="L35" s="3"/>
      <c r="M35" s="3"/>
    </row>
    <row r="36" spans="1:13" hidden="1" x14ac:dyDescent="0.2">
      <c r="A36"/>
      <c r="B36" t="s">
        <v>15</v>
      </c>
      <c r="C36">
        <v>-470</v>
      </c>
      <c r="D36">
        <v>-552</v>
      </c>
      <c r="E36">
        <v>-621</v>
      </c>
      <c r="F36">
        <v>-1376</v>
      </c>
      <c r="G36"/>
      <c r="H36">
        <v>-1408</v>
      </c>
      <c r="I36">
        <v>-2526</v>
      </c>
      <c r="J36">
        <v>-7093</v>
      </c>
      <c r="K36"/>
      <c r="L36" s="3"/>
      <c r="M36" s="3"/>
    </row>
    <row r="37" spans="1:13" hidden="1" x14ac:dyDescent="0.2">
      <c r="A37"/>
      <c r="B37"/>
      <c r="C37" s="28">
        <f>C36/(1+C18)</f>
        <v>-95.918367346938766</v>
      </c>
      <c r="D37">
        <v>-83.5</v>
      </c>
      <c r="E37">
        <v>-417</v>
      </c>
      <c r="F37">
        <v>-902</v>
      </c>
      <c r="G37"/>
      <c r="H37"/>
      <c r="I37"/>
      <c r="J37"/>
      <c r="K37"/>
      <c r="L37" s="3"/>
      <c r="M37" s="3"/>
    </row>
    <row r="38" spans="1:13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3">
    <mergeCell ref="B1:J2"/>
    <mergeCell ref="B20:E20"/>
    <mergeCell ref="G20:K20"/>
  </mergeCells>
  <phoneticPr fontId="1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96AC2-3F37-994E-91B1-958BC3FF9042}">
  <dimension ref="A1:R56"/>
  <sheetViews>
    <sheetView tabSelected="1" zoomScale="174" workbookViewId="0">
      <selection activeCell="L42" sqref="L42"/>
    </sheetView>
  </sheetViews>
  <sheetFormatPr baseColWidth="10" defaultRowHeight="16" x14ac:dyDescent="0.2"/>
  <cols>
    <col min="1" max="1" width="10.83203125" style="5"/>
    <col min="2" max="2" width="20.5" style="5" customWidth="1"/>
    <col min="3" max="16384" width="10.83203125" style="5"/>
  </cols>
  <sheetData>
    <row r="1" spans="1:18" x14ac:dyDescent="0.2">
      <c r="A1" s="3"/>
      <c r="B1" s="59" t="s">
        <v>31</v>
      </c>
      <c r="C1" s="59"/>
      <c r="D1" s="59"/>
      <c r="E1" s="59"/>
      <c r="F1" s="59"/>
      <c r="G1" s="59"/>
      <c r="H1" s="59"/>
      <c r="I1" s="59"/>
      <c r="J1" s="59"/>
      <c r="K1" s="3"/>
      <c r="L1" s="3"/>
    </row>
    <row r="2" spans="1:18" x14ac:dyDescent="0.2">
      <c r="A2" s="3"/>
      <c r="B2" s="59"/>
      <c r="C2" s="59"/>
      <c r="D2" s="59"/>
      <c r="E2" s="59"/>
      <c r="F2" s="59"/>
      <c r="G2" s="59"/>
      <c r="H2" s="59"/>
      <c r="I2" s="59"/>
      <c r="J2" s="59"/>
      <c r="K2" s="3"/>
      <c r="L2" s="3"/>
    </row>
    <row r="3" spans="1:18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8" x14ac:dyDescent="0.2">
      <c r="A4" s="3"/>
      <c r="B4" s="42" t="s">
        <v>42</v>
      </c>
      <c r="C4" s="43" t="s">
        <v>34</v>
      </c>
      <c r="D4" s="43" t="s">
        <v>35</v>
      </c>
      <c r="E4" s="43" t="s">
        <v>36</v>
      </c>
      <c r="F4" s="43" t="s">
        <v>37</v>
      </c>
      <c r="G4" s="43" t="s">
        <v>38</v>
      </c>
      <c r="H4" s="43" t="s">
        <v>39</v>
      </c>
      <c r="I4" s="43" t="s">
        <v>40</v>
      </c>
      <c r="J4" s="43" t="s">
        <v>41</v>
      </c>
      <c r="K4" s="43" t="s">
        <v>44</v>
      </c>
      <c r="L4" s="44" t="s">
        <v>51</v>
      </c>
    </row>
    <row r="5" spans="1:18" x14ac:dyDescent="0.2">
      <c r="A5" s="3"/>
      <c r="B5" s="29" t="s">
        <v>1</v>
      </c>
      <c r="C5" s="4">
        <v>10543.478260869566</v>
      </c>
      <c r="D5" s="4">
        <v>12826.08695652174</v>
      </c>
      <c r="E5" s="4">
        <v>11630.434782608696</v>
      </c>
      <c r="F5" s="4">
        <v>17608.695652173916</v>
      </c>
      <c r="G5" s="4">
        <v>18700</v>
      </c>
      <c r="H5" s="4">
        <v>19883.720930232557</v>
      </c>
      <c r="I5" s="4">
        <v>19186.046511627908</v>
      </c>
      <c r="J5" s="4">
        <v>22674.418604651164</v>
      </c>
      <c r="K5" s="4">
        <v>20000</v>
      </c>
      <c r="L5" s="39">
        <f>'H1 2022 Results'!H5-K5</f>
        <v>21000</v>
      </c>
      <c r="M5" s="38"/>
      <c r="N5" s="38"/>
      <c r="O5" s="38"/>
      <c r="P5" s="38"/>
      <c r="Q5" s="38"/>
      <c r="R5" s="38"/>
    </row>
    <row r="6" spans="1:18" x14ac:dyDescent="0.2">
      <c r="A6" s="3"/>
      <c r="B6" s="30" t="s">
        <v>30</v>
      </c>
      <c r="C6" s="31">
        <v>0.44</v>
      </c>
      <c r="D6" s="32">
        <v>0.43999999999999972</v>
      </c>
      <c r="E6" s="32">
        <v>0.41032068104717401</v>
      </c>
      <c r="F6" s="32">
        <v>0.52352972972972966</v>
      </c>
      <c r="G6" s="32">
        <f>G5/C5-1</f>
        <v>0.7736082474226802</v>
      </c>
      <c r="H6" s="32">
        <v>0.55025620811982634</v>
      </c>
      <c r="I6" s="32">
        <v>0.6496413823081939</v>
      </c>
      <c r="J6" s="32">
        <v>0.28768303186907818</v>
      </c>
      <c r="K6" s="32">
        <f>K5/G5-1</f>
        <v>6.9518716577540163E-2</v>
      </c>
      <c r="L6" s="33">
        <f>L5/H5-1</f>
        <v>5.6140350877192935E-2</v>
      </c>
    </row>
    <row r="7" spans="1:18" x14ac:dyDescent="0.2">
      <c r="A7" s="3"/>
      <c r="B7" s="29" t="s">
        <v>2</v>
      </c>
      <c r="C7" s="4">
        <v>259.13043478260869</v>
      </c>
      <c r="D7" s="4">
        <v>291.52173913043481</v>
      </c>
      <c r="E7" s="4">
        <v>289.13043478260875</v>
      </c>
      <c r="F7" s="4">
        <v>364.89130434782612</v>
      </c>
      <c r="G7" s="4">
        <v>394.06976744186051</v>
      </c>
      <c r="H7" s="4">
        <v>448.95348837209303</v>
      </c>
      <c r="I7" s="4">
        <v>448.83720930232562</v>
      </c>
      <c r="J7" s="4">
        <v>563.60465116279067</v>
      </c>
      <c r="K7" s="4">
        <f>'Financial Dynamics (Sek)'!K7*20/187</f>
        <v>469.19786096256684</v>
      </c>
      <c r="L7" s="39">
        <f>'H1 2022 Results'!H7-K7</f>
        <v>475.14809863339275</v>
      </c>
    </row>
    <row r="8" spans="1:18" x14ac:dyDescent="0.2">
      <c r="A8" s="3"/>
      <c r="B8" s="30" t="s">
        <v>30</v>
      </c>
      <c r="C8" s="31">
        <v>0.36</v>
      </c>
      <c r="D8" s="32">
        <v>0.4409243089173418</v>
      </c>
      <c r="E8" s="32">
        <v>0.36044533453926886</v>
      </c>
      <c r="F8" s="32">
        <v>0.47321181100907239</v>
      </c>
      <c r="G8" s="32">
        <v>0.52073903542999855</v>
      </c>
      <c r="H8" s="32">
        <v>0.54003433744342111</v>
      </c>
      <c r="I8" s="32">
        <v>0.55236929533135148</v>
      </c>
      <c r="J8" s="32">
        <v>0.54458230285900311</v>
      </c>
      <c r="K8" s="32">
        <f>K7/G7-1</f>
        <v>0.19064668169904819</v>
      </c>
      <c r="L8" s="33">
        <f t="shared" ref="L8:L18" si="0">L7/H7-1</f>
        <v>5.8345933241952253E-2</v>
      </c>
    </row>
    <row r="9" spans="1:18" x14ac:dyDescent="0.2">
      <c r="A9" s="3"/>
      <c r="B9" s="29" t="s">
        <v>22</v>
      </c>
      <c r="C9" s="4">
        <v>85.760869565217405</v>
      </c>
      <c r="D9" s="4">
        <v>87.173913043478265</v>
      </c>
      <c r="E9" s="4">
        <v>87.717391304347828</v>
      </c>
      <c r="F9" s="4">
        <v>94.239130434782609</v>
      </c>
      <c r="G9" s="4">
        <v>90.697674418604649</v>
      </c>
      <c r="H9" s="4">
        <v>128.02325581395348</v>
      </c>
      <c r="I9" s="4">
        <v>121.74418604651163</v>
      </c>
      <c r="J9" s="4">
        <v>129.30232558139537</v>
      </c>
      <c r="K9" s="4">
        <f>'Financial Dynamics (Sek)'!K9*20/187</f>
        <v>116.47058823529412</v>
      </c>
      <c r="L9" s="39">
        <f>'H1 2022 Results'!H9-K9</f>
        <v>107.890522875817</v>
      </c>
    </row>
    <row r="10" spans="1:18" x14ac:dyDescent="0.2">
      <c r="A10" s="3"/>
      <c r="B10" s="30" t="s">
        <v>30</v>
      </c>
      <c r="C10" s="31">
        <v>0.25</v>
      </c>
      <c r="D10" s="32">
        <v>0.22543973647979243</v>
      </c>
      <c r="E10" s="32">
        <v>0.19729197901049456</v>
      </c>
      <c r="F10" s="32">
        <v>0.13039361001317507</v>
      </c>
      <c r="G10" s="32">
        <v>5.7564771420991923E-2</v>
      </c>
      <c r="H10" s="32">
        <v>0.46859595198051363</v>
      </c>
      <c r="I10" s="32">
        <v>0.38791389297138412</v>
      </c>
      <c r="J10" s="32">
        <v>0.37206619994098888</v>
      </c>
      <c r="K10" s="32">
        <f>K9/G9-1</f>
        <v>0.28416289592760191</v>
      </c>
      <c r="L10" s="33">
        <f t="shared" ref="L10:L18" si="1">L9/H9-1</f>
        <v>-0.15725840442141126</v>
      </c>
    </row>
    <row r="11" spans="1:18" x14ac:dyDescent="0.2">
      <c r="A11" s="3"/>
      <c r="B11" s="29" t="s">
        <v>23</v>
      </c>
      <c r="C11" s="4">
        <v>170.86956521739131</v>
      </c>
      <c r="D11" s="4">
        <v>201.08695652173915</v>
      </c>
      <c r="E11" s="4">
        <v>198.47826086956522</v>
      </c>
      <c r="F11" s="4">
        <v>263.58695652173913</v>
      </c>
      <c r="G11" s="4">
        <v>290.46511627906978</v>
      </c>
      <c r="H11" s="4">
        <v>309.06976744186051</v>
      </c>
      <c r="I11" s="4">
        <v>307.67441860465118</v>
      </c>
      <c r="J11" s="4">
        <v>401.39534883720933</v>
      </c>
      <c r="K11" s="4">
        <f>'Financial Dynamics (Sek)'!K11*20/187</f>
        <v>328.44919786096256</v>
      </c>
      <c r="L11" s="39">
        <f>'H1 2022 Results'!H11-K11</f>
        <v>328.06847890671423</v>
      </c>
    </row>
    <row r="12" spans="1:18" x14ac:dyDescent="0.2">
      <c r="A12" s="3"/>
      <c r="B12" s="30" t="s">
        <v>30</v>
      </c>
      <c r="C12" s="31">
        <v>0.37</v>
      </c>
      <c r="D12" s="32">
        <v>0.53989664332558718</v>
      </c>
      <c r="E12" s="32">
        <v>0.44154700172849393</v>
      </c>
      <c r="F12" s="32">
        <v>0.63025786911231885</v>
      </c>
      <c r="G12" s="32">
        <v>0.69992307237114626</v>
      </c>
      <c r="H12" s="32">
        <v>0.53699560025141424</v>
      </c>
      <c r="I12" s="32">
        <v>0.55016684072442001</v>
      </c>
      <c r="J12" s="32">
        <v>0.52281946775353649</v>
      </c>
      <c r="K12" s="32">
        <f>K11/G11-1</f>
        <v>0.13076985652693263</v>
      </c>
      <c r="L12" s="33">
        <f t="shared" ref="L12:L18" si="2">L11/H11-1</f>
        <v>6.1470624002160301E-2</v>
      </c>
    </row>
    <row r="13" spans="1:18" x14ac:dyDescent="0.2">
      <c r="A13" s="3"/>
      <c r="B13" s="29" t="s">
        <v>8</v>
      </c>
      <c r="C13" s="4">
        <v>2.4999999999999716</v>
      </c>
      <c r="D13" s="4">
        <v>3.2608695652173916</v>
      </c>
      <c r="E13" s="4">
        <v>2.9347826086956532</v>
      </c>
      <c r="F13" s="4">
        <v>7.0652173913043477</v>
      </c>
      <c r="G13" s="4">
        <v>12.906976744186046</v>
      </c>
      <c r="H13" s="4">
        <v>11.86046511627907</v>
      </c>
      <c r="I13" s="4">
        <v>19.418604651162791</v>
      </c>
      <c r="J13" s="4">
        <v>32.906976744186046</v>
      </c>
      <c r="K13" s="4">
        <f>'Financial Dynamics (Sek)'!K13*20/187</f>
        <v>24.385026737967916</v>
      </c>
      <c r="L13" s="39">
        <f>'H1 2022 Results'!H13-K13</f>
        <v>38.771538918597741</v>
      </c>
    </row>
    <row r="14" spans="1:18" x14ac:dyDescent="0.2">
      <c r="A14" s="3"/>
      <c r="B14" s="30" t="s">
        <v>30</v>
      </c>
      <c r="C14" s="31">
        <v>5.4</v>
      </c>
      <c r="D14" s="32">
        <v>6.0305272895467175</v>
      </c>
      <c r="E14" s="32">
        <v>0.85869565217391375</v>
      </c>
      <c r="F14" s="32">
        <v>1.6847826086956523</v>
      </c>
      <c r="G14" s="32">
        <v>4.1627906976744775</v>
      </c>
      <c r="H14" s="32">
        <v>2.6372093023255809</v>
      </c>
      <c r="I14" s="32">
        <v>5.6167097329888005</v>
      </c>
      <c r="J14" s="32">
        <v>3.6576028622540253</v>
      </c>
      <c r="K14" s="32">
        <f>K13/G13-1</f>
        <v>0.88929035987859528</v>
      </c>
      <c r="L14" s="33">
        <f t="shared" ref="L14:L18" si="3">L13/H13-1</f>
        <v>2.268972889215104</v>
      </c>
    </row>
    <row r="15" spans="1:18" x14ac:dyDescent="0.2">
      <c r="A15" s="3"/>
      <c r="B15" s="29" t="s">
        <v>24</v>
      </c>
      <c r="C15" s="4">
        <v>226.08695652173915</v>
      </c>
      <c r="D15" s="4">
        <v>265</v>
      </c>
      <c r="E15" s="4">
        <v>266.63043478260869</v>
      </c>
      <c r="F15" s="4">
        <v>329.23913043478262</v>
      </c>
      <c r="G15" s="4">
        <v>352</v>
      </c>
      <c r="H15" s="4">
        <v>394.53488372093022</v>
      </c>
      <c r="I15" s="4">
        <v>397.55813953488376</v>
      </c>
      <c r="J15" s="4">
        <v>463.95348837209303</v>
      </c>
      <c r="K15" s="4">
        <v>381</v>
      </c>
      <c r="L15" s="39">
        <f>'H1 2022 Results'!H15-K15</f>
        <v>394.99747474747471</v>
      </c>
      <c r="M15" s="50"/>
    </row>
    <row r="16" spans="1:18" x14ac:dyDescent="0.2">
      <c r="A16" s="3"/>
      <c r="B16" s="30" t="s">
        <v>30</v>
      </c>
      <c r="C16" s="31">
        <v>0.31</v>
      </c>
      <c r="D16" s="32">
        <v>0.45839413798897954</v>
      </c>
      <c r="E16" s="32">
        <v>0.42543001149959592</v>
      </c>
      <c r="F16" s="32">
        <v>0.51612784252565946</v>
      </c>
      <c r="G16" s="32">
        <f>G15/C15-1</f>
        <v>0.55692307692307685</v>
      </c>
      <c r="H16" s="32">
        <v>0.48881088196577438</v>
      </c>
      <c r="I16" s="32">
        <v>0.49104561097469657</v>
      </c>
      <c r="J16" s="32">
        <v>0.4091687332529732</v>
      </c>
      <c r="K16" s="32">
        <f>K15/G15-1</f>
        <v>8.2386363636363535E-2</v>
      </c>
      <c r="L16" s="33">
        <f t="shared" ref="L16:L18" si="4">L15/H15-1</f>
        <v>1.1724971495086223E-3</v>
      </c>
    </row>
    <row r="17" spans="1:12" x14ac:dyDescent="0.2">
      <c r="A17" s="3"/>
      <c r="B17" s="29" t="s">
        <v>15</v>
      </c>
      <c r="C17" s="4">
        <v>-470</v>
      </c>
      <c r="D17" s="4">
        <v>-8.9130434782608745</v>
      </c>
      <c r="E17" s="4">
        <v>-7.4999999999999929</v>
      </c>
      <c r="F17" s="4">
        <v>-82.065217391304373</v>
      </c>
      <c r="G17" s="4">
        <f>'Financial Dynamics (Sek)'!G17/8.6</f>
        <v>-75.581395348837219</v>
      </c>
      <c r="H17" s="4">
        <f>'Financial Dynamics (Sek)'!H17/8.6</f>
        <v>-88.139534883720927</v>
      </c>
      <c r="I17" s="4">
        <v>-130</v>
      </c>
      <c r="J17" s="4">
        <v>-531.04651162790697</v>
      </c>
      <c r="K17" s="4">
        <f>'Financial Dynamics (Sek)'!K17*20/187</f>
        <v>-274.86631016042782</v>
      </c>
      <c r="L17" s="39">
        <f>'H1 2022 Results'!H17-K17</f>
        <v>-368.50237670825902</v>
      </c>
    </row>
    <row r="18" spans="1:12" x14ac:dyDescent="0.2">
      <c r="A18" s="3"/>
      <c r="B18" s="34" t="s">
        <v>30</v>
      </c>
      <c r="C18" s="35">
        <v>3.9</v>
      </c>
      <c r="D18" s="36"/>
      <c r="E18" s="36">
        <v>-0.78635682158920561</v>
      </c>
      <c r="F18" s="36">
        <v>0.60746302106678662</v>
      </c>
      <c r="G18" s="36">
        <v>0.38297872340425543</v>
      </c>
      <c r="H18" s="36"/>
      <c r="I18" s="36">
        <v>16.33333333333335</v>
      </c>
      <c r="J18" s="36">
        <v>5.4710303403665463</v>
      </c>
      <c r="K18" s="36">
        <f>K17/G17-1</f>
        <v>2.6366927190456599</v>
      </c>
      <c r="L18" s="37">
        <f t="shared" ref="L18" si="5">L17/H17-1</f>
        <v>3.1808976776926485</v>
      </c>
    </row>
    <row r="19" spans="1:12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ht="21" x14ac:dyDescent="0.25">
      <c r="A20" s="3"/>
      <c r="B20" s="60" t="s">
        <v>32</v>
      </c>
      <c r="C20" s="60"/>
      <c r="D20" s="60"/>
      <c r="E20" s="60"/>
      <c r="F20" s="48"/>
      <c r="G20" s="60" t="s">
        <v>45</v>
      </c>
      <c r="H20" s="60"/>
      <c r="I20" s="60"/>
      <c r="J20" s="60"/>
      <c r="K20" s="60"/>
      <c r="L20" s="60"/>
    </row>
    <row r="21" spans="1:12" hidden="1" x14ac:dyDescent="0.2">
      <c r="A21"/>
      <c r="B21" t="s">
        <v>29</v>
      </c>
      <c r="C21" s="27" t="s">
        <v>25</v>
      </c>
      <c r="D21" s="27" t="s">
        <v>26</v>
      </c>
      <c r="E21" s="27" t="s">
        <v>27</v>
      </c>
      <c r="F21" s="27" t="s">
        <v>28</v>
      </c>
      <c r="G21" s="26" t="s">
        <v>25</v>
      </c>
      <c r="H21" s="26" t="s">
        <v>26</v>
      </c>
      <c r="I21" s="26" t="s">
        <v>27</v>
      </c>
      <c r="J21" s="26" t="s">
        <v>28</v>
      </c>
      <c r="K21"/>
      <c r="L21" s="3"/>
    </row>
    <row r="22" spans="1:12" hidden="1" x14ac:dyDescent="0.2">
      <c r="A22"/>
      <c r="B22" t="s">
        <v>1</v>
      </c>
      <c r="C22">
        <v>97000</v>
      </c>
      <c r="D22">
        <v>215000</v>
      </c>
      <c r="E22">
        <v>322000</v>
      </c>
      <c r="F22">
        <v>484000</v>
      </c>
      <c r="G22"/>
      <c r="H22"/>
      <c r="I22"/>
      <c r="J22"/>
      <c r="K22"/>
      <c r="L22" s="3"/>
    </row>
    <row r="23" spans="1:12" hidden="1" x14ac:dyDescent="0.2">
      <c r="A23"/>
      <c r="B23"/>
      <c r="C23" s="1">
        <v>0.44</v>
      </c>
      <c r="D23" s="1">
        <v>0.44</v>
      </c>
      <c r="E23" s="1">
        <v>0.43</v>
      </c>
      <c r="F23" s="1">
        <v>0.46</v>
      </c>
      <c r="G23"/>
      <c r="H23"/>
      <c r="I23"/>
      <c r="J23"/>
      <c r="K23"/>
      <c r="L23" s="3"/>
    </row>
    <row r="24" spans="1:12" hidden="1" x14ac:dyDescent="0.2">
      <c r="A24"/>
      <c r="B24"/>
      <c r="C24">
        <v>67361.111111111109</v>
      </c>
      <c r="D24">
        <v>149305.55555555556</v>
      </c>
      <c r="E24">
        <v>225174.82517482518</v>
      </c>
      <c r="F24">
        <v>331506.84931506851</v>
      </c>
      <c r="G24"/>
      <c r="H24"/>
      <c r="I24"/>
      <c r="J24"/>
      <c r="K24"/>
      <c r="L24" s="3"/>
    </row>
    <row r="25" spans="1:12" hidden="1" x14ac:dyDescent="0.2">
      <c r="A25"/>
      <c r="B25"/>
      <c r="C25"/>
      <c r="D25" s="2">
        <v>81944.444444444453</v>
      </c>
      <c r="E25" s="2">
        <v>75869.269619269617</v>
      </c>
      <c r="F25" s="2">
        <v>106332.02414024333</v>
      </c>
      <c r="G25"/>
      <c r="H25"/>
      <c r="I25"/>
      <c r="J25"/>
      <c r="K25"/>
      <c r="L25" s="3"/>
    </row>
    <row r="26" spans="1:12" hidden="1" x14ac:dyDescent="0.2">
      <c r="A26"/>
      <c r="B26" t="s">
        <v>2</v>
      </c>
      <c r="C26">
        <v>2384</v>
      </c>
      <c r="D26">
        <v>5066</v>
      </c>
      <c r="E26">
        <v>7726</v>
      </c>
      <c r="F26">
        <v>11083</v>
      </c>
      <c r="G26"/>
      <c r="H26">
        <v>7250</v>
      </c>
      <c r="I26">
        <v>11110</v>
      </c>
      <c r="J26">
        <v>15957</v>
      </c>
      <c r="K26"/>
      <c r="L26" s="3"/>
    </row>
    <row r="27" spans="1:12" hidden="1" x14ac:dyDescent="0.2">
      <c r="A27"/>
      <c r="B27"/>
      <c r="C27" s="28">
        <v>16385.199999999993</v>
      </c>
      <c r="D27">
        <v>3703</v>
      </c>
      <c r="E27">
        <v>5722</v>
      </c>
      <c r="F27">
        <v>8075</v>
      </c>
      <c r="G27"/>
      <c r="H27"/>
      <c r="I27"/>
      <c r="J27"/>
      <c r="K27"/>
      <c r="L27" s="3"/>
    </row>
    <row r="28" spans="1:12" hidden="1" x14ac:dyDescent="0.2">
      <c r="A28"/>
      <c r="B28" t="s">
        <v>22</v>
      </c>
      <c r="C28">
        <v>789</v>
      </c>
      <c r="D28">
        <v>1591</v>
      </c>
      <c r="E28">
        <v>2398</v>
      </c>
      <c r="F28">
        <v>3265</v>
      </c>
      <c r="G28"/>
      <c r="H28">
        <v>1881</v>
      </c>
      <c r="I28">
        <v>2928</v>
      </c>
      <c r="J28">
        <v>4040</v>
      </c>
      <c r="K28"/>
      <c r="L28" s="3"/>
    </row>
    <row r="29" spans="1:12" hidden="1" x14ac:dyDescent="0.2">
      <c r="A29"/>
      <c r="B29"/>
      <c r="C29" s="28">
        <v>631.20000000000005</v>
      </c>
      <c r="D29">
        <v>1307</v>
      </c>
      <c r="E29">
        <v>2003</v>
      </c>
      <c r="F29">
        <v>2795</v>
      </c>
      <c r="G29"/>
      <c r="H29"/>
      <c r="I29"/>
      <c r="J29"/>
      <c r="K29"/>
      <c r="L29" s="3"/>
    </row>
    <row r="30" spans="1:12" hidden="1" x14ac:dyDescent="0.2">
      <c r="A30"/>
      <c r="B30" t="s">
        <v>23</v>
      </c>
      <c r="C30">
        <v>1572</v>
      </c>
      <c r="D30">
        <v>3422</v>
      </c>
      <c r="E30">
        <v>5248</v>
      </c>
      <c r="F30">
        <v>7673</v>
      </c>
      <c r="G30"/>
      <c r="H30">
        <v>5156</v>
      </c>
      <c r="I30">
        <v>7802</v>
      </c>
      <c r="J30">
        <v>11254</v>
      </c>
      <c r="K30"/>
      <c r="L30" s="3"/>
    </row>
    <row r="31" spans="1:12" hidden="1" x14ac:dyDescent="0.2">
      <c r="A31"/>
      <c r="B31"/>
      <c r="C31" s="28">
        <v>1147.4452554744526</v>
      </c>
      <c r="D31">
        <v>2388</v>
      </c>
      <c r="E31">
        <v>3696</v>
      </c>
      <c r="F31">
        <v>5232</v>
      </c>
      <c r="G31"/>
      <c r="H31"/>
      <c r="I31"/>
      <c r="J31"/>
      <c r="K31"/>
      <c r="L31" s="3"/>
    </row>
    <row r="32" spans="1:12" hidden="1" x14ac:dyDescent="0.2">
      <c r="A32"/>
      <c r="B32" t="s">
        <v>8</v>
      </c>
      <c r="C32">
        <v>23</v>
      </c>
      <c r="D32">
        <v>53</v>
      </c>
      <c r="E32">
        <v>80</v>
      </c>
      <c r="F32">
        <v>145</v>
      </c>
      <c r="G32"/>
      <c r="H32">
        <v>213</v>
      </c>
      <c r="I32">
        <v>380</v>
      </c>
      <c r="J32">
        <v>663</v>
      </c>
      <c r="K32"/>
      <c r="L32" s="3"/>
    </row>
    <row r="33" spans="1:12" hidden="1" x14ac:dyDescent="0.2">
      <c r="A33"/>
      <c r="B33"/>
      <c r="C33" s="28">
        <v>3.59375</v>
      </c>
      <c r="D33">
        <v>8</v>
      </c>
      <c r="E33">
        <v>23</v>
      </c>
      <c r="F33">
        <v>48</v>
      </c>
      <c r="G33"/>
      <c r="H33"/>
      <c r="I33"/>
      <c r="J33"/>
      <c r="K33"/>
      <c r="L33" s="3"/>
    </row>
    <row r="34" spans="1:12" hidden="1" x14ac:dyDescent="0.2">
      <c r="A34"/>
      <c r="B34" t="s">
        <v>24</v>
      </c>
      <c r="C34">
        <v>2080</v>
      </c>
      <c r="D34">
        <v>4518</v>
      </c>
      <c r="E34">
        <v>6971</v>
      </c>
      <c r="F34">
        <v>10000</v>
      </c>
      <c r="G34"/>
      <c r="H34">
        <v>6345</v>
      </c>
      <c r="I34">
        <v>9764</v>
      </c>
      <c r="J34">
        <v>13754</v>
      </c>
      <c r="K34"/>
      <c r="L34" s="3"/>
    </row>
    <row r="35" spans="1:12" hidden="1" x14ac:dyDescent="0.2">
      <c r="A35"/>
      <c r="B35"/>
      <c r="C35" s="28">
        <v>1587.7862595419847</v>
      </c>
      <c r="D35">
        <v>3314</v>
      </c>
      <c r="E35">
        <v>5091</v>
      </c>
      <c r="F35">
        <v>7154</v>
      </c>
      <c r="G35"/>
      <c r="H35"/>
      <c r="I35"/>
      <c r="J35"/>
      <c r="K35"/>
      <c r="L35" s="3"/>
    </row>
    <row r="36" spans="1:12" hidden="1" x14ac:dyDescent="0.2">
      <c r="A36"/>
      <c r="B36" t="s">
        <v>15</v>
      </c>
      <c r="C36">
        <v>-470</v>
      </c>
      <c r="D36">
        <v>-552</v>
      </c>
      <c r="E36">
        <v>-621</v>
      </c>
      <c r="F36">
        <v>-1376</v>
      </c>
      <c r="G36"/>
      <c r="H36">
        <v>-1408</v>
      </c>
      <c r="I36">
        <v>-2526</v>
      </c>
      <c r="J36">
        <v>-7093</v>
      </c>
      <c r="K36"/>
      <c r="L36" s="3"/>
    </row>
    <row r="37" spans="1:12" hidden="1" x14ac:dyDescent="0.2">
      <c r="A37"/>
      <c r="B37"/>
      <c r="C37" s="28">
        <v>-95.918367346938766</v>
      </c>
      <c r="D37">
        <v>-83.5</v>
      </c>
      <c r="E37">
        <v>-417</v>
      </c>
      <c r="F37">
        <v>-902</v>
      </c>
      <c r="G37"/>
      <c r="H37"/>
      <c r="I37"/>
      <c r="J37"/>
      <c r="K37"/>
      <c r="L37" s="3"/>
    </row>
    <row r="38" spans="1:12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x14ac:dyDescent="0.2">
      <c r="A56" s="3"/>
      <c r="B56" s="61" t="s">
        <v>46</v>
      </c>
      <c r="C56" s="61"/>
      <c r="D56" s="61"/>
      <c r="E56" s="61"/>
      <c r="F56" s="61"/>
      <c r="G56" s="61"/>
      <c r="H56" s="3"/>
      <c r="I56" s="3"/>
      <c r="J56" s="3"/>
      <c r="K56" s="3"/>
      <c r="L56" s="3"/>
    </row>
  </sheetData>
  <mergeCells count="4">
    <mergeCell ref="B1:J2"/>
    <mergeCell ref="B20:E20"/>
    <mergeCell ref="G20:L20"/>
    <mergeCell ref="B56:G56"/>
  </mergeCells>
  <phoneticPr fontId="1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5B148-D758-CD40-88B0-AD8630067BD8}">
  <dimension ref="A1:I22"/>
  <sheetViews>
    <sheetView workbookViewId="0">
      <selection activeCell="J14" sqref="J14"/>
    </sheetView>
  </sheetViews>
  <sheetFormatPr baseColWidth="10" defaultRowHeight="16" x14ac:dyDescent="0.2"/>
  <cols>
    <col min="1" max="1" width="10.83203125" style="5"/>
    <col min="2" max="2" width="19.5" style="5" bestFit="1" customWidth="1"/>
    <col min="3" max="5" width="10.83203125" style="5"/>
    <col min="6" max="6" width="19.5" style="5" bestFit="1" customWidth="1"/>
    <col min="7" max="16384" width="10.83203125" style="5"/>
  </cols>
  <sheetData>
    <row r="1" spans="1:9" x14ac:dyDescent="0.2">
      <c r="A1" s="3"/>
      <c r="B1" s="70" t="s">
        <v>54</v>
      </c>
      <c r="C1" s="70"/>
      <c r="D1" s="70"/>
      <c r="E1" s="70"/>
      <c r="F1" s="70"/>
      <c r="G1" s="70"/>
      <c r="H1" s="70"/>
      <c r="I1" s="3"/>
    </row>
    <row r="2" spans="1:9" ht="16" customHeight="1" x14ac:dyDescent="0.2">
      <c r="A2" s="3"/>
      <c r="B2" s="70"/>
      <c r="C2" s="70"/>
      <c r="D2" s="70"/>
      <c r="E2" s="70"/>
      <c r="F2" s="70"/>
      <c r="G2" s="70"/>
      <c r="H2" s="70"/>
      <c r="I2" s="3"/>
    </row>
    <row r="3" spans="1:9" ht="16" customHeight="1" x14ac:dyDescent="0.2">
      <c r="A3" s="3"/>
      <c r="B3" s="70"/>
      <c r="C3" s="70"/>
      <c r="D3" s="70"/>
      <c r="E3" s="70"/>
      <c r="F3" s="70"/>
      <c r="G3" s="70"/>
      <c r="H3" s="70"/>
      <c r="I3" s="3"/>
    </row>
    <row r="4" spans="1:9" x14ac:dyDescent="0.2">
      <c r="A4" s="3"/>
      <c r="B4" s="62" t="s">
        <v>29</v>
      </c>
      <c r="C4" s="63" t="s">
        <v>53</v>
      </c>
      <c r="D4" s="64" t="s">
        <v>52</v>
      </c>
      <c r="E4" s="3"/>
      <c r="F4" s="62" t="s">
        <v>42</v>
      </c>
      <c r="G4" s="63" t="s">
        <v>53</v>
      </c>
      <c r="H4" s="64" t="s">
        <v>52</v>
      </c>
      <c r="I4" s="3"/>
    </row>
    <row r="5" spans="1:9" x14ac:dyDescent="0.2">
      <c r="A5" s="3"/>
      <c r="B5" s="29" t="s">
        <v>1</v>
      </c>
      <c r="C5" s="4">
        <v>328000</v>
      </c>
      <c r="D5" s="39">
        <v>396000</v>
      </c>
      <c r="E5" s="3"/>
      <c r="F5" s="29" t="s">
        <v>1</v>
      </c>
      <c r="G5" s="4">
        <v>38583.720930232557</v>
      </c>
      <c r="H5" s="39">
        <v>41000</v>
      </c>
      <c r="I5" s="3"/>
    </row>
    <row r="6" spans="1:9" x14ac:dyDescent="0.2">
      <c r="A6" s="3"/>
      <c r="B6" s="30" t="s">
        <v>30</v>
      </c>
      <c r="C6" s="67"/>
      <c r="D6" s="68">
        <v>0.20731707317073167</v>
      </c>
      <c r="E6" s="3"/>
      <c r="F6" s="30" t="s">
        <v>30</v>
      </c>
      <c r="G6" s="67"/>
      <c r="H6" s="68">
        <v>6.2624314387318414E-2</v>
      </c>
      <c r="I6" s="3"/>
    </row>
    <row r="7" spans="1:9" x14ac:dyDescent="0.2">
      <c r="A7" s="3"/>
      <c r="B7" s="29" t="s">
        <v>2</v>
      </c>
      <c r="C7" s="4">
        <v>7250</v>
      </c>
      <c r="D7" s="39">
        <v>9121</v>
      </c>
      <c r="E7" s="3"/>
      <c r="F7" s="29" t="s">
        <v>2</v>
      </c>
      <c r="G7" s="4">
        <v>843.02325581395348</v>
      </c>
      <c r="H7" s="39">
        <v>944.34595959595958</v>
      </c>
      <c r="I7" s="3"/>
    </row>
    <row r="8" spans="1:9" x14ac:dyDescent="0.2">
      <c r="A8" s="3"/>
      <c r="B8" s="30" t="s">
        <v>30</v>
      </c>
      <c r="C8" s="65"/>
      <c r="D8" s="68">
        <v>0.25806896551724146</v>
      </c>
      <c r="E8" s="3"/>
      <c r="F8" s="30" t="s">
        <v>30</v>
      </c>
      <c r="G8" s="65"/>
      <c r="H8" s="68">
        <v>0.12018969000348312</v>
      </c>
      <c r="I8" s="3"/>
    </row>
    <row r="9" spans="1:9" x14ac:dyDescent="0.2">
      <c r="A9" s="3"/>
      <c r="B9" s="29" t="s">
        <v>22</v>
      </c>
      <c r="C9" s="4">
        <v>1881</v>
      </c>
      <c r="D9" s="39">
        <v>2167</v>
      </c>
      <c r="E9" s="3"/>
      <c r="F9" s="29" t="s">
        <v>22</v>
      </c>
      <c r="G9" s="4">
        <v>218.72093023255815</v>
      </c>
      <c r="H9" s="39">
        <v>224.36111111111111</v>
      </c>
      <c r="I9" s="3"/>
    </row>
    <row r="10" spans="1:9" x14ac:dyDescent="0.2">
      <c r="A10" s="3"/>
      <c r="B10" s="30" t="s">
        <v>30</v>
      </c>
      <c r="C10" s="65"/>
      <c r="D10" s="68">
        <v>0.1520467836257311</v>
      </c>
      <c r="E10" s="3"/>
      <c r="F10" s="30" t="s">
        <v>30</v>
      </c>
      <c r="G10" s="65"/>
      <c r="H10" s="68">
        <v>2.578711087483021E-2</v>
      </c>
      <c r="I10" s="3"/>
    </row>
    <row r="11" spans="1:9" x14ac:dyDescent="0.2">
      <c r="A11" s="3"/>
      <c r="B11" s="29" t="s">
        <v>23</v>
      </c>
      <c r="C11" s="4">
        <v>5156</v>
      </c>
      <c r="D11" s="39">
        <v>6341</v>
      </c>
      <c r="E11" s="3"/>
      <c r="F11" s="29" t="s">
        <v>23</v>
      </c>
      <c r="G11" s="4">
        <v>599.53488372093034</v>
      </c>
      <c r="H11" s="39">
        <v>656.51767676767679</v>
      </c>
      <c r="I11" s="3"/>
    </row>
    <row r="12" spans="1:9" x14ac:dyDescent="0.2">
      <c r="A12" s="3"/>
      <c r="B12" s="30" t="s">
        <v>30</v>
      </c>
      <c r="C12" s="65"/>
      <c r="D12" s="68">
        <v>0.22982932505818465</v>
      </c>
      <c r="E12" s="3"/>
      <c r="F12" s="30" t="s">
        <v>30</v>
      </c>
      <c r="G12" s="65"/>
      <c r="H12" s="68">
        <v>9.5045000039181371E-2</v>
      </c>
      <c r="I12" s="3"/>
    </row>
    <row r="13" spans="1:9" x14ac:dyDescent="0.2">
      <c r="A13" s="3"/>
      <c r="B13" s="29" t="s">
        <v>8</v>
      </c>
      <c r="C13" s="4">
        <v>213</v>
      </c>
      <c r="D13" s="39">
        <v>610</v>
      </c>
      <c r="E13" s="3"/>
      <c r="F13" s="29" t="s">
        <v>8</v>
      </c>
      <c r="G13" s="4">
        <v>24.767441860465116</v>
      </c>
      <c r="H13" s="39">
        <v>63.156565656565654</v>
      </c>
      <c r="I13" s="3"/>
    </row>
    <row r="14" spans="1:9" x14ac:dyDescent="0.2">
      <c r="A14" s="3"/>
      <c r="B14" s="30" t="s">
        <v>30</v>
      </c>
      <c r="C14" s="65"/>
      <c r="D14" s="68">
        <v>1.863849765258216</v>
      </c>
      <c r="E14" s="3"/>
      <c r="F14" s="30" t="s">
        <v>30</v>
      </c>
      <c r="G14" s="65"/>
      <c r="H14" s="68">
        <v>1.5499834020960779</v>
      </c>
      <c r="I14" s="3"/>
    </row>
    <row r="15" spans="1:9" x14ac:dyDescent="0.2">
      <c r="A15" s="3"/>
      <c r="B15" s="29" t="s">
        <v>24</v>
      </c>
      <c r="C15" s="4">
        <v>6345</v>
      </c>
      <c r="D15" s="39">
        <v>7495</v>
      </c>
      <c r="E15" s="3"/>
      <c r="F15" s="29" t="s">
        <v>24</v>
      </c>
      <c r="G15" s="4">
        <v>746.53488372093022</v>
      </c>
      <c r="H15" s="39">
        <v>775.99747474747471</v>
      </c>
      <c r="I15" s="3"/>
    </row>
    <row r="16" spans="1:9" x14ac:dyDescent="0.2">
      <c r="A16" s="3"/>
      <c r="B16" s="30" t="s">
        <v>30</v>
      </c>
      <c r="C16" s="65"/>
      <c r="D16" s="68">
        <v>0.18124507486209618</v>
      </c>
      <c r="E16" s="3"/>
      <c r="F16" s="30" t="s">
        <v>30</v>
      </c>
      <c r="G16" s="65"/>
      <c r="H16" s="68">
        <v>3.9465792783446307E-2</v>
      </c>
      <c r="I16" s="3"/>
    </row>
    <row r="17" spans="1:9" x14ac:dyDescent="0.2">
      <c r="A17" s="3"/>
      <c r="B17" s="29" t="s">
        <v>15</v>
      </c>
      <c r="C17" s="4">
        <v>-1408</v>
      </c>
      <c r="D17" s="39">
        <v>-6214</v>
      </c>
      <c r="E17" s="3"/>
      <c r="F17" s="29" t="s">
        <v>15</v>
      </c>
      <c r="G17" s="4">
        <v>-163.72093023255815</v>
      </c>
      <c r="H17" s="39">
        <v>-643.36868686868684</v>
      </c>
      <c r="I17" s="3"/>
    </row>
    <row r="18" spans="1:9" x14ac:dyDescent="0.2">
      <c r="A18" s="3"/>
      <c r="B18" s="34" t="s">
        <v>30</v>
      </c>
      <c r="C18" s="66"/>
      <c r="D18" s="69">
        <v>3.4133522727272725</v>
      </c>
      <c r="E18" s="3"/>
      <c r="F18" s="34" t="s">
        <v>30</v>
      </c>
      <c r="G18" s="66"/>
      <c r="H18" s="69">
        <v>2.9296666953627177</v>
      </c>
      <c r="I18" s="3"/>
    </row>
    <row r="19" spans="1:9" x14ac:dyDescent="0.2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2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2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2">
      <c r="A22"/>
      <c r="B22" s="3"/>
      <c r="C22" s="3"/>
      <c r="D22" s="3"/>
      <c r="E22" s="3"/>
      <c r="F22" s="3"/>
      <c r="G22" s="3"/>
      <c r="H22" s="3"/>
      <c r="I22" s="3"/>
    </row>
  </sheetData>
  <mergeCells count="1">
    <mergeCell ref="B1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C33BB-ACE3-3B4F-B9AB-543C913A1570}">
  <dimension ref="A1:N21"/>
  <sheetViews>
    <sheetView topLeftCell="B1" workbookViewId="0">
      <selection activeCell="F25" sqref="F25"/>
    </sheetView>
  </sheetViews>
  <sheetFormatPr baseColWidth="10" defaultRowHeight="16" x14ac:dyDescent="0.2"/>
  <cols>
    <col min="1" max="1" width="7.33203125" style="5" customWidth="1"/>
    <col min="2" max="2" width="19.5" style="5" bestFit="1" customWidth="1"/>
    <col min="3" max="16384" width="10.83203125" style="5"/>
  </cols>
  <sheetData>
    <row r="1" spans="1:14" x14ac:dyDescent="0.2">
      <c r="A1" s="3"/>
      <c r="B1" s="58" t="s">
        <v>50</v>
      </c>
      <c r="C1" s="58"/>
      <c r="D1" s="58"/>
      <c r="E1" s="58"/>
      <c r="F1" s="3"/>
    </row>
    <row r="2" spans="1:14" x14ac:dyDescent="0.2">
      <c r="A2" s="3"/>
      <c r="B2" s="58"/>
      <c r="C2" s="58"/>
      <c r="D2" s="58"/>
      <c r="E2" s="58"/>
      <c r="F2" s="3"/>
    </row>
    <row r="3" spans="1:14" x14ac:dyDescent="0.2">
      <c r="A3" s="3"/>
      <c r="B3" s="58"/>
      <c r="C3" s="58"/>
      <c r="D3" s="58"/>
      <c r="E3" s="58"/>
      <c r="F3" s="3"/>
    </row>
    <row r="4" spans="1:14" x14ac:dyDescent="0.2">
      <c r="A4" s="3"/>
      <c r="B4" s="42" t="s">
        <v>29</v>
      </c>
      <c r="C4" s="52" t="s">
        <v>47</v>
      </c>
      <c r="D4" s="52" t="s">
        <v>48</v>
      </c>
      <c r="E4" s="53" t="s">
        <v>49</v>
      </c>
      <c r="F4" s="3"/>
    </row>
    <row r="5" spans="1:14" x14ac:dyDescent="0.2">
      <c r="A5" s="3"/>
      <c r="B5" s="29" t="s">
        <v>1</v>
      </c>
      <c r="C5" s="54">
        <f>SUM('Financial Dynamics (Sek)'!D5:G5)</f>
        <v>544000</v>
      </c>
      <c r="D5" s="54">
        <f>SUM('Financial Dynamics (Sek)'!H5:K5)</f>
        <v>718000</v>
      </c>
      <c r="E5" s="49">
        <f>D5/C5-1</f>
        <v>0.31985294117647056</v>
      </c>
      <c r="F5" s="3"/>
      <c r="G5" s="56"/>
      <c r="H5" s="56"/>
      <c r="M5" s="56"/>
      <c r="N5" s="56"/>
    </row>
    <row r="6" spans="1:14" x14ac:dyDescent="0.2">
      <c r="A6" s="3"/>
      <c r="B6" s="29" t="s">
        <v>2</v>
      </c>
      <c r="C6" s="54">
        <f>SUM('Financial Dynamics (Sek)'!D7:G7)</f>
        <v>12088</v>
      </c>
      <c r="D6" s="54">
        <f>SUM('Financial Dynamics (Sek)'!H7:K7)</f>
        <v>16955</v>
      </c>
      <c r="E6" s="49">
        <f t="shared" ref="E6:E11" si="0">D6/C6-1</f>
        <v>0.40263070814030444</v>
      </c>
      <c r="F6" s="3"/>
      <c r="M6" s="56"/>
    </row>
    <row r="7" spans="1:14" x14ac:dyDescent="0.2">
      <c r="A7" s="3"/>
      <c r="B7" s="29" t="s">
        <v>22</v>
      </c>
      <c r="C7" s="54">
        <f>SUM('Financial Dynamics (Sek)'!D9:G9)</f>
        <v>3256</v>
      </c>
      <c r="D7" s="54">
        <f>SUM('Financial Dynamics (Sek)'!H9:K9)</f>
        <v>4349</v>
      </c>
      <c r="E7" s="49">
        <f t="shared" si="0"/>
        <v>0.33568796068796058</v>
      </c>
      <c r="F7" s="3"/>
    </row>
    <row r="8" spans="1:14" x14ac:dyDescent="0.2">
      <c r="A8" s="3"/>
      <c r="B8" s="29" t="s">
        <v>23</v>
      </c>
      <c r="C8" s="54">
        <f>SUM('Financial Dynamics (Sek)'!D11:G11)</f>
        <v>8599</v>
      </c>
      <c r="D8" s="54">
        <f>SUM('Financial Dynamics (Sek)'!H11:K11)</f>
        <v>11827</v>
      </c>
      <c r="E8" s="49">
        <f t="shared" si="0"/>
        <v>0.37539248749854637</v>
      </c>
      <c r="F8" s="3"/>
    </row>
    <row r="9" spans="1:14" x14ac:dyDescent="0.2">
      <c r="A9" s="3"/>
      <c r="B9" s="29" t="s">
        <v>8</v>
      </c>
      <c r="C9" s="54">
        <f>SUM('Financial Dynamics (Sek)'!D13:G13)</f>
        <v>233</v>
      </c>
      <c r="D9" s="54">
        <f>SUM('Financial Dynamics (Sek)'!H13:K13)</f>
        <v>780</v>
      </c>
      <c r="E9" s="49">
        <f t="shared" si="0"/>
        <v>2.3476394849785409</v>
      </c>
      <c r="F9" s="3"/>
    </row>
    <row r="10" spans="1:14" x14ac:dyDescent="0.2">
      <c r="A10" s="3"/>
      <c r="B10" s="29" t="s">
        <v>24</v>
      </c>
      <c r="C10" s="54">
        <f>SUM('Financial Dynamics (Sek)'!D15:G15)</f>
        <v>10872</v>
      </c>
      <c r="D10" s="54">
        <f>SUM('Financial Dynamics (Sek)'!H15:K15)</f>
        <v>14353.49</v>
      </c>
      <c r="E10" s="49">
        <f t="shared" si="0"/>
        <v>0.32022534952170711</v>
      </c>
      <c r="F10" s="3"/>
      <c r="G10" s="56"/>
      <c r="H10" s="56"/>
    </row>
    <row r="11" spans="1:14" x14ac:dyDescent="0.2">
      <c r="A11" s="3"/>
      <c r="B11" s="29" t="s">
        <v>15</v>
      </c>
      <c r="C11" s="54">
        <f>SUM('Financial Dynamics (Sek)'!D17:G17)</f>
        <v>-1556</v>
      </c>
      <c r="D11" s="54">
        <f>SUM('Financial Dynamics (Sek)'!H17:K17)</f>
        <v>-9013</v>
      </c>
      <c r="E11" s="49">
        <f t="shared" si="0"/>
        <v>4.7924164524421595</v>
      </c>
      <c r="F11" s="3"/>
    </row>
    <row r="12" spans="1:14" x14ac:dyDescent="0.2">
      <c r="A12" s="3"/>
      <c r="B12" s="55"/>
      <c r="C12" s="55"/>
      <c r="D12" s="55"/>
      <c r="E12" s="55"/>
      <c r="F12" s="3"/>
    </row>
    <row r="13" spans="1:14" x14ac:dyDescent="0.2">
      <c r="A13" s="3"/>
      <c r="B13" s="42" t="s">
        <v>42</v>
      </c>
      <c r="C13" s="52" t="s">
        <v>47</v>
      </c>
      <c r="D13" s="52" t="s">
        <v>48</v>
      </c>
      <c r="E13" s="53" t="s">
        <v>49</v>
      </c>
      <c r="F13" s="3"/>
    </row>
    <row r="14" spans="1:14" x14ac:dyDescent="0.2">
      <c r="A14" s="3"/>
      <c r="B14" s="29" t="s">
        <v>1</v>
      </c>
      <c r="C14" s="54">
        <f>SUM('Financial Dynamics ($)'!D5:G5)</f>
        <v>60765.217391304352</v>
      </c>
      <c r="D14" s="54">
        <f>SUM('Financial Dynamics ($)'!H5:K5)</f>
        <v>81744.186046511633</v>
      </c>
      <c r="E14" s="49">
        <f>D14/C14-1</f>
        <v>0.3452463359113962</v>
      </c>
      <c r="F14" s="3"/>
    </row>
    <row r="15" spans="1:14" x14ac:dyDescent="0.2">
      <c r="A15" s="3"/>
      <c r="B15" s="29" t="s">
        <v>2</v>
      </c>
      <c r="C15" s="54">
        <f>SUM('Financial Dynamics ($)'!D7:G7)</f>
        <v>1339.6132457027302</v>
      </c>
      <c r="D15" s="54">
        <f>SUM('Financial Dynamics ($)'!H7:K7)</f>
        <v>1930.5932097997763</v>
      </c>
      <c r="E15" s="49">
        <f t="shared" ref="E15:E20" si="1">D15/C15-1</f>
        <v>0.4411571518815729</v>
      </c>
      <c r="F15" s="3"/>
    </row>
    <row r="16" spans="1:14" x14ac:dyDescent="0.2">
      <c r="A16" s="3"/>
      <c r="B16" s="29" t="s">
        <v>22</v>
      </c>
      <c r="C16" s="54">
        <f>SUM('Financial Dynamics ($)'!D9:G9)</f>
        <v>359.82810920121335</v>
      </c>
      <c r="D16" s="54">
        <f>SUM('Financial Dynamics ($)'!H9:K9)</f>
        <v>495.54035567715459</v>
      </c>
      <c r="E16" s="49">
        <f t="shared" si="1"/>
        <v>0.37715854599911736</v>
      </c>
      <c r="F16" s="3"/>
    </row>
    <row r="17" spans="1:8" x14ac:dyDescent="0.2">
      <c r="A17" s="3"/>
      <c r="B17" s="29" t="s">
        <v>23</v>
      </c>
      <c r="C17" s="54">
        <f>SUM('Financial Dynamics ($)'!D11:G11)</f>
        <v>953.61729019211327</v>
      </c>
      <c r="D17" s="54">
        <f>SUM('Financial Dynamics ($)'!H11:K11)</f>
        <v>1346.5887327446835</v>
      </c>
      <c r="E17" s="49">
        <f t="shared" si="1"/>
        <v>0.41208506451618887</v>
      </c>
      <c r="F17" s="3"/>
    </row>
    <row r="18" spans="1:8" x14ac:dyDescent="0.2">
      <c r="A18" s="3"/>
      <c r="B18" s="29" t="s">
        <v>8</v>
      </c>
      <c r="C18" s="54">
        <f>SUM('Financial Dynamics ($)'!D13:G13)</f>
        <v>26.167846309403437</v>
      </c>
      <c r="D18" s="54">
        <f>SUM('Financial Dynamics ($)'!H13:K13)</f>
        <v>88.571073249595827</v>
      </c>
      <c r="E18" s="49">
        <f t="shared" si="1"/>
        <v>2.3847291902569658</v>
      </c>
      <c r="F18" s="3"/>
    </row>
    <row r="19" spans="1:8" x14ac:dyDescent="0.2">
      <c r="A19" s="3"/>
      <c r="B19" s="29" t="s">
        <v>24</v>
      </c>
      <c r="C19" s="54">
        <f>SUM('Financial Dynamics ($)'!D15:G15)</f>
        <v>1212.8695652173915</v>
      </c>
      <c r="D19" s="54">
        <f>SUM('Financial Dynamics ($)'!H15:K15)</f>
        <v>1637.046511627907</v>
      </c>
      <c r="E19" s="49">
        <f t="shared" si="1"/>
        <v>0.3497300604904594</v>
      </c>
      <c r="F19" s="3"/>
      <c r="G19" s="56"/>
      <c r="H19" s="56"/>
    </row>
    <row r="20" spans="1:8" x14ac:dyDescent="0.2">
      <c r="A20" s="3"/>
      <c r="B20" s="29" t="s">
        <v>15</v>
      </c>
      <c r="C20" s="54">
        <f>SUM('Financial Dynamics ($)'!D17:G17)</f>
        <v>-174.05965621840247</v>
      </c>
      <c r="D20" s="54">
        <f>SUM('Financial Dynamics ($)'!H17:K17)</f>
        <v>-1024.0523566720558</v>
      </c>
      <c r="E20" s="49">
        <f t="shared" si="1"/>
        <v>4.8833412573624733</v>
      </c>
      <c r="F20" s="3"/>
    </row>
    <row r="21" spans="1:8" x14ac:dyDescent="0.2">
      <c r="A21" s="3"/>
      <c r="B21" s="55"/>
      <c r="C21" s="55"/>
      <c r="D21" s="55"/>
      <c r="E21" s="55"/>
      <c r="F21" s="3"/>
    </row>
  </sheetData>
  <mergeCells count="1">
    <mergeCell ref="B1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3A6BD-48EF-7A41-B5F1-B701FB91E5AB}">
  <dimension ref="A1:O31"/>
  <sheetViews>
    <sheetView workbookViewId="0">
      <selection activeCell="I6" sqref="I6"/>
    </sheetView>
  </sheetViews>
  <sheetFormatPr baseColWidth="10" defaultRowHeight="16" x14ac:dyDescent="0.2"/>
  <cols>
    <col min="1" max="1" width="10.83203125" style="5"/>
    <col min="2" max="2" width="20.83203125" style="5" bestFit="1" customWidth="1"/>
    <col min="3" max="3" width="12.83203125" style="5" bestFit="1" customWidth="1"/>
    <col min="4" max="4" width="11.83203125" style="5" bestFit="1" customWidth="1"/>
    <col min="5" max="5" width="16.1640625" style="5" customWidth="1"/>
    <col min="6" max="7" width="10.83203125" style="5"/>
    <col min="8" max="8" width="20.83203125" style="5" bestFit="1" customWidth="1"/>
    <col min="9" max="10" width="10.83203125" style="5"/>
    <col min="11" max="11" width="18" style="5" customWidth="1"/>
    <col min="12" max="16384" width="10.83203125" style="5"/>
  </cols>
  <sheetData>
    <row r="1" spans="1:15" x14ac:dyDescent="0.2">
      <c r="A1" s="3"/>
      <c r="B1" s="57" t="s">
        <v>21</v>
      </c>
      <c r="C1" s="57"/>
      <c r="D1" s="57"/>
      <c r="E1" s="57"/>
      <c r="F1" s="57"/>
      <c r="G1" s="57"/>
      <c r="H1" s="57"/>
      <c r="I1" s="57"/>
      <c r="J1" s="57"/>
      <c r="K1" s="57"/>
      <c r="L1" s="3"/>
    </row>
    <row r="2" spans="1:15" x14ac:dyDescent="0.2">
      <c r="A2" s="3"/>
      <c r="B2" s="57"/>
      <c r="C2" s="57"/>
      <c r="D2" s="57"/>
      <c r="E2" s="57"/>
      <c r="F2" s="57"/>
      <c r="G2" s="57"/>
      <c r="H2" s="57"/>
      <c r="I2" s="57"/>
      <c r="J2" s="57"/>
      <c r="K2" s="57"/>
      <c r="L2" s="3"/>
    </row>
    <row r="3" spans="1:15" x14ac:dyDescent="0.2">
      <c r="A3" s="3"/>
      <c r="B3" s="6"/>
      <c r="C3" s="6"/>
      <c r="D3" s="6"/>
      <c r="E3" s="6"/>
      <c r="F3" s="6"/>
      <c r="G3" s="6"/>
      <c r="H3" s="6"/>
      <c r="I3" s="6"/>
      <c r="J3" s="6"/>
      <c r="K3" s="6"/>
      <c r="L3" s="3"/>
    </row>
    <row r="4" spans="1:15" x14ac:dyDescent="0.2">
      <c r="A4" s="3"/>
      <c r="B4" s="45" t="s">
        <v>16</v>
      </c>
      <c r="C4" s="46">
        <v>2021</v>
      </c>
      <c r="D4" s="46">
        <v>2020</v>
      </c>
      <c r="E4" s="47" t="s">
        <v>0</v>
      </c>
      <c r="F4" s="7"/>
      <c r="G4" s="7"/>
      <c r="H4" s="45" t="s">
        <v>43</v>
      </c>
      <c r="I4" s="46">
        <v>2021</v>
      </c>
      <c r="J4" s="46">
        <v>2020</v>
      </c>
      <c r="K4" s="47" t="s">
        <v>0</v>
      </c>
      <c r="L4" s="3"/>
    </row>
    <row r="5" spans="1:15" x14ac:dyDescent="0.2">
      <c r="A5" s="3"/>
      <c r="B5" s="8" t="s">
        <v>1</v>
      </c>
      <c r="C5" s="9">
        <f>80000*8.6</f>
        <v>688000</v>
      </c>
      <c r="D5" s="9">
        <v>517293</v>
      </c>
      <c r="E5" s="10">
        <v>0.33</v>
      </c>
      <c r="F5" s="7"/>
      <c r="G5" s="7"/>
      <c r="H5" s="8" t="s">
        <v>1</v>
      </c>
      <c r="I5" s="9">
        <f>C5/8.6</f>
        <v>80000</v>
      </c>
      <c r="J5" s="9">
        <f>D5/9.2</f>
        <v>56227.500000000007</v>
      </c>
      <c r="K5" s="10">
        <v>0.42</v>
      </c>
      <c r="L5" s="3"/>
    </row>
    <row r="6" spans="1:15" x14ac:dyDescent="0.2">
      <c r="A6" s="3"/>
      <c r="B6" s="11" t="s">
        <v>2</v>
      </c>
      <c r="C6" s="12">
        <f>SUM(C7:C9)</f>
        <v>15956</v>
      </c>
      <c r="D6" s="12">
        <f>SUM(D7:D9)</f>
        <v>11084</v>
      </c>
      <c r="E6" s="13">
        <f t="shared" ref="E6" si="0">C6/D6-1</f>
        <v>0.43955250811981239</v>
      </c>
      <c r="F6" s="7"/>
      <c r="G6" s="7"/>
      <c r="H6" s="11" t="s">
        <v>2</v>
      </c>
      <c r="I6" s="12">
        <f t="shared" ref="I6:I9" si="1">C6/8.6</f>
        <v>1855.3488372093025</v>
      </c>
      <c r="J6" s="12">
        <f>D6/9.2</f>
        <v>1204.7826086956522</v>
      </c>
      <c r="K6" s="13">
        <f t="shared" ref="K6" si="2">I6/J6-1</f>
        <v>0.53998640403514808</v>
      </c>
      <c r="L6" s="3"/>
    </row>
    <row r="7" spans="1:15" x14ac:dyDescent="0.2">
      <c r="A7" s="3"/>
      <c r="B7" s="14" t="s">
        <v>6</v>
      </c>
      <c r="C7" s="15">
        <v>4040</v>
      </c>
      <c r="D7" s="15">
        <v>3265</v>
      </c>
      <c r="E7" s="16">
        <f>C7/D7-1</f>
        <v>0.2373660030627871</v>
      </c>
      <c r="F7" s="7"/>
      <c r="G7" s="7"/>
      <c r="H7" s="14" t="s">
        <v>6</v>
      </c>
      <c r="I7" s="15">
        <f t="shared" si="1"/>
        <v>469.76744186046511</v>
      </c>
      <c r="J7" s="15">
        <f t="shared" ref="J7:J9" si="3">D7/9.2</f>
        <v>354.89130434782612</v>
      </c>
      <c r="K7" s="16">
        <f>I7/J7-1</f>
        <v>0.32369386374158604</v>
      </c>
      <c r="L7" s="3"/>
    </row>
    <row r="8" spans="1:15" x14ac:dyDescent="0.2">
      <c r="A8" s="3"/>
      <c r="B8" s="14" t="s">
        <v>7</v>
      </c>
      <c r="C8" s="15">
        <v>11253</v>
      </c>
      <c r="D8" s="15">
        <v>7673</v>
      </c>
      <c r="E8" s="16">
        <f>C8/D8-1</f>
        <v>0.46657109344454573</v>
      </c>
      <c r="F8" s="7"/>
      <c r="G8" s="7"/>
      <c r="H8" s="14" t="s">
        <v>7</v>
      </c>
      <c r="I8" s="15">
        <f t="shared" si="1"/>
        <v>1308.4883720930234</v>
      </c>
      <c r="J8" s="15">
        <f t="shared" si="3"/>
        <v>834.02173913043487</v>
      </c>
      <c r="K8" s="16">
        <f>I8/J8-1</f>
        <v>0.56889000694067682</v>
      </c>
      <c r="L8" s="3"/>
    </row>
    <row r="9" spans="1:15" x14ac:dyDescent="0.2">
      <c r="A9" s="3"/>
      <c r="B9" s="14" t="s">
        <v>8</v>
      </c>
      <c r="C9" s="15">
        <v>663</v>
      </c>
      <c r="D9" s="15">
        <v>146</v>
      </c>
      <c r="E9" s="16">
        <f>C9/D9-1</f>
        <v>3.5410958904109586</v>
      </c>
      <c r="F9" s="7"/>
      <c r="G9" s="7"/>
      <c r="H9" s="14" t="s">
        <v>8</v>
      </c>
      <c r="I9" s="15">
        <f t="shared" si="1"/>
        <v>77.093023255813961</v>
      </c>
      <c r="J9" s="15">
        <f t="shared" si="3"/>
        <v>15.869565217391306</v>
      </c>
      <c r="K9" s="16">
        <f>I9/J9-1</f>
        <v>3.8579165339280026</v>
      </c>
      <c r="L9" s="3"/>
    </row>
    <row r="10" spans="1:15" x14ac:dyDescent="0.2">
      <c r="A10" s="3"/>
      <c r="B10" s="11" t="s">
        <v>3</v>
      </c>
      <c r="C10" s="17">
        <f>C6/C5</f>
        <v>2.319186046511628E-2</v>
      </c>
      <c r="D10" s="17">
        <f>D6/D5</f>
        <v>2.1426928259226395E-2</v>
      </c>
      <c r="E10" s="18"/>
      <c r="F10" s="7"/>
      <c r="G10" s="7"/>
      <c r="H10" s="11" t="s">
        <v>3</v>
      </c>
      <c r="I10" s="17">
        <f>I6/I5</f>
        <v>2.319186046511628E-2</v>
      </c>
      <c r="J10" s="17">
        <f>J6/J5</f>
        <v>2.1426928259226395E-2</v>
      </c>
      <c r="K10" s="18"/>
      <c r="L10" s="3"/>
      <c r="O10" s="40"/>
    </row>
    <row r="11" spans="1:15" x14ac:dyDescent="0.2">
      <c r="A11" s="3"/>
      <c r="B11" s="11"/>
      <c r="C11" s="19"/>
      <c r="D11" s="19"/>
      <c r="E11" s="18"/>
      <c r="F11" s="7"/>
      <c r="G11" s="7"/>
      <c r="H11" s="11"/>
      <c r="I11" s="19"/>
      <c r="J11" s="19"/>
      <c r="K11" s="18"/>
      <c r="L11" s="3"/>
      <c r="O11" s="40"/>
    </row>
    <row r="12" spans="1:15" x14ac:dyDescent="0.2">
      <c r="A12" s="3"/>
      <c r="B12" s="20" t="s">
        <v>18</v>
      </c>
      <c r="C12" s="12">
        <f>-(C6-C18)</f>
        <v>-2201</v>
      </c>
      <c r="D12" s="12">
        <f>-(D6-D18)</f>
        <v>-1084</v>
      </c>
      <c r="E12" s="13">
        <f>C12/D12-1</f>
        <v>1.0304428044280445</v>
      </c>
      <c r="F12" s="7"/>
      <c r="G12" s="7"/>
      <c r="H12" s="20" t="s">
        <v>18</v>
      </c>
      <c r="I12" s="12">
        <f>-(I6-I18)</f>
        <v>-255.93023255813955</v>
      </c>
      <c r="J12" s="12">
        <f>D12/9.2</f>
        <v>-117.82608695652175</v>
      </c>
      <c r="K12" s="13">
        <f>I12/J12-1</f>
        <v>1.1721016047369774</v>
      </c>
      <c r="L12" s="3"/>
      <c r="O12" s="41"/>
    </row>
    <row r="13" spans="1:15" x14ac:dyDescent="0.2">
      <c r="A13" s="3"/>
      <c r="B13" s="14" t="s">
        <v>20</v>
      </c>
      <c r="C13" s="15">
        <v>-822</v>
      </c>
      <c r="D13" s="15">
        <v>-601</v>
      </c>
      <c r="E13" s="16">
        <f t="shared" ref="E13:E14" si="4">C13/D13-1</f>
        <v>0.36772046589018292</v>
      </c>
      <c r="F13" s="7"/>
      <c r="G13" s="7"/>
      <c r="H13" s="14" t="s">
        <v>20</v>
      </c>
      <c r="I13" s="15">
        <f>C13/8.6</f>
        <v>-95.581395348837219</v>
      </c>
      <c r="J13" s="15">
        <f t="shared" ref="J13:J15" si="5">D13/9.2</f>
        <v>-65.326086956521749</v>
      </c>
      <c r="K13" s="16">
        <f t="shared" ref="K13:K15" si="6">I13/J13-1</f>
        <v>0.46314282397554463</v>
      </c>
      <c r="L13" s="3"/>
    </row>
    <row r="14" spans="1:15" x14ac:dyDescent="0.2">
      <c r="A14" s="3"/>
      <c r="B14" s="14" t="s">
        <v>19</v>
      </c>
      <c r="C14" s="15">
        <v>-710</v>
      </c>
      <c r="D14" s="15">
        <v>-574</v>
      </c>
      <c r="E14" s="16">
        <f t="shared" si="4"/>
        <v>0.23693379790940772</v>
      </c>
      <c r="F14" s="7"/>
      <c r="G14" s="7"/>
      <c r="H14" s="14" t="s">
        <v>19</v>
      </c>
      <c r="I14" s="15">
        <f>C14/8.6</f>
        <v>-82.558139534883722</v>
      </c>
      <c r="J14" s="15">
        <f t="shared" si="5"/>
        <v>-62.391304347826093</v>
      </c>
      <c r="K14" s="16">
        <f t="shared" si="6"/>
        <v>0.32323150474029649</v>
      </c>
      <c r="L14" s="3"/>
    </row>
    <row r="15" spans="1:15" x14ac:dyDescent="0.2">
      <c r="A15" s="3"/>
      <c r="B15" s="14" t="s">
        <v>14</v>
      </c>
      <c r="C15" s="15">
        <f>C12-C13-C14</f>
        <v>-669</v>
      </c>
      <c r="D15" s="15">
        <f>D12-D13-D14</f>
        <v>91</v>
      </c>
      <c r="E15" s="16"/>
      <c r="F15" s="7"/>
      <c r="G15" s="7"/>
      <c r="H15" s="14" t="s">
        <v>14</v>
      </c>
      <c r="I15" s="15">
        <f>C15/8.6</f>
        <v>-77.79069767441861</v>
      </c>
      <c r="J15" s="15">
        <f t="shared" si="5"/>
        <v>9.8913043478260878</v>
      </c>
      <c r="K15" s="16">
        <f t="shared" si="6"/>
        <v>-8.864554050600562</v>
      </c>
      <c r="L15" s="3"/>
    </row>
    <row r="16" spans="1:15" x14ac:dyDescent="0.2">
      <c r="A16" s="3"/>
      <c r="B16" s="11"/>
      <c r="C16" s="19"/>
      <c r="D16" s="19"/>
      <c r="E16" s="18"/>
      <c r="F16" s="7"/>
      <c r="G16" s="7"/>
      <c r="H16" s="11"/>
      <c r="I16" s="19"/>
      <c r="J16" s="19"/>
      <c r="K16" s="18"/>
      <c r="L16" s="3"/>
    </row>
    <row r="17" spans="1:12" x14ac:dyDescent="0.2">
      <c r="A17" s="3"/>
      <c r="B17" s="11"/>
      <c r="C17" s="19"/>
      <c r="D17" s="19"/>
      <c r="E17" s="18"/>
      <c r="F17" s="7"/>
      <c r="G17" s="7"/>
      <c r="H17" s="11"/>
      <c r="I17" s="19"/>
      <c r="J17" s="19"/>
      <c r="K17" s="18"/>
      <c r="L17" s="3"/>
    </row>
    <row r="18" spans="1:12" x14ac:dyDescent="0.2">
      <c r="A18" s="3"/>
      <c r="B18" s="11" t="s">
        <v>4</v>
      </c>
      <c r="C18" s="12">
        <v>13755</v>
      </c>
      <c r="D18" s="12">
        <v>10000</v>
      </c>
      <c r="E18" s="13">
        <f>C18/D18-1</f>
        <v>0.37549999999999994</v>
      </c>
      <c r="F18" s="7"/>
      <c r="G18" s="7"/>
      <c r="H18" s="11" t="s">
        <v>4</v>
      </c>
      <c r="I18" s="12">
        <f>C18/8.6</f>
        <v>1599.4186046511629</v>
      </c>
      <c r="J18" s="12">
        <f>D18/9.2</f>
        <v>1086.9565217391305</v>
      </c>
      <c r="K18" s="13">
        <f>I18/J18-1</f>
        <v>0.47146511627906973</v>
      </c>
      <c r="L18" s="3"/>
    </row>
    <row r="19" spans="1:12" x14ac:dyDescent="0.2">
      <c r="A19" s="3"/>
      <c r="B19" s="14" t="s">
        <v>9</v>
      </c>
      <c r="C19" s="21">
        <v>0.16500000000000001</v>
      </c>
      <c r="D19" s="21">
        <v>0.23499999999999999</v>
      </c>
      <c r="E19" s="13"/>
      <c r="F19" s="7"/>
      <c r="G19" s="7"/>
      <c r="H19" s="14" t="s">
        <v>9</v>
      </c>
      <c r="I19" s="21">
        <v>0.16500000000000001</v>
      </c>
      <c r="J19" s="21">
        <v>0.23499999999999999</v>
      </c>
      <c r="K19" s="51">
        <f>I18*1.2</f>
        <v>1919.3023255813955</v>
      </c>
      <c r="L19" s="3"/>
    </row>
    <row r="20" spans="1:12" x14ac:dyDescent="0.2">
      <c r="A20" s="3"/>
      <c r="B20" s="14" t="s">
        <v>10</v>
      </c>
      <c r="C20" s="21">
        <v>0.33800000000000002</v>
      </c>
      <c r="D20" s="21">
        <v>0.33600000000000002</v>
      </c>
      <c r="E20" s="13"/>
      <c r="F20" s="7"/>
      <c r="G20" s="7"/>
      <c r="H20" s="14" t="s">
        <v>10</v>
      </c>
      <c r="I20" s="21">
        <v>0.33800000000000002</v>
      </c>
      <c r="J20" s="21">
        <v>0.33600000000000002</v>
      </c>
      <c r="K20" s="13"/>
      <c r="L20" s="3"/>
    </row>
    <row r="21" spans="1:12" x14ac:dyDescent="0.2">
      <c r="A21" s="3"/>
      <c r="B21" s="14" t="s">
        <v>11</v>
      </c>
      <c r="C21" s="21">
        <v>0.497</v>
      </c>
      <c r="D21" s="21">
        <v>0.439</v>
      </c>
      <c r="E21" s="13"/>
      <c r="F21" s="7"/>
      <c r="G21" s="7"/>
      <c r="H21" s="14" t="s">
        <v>11</v>
      </c>
      <c r="I21" s="21">
        <v>0.497</v>
      </c>
      <c r="J21" s="21">
        <v>0.439</v>
      </c>
      <c r="K21" s="13"/>
      <c r="L21" s="3"/>
    </row>
    <row r="22" spans="1:12" x14ac:dyDescent="0.2">
      <c r="A22" s="3"/>
      <c r="B22" s="11" t="s">
        <v>5</v>
      </c>
      <c r="C22" s="22">
        <f>C18/C6</f>
        <v>0.86205815993983459</v>
      </c>
      <c r="D22" s="22">
        <f>D18/D6</f>
        <v>0.90220137134608447</v>
      </c>
      <c r="E22" s="13"/>
      <c r="F22" s="7"/>
      <c r="G22" s="7"/>
      <c r="H22" s="11" t="s">
        <v>5</v>
      </c>
      <c r="I22" s="22">
        <f>I18/I6</f>
        <v>0.86205815993983459</v>
      </c>
      <c r="J22" s="22">
        <f>J18/J6</f>
        <v>0.90220137134608447</v>
      </c>
      <c r="K22" s="13"/>
      <c r="L22" s="3"/>
    </row>
    <row r="23" spans="1:12" x14ac:dyDescent="0.2">
      <c r="A23" s="3"/>
      <c r="B23" s="11"/>
      <c r="C23" s="19"/>
      <c r="D23" s="19"/>
      <c r="E23" s="18"/>
      <c r="F23" s="7"/>
      <c r="G23" s="7"/>
      <c r="H23" s="11"/>
      <c r="I23" s="19"/>
      <c r="J23" s="19"/>
      <c r="K23" s="18"/>
      <c r="L23" s="3"/>
    </row>
    <row r="24" spans="1:12" x14ac:dyDescent="0.2">
      <c r="A24" s="3"/>
      <c r="B24" s="11" t="s">
        <v>12</v>
      </c>
      <c r="C24" s="12">
        <v>-15033</v>
      </c>
      <c r="D24" s="12">
        <v>-8680</v>
      </c>
      <c r="E24" s="13">
        <f>C24/D24-1</f>
        <v>0.73191244239631326</v>
      </c>
      <c r="F24" s="7"/>
      <c r="G24" s="7"/>
      <c r="H24" s="11" t="s">
        <v>12</v>
      </c>
      <c r="I24" s="12">
        <f>C24/8.6</f>
        <v>-1748.0232558139535</v>
      </c>
      <c r="J24" s="12">
        <f>D24/9.2</f>
        <v>-943.47826086956525</v>
      </c>
      <c r="K24" s="13">
        <f>I24/J24-1</f>
        <v>0.85274354302861433</v>
      </c>
      <c r="L24" s="3"/>
    </row>
    <row r="25" spans="1:12" x14ac:dyDescent="0.2">
      <c r="A25" s="3"/>
      <c r="B25" s="11" t="s">
        <v>13</v>
      </c>
      <c r="C25" s="12">
        <v>-4647</v>
      </c>
      <c r="D25" s="12">
        <v>-2531</v>
      </c>
      <c r="E25" s="13">
        <f>C25/D25-1</f>
        <v>0.83603318846305807</v>
      </c>
      <c r="F25" s="7"/>
      <c r="G25" s="7"/>
      <c r="H25" s="11" t="s">
        <v>13</v>
      </c>
      <c r="I25" s="12">
        <f t="shared" ref="I25:I26" si="7">C25/8.6</f>
        <v>-540.34883720930236</v>
      </c>
      <c r="J25" s="12">
        <f>D25/9.2</f>
        <v>-275.10869565217394</v>
      </c>
      <c r="K25" s="13">
        <f>I25/J25-1</f>
        <v>0.96412852719303888</v>
      </c>
      <c r="L25" s="3"/>
    </row>
    <row r="26" spans="1:12" x14ac:dyDescent="0.2">
      <c r="A26" s="3"/>
      <c r="B26" s="11" t="s">
        <v>14</v>
      </c>
      <c r="C26" s="12">
        <f>-(C18+C24+C25-C28)</f>
        <v>-1168</v>
      </c>
      <c r="D26" s="12">
        <f>-(D18+D24+D25-D28)</f>
        <v>-165</v>
      </c>
      <c r="E26" s="13">
        <f>C26/D26-1</f>
        <v>6.0787878787878791</v>
      </c>
      <c r="F26" s="7"/>
      <c r="G26" s="7"/>
      <c r="H26" s="11" t="s">
        <v>14</v>
      </c>
      <c r="I26" s="12">
        <f t="shared" si="7"/>
        <v>-135.81395348837211</v>
      </c>
      <c r="J26" s="12">
        <f>D26/9.2</f>
        <v>-17.934782608695652</v>
      </c>
      <c r="K26" s="13">
        <f>I26/J26-1</f>
        <v>6.5726568005637782</v>
      </c>
      <c r="L26" s="3"/>
    </row>
    <row r="27" spans="1:12" x14ac:dyDescent="0.2">
      <c r="A27" s="3"/>
      <c r="B27" s="11"/>
      <c r="C27" s="12"/>
      <c r="D27" s="12"/>
      <c r="E27" s="18"/>
      <c r="F27" s="7"/>
      <c r="G27" s="7"/>
      <c r="H27" s="11"/>
      <c r="I27" s="12"/>
      <c r="J27" s="12"/>
      <c r="K27" s="18"/>
      <c r="L27" s="3"/>
    </row>
    <row r="28" spans="1:12" x14ac:dyDescent="0.2">
      <c r="A28" s="3"/>
      <c r="B28" s="11" t="s">
        <v>15</v>
      </c>
      <c r="C28" s="12">
        <v>-7093</v>
      </c>
      <c r="D28" s="12">
        <v>-1376</v>
      </c>
      <c r="E28" s="13">
        <f>C28/D28-1</f>
        <v>4.1547965116279073</v>
      </c>
      <c r="F28" s="7"/>
      <c r="G28" s="7"/>
      <c r="H28" s="11" t="s">
        <v>15</v>
      </c>
      <c r="I28" s="12">
        <f>C28/8.6</f>
        <v>-824.76744186046517</v>
      </c>
      <c r="J28" s="12">
        <f>D28/9.2</f>
        <v>-149.56521739130437</v>
      </c>
      <c r="K28" s="13">
        <f>I28/J28-1</f>
        <v>4.5144334775554347</v>
      </c>
      <c r="L28" s="3"/>
    </row>
    <row r="29" spans="1:12" x14ac:dyDescent="0.2">
      <c r="A29" s="3"/>
      <c r="B29" s="23" t="s">
        <v>17</v>
      </c>
      <c r="C29" s="24">
        <f>C28/C6</f>
        <v>-0.4445349711707195</v>
      </c>
      <c r="D29" s="24">
        <f>D28/D6</f>
        <v>-0.12414290869722122</v>
      </c>
      <c r="E29" s="25"/>
      <c r="F29" s="7"/>
      <c r="G29" s="7"/>
      <c r="H29" s="23" t="s">
        <v>17</v>
      </c>
      <c r="I29" s="24">
        <f>I28/I6</f>
        <v>-0.4445349711707195</v>
      </c>
      <c r="J29" s="24">
        <f>J28/J6</f>
        <v>-0.12414290869722124</v>
      </c>
      <c r="K29" s="25"/>
      <c r="L29" s="3"/>
    </row>
    <row r="30" spans="1:12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</sheetData>
  <mergeCells count="1">
    <mergeCell ref="B1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Financial Dynamics (Sek)</vt:lpstr>
      <vt:lpstr>Financial Dynamics ($)</vt:lpstr>
      <vt:lpstr>H1 2022 Results</vt:lpstr>
      <vt:lpstr>TTM Results</vt:lpstr>
      <vt:lpstr>PnL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Ермилов Александр Алексеевич</dc:creator>
  <cp:lastModifiedBy>Ермилов Александр Алексеевич</cp:lastModifiedBy>
  <dcterms:created xsi:type="dcterms:W3CDTF">2022-03-01T17:10:57Z</dcterms:created>
  <dcterms:modified xsi:type="dcterms:W3CDTF">2022-09-02T16:50:11Z</dcterms:modified>
</cp:coreProperties>
</file>