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56057\Desktop\"/>
    </mc:Choice>
  </mc:AlternateContent>
  <xr:revisionPtr revIDLastSave="0" documentId="13_ncr:1_{A7251CA4-6107-4A2D-B4B7-8135B984C06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VTv1r1.2" sheetId="1" r:id="rId1"/>
    <sheet name="Sheet1" sheetId="2" r:id="rId2"/>
  </sheets>
  <definedNames>
    <definedName name="ACT_FIELD_RATE">'CVTv1r1.2'!$Q$59</definedName>
    <definedName name="ACT_FRAME_RATE">'CVTv1r1.2'!$Q$60</definedName>
    <definedName name="ACT_H_FREQ">'CVTv1r1.2'!$Q$57</definedName>
    <definedName name="ACT_PIXEL_FREQ">'CVTv1r1.2'!$Q$62</definedName>
    <definedName name="ACT_VBI_LINES">'CVTv1r1.2'!$Y$37</definedName>
    <definedName name="ASPECT_RATIO">'CVTv1r1.2'!$F$60</definedName>
    <definedName name="BOT_MARGIN">'CVTv1r1.2'!$Q$46</definedName>
    <definedName name="C_PRIME">'CVTv1r1.2'!$K$142</definedName>
    <definedName name="CELL_GRAN">'CVTv1r1.2'!$K$111</definedName>
    <definedName name="CELL_GRAN_RND">'CVTv1r1.2'!$Q$24</definedName>
    <definedName name="CLOCK_STEP">'CVTv1r1.2'!$K$160</definedName>
    <definedName name="DPBitsPerPixel">'CVTv1r1.2'!$K$40</definedName>
    <definedName name="DPEncodingOverhead">'CVTv1r1.2'!#REF!</definedName>
    <definedName name="DPLanes">'CVTv1r1.2'!$K$41</definedName>
    <definedName name="DPModeEncodingOverhead">'CVTv1r1.2'!$Y$63</definedName>
    <definedName name="DPRate">'CVTv1r1.2'!$K$42</definedName>
    <definedName name="FrameRate_Error">'CVTv1r1.2'!$Y$61</definedName>
    <definedName name="GTF_C_VAR">'CVTv1r1.2'!$K$137</definedName>
    <definedName name="GTF_J_VAR">'CVTv1r1.2'!$K$139</definedName>
    <definedName name="GTF_K_VAR">'CVTv1r1.2'!$K$138</definedName>
    <definedName name="GTF_M_VAR">'CVTv1r1.2'!$K$136</definedName>
    <definedName name="H_BACK_PORCH">'CVTv1r1.2'!$Q$73</definedName>
    <definedName name="H_BLANK">'CVTv1r1.2'!$Q$67</definedName>
    <definedName name="H_FRONT_PORCH">'CVTv1r1.2'!$Q$69</definedName>
    <definedName name="H_PERIOD">'CVTv1r1.2'!#REF!</definedName>
    <definedName name="H_PERIOD_EST">'CVTv1r1.2'!$Q$54</definedName>
    <definedName name="H_PIXELS">'CVTv1r1.2'!$K$24</definedName>
    <definedName name="H_PIXELS_RND">'CVTv1r1.2'!$Q$32</definedName>
    <definedName name="H_SYNC_PER">'CVTv1r1.2'!$U$25</definedName>
    <definedName name="H_SYNC_RND">'CVTv1r1.2'!$Q$71</definedName>
    <definedName name="IDEAL_DUTY_CYCLE">'CVTv1r1.2'!$U$43</definedName>
    <definedName name="INT_RQD?">'CVTv1r1.2'!$K$27</definedName>
    <definedName name="INTERLACE">'CVTv1r1.2'!$Q$49</definedName>
    <definedName name="IP_FREQ_RQD">'CVTv1r1.2'!$K$28</definedName>
    <definedName name="LEFT_MARGIN">'CVTv1r1.2'!$Q$35</definedName>
    <definedName name="M_PRIME">'CVTv1r1.2'!$K$141</definedName>
    <definedName name="MARGIN_PER">'CVTv1r1.2'!$Q$25</definedName>
    <definedName name="MARGINS_RQD?">'CVTv1r1.2'!$K$26</definedName>
    <definedName name="MIN_V_BPORCH">'CVTv1r1.2'!$K$128</definedName>
    <definedName name="MIN_V_PORCH">'CVTv1r1.2'!$K$129</definedName>
    <definedName name="MIN_V_PORCH_RND">'CVTv1r1.2'!$Q$26</definedName>
    <definedName name="MIN_VSYNC_BP">'CVTv1r1.2'!$U$24</definedName>
    <definedName name="PIXEL_FREQ">'CVTv1r1.2'!#REF!</definedName>
    <definedName name="_xlnm.Print_Area" localSheetId="0">'CVTv1r1.2'!$A$47:$M$97</definedName>
    <definedName name="_xlnm.Print_Titles" localSheetId="0">'CVTv1r1.2'!$1:$21</definedName>
    <definedName name="RB_H_BLANK">'CVTv1r1.2'!$Y$26</definedName>
    <definedName name="RB_H_SYNC">'CVTv1r1.2'!$Y$25</definedName>
    <definedName name="RB_MIN_V_BLANK">'CVTv1r1.2'!$Y$24</definedName>
    <definedName name="RB_MIN_V_BPORCH">'CVTv1r1.2'!$K$156</definedName>
    <definedName name="RB_MIN_VBI">'CVTv1r1.2'!$Y$36</definedName>
    <definedName name="RB_V_FPORCH">'CVTv1r1.2'!$K$152</definedName>
    <definedName name="RB_V_SYNC">'CVTv1r1.2'!#REF!</definedName>
    <definedName name="RED_BLANK_RQD?">'CVTv1r1.2'!$K$29</definedName>
    <definedName name="RED_BLANK_VER">'CVTv1r1.2'!$K$30</definedName>
    <definedName name="RED_BLANK_VER2">'CVTv1r1.2'!$K$30</definedName>
    <definedName name="RIGHT_MARGIN">'CVTv1r1.2'!$Q$36</definedName>
    <definedName name="TOP_MARGIN">'CVTv1r1.2'!$Q$45</definedName>
    <definedName name="TOTAL_ACTIVE_PIXELS">'CVTv1r1.2'!$Q$39</definedName>
    <definedName name="TOTAL_PIXELS">'CVTv1r1.2'!$Q$65</definedName>
    <definedName name="TOTAL_V_LINES">'CVTv1r1.2'!$Q$76</definedName>
    <definedName name="V_BACK_PORCH">'CVTv1r1.2'!$Q$84</definedName>
    <definedName name="V_BLANK">'CVTv1r1.2'!$Q$78</definedName>
    <definedName name="V_FIELD_RATE">'CVTv1r1.2'!#REF!</definedName>
    <definedName name="V_FIELD_RATE_EST">'CVTv1r1.2'!#REF!</definedName>
    <definedName name="V_FIELD_RATE_RQD">'CVTv1r1.2'!$Q$29</definedName>
    <definedName name="V_FRAME_RATE">'CVTv1r1.2'!#REF!</definedName>
    <definedName name="V_FRONT_PORCH">'CVTv1r1.2'!$Q$80</definedName>
    <definedName name="V_LINES">'CVTv1r1.2'!$K$25</definedName>
    <definedName name="V_LINES_RND">'CVTv1r1.2'!$Q$42</definedName>
    <definedName name="V_SYNC">'CVTv1r1.2'!$K$119</definedName>
    <definedName name="V_SYNC_BP">'CVTv1r1.2'!$U$34</definedName>
    <definedName name="V_SYNC_RND">'CVTv1r1.2'!$Q$82</definedName>
    <definedName name="VBI_LINES">'CVTv1r1.2'!$Y$32</definedName>
    <definedName name="Version">'CVTv1r1.2'!$L$29</definedName>
    <definedName name="VIDEO_OPT">'CVTv1r1.2'!$K$31</definedName>
    <definedName name="VSYNC_WIDTH_TABLE">'CVTv1r1.2'!$D$167:$E$174</definedName>
  </definedNames>
  <calcPr calcId="191029" concurrentCalc="0"/>
</workbook>
</file>

<file path=xl/calcChain.xml><?xml version="1.0" encoding="utf-8"?>
<calcChain xmlns="http://schemas.openxmlformats.org/spreadsheetml/2006/main">
  <c r="E168" i="1" l="1"/>
  <c r="E169" i="1"/>
  <c r="E170" i="1"/>
  <c r="E172" i="1"/>
  <c r="E173" i="1"/>
  <c r="E174" i="1"/>
  <c r="K160" i="1"/>
  <c r="K156" i="1"/>
  <c r="K152" i="1"/>
  <c r="K146" i="1"/>
  <c r="K142" i="1"/>
  <c r="K141" i="1"/>
  <c r="K111" i="1"/>
  <c r="Q24" i="1"/>
  <c r="Q32" i="1"/>
  <c r="F53" i="1"/>
  <c r="F60" i="1"/>
  <c r="K119" i="1"/>
  <c r="C92" i="1"/>
  <c r="M91" i="1"/>
  <c r="L91" i="1"/>
  <c r="Q46" i="1"/>
  <c r="J91" i="1"/>
  <c r="I91" i="1"/>
  <c r="H91" i="1"/>
  <c r="Q29" i="1"/>
  <c r="Y24" i="1"/>
  <c r="Q42" i="1"/>
  <c r="Q45" i="1"/>
  <c r="Y29" i="1"/>
  <c r="Q54" i="1"/>
  <c r="Y32" i="1"/>
  <c r="Q82" i="1"/>
  <c r="Y36" i="1"/>
  <c r="Y37" i="1"/>
  <c r="Q49" i="1"/>
  <c r="Y40" i="1"/>
  <c r="Q76" i="1"/>
  <c r="Y26" i="1"/>
  <c r="Q35" i="1"/>
  <c r="Q36" i="1"/>
  <c r="Q39" i="1"/>
  <c r="Y43" i="1"/>
  <c r="Q65" i="1"/>
  <c r="Y46" i="1"/>
  <c r="Q62" i="1"/>
  <c r="Y50" i="1"/>
  <c r="Q57" i="1"/>
  <c r="F91" i="1"/>
  <c r="M90" i="1"/>
  <c r="L90" i="1"/>
  <c r="Q78" i="1"/>
  <c r="Q80" i="1"/>
  <c r="Q84" i="1"/>
  <c r="J90" i="1"/>
  <c r="I90" i="1"/>
  <c r="H90" i="1"/>
  <c r="F90" i="1"/>
  <c r="M89" i="1"/>
  <c r="L89" i="1"/>
  <c r="J89" i="1"/>
  <c r="I89" i="1"/>
  <c r="H89" i="1"/>
  <c r="F89" i="1"/>
  <c r="M88" i="1"/>
  <c r="L88" i="1"/>
  <c r="J88" i="1"/>
  <c r="I88" i="1"/>
  <c r="H88" i="1"/>
  <c r="F88" i="1"/>
  <c r="M87" i="1"/>
  <c r="L87" i="1"/>
  <c r="J87" i="1"/>
  <c r="I87" i="1"/>
  <c r="H87" i="1"/>
  <c r="F87" i="1"/>
  <c r="M86" i="1"/>
  <c r="L86" i="1"/>
  <c r="J86" i="1"/>
  <c r="I86" i="1"/>
  <c r="H86" i="1"/>
  <c r="F86" i="1"/>
  <c r="L85" i="1"/>
  <c r="J85" i="1"/>
  <c r="H85" i="1"/>
  <c r="F85" i="1"/>
  <c r="M83" i="1"/>
  <c r="L83" i="1"/>
  <c r="J83" i="1"/>
  <c r="I83" i="1"/>
  <c r="H83" i="1"/>
  <c r="F83" i="1"/>
  <c r="M82" i="1"/>
  <c r="L82" i="1"/>
  <c r="J82" i="1"/>
  <c r="I82" i="1"/>
  <c r="H82" i="1"/>
  <c r="F82" i="1"/>
  <c r="L81" i="1"/>
  <c r="J81" i="1"/>
  <c r="H81" i="1"/>
  <c r="F81" i="1"/>
  <c r="J79" i="1"/>
  <c r="H79" i="1"/>
  <c r="F79" i="1"/>
  <c r="Q67" i="1"/>
  <c r="Q73" i="1"/>
  <c r="J78" i="1"/>
  <c r="H78" i="1"/>
  <c r="F78" i="1"/>
  <c r="Y25" i="1"/>
  <c r="Q71" i="1"/>
  <c r="J77" i="1"/>
  <c r="H77" i="1"/>
  <c r="F77" i="1"/>
  <c r="Q69" i="1"/>
  <c r="J76" i="1"/>
  <c r="H76" i="1"/>
  <c r="F76" i="1"/>
  <c r="J75" i="1"/>
  <c r="H75" i="1"/>
  <c r="F75" i="1"/>
  <c r="F74" i="1"/>
  <c r="F73" i="1"/>
  <c r="U43" i="1"/>
  <c r="F71" i="1"/>
  <c r="J70" i="1"/>
  <c r="H70" i="1"/>
  <c r="F70" i="1"/>
  <c r="J69" i="1"/>
  <c r="H69" i="1"/>
  <c r="F69" i="1"/>
  <c r="J66" i="1"/>
  <c r="H66" i="1"/>
  <c r="F66" i="1"/>
  <c r="J65" i="1"/>
  <c r="H65" i="1"/>
  <c r="F65" i="1"/>
  <c r="Y63" i="1"/>
  <c r="Y62" i="1"/>
  <c r="Y53" i="1"/>
  <c r="Q59" i="1"/>
  <c r="U62" i="1"/>
  <c r="F62" i="1"/>
  <c r="Y56" i="1"/>
  <c r="Y61" i="1"/>
  <c r="O31" i="1"/>
  <c r="O34" i="1"/>
  <c r="O38" i="1"/>
  <c r="O41" i="1"/>
  <c r="O44" i="1"/>
  <c r="O48" i="1"/>
  <c r="S28" i="1"/>
  <c r="S31" i="1"/>
  <c r="S36" i="1"/>
  <c r="S39" i="1"/>
  <c r="S42" i="1"/>
  <c r="S45" i="1"/>
  <c r="S48" i="1"/>
  <c r="S51" i="1"/>
  <c r="S55" i="1"/>
  <c r="S58" i="1"/>
  <c r="S61" i="1"/>
  <c r="F61" i="1"/>
  <c r="Q60" i="1"/>
  <c r="H60" i="1"/>
  <c r="U59" i="1"/>
  <c r="F59" i="1"/>
  <c r="J58" i="1"/>
  <c r="F58" i="1"/>
  <c r="F57" i="1"/>
  <c r="U56" i="1"/>
  <c r="K56" i="1"/>
  <c r="J56" i="1"/>
  <c r="I56" i="1"/>
  <c r="F56" i="1"/>
  <c r="E56" i="1"/>
  <c r="W28" i="1"/>
  <c r="W31" i="1"/>
  <c r="W35" i="1"/>
  <c r="W39" i="1"/>
  <c r="W42" i="1"/>
  <c r="W45" i="1"/>
  <c r="W49" i="1"/>
  <c r="W52" i="1"/>
  <c r="W55" i="1"/>
  <c r="F55" i="1"/>
  <c r="K54" i="1"/>
  <c r="J54" i="1"/>
  <c r="I54" i="1"/>
  <c r="F54" i="1"/>
  <c r="E54" i="1"/>
  <c r="U53" i="1"/>
  <c r="U52" i="1"/>
  <c r="T52" i="1"/>
  <c r="AB24" i="1"/>
  <c r="AB25" i="1"/>
  <c r="AB26" i="1"/>
  <c r="AB27" i="1"/>
  <c r="AB28" i="1"/>
  <c r="AB29" i="1"/>
  <c r="AA32" i="1"/>
  <c r="D33" i="1"/>
  <c r="A50" i="1"/>
  <c r="U49" i="1"/>
  <c r="A48" i="1"/>
  <c r="Y47" i="1"/>
  <c r="X46" i="1"/>
  <c r="U46" i="1"/>
  <c r="K44" i="1"/>
  <c r="K43" i="1"/>
  <c r="U24" i="1"/>
  <c r="U32" i="1"/>
  <c r="U34" i="1"/>
  <c r="Q26" i="1"/>
  <c r="U40" i="1"/>
  <c r="U37" i="1"/>
  <c r="Y33" i="1"/>
  <c r="U33" i="1"/>
  <c r="U29" i="1"/>
  <c r="G28" i="1"/>
  <c r="U25" i="1"/>
  <c r="Q25" i="1"/>
  <c r="L25" i="1"/>
  <c r="AC24" i="1"/>
  <c r="L24" i="1"/>
</calcChain>
</file>

<file path=xl/sharedStrings.xml><?xml version="1.0" encoding="utf-8"?>
<sst xmlns="http://schemas.openxmlformats.org/spreadsheetml/2006/main" count="321" uniqueCount="244">
  <si>
    <t>VESA COORDINATED VIDEO TIMING</t>
  </si>
  <si>
    <t xml:space="preserve">GENERATOR </t>
  </si>
  <si>
    <t>May 28, 2013</t>
  </si>
  <si>
    <t>Revision 1.2</t>
  </si>
  <si>
    <t>Developed By Graham Loveridge and updated by Syed Athar Hussain</t>
  </si>
  <si>
    <t>REVISION HISTORY:</t>
  </si>
  <si>
    <t>May 28, 2013: Rev 1.2 d3</t>
  </si>
  <si>
    <t xml:space="preserve">1) </t>
  </si>
  <si>
    <t>Fixed references to bpcc based on the task group review</t>
  </si>
  <si>
    <t>Mar 30, 2013: Rev 1.2 d2</t>
  </si>
  <si>
    <t xml:space="preserve">Added DisplayPort banwidth validation </t>
  </si>
  <si>
    <t>Feb 28, 2013: Rev 1.2 d1</t>
  </si>
  <si>
    <t xml:space="preserve">Reduced blanking version 2 as per CVT spec 1.2 added by Syed Athar Hussain. </t>
  </si>
  <si>
    <t>Apr 7, 2003: Rev 1.1</t>
  </si>
  <si>
    <t>Reduced blanking vertical back porch error corrected to give 3 lines instead of 2</t>
  </si>
  <si>
    <t>Mar 26, 2003: Rev 1.0</t>
  </si>
  <si>
    <t>1)</t>
  </si>
  <si>
    <t>Based on GTF spreadsheet r1v1 developed by Andy Morrish.</t>
  </si>
  <si>
    <t>Comments, bugs, call VESA office</t>
  </si>
  <si>
    <t>Unlock Password: VESACVT</t>
  </si>
  <si>
    <t>CONSTANTS:</t>
  </si>
  <si>
    <t>STANDARD CRT TIMING SCRATCH PAD:</t>
  </si>
  <si>
    <t>REDUCED BLANKING SCRATCH PAD:</t>
  </si>
  <si>
    <t>CHECKS:</t>
  </si>
  <si>
    <t>1) Enter Desired Horizontal Pixels Here =&gt;</t>
  </si>
  <si>
    <t>CELL_GRAN_RND (Pixels) =</t>
  </si>
  <si>
    <t xml:space="preserve">MIN_VSYNC_BP (uS) = </t>
  </si>
  <si>
    <t>RB_MIN_V_BLANK (us) =</t>
  </si>
  <si>
    <t>2) Enter Desired Vertical Lines Here =&gt;</t>
  </si>
  <si>
    <t>MARGIN_PER (%) =</t>
  </si>
  <si>
    <t>H_SYNC_PER (%) =</t>
  </si>
  <si>
    <t>RB_H_SYNC (Pixels) =</t>
  </si>
  <si>
    <t>3) Enter If You Want Margins Here (Y or N) =&gt;</t>
  </si>
  <si>
    <t>n</t>
  </si>
  <si>
    <t xml:space="preserve">MIN_V_PORCH_RND (Lines) = </t>
  </si>
  <si>
    <t>RB_H_BLANK (Pixels) =</t>
  </si>
  <si>
    <t>4) Enter If You Want Interlace Here (Y or N) =&gt;</t>
  </si>
  <si>
    <t xml:space="preserve"> </t>
  </si>
  <si>
    <t>COMMON TIMING PARAMETERS:</t>
  </si>
  <si>
    <t>SPEC STEP #:</t>
  </si>
  <si>
    <t>5) Enter Vertical Scan Frame Rate Here =&gt;</t>
  </si>
  <si>
    <t>Hz</t>
  </si>
  <si>
    <t>REQUIRED FIELD RATE</t>
  </si>
  <si>
    <t>ESTIMATE HORIZ. PERIOD (us):</t>
  </si>
  <si>
    <t>6) Enter If You Want Reduced Blanking Here (Y or N)  =&gt;</t>
  </si>
  <si>
    <t>y</t>
  </si>
  <si>
    <t xml:space="preserve">V_FIELD_RATE (Hz) = </t>
  </si>
  <si>
    <t>Estimated H period =</t>
  </si>
  <si>
    <t>7) Use Reduced Blank Timing version 2  (Y or N) =&gt;</t>
  </si>
  <si>
    <t>Applicaple if  answer to question 6 is "Y"</t>
  </si>
  <si>
    <t>8) Apply (1000/1001) factor to Frame Rate for video optimized variant (Y or N) =&gt;</t>
  </si>
  <si>
    <t>Applicaple if  answer to question 6 &amp; 7 is "Y"</t>
  </si>
  <si>
    <t>HORIZONTAL PIXELS</t>
  </si>
  <si>
    <t>FIND NUMBER OF LINES IN (SYNC + BACK PORCH):</t>
  </si>
  <si>
    <t>FIND NUMBER OF LINES IN VERTICAL BLANKING:</t>
  </si>
  <si>
    <t>ERROR/WARNING MESSAGE</t>
  </si>
  <si>
    <t xml:space="preserve">H_PIXELS_RND = </t>
  </si>
  <si>
    <t>Estimated V_SYNC_BP</t>
  </si>
  <si>
    <t xml:space="preserve">VBI_LINES = </t>
  </si>
  <si>
    <t>STATUS:</t>
  </si>
  <si>
    <t>(Actual value =)</t>
  </si>
  <si>
    <t>(Actual value)</t>
  </si>
  <si>
    <t>DETERMINE LEFT &amp; RIGHT BORDERS</t>
  </si>
  <si>
    <t>V_SYNC_BP</t>
  </si>
  <si>
    <t xml:space="preserve">LEFT_MARGIN = </t>
  </si>
  <si>
    <t>CHECK VERTICAL BLANKING IS SUFFICENT</t>
  </si>
  <si>
    <t xml:space="preserve">RIGHT_MARGIN = </t>
  </si>
  <si>
    <t>FIND NUMBER OF LINES IN BACK PORCH (Lines):</t>
  </si>
  <si>
    <t>Minimum VBI Lines=</t>
  </si>
  <si>
    <t>Back porch =</t>
  </si>
  <si>
    <t>ACT_VBI_LINES =</t>
  </si>
  <si>
    <t>FIND TOTAL ACTIVE PIXELS</t>
  </si>
  <si>
    <t xml:space="preserve">TOTAL_ACTIVE_PIXELS = </t>
  </si>
  <si>
    <t>FIND TOTAL NUMBER OF LINES IN VERTICAL FIELD:</t>
  </si>
  <si>
    <t>9) Enter desired number of DisplayPort bits per pixel</t>
  </si>
  <si>
    <t>bpp</t>
  </si>
  <si>
    <t xml:space="preserve">Total lines = </t>
  </si>
  <si>
    <t>10) Enter desired number of DisplayPort lanes</t>
  </si>
  <si>
    <t>Lanes</t>
  </si>
  <si>
    <t>FIND NUMBER OF LINES PER FIELD</t>
  </si>
  <si>
    <t>11) Enter desired DisplayPort rate per lane</t>
  </si>
  <si>
    <t>Gbps</t>
  </si>
  <si>
    <t xml:space="preserve">V_LINES_RND = </t>
  </si>
  <si>
    <t>FIND IDEAL BLANKING DUTY CYCLE FROM FORMULA (%):</t>
  </si>
  <si>
    <t>FIND TOTAL NUMBER OF PIXELS IN A LINE (Pixels):</t>
  </si>
  <si>
    <t xml:space="preserve">Is the timing supported in the above DisplayPort configuration </t>
  </si>
  <si>
    <t>IDEAL_DUTY_CYCLE</t>
  </si>
  <si>
    <t>Total number of pixels=</t>
  </si>
  <si>
    <t>Required DisplayPort bandwidth for the timing</t>
  </si>
  <si>
    <t>FIND TOP &amp; BOTTOM MARGINS</t>
  </si>
  <si>
    <t xml:space="preserve">TOP_MARGIN = </t>
  </si>
  <si>
    <t>FIND BLANKING TIME TO NEAREST CHAR CELL (Pixels):</t>
  </si>
  <si>
    <t>FIND PIXEL CLOCK FREQUENCY (MHz):</t>
  </si>
  <si>
    <t xml:space="preserve">BOT_MARGIN = </t>
  </si>
  <si>
    <t>Blanking time =</t>
  </si>
  <si>
    <t>Non-rounded value =</t>
  </si>
  <si>
    <t>INTERLACE</t>
  </si>
  <si>
    <t xml:space="preserve">INTERLACE = </t>
  </si>
  <si>
    <t>FIND ACTUAL HORIZONTAL FREQUENCY (kHz):</t>
  </si>
  <si>
    <t xml:space="preserve">Horiz. freq = </t>
  </si>
  <si>
    <t>RESULTS:</t>
  </si>
  <si>
    <t>FIND ACTUAL FIELD RATE (Hz):</t>
  </si>
  <si>
    <t>HOR PIXELS</t>
  </si>
  <si>
    <t>PIXELS</t>
  </si>
  <si>
    <t>Estimated Horizontal Frequency (kHz):</t>
  </si>
  <si>
    <t>Actual vertical field rate =</t>
  </si>
  <si>
    <t>VER PIXELS</t>
  </si>
  <si>
    <t>LINES</t>
  </si>
  <si>
    <t xml:space="preserve">H_PERIOD_EST = </t>
  </si>
  <si>
    <t>HOR FREQUENCY</t>
  </si>
  <si>
    <t>kHz</t>
  </si>
  <si>
    <t>FIND ACTUAL VERTICAL  FRAME FREQUENCY (Hz):</t>
  </si>
  <si>
    <t>ACTUAL VER FREQUENCY</t>
  </si>
  <si>
    <t>Actual Horizontal Frequency (kHz):</t>
  </si>
  <si>
    <t>Actual vertical frame rate =</t>
  </si>
  <si>
    <t>PIXEL CLOCK</t>
  </si>
  <si>
    <t>MHz</t>
  </si>
  <si>
    <t xml:space="preserve">ACT_H_FREQ = </t>
  </si>
  <si>
    <t xml:space="preserve">CHARACTER WIDTH </t>
  </si>
  <si>
    <t>ns</t>
  </si>
  <si>
    <t>Actual Vertical Frequency (Hz):</t>
  </si>
  <si>
    <t>SCAN TYPE</t>
  </si>
  <si>
    <t>ACT_FIELD_RATE =</t>
  </si>
  <si>
    <t>ASPECT RATIO</t>
  </si>
  <si>
    <t xml:space="preserve">ACT_FRAME_RATE = </t>
  </si>
  <si>
    <t>HSYNC POLARITY</t>
  </si>
  <si>
    <t>Actual Pixel Clock (MHz):</t>
  </si>
  <si>
    <t>Frame rate error in Hz</t>
  </si>
  <si>
    <t>VSYNC POLARITY</t>
  </si>
  <si>
    <t xml:space="preserve">ACT_PIXEL_FREQ = </t>
  </si>
  <si>
    <t xml:space="preserve">Maximum Pixel Clock for requested configuration </t>
  </si>
  <si>
    <t>DisplayPort Encoding Overhead</t>
  </si>
  <si>
    <t>Horizontal Total (Pixels):</t>
  </si>
  <si>
    <t>HOR TOTAL</t>
  </si>
  <si>
    <t>us</t>
  </si>
  <si>
    <t>CHARS</t>
  </si>
  <si>
    <t xml:space="preserve">TOTAL_PIXELS = </t>
  </si>
  <si>
    <t>HOR ADDR</t>
  </si>
  <si>
    <t>Horizontal Blanking (Pixels):</t>
  </si>
  <si>
    <t xml:space="preserve">H_BLANK = </t>
  </si>
  <si>
    <t>Hor Front Porch:</t>
  </si>
  <si>
    <t>HOR BLANK</t>
  </si>
  <si>
    <t xml:space="preserve">H_FRONT_PORCH = </t>
  </si>
  <si>
    <t>HOR BLANK+MARGIN</t>
  </si>
  <si>
    <t>Hor Sync:</t>
  </si>
  <si>
    <t>PREDICTED H BLANK DUTY CYCLE</t>
  </si>
  <si>
    <t>%</t>
  </si>
  <si>
    <t xml:space="preserve">H_SYNC_RND = </t>
  </si>
  <si>
    <t>(from GTF blanking formula)</t>
  </si>
  <si>
    <t>Hor Back Porch:</t>
  </si>
  <si>
    <t>ACTUAL HOR BLANK DUTY CYCLE</t>
  </si>
  <si>
    <t xml:space="preserve">H_BACK_PORCH = </t>
  </si>
  <si>
    <t>ACT. HOR BLNK+MARGIN DUTY CYCLE</t>
  </si>
  <si>
    <t xml:space="preserve">H LEFT MARGIN </t>
  </si>
  <si>
    <t>Vertical Total (lines):</t>
  </si>
  <si>
    <t xml:space="preserve">H FRONT PORCH </t>
  </si>
  <si>
    <t xml:space="preserve">TOTAL_V_LINES = </t>
  </si>
  <si>
    <t>HOR SYNC</t>
  </si>
  <si>
    <t>Vertical Blanking (lines):</t>
  </si>
  <si>
    <t>H BACK PORCH</t>
  </si>
  <si>
    <t xml:space="preserve">V_BLANK = </t>
  </si>
  <si>
    <t>H RIGHT MARGIN</t>
  </si>
  <si>
    <t>Ver Front Porch:</t>
  </si>
  <si>
    <t xml:space="preserve">V_FRONT_PORCH = </t>
  </si>
  <si>
    <t>Ver Sync:</t>
  </si>
  <si>
    <t>VER TOTAL</t>
  </si>
  <si>
    <t>ms</t>
  </si>
  <si>
    <t xml:space="preserve">V_SYNC_RND = </t>
  </si>
  <si>
    <t>VER ADDR</t>
  </si>
  <si>
    <t>Ver Back Porch:</t>
  </si>
  <si>
    <t xml:space="preserve">V_BACK_PROCH = </t>
  </si>
  <si>
    <t>VER BLANK</t>
  </si>
  <si>
    <t>V TOP MARGIN</t>
  </si>
  <si>
    <t>V FRONT PORCH</t>
  </si>
  <si>
    <t>VER SYNC</t>
  </si>
  <si>
    <t>V BACK PORCH</t>
  </si>
  <si>
    <t>V BOTTOM MARGIN</t>
  </si>
  <si>
    <t>DEFAULT PARAMETER VALUES</t>
  </si>
  <si>
    <t>STANDARD TIMING:</t>
  </si>
  <si>
    <t>1) These are the default values that define the MARGIN size:</t>
  </si>
  <si>
    <t>Note:</t>
  </si>
  <si>
    <t xml:space="preserve"> Only ratio of MARGIN to image is important. Top and Bottom MARGINs are equal</t>
  </si>
  <si>
    <t xml:space="preserve">Side MARGINs are proportional to the ratio of image H/V pixels </t>
  </si>
  <si>
    <t>GIVE:</t>
  </si>
  <si>
    <t>Top/ bottom MARGIN size as % of height  (%)  {DEFAULT = 1.8}</t>
  </si>
  <si>
    <t>2) This default value defines the horizontal timing boundaries:</t>
  </si>
  <si>
    <t xml:space="preserve">Character cell horizontal granularity (pixels) </t>
  </si>
  <si>
    <t>Cell horizontal granularity (pixels)  {DEFAULT = 8}</t>
  </si>
  <si>
    <t>Cell granularity (pixels) for reduced blank version 2 {DEFAULT = 1}</t>
  </si>
  <si>
    <t>3) These default values define analog system sync pulse width limitations:</t>
  </si>
  <si>
    <t>Vertical sync width (in lines) will be rounded down to nearest integer</t>
  </si>
  <si>
    <t>Horizontal sync width will be rounded to nearest char cell boundary</t>
  </si>
  <si>
    <t>Number of lines for vertical sync (lines)  {Derived from table}</t>
  </si>
  <si>
    <t>Nominal H sync width (% of line period)  {DEFAULT = 8}</t>
  </si>
  <si>
    <t>4) These default values define analog scan system vertical blanking time limitations:</t>
  </si>
  <si>
    <t xml:space="preserve">Vertical blanking time will rounded to nearest integer number of lines </t>
  </si>
  <si>
    <t>Minimum time of vertical sync+back porch interval (us) {DEFAULT = 550}</t>
  </si>
  <si>
    <t>Minimum number of vertical back porch lines {DEFAULT = 6}</t>
  </si>
  <si>
    <t>Minimum vertical porch (no of lines) {DEFAULT = 3}</t>
  </si>
  <si>
    <t>5) Definition of Horizontal blanking time limitation:</t>
  </si>
  <si>
    <t>Generalized blanking limitation formula used of the form:</t>
  </si>
  <si>
    <t xml:space="preserve">&lt;H BLANKING TIME (%)&gt; =C - ( M / Fh)  </t>
  </si>
  <si>
    <t>Where:</t>
  </si>
  <si>
    <t>M (gradient) (%/kHz)  {DEFAULT = 600}</t>
  </si>
  <si>
    <t>C (offset) (%)  {DEFAULT = 40}</t>
  </si>
  <si>
    <t>K (blanking time scaling factor)  {DEFAULT = 128}</t>
  </si>
  <si>
    <t>J (scaling factor weighting)  {DEFAULT = 20}</t>
  </si>
  <si>
    <t>M' = K / 256 * M</t>
  </si>
  <si>
    <t>C' = ( ( C - J ) * K / 256 ) + J</t>
  </si>
  <si>
    <t>REDUCED BLANKING TIMING:</t>
  </si>
  <si>
    <t>Fixed number of clocks for horizontal blanking</t>
  </si>
  <si>
    <t>For reduced blank version 1{DEFAULT = 160}</t>
  </si>
  <si>
    <t>For reduced blank version 2{DEFAULT = 80}</t>
  </si>
  <si>
    <t>Fixed number of clocks for horizontal sync  {DEFAULT = 32}</t>
  </si>
  <si>
    <t>Minimum vertical blanking interval time (us)  {DEFAULT = 460}</t>
  </si>
  <si>
    <t xml:space="preserve">Vertical front porch </t>
  </si>
  <si>
    <t>Fixed number of lines for vertical front porch for reduced blank version 1{DEFAULT = 3}</t>
  </si>
  <si>
    <t>Minimum number of vertical front porch lines reduced blank version 2 {DEFAULT = 1}</t>
  </si>
  <si>
    <t xml:space="preserve">Vertical back porch lines </t>
  </si>
  <si>
    <t>Minimum number of vertical back porch lines for reduced blank version 1 {DEFAULT = 6}</t>
  </si>
  <si>
    <t>Fixed number of vertical back porch lines for reduced blank version 2 {DEFAULT = 6}</t>
  </si>
  <si>
    <t>PIXEL CLOCK STEP (MHz):</t>
  </si>
  <si>
    <t>Clock Step for stnadard and reduced blank version 1 {DEFAULT = 0.25}</t>
  </si>
  <si>
    <t>Clock Step for reduced blank version 2 {DEFAULT = 0.001}</t>
  </si>
  <si>
    <t>ASPECT RATIO VARIABLES:</t>
  </si>
  <si>
    <t>VSYNC WIDTH</t>
  </si>
  <si>
    <t>HSYNC / VSYNC POLARITY</t>
  </si>
  <si>
    <t>Lines</t>
  </si>
  <si>
    <t>4:3</t>
  </si>
  <si>
    <t>Hsync</t>
  </si>
  <si>
    <t>Vsync</t>
  </si>
  <si>
    <t>Description</t>
  </si>
  <si>
    <t>16:9</t>
  </si>
  <si>
    <t>NEGATIVE</t>
  </si>
  <si>
    <t>POSITIVE</t>
  </si>
  <si>
    <t>Standard CRT Based Timing (CVT-GTF)</t>
  </si>
  <si>
    <t>16:10</t>
  </si>
  <si>
    <t>Reduced Blanking (CVT-RB ver v1) &amp; (CVT-RB ver2)</t>
  </si>
  <si>
    <t>5:4</t>
  </si>
  <si>
    <t>15:9</t>
  </si>
  <si>
    <t>CVT-RB ver 2</t>
  </si>
  <si>
    <t>Reserved</t>
  </si>
  <si>
    <t>Custom</t>
  </si>
  <si>
    <t>n</t>
    <phoneticPr fontId="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</si>
</sst>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00_);[Red]\(#,##0.000\)"/>
    <numFmt numFmtId="177" formatCode="0.000"/>
    <numFmt numFmtId="178" formatCode="#,##0.0000_);[Red]\(#,##0.0000\)"/>
    <numFmt numFmtId="179" formatCode="#,##0.0_);[Red]\(#,##0.0\)"/>
    <numFmt numFmtId="182" formatCode="0.0"/>
  </numFmts>
  <fonts count="41">
    <font>
      <sz val="10"/>
      <name val="Arial"/>
      <charset val="134"/>
    </font>
    <font>
      <sz val="12"/>
      <name val="Arial"/>
      <family val="2"/>
    </font>
    <font>
      <sz val="18"/>
      <name val="MS Sans Serif"/>
      <family val="1"/>
    </font>
    <font>
      <sz val="14"/>
      <name val="Arial"/>
      <family val="2"/>
    </font>
    <font>
      <b/>
      <sz val="36"/>
      <name val="Arial"/>
      <family val="2"/>
    </font>
    <font>
      <b/>
      <u/>
      <sz val="36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u/>
      <sz val="14"/>
      <name val="Arial"/>
      <family val="2"/>
    </font>
    <font>
      <b/>
      <u/>
      <sz val="2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24"/>
      <color indexed="10"/>
      <name val="Arial"/>
      <family val="2"/>
    </font>
    <font>
      <sz val="24"/>
      <name val="Arial"/>
      <family val="2"/>
    </font>
    <font>
      <b/>
      <u/>
      <sz val="18"/>
      <name val="MS Sans Serif"/>
      <family val="1"/>
    </font>
    <font>
      <sz val="13.5"/>
      <name val="Arial"/>
      <family val="2"/>
    </font>
    <font>
      <b/>
      <sz val="26"/>
      <name val="Arial"/>
      <family val="2"/>
    </font>
    <font>
      <sz val="26"/>
      <name val="Arial"/>
      <family val="2"/>
    </font>
    <font>
      <sz val="16"/>
      <name val="Arial"/>
      <family val="2"/>
    </font>
    <font>
      <b/>
      <sz val="16"/>
      <color indexed="10"/>
      <name val="MS Sans Serif"/>
      <family val="1"/>
    </font>
    <font>
      <b/>
      <sz val="16"/>
      <name val="MS Sans Serif"/>
      <family val="1"/>
    </font>
    <font>
      <sz val="16"/>
      <name val="MS Sans Serif"/>
      <family val="1"/>
    </font>
    <font>
      <b/>
      <u/>
      <sz val="24"/>
      <color indexed="10"/>
      <name val="MS Sans Serif"/>
      <family val="1"/>
    </font>
    <font>
      <b/>
      <u/>
      <sz val="10"/>
      <name val="Arial"/>
      <family val="2"/>
    </font>
    <font>
      <b/>
      <u/>
      <sz val="10"/>
      <name val="MS Sans Serif"/>
      <family val="1"/>
    </font>
    <font>
      <b/>
      <sz val="16"/>
      <color indexed="10"/>
      <name val="Arial"/>
      <family val="2"/>
    </font>
    <font>
      <b/>
      <sz val="16"/>
      <color theme="1"/>
      <name val="Arial"/>
      <family val="2"/>
    </font>
    <font>
      <sz val="10"/>
      <name val="MS Sans Serif"/>
      <family val="1"/>
    </font>
    <font>
      <b/>
      <sz val="16"/>
      <name val="Arial"/>
      <family val="2"/>
    </font>
    <font>
      <b/>
      <sz val="22"/>
      <name val="Arial"/>
      <family val="2"/>
    </font>
    <font>
      <b/>
      <sz val="24"/>
      <name val="MS Sans Serif"/>
      <family val="1"/>
    </font>
    <font>
      <b/>
      <sz val="10"/>
      <name val="Arial"/>
      <family val="2"/>
    </font>
    <font>
      <b/>
      <sz val="14"/>
      <name val="MS Sans Serif"/>
      <family val="1"/>
    </font>
    <font>
      <u/>
      <sz val="14"/>
      <color indexed="10"/>
      <name val="Arial"/>
      <family val="2"/>
    </font>
    <font>
      <sz val="14"/>
      <name val="MS Sans Serif"/>
      <family val="1"/>
    </font>
    <font>
      <b/>
      <u/>
      <sz val="14"/>
      <name val="MS Sans Serif"/>
      <family val="1"/>
    </font>
    <font>
      <b/>
      <u/>
      <sz val="24"/>
      <name val="MS Sans Serif"/>
      <family val="1"/>
    </font>
    <font>
      <b/>
      <sz val="18"/>
      <name val="MS Sans Serif"/>
      <family val="1"/>
    </font>
    <font>
      <sz val="18"/>
      <name val="Arial"/>
      <family val="2"/>
    </font>
    <font>
      <sz val="13.5"/>
      <name val="MS Sans Serif"/>
      <family val="1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44">
    <xf numFmtId="0" fontId="0" fillId="0" borderId="0" xfId="0"/>
    <xf numFmtId="0" fontId="1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1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horizontal="right" vertical="center"/>
    </xf>
    <xf numFmtId="1" fontId="0" fillId="0" borderId="0" xfId="0" applyNumberFormat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Continuous" vertical="center"/>
    </xf>
    <xf numFmtId="0" fontId="0" fillId="0" borderId="0" xfId="0" applyBorder="1" applyAlignment="1" applyProtection="1">
      <alignment horizontal="centerContinuous" vertical="center"/>
    </xf>
    <xf numFmtId="0" fontId="5" fillId="0" borderId="0" xfId="0" applyFont="1" applyBorder="1" applyAlignment="1" applyProtection="1">
      <alignment horizontal="centerContinuous" vertical="center"/>
    </xf>
    <xf numFmtId="0" fontId="6" fillId="0" borderId="0" xfId="0" applyFont="1" applyBorder="1" applyAlignment="1" applyProtection="1">
      <alignment horizontal="centerContinuous" vertical="center"/>
    </xf>
    <xf numFmtId="0" fontId="7" fillId="0" borderId="0" xfId="0" applyFont="1" applyBorder="1" applyAlignment="1" applyProtection="1">
      <alignment horizontal="centerContinuous" vertical="center"/>
    </xf>
    <xf numFmtId="0" fontId="3" fillId="0" borderId="0" xfId="0" applyFont="1" applyBorder="1" applyAlignment="1" applyProtection="1">
      <alignment horizontal="centerContinuous" vertical="center"/>
    </xf>
    <xf numFmtId="0" fontId="8" fillId="0" borderId="0" xfId="0" applyFont="1" applyBorder="1" applyAlignment="1" applyProtection="1">
      <alignment horizontal="centerContinuous" vertical="center"/>
    </xf>
    <xf numFmtId="0" fontId="9" fillId="0" borderId="0" xfId="0" applyFont="1" applyBorder="1" applyAlignment="1" applyProtection="1">
      <alignment vertical="center"/>
    </xf>
    <xf numFmtId="0" fontId="8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1" fillId="0" borderId="0" xfId="0" applyFont="1" applyBorder="1" applyAlignment="1" applyProtection="1">
      <alignment vertical="center"/>
    </xf>
    <xf numFmtId="0" fontId="1" fillId="0" borderId="0" xfId="0" applyFont="1" applyBorder="1" applyAlignment="1" applyProtection="1">
      <alignment horizontal="right" vertical="center"/>
    </xf>
    <xf numFmtId="0" fontId="10" fillId="0" borderId="0" xfId="0" applyFont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11" fillId="0" borderId="1" xfId="0" applyFont="1" applyBorder="1" applyAlignment="1" applyProtection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 applyProtection="1">
      <alignment vertical="center"/>
    </xf>
    <xf numFmtId="0" fontId="3" fillId="0" borderId="3" xfId="0" applyFont="1" applyBorder="1" applyAlignment="1" applyProtection="1">
      <alignment vertical="center"/>
    </xf>
    <xf numFmtId="0" fontId="0" fillId="0" borderId="4" xfId="0" applyBorder="1" applyAlignment="1" applyProtection="1">
      <alignment vertical="center"/>
    </xf>
    <xf numFmtId="0" fontId="6" fillId="0" borderId="0" xfId="0" applyFont="1" applyBorder="1" applyAlignment="1" applyProtection="1">
      <alignment horizontal="left" vertical="center"/>
    </xf>
    <xf numFmtId="176" fontId="11" fillId="0" borderId="0" xfId="0" applyNumberFormat="1" applyFont="1" applyBorder="1" applyAlignment="1" applyProtection="1">
      <alignment vertical="center"/>
    </xf>
    <xf numFmtId="176" fontId="3" fillId="0" borderId="0" xfId="0" applyNumberFormat="1" applyFont="1" applyBorder="1" applyAlignment="1" applyProtection="1">
      <alignment vertical="center"/>
    </xf>
    <xf numFmtId="0" fontId="6" fillId="0" borderId="0" xfId="0" applyFont="1" applyBorder="1" applyAlignment="1" applyProtection="1">
      <alignment vertical="center"/>
    </xf>
    <xf numFmtId="0" fontId="0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horizontal="left" vertical="center" wrapText="1" indent="2"/>
    </xf>
    <xf numFmtId="0" fontId="0" fillId="0" borderId="0" xfId="0" applyBorder="1" applyAlignment="1" applyProtection="1">
      <alignment horizontal="left" vertical="center" indent="2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right" vertical="center"/>
    </xf>
    <xf numFmtId="0" fontId="0" fillId="0" borderId="0" xfId="0" applyFont="1" applyBorder="1" applyAlignment="1">
      <alignment horizontal="left" vertical="center" wrapText="1"/>
    </xf>
    <xf numFmtId="0" fontId="6" fillId="0" borderId="0" xfId="0" applyFont="1" applyAlignment="1" applyProtection="1">
      <alignment vertical="center"/>
    </xf>
    <xf numFmtId="0" fontId="0" fillId="0" borderId="11" xfId="0" applyBorder="1" applyAlignment="1" applyProtection="1">
      <alignment vertical="center"/>
    </xf>
    <xf numFmtId="0" fontId="0" fillId="0" borderId="3" xfId="0" applyBorder="1" applyAlignment="1" applyProtection="1">
      <alignment vertical="center"/>
    </xf>
    <xf numFmtId="0" fontId="14" fillId="0" borderId="3" xfId="0" applyFont="1" applyBorder="1" applyAlignment="1" applyProtection="1">
      <alignment vertical="center"/>
    </xf>
    <xf numFmtId="0" fontId="15" fillId="0" borderId="3" xfId="0" applyFont="1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14" fillId="0" borderId="0" xfId="0" applyFont="1" applyBorder="1" applyAlignment="1" applyProtection="1">
      <alignment vertical="center"/>
    </xf>
    <xf numFmtId="0" fontId="15" fillId="0" borderId="0" xfId="0" applyFont="1" applyBorder="1" applyAlignment="1" applyProtection="1">
      <alignment vertical="center"/>
    </xf>
    <xf numFmtId="0" fontId="18" fillId="0" borderId="2" xfId="0" applyFont="1" applyBorder="1" applyAlignment="1" applyProtection="1">
      <alignment horizontal="center" vertical="center" wrapText="1"/>
    </xf>
    <xf numFmtId="0" fontId="18" fillId="0" borderId="3" xfId="0" applyFont="1" applyBorder="1" applyAlignment="1" applyProtection="1">
      <alignment horizontal="center" vertical="center" wrapText="1"/>
    </xf>
    <xf numFmtId="3" fontId="19" fillId="0" borderId="3" xfId="0" applyNumberFormat="1" applyFont="1" applyBorder="1" applyAlignment="1" applyProtection="1">
      <alignment vertical="center"/>
    </xf>
    <xf numFmtId="0" fontId="18" fillId="0" borderId="4" xfId="0" applyFont="1" applyBorder="1" applyAlignment="1" applyProtection="1">
      <alignment vertical="center"/>
    </xf>
    <xf numFmtId="0" fontId="20" fillId="0" borderId="0" xfId="0" applyFont="1" applyBorder="1" applyAlignment="1" applyProtection="1">
      <alignment vertical="center"/>
    </xf>
    <xf numFmtId="0" fontId="18" fillId="0" borderId="0" xfId="0" applyFont="1" applyBorder="1" applyAlignment="1" applyProtection="1">
      <alignment vertical="center"/>
    </xf>
    <xf numFmtId="3" fontId="20" fillId="0" borderId="0" xfId="0" applyNumberFormat="1" applyFont="1" applyBorder="1" applyAlignment="1" applyProtection="1">
      <alignment horizontal="right" vertical="center"/>
    </xf>
    <xf numFmtId="0" fontId="21" fillId="0" borderId="0" xfId="0" applyFont="1" applyBorder="1" applyAlignment="1" applyProtection="1">
      <alignment horizontal="left" vertical="center"/>
    </xf>
    <xf numFmtId="3" fontId="19" fillId="0" borderId="0" xfId="0" applyNumberFormat="1" applyFont="1" applyBorder="1" applyAlignment="1" applyProtection="1">
      <alignment vertical="center"/>
    </xf>
    <xf numFmtId="0" fontId="20" fillId="0" borderId="0" xfId="0" applyFont="1" applyBorder="1" applyAlignment="1" applyProtection="1">
      <alignment horizontal="right" vertical="center"/>
    </xf>
    <xf numFmtId="176" fontId="20" fillId="0" borderId="0" xfId="0" applyNumberFormat="1" applyFont="1" applyBorder="1" applyAlignment="1" applyProtection="1">
      <alignment horizontal="right" vertical="center"/>
    </xf>
    <xf numFmtId="3" fontId="21" fillId="0" borderId="0" xfId="0" applyNumberFormat="1" applyFont="1" applyBorder="1" applyAlignment="1" applyProtection="1">
      <alignment vertical="center"/>
    </xf>
    <xf numFmtId="3" fontId="20" fillId="0" borderId="0" xfId="0" applyNumberFormat="1" applyFont="1" applyBorder="1" applyAlignment="1" applyProtection="1">
      <alignment vertical="center"/>
    </xf>
    <xf numFmtId="0" fontId="21" fillId="0" borderId="0" xfId="0" applyFont="1" applyBorder="1" applyAlignment="1" applyProtection="1">
      <alignment vertical="center"/>
    </xf>
    <xf numFmtId="177" fontId="20" fillId="0" borderId="0" xfId="0" applyNumberFormat="1" applyFont="1" applyBorder="1" applyAlignment="1" applyProtection="1">
      <alignment horizontal="right" vertical="center"/>
    </xf>
    <xf numFmtId="177" fontId="21" fillId="0" borderId="0" xfId="0" applyNumberFormat="1" applyFont="1" applyBorder="1" applyAlignment="1" applyProtection="1">
      <alignment horizontal="left" vertical="center"/>
    </xf>
    <xf numFmtId="0" fontId="22" fillId="0" borderId="0" xfId="0" applyFont="1" applyBorder="1" applyAlignment="1" applyProtection="1">
      <alignment vertical="center"/>
    </xf>
    <xf numFmtId="0" fontId="18" fillId="0" borderId="10" xfId="0" applyFont="1" applyBorder="1" applyAlignment="1" applyProtection="1">
      <alignment vertical="center"/>
    </xf>
    <xf numFmtId="176" fontId="20" fillId="0" borderId="10" xfId="0" applyNumberFormat="1" applyFont="1" applyBorder="1" applyAlignment="1" applyProtection="1">
      <alignment vertical="center"/>
    </xf>
    <xf numFmtId="0" fontId="21" fillId="0" borderId="10" xfId="0" applyFont="1" applyBorder="1" applyAlignment="1" applyProtection="1">
      <alignment horizontal="left" vertical="center"/>
    </xf>
    <xf numFmtId="3" fontId="21" fillId="0" borderId="10" xfId="0" applyNumberFormat="1" applyFont="1" applyBorder="1" applyAlignment="1" applyProtection="1">
      <alignment vertical="center"/>
    </xf>
    <xf numFmtId="0" fontId="18" fillId="0" borderId="12" xfId="0" applyFont="1" applyBorder="1" applyAlignment="1" applyProtection="1">
      <alignment vertical="center"/>
    </xf>
    <xf numFmtId="0" fontId="22" fillId="0" borderId="7" xfId="0" applyFont="1" applyBorder="1" applyAlignment="1" applyProtection="1">
      <alignment vertical="center"/>
    </xf>
    <xf numFmtId="176" fontId="20" fillId="0" borderId="0" xfId="0" applyNumberFormat="1" applyFont="1" applyBorder="1" applyAlignment="1" applyProtection="1">
      <alignment vertical="center"/>
    </xf>
    <xf numFmtId="0" fontId="23" fillId="0" borderId="0" xfId="0" applyFont="1" applyAlignment="1" applyProtection="1">
      <alignment vertical="center"/>
    </xf>
    <xf numFmtId="1" fontId="1" fillId="0" borderId="0" xfId="0" applyNumberFormat="1" applyFont="1" applyAlignment="1" applyProtection="1">
      <alignment vertical="center"/>
    </xf>
    <xf numFmtId="0" fontId="1" fillId="0" borderId="0" xfId="0" applyFont="1" applyAlignment="1" applyProtection="1">
      <alignment horizontal="left" vertical="center"/>
    </xf>
    <xf numFmtId="0" fontId="0" fillId="0" borderId="3" xfId="0" applyBorder="1" applyAlignment="1" applyProtection="1">
      <alignment horizontal="center" vertical="center"/>
    </xf>
    <xf numFmtId="0" fontId="0" fillId="0" borderId="13" xfId="0" applyBorder="1" applyAlignment="1" applyProtection="1">
      <alignment vertical="center"/>
    </xf>
    <xf numFmtId="1" fontId="24" fillId="0" borderId="14" xfId="0" applyNumberFormat="1" applyFont="1" applyBorder="1" applyAlignment="1" applyProtection="1">
      <alignment vertical="center"/>
    </xf>
    <xf numFmtId="0" fontId="0" fillId="0" borderId="15" xfId="0" applyBorder="1" applyAlignment="1" applyProtection="1">
      <alignment horizontal="left" vertical="center"/>
    </xf>
    <xf numFmtId="1" fontId="16" fillId="0" borderId="17" xfId="0" applyNumberFormat="1" applyFont="1" applyBorder="1" applyAlignment="1" applyProtection="1">
      <alignment horizontal="center" vertical="center"/>
      <protection locked="0"/>
    </xf>
    <xf numFmtId="0" fontId="25" fillId="0" borderId="16" xfId="0" applyFont="1" applyBorder="1" applyAlignment="1" applyProtection="1">
      <alignment horizontal="center" vertical="center"/>
    </xf>
    <xf numFmtId="1" fontId="0" fillId="0" borderId="18" xfId="0" applyNumberFormat="1" applyFont="1" applyBorder="1" applyAlignment="1" applyProtection="1">
      <alignment vertical="center" wrapText="1"/>
    </xf>
    <xf numFmtId="1" fontId="0" fillId="0" borderId="0" xfId="0" applyNumberFormat="1" applyFont="1" applyBorder="1" applyAlignment="1" applyProtection="1">
      <alignment vertical="center" wrapText="1"/>
    </xf>
    <xf numFmtId="0" fontId="6" fillId="0" borderId="17" xfId="0" applyFont="1" applyBorder="1" applyAlignment="1" applyProtection="1">
      <alignment horizontal="center" vertical="center"/>
      <protection locked="0"/>
    </xf>
    <xf numFmtId="1" fontId="0" fillId="0" borderId="19" xfId="0" applyNumberFormat="1" applyFont="1" applyBorder="1" applyAlignment="1" applyProtection="1">
      <alignment vertical="center"/>
    </xf>
    <xf numFmtId="0" fontId="0" fillId="0" borderId="20" xfId="0" applyBorder="1" applyAlignment="1" applyProtection="1">
      <alignment horizontal="left" vertical="center" wrapText="1"/>
    </xf>
    <xf numFmtId="0" fontId="6" fillId="0" borderId="21" xfId="0" applyNumberFormat="1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left" vertical="center" wrapText="1"/>
    </xf>
    <xf numFmtId="0" fontId="6" fillId="0" borderId="16" xfId="0" applyFont="1" applyBorder="1" applyAlignment="1" applyProtection="1">
      <alignment horizontal="left" vertical="center"/>
    </xf>
    <xf numFmtId="1" fontId="0" fillId="0" borderId="18" xfId="0" applyNumberFormat="1" applyBorder="1" applyAlignment="1" applyProtection="1">
      <alignment vertical="center"/>
    </xf>
    <xf numFmtId="0" fontId="0" fillId="0" borderId="0" xfId="0" applyBorder="1" applyAlignment="1" applyProtection="1">
      <alignment horizontal="left" vertical="center"/>
    </xf>
    <xf numFmtId="1" fontId="0" fillId="0" borderId="18" xfId="0" applyNumberFormat="1" applyFont="1" applyBorder="1" applyAlignment="1" applyProtection="1">
      <alignment vertical="center"/>
    </xf>
    <xf numFmtId="176" fontId="0" fillId="0" borderId="0" xfId="0" applyNumberFormat="1" applyFont="1" applyBorder="1" applyAlignment="1" applyProtection="1">
      <alignment horizontal="left" vertical="center"/>
    </xf>
    <xf numFmtId="0" fontId="6" fillId="0" borderId="0" xfId="0" applyFont="1" applyBorder="1" applyAlignment="1" applyProtection="1">
      <alignment horizontal="center" vertical="center"/>
    </xf>
    <xf numFmtId="0" fontId="25" fillId="0" borderId="0" xfId="0" applyFont="1" applyBorder="1" applyAlignment="1" applyProtection="1">
      <alignment horizontal="center" vertical="center" wrapText="1"/>
    </xf>
    <xf numFmtId="1" fontId="27" fillId="0" borderId="18" xfId="0" applyNumberFormat="1" applyFont="1" applyBorder="1" applyAlignment="1" applyProtection="1">
      <alignment vertical="center"/>
    </xf>
    <xf numFmtId="176" fontId="27" fillId="0" borderId="0" xfId="0" applyNumberFormat="1" applyFont="1" applyBorder="1" applyAlignment="1" applyProtection="1">
      <alignment horizontal="left" vertical="center"/>
    </xf>
    <xf numFmtId="0" fontId="28" fillId="0" borderId="16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left" vertical="center"/>
    </xf>
    <xf numFmtId="0" fontId="29" fillId="0" borderId="24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left" vertical="center" wrapText="1"/>
    </xf>
    <xf numFmtId="176" fontId="0" fillId="0" borderId="0" xfId="0" applyNumberFormat="1" applyFont="1" applyFill="1" applyBorder="1" applyAlignment="1" applyProtection="1">
      <alignment horizontal="left" vertical="center"/>
    </xf>
    <xf numFmtId="0" fontId="29" fillId="0" borderId="17" xfId="0" applyFont="1" applyBorder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29" fillId="2" borderId="0" xfId="0" applyFont="1" applyFill="1" applyBorder="1" applyAlignment="1">
      <alignment horizontal="center" vertical="center" wrapText="1"/>
    </xf>
    <xf numFmtId="0" fontId="0" fillId="0" borderId="25" xfId="0" applyBorder="1" applyAlignment="1" applyProtection="1">
      <alignment vertical="center"/>
    </xf>
    <xf numFmtId="0" fontId="30" fillId="0" borderId="3" xfId="0" applyFont="1" applyBorder="1" applyAlignment="1" applyProtection="1">
      <alignment horizontal="center" vertical="center"/>
    </xf>
    <xf numFmtId="176" fontId="2" fillId="0" borderId="3" xfId="0" applyNumberFormat="1" applyFont="1" applyBorder="1" applyAlignment="1" applyProtection="1">
      <alignment vertical="center"/>
    </xf>
    <xf numFmtId="0" fontId="30" fillId="0" borderId="0" xfId="0" applyFont="1" applyBorder="1" applyAlignment="1" applyProtection="1">
      <alignment horizontal="center" vertical="center"/>
    </xf>
    <xf numFmtId="176" fontId="2" fillId="0" borderId="0" xfId="0" applyNumberFormat="1" applyFont="1" applyBorder="1" applyAlignment="1" applyProtection="1">
      <alignment vertical="center"/>
    </xf>
    <xf numFmtId="176" fontId="0" fillId="0" borderId="0" xfId="0" applyNumberFormat="1" applyFill="1" applyBorder="1" applyAlignment="1" applyProtection="1">
      <alignment horizontal="left" vertical="center"/>
    </xf>
    <xf numFmtId="176" fontId="0" fillId="0" borderId="20" xfId="0" applyNumberFormat="1" applyFont="1" applyBorder="1" applyAlignment="1" applyProtection="1">
      <alignment horizontal="left" vertical="center"/>
    </xf>
    <xf numFmtId="1" fontId="0" fillId="0" borderId="26" xfId="0" applyNumberFormat="1" applyFont="1" applyBorder="1" applyAlignment="1" applyProtection="1">
      <alignment vertical="center"/>
    </xf>
    <xf numFmtId="176" fontId="0" fillId="0" borderId="26" xfId="0" applyNumberFormat="1" applyFont="1" applyBorder="1" applyAlignment="1" applyProtection="1">
      <alignment horizontal="left" vertical="center"/>
    </xf>
    <xf numFmtId="1" fontId="23" fillId="0" borderId="14" xfId="0" applyNumberFormat="1" applyFont="1" applyFill="1" applyBorder="1" applyAlignment="1" applyProtection="1">
      <alignment vertical="center"/>
    </xf>
    <xf numFmtId="3" fontId="18" fillId="0" borderId="3" xfId="0" applyNumberFormat="1" applyFont="1" applyBorder="1" applyAlignment="1" applyProtection="1">
      <alignment horizontal="center" vertical="center" wrapText="1"/>
    </xf>
    <xf numFmtId="0" fontId="18" fillId="0" borderId="13" xfId="0" applyFont="1" applyBorder="1" applyAlignment="1" applyProtection="1">
      <alignment horizontal="center" vertical="center" wrapText="1"/>
    </xf>
    <xf numFmtId="1" fontId="0" fillId="0" borderId="18" xfId="0" applyNumberFormat="1" applyFont="1" applyFill="1" applyBorder="1" applyAlignment="1" applyProtection="1">
      <alignment vertical="center"/>
    </xf>
    <xf numFmtId="3" fontId="21" fillId="0" borderId="0" xfId="0" applyNumberFormat="1" applyFont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center" vertical="center"/>
    </xf>
    <xf numFmtId="0" fontId="18" fillId="0" borderId="16" xfId="0" applyFont="1" applyBorder="1" applyAlignment="1" applyProtection="1">
      <alignment vertical="center"/>
    </xf>
    <xf numFmtId="3" fontId="20" fillId="0" borderId="0" xfId="0" applyNumberFormat="1" applyFont="1" applyBorder="1" applyAlignment="1" applyProtection="1">
      <alignment horizontal="center" vertical="center"/>
    </xf>
    <xf numFmtId="0" fontId="21" fillId="0" borderId="0" xfId="0" applyNumberFormat="1" applyFont="1" applyBorder="1" applyAlignment="1" applyProtection="1">
      <alignment vertical="center"/>
    </xf>
    <xf numFmtId="0" fontId="18" fillId="0" borderId="0" xfId="0" applyNumberFormat="1" applyFont="1" applyBorder="1" applyAlignment="1" applyProtection="1">
      <alignment vertical="center"/>
    </xf>
    <xf numFmtId="177" fontId="21" fillId="0" borderId="0" xfId="0" applyNumberFormat="1" applyFont="1" applyBorder="1" applyAlignment="1" applyProtection="1">
      <alignment vertical="center"/>
    </xf>
    <xf numFmtId="177" fontId="18" fillId="0" borderId="0" xfId="0" applyNumberFormat="1" applyFont="1" applyBorder="1" applyAlignment="1" applyProtection="1">
      <alignment vertical="center"/>
    </xf>
    <xf numFmtId="0" fontId="21" fillId="0" borderId="10" xfId="0" applyFont="1" applyBorder="1" applyAlignment="1" applyProtection="1">
      <alignment vertical="center"/>
    </xf>
    <xf numFmtId="0" fontId="18" fillId="0" borderId="27" xfId="0" applyFont="1" applyBorder="1" applyAlignment="1" applyProtection="1">
      <alignment vertical="center"/>
    </xf>
    <xf numFmtId="0" fontId="1" fillId="0" borderId="0" xfId="0" applyFont="1" applyAlignment="1" applyProtection="1">
      <alignment horizontal="center" vertical="center"/>
    </xf>
    <xf numFmtId="1" fontId="1" fillId="0" borderId="0" xfId="0" applyNumberFormat="1" applyFont="1" applyAlignment="1" applyProtection="1">
      <alignment horizontal="center" vertical="center"/>
    </xf>
    <xf numFmtId="0" fontId="0" fillId="0" borderId="28" xfId="0" applyBorder="1" applyAlignment="1" applyProtection="1">
      <alignment horizontal="center" vertical="center"/>
    </xf>
    <xf numFmtId="0" fontId="0" fillId="0" borderId="15" xfId="0" applyBorder="1" applyAlignment="1" applyProtection="1">
      <alignment vertical="center"/>
    </xf>
    <xf numFmtId="176" fontId="0" fillId="0" borderId="29" xfId="0" applyNumberFormat="1" applyBorder="1" applyAlignment="1" applyProtection="1">
      <alignment horizontal="center" vertical="center"/>
    </xf>
    <xf numFmtId="1" fontId="0" fillId="0" borderId="0" xfId="0" applyNumberFormat="1" applyBorder="1" applyAlignment="1" applyProtection="1">
      <alignment vertical="center"/>
    </xf>
    <xf numFmtId="1" fontId="0" fillId="0" borderId="0" xfId="0" applyNumberFormat="1" applyBorder="1" applyAlignment="1" applyProtection="1">
      <alignment vertical="center" wrapText="1"/>
    </xf>
    <xf numFmtId="176" fontId="0" fillId="0" borderId="0" xfId="0" applyNumberFormat="1" applyBorder="1" applyAlignment="1" applyProtection="1">
      <alignment vertical="center"/>
    </xf>
    <xf numFmtId="1" fontId="0" fillId="0" borderId="19" xfId="0" applyNumberFormat="1" applyBorder="1" applyAlignment="1" applyProtection="1">
      <alignment vertical="center"/>
    </xf>
    <xf numFmtId="0" fontId="0" fillId="0" borderId="20" xfId="0" applyBorder="1" applyAlignment="1" applyProtection="1">
      <alignment vertical="center"/>
    </xf>
    <xf numFmtId="176" fontId="0" fillId="0" borderId="30" xfId="0" applyNumberFormat="1" applyBorder="1" applyAlignment="1" applyProtection="1">
      <alignment horizontal="center" vertical="center"/>
    </xf>
    <xf numFmtId="1" fontId="23" fillId="0" borderId="18" xfId="0" applyNumberFormat="1" applyFont="1" applyBorder="1" applyAlignment="1" applyProtection="1">
      <alignment vertical="center"/>
    </xf>
    <xf numFmtId="0" fontId="0" fillId="0" borderId="29" xfId="0" applyBorder="1" applyAlignment="1" applyProtection="1">
      <alignment horizontal="center" vertical="center"/>
    </xf>
    <xf numFmtId="1" fontId="23" fillId="0" borderId="14" xfId="0" applyNumberFormat="1" applyFont="1" applyBorder="1" applyAlignment="1" applyProtection="1">
      <alignment vertical="center"/>
    </xf>
    <xf numFmtId="176" fontId="27" fillId="0" borderId="0" xfId="0" applyNumberFormat="1" applyFont="1" applyBorder="1" applyAlignment="1" applyProtection="1">
      <alignment vertical="center"/>
    </xf>
    <xf numFmtId="3" fontId="0" fillId="0" borderId="29" xfId="0" applyNumberFormat="1" applyBorder="1" applyAlignment="1" applyProtection="1">
      <alignment horizontal="center" vertical="center"/>
    </xf>
    <xf numFmtId="2" fontId="0" fillId="0" borderId="29" xfId="0" applyNumberFormat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vertical="center"/>
    </xf>
    <xf numFmtId="3" fontId="0" fillId="0" borderId="0" xfId="0" applyNumberFormat="1" applyBorder="1" applyAlignment="1" applyProtection="1">
      <alignment vertical="center"/>
    </xf>
    <xf numFmtId="182" fontId="0" fillId="0" borderId="30" xfId="0" applyNumberFormat="1" applyBorder="1" applyAlignment="1" applyProtection="1">
      <alignment horizontal="center" vertical="center"/>
    </xf>
    <xf numFmtId="182" fontId="0" fillId="0" borderId="26" xfId="0" applyNumberFormat="1" applyBorder="1" applyAlignment="1" applyProtection="1">
      <alignment horizontal="center" vertical="center"/>
    </xf>
    <xf numFmtId="1" fontId="0" fillId="0" borderId="18" xfId="0" applyNumberFormat="1" applyBorder="1" applyAlignment="1" applyProtection="1">
      <alignment horizontal="right" vertical="center"/>
    </xf>
    <xf numFmtId="0" fontId="0" fillId="0" borderId="29" xfId="0" applyFont="1" applyBorder="1" applyAlignment="1" applyProtection="1">
      <alignment horizontal="center" vertical="center"/>
    </xf>
    <xf numFmtId="177" fontId="0" fillId="0" borderId="29" xfId="0" applyNumberFormat="1" applyBorder="1" applyAlignment="1" applyProtection="1">
      <alignment horizontal="center" vertical="center"/>
    </xf>
    <xf numFmtId="177" fontId="0" fillId="0" borderId="29" xfId="0" applyNumberFormat="1" applyFont="1" applyBorder="1" applyAlignment="1" applyProtection="1">
      <alignment horizontal="center" vertical="center"/>
    </xf>
    <xf numFmtId="0" fontId="0" fillId="0" borderId="0" xfId="0" applyFont="1" applyAlignment="1" applyProtection="1">
      <alignment vertical="center"/>
    </xf>
    <xf numFmtId="1" fontId="0" fillId="0" borderId="29" xfId="0" applyNumberFormat="1" applyBorder="1" applyAlignment="1" applyProtection="1">
      <alignment horizontal="center" vertical="center"/>
    </xf>
    <xf numFmtId="0" fontId="0" fillId="0" borderId="30" xfId="0" applyBorder="1" applyAlignment="1" applyProtection="1">
      <alignment horizontal="center" vertical="center"/>
    </xf>
    <xf numFmtId="0" fontId="23" fillId="0" borderId="14" xfId="0" applyFont="1" applyBorder="1" applyAlignment="1" applyProtection="1">
      <alignment horizontal="left" vertical="center"/>
    </xf>
    <xf numFmtId="0" fontId="0" fillId="0" borderId="28" xfId="0" applyBorder="1" applyAlignment="1" applyProtection="1">
      <alignment vertical="center"/>
    </xf>
    <xf numFmtId="0" fontId="0" fillId="0" borderId="18" xfId="0" applyBorder="1" applyAlignment="1" applyProtection="1">
      <alignment horizontal="center" vertical="center"/>
    </xf>
    <xf numFmtId="0" fontId="0" fillId="0" borderId="29" xfId="0" applyBorder="1" applyAlignment="1" applyProtection="1">
      <alignment vertical="center"/>
    </xf>
    <xf numFmtId="0" fontId="31" fillId="0" borderId="18" xfId="0" applyFont="1" applyBorder="1" applyAlignment="1" applyProtection="1">
      <alignment horizontal="left" vertical="center"/>
    </xf>
    <xf numFmtId="178" fontId="0" fillId="0" borderId="29" xfId="0" applyNumberFormat="1" applyBorder="1" applyAlignment="1" applyProtection="1">
      <alignment horizontal="center" vertical="center"/>
    </xf>
    <xf numFmtId="11" fontId="0" fillId="0" borderId="0" xfId="0" applyNumberFormat="1" applyFont="1" applyAlignment="1" applyProtection="1">
      <alignment vertical="center"/>
    </xf>
    <xf numFmtId="0" fontId="0" fillId="0" borderId="0" xfId="0" applyNumberFormat="1" applyAlignment="1" applyProtection="1">
      <alignment vertical="center"/>
    </xf>
    <xf numFmtId="176" fontId="21" fillId="0" borderId="0" xfId="0" applyNumberFormat="1" applyFont="1" applyBorder="1" applyAlignment="1" applyProtection="1">
      <alignment horizontal="left" vertical="center"/>
    </xf>
    <xf numFmtId="0" fontId="18" fillId="0" borderId="31" xfId="0" applyFont="1" applyBorder="1" applyAlignment="1" applyProtection="1">
      <alignment vertical="center"/>
    </xf>
    <xf numFmtId="0" fontId="20" fillId="0" borderId="10" xfId="0" applyFont="1" applyBorder="1" applyAlignment="1" applyProtection="1">
      <alignment vertical="center"/>
    </xf>
    <xf numFmtId="176" fontId="21" fillId="0" borderId="10" xfId="0" applyNumberFormat="1" applyFont="1" applyBorder="1" applyAlignment="1" applyProtection="1">
      <alignment horizontal="left" vertical="center"/>
    </xf>
    <xf numFmtId="3" fontId="20" fillId="0" borderId="10" xfId="0" applyNumberFormat="1" applyFont="1" applyBorder="1" applyAlignment="1" applyProtection="1">
      <alignment horizontal="right" vertical="center"/>
    </xf>
    <xf numFmtId="0" fontId="20" fillId="0" borderId="7" xfId="0" applyFont="1" applyBorder="1" applyAlignment="1" applyProtection="1">
      <alignment vertical="center"/>
    </xf>
    <xf numFmtId="0" fontId="18" fillId="0" borderId="7" xfId="0" applyFont="1" applyBorder="1" applyAlignment="1" applyProtection="1">
      <alignment vertical="center"/>
    </xf>
    <xf numFmtId="176" fontId="20" fillId="0" borderId="7" xfId="0" applyNumberFormat="1" applyFont="1" applyBorder="1" applyAlignment="1" applyProtection="1">
      <alignment vertical="center"/>
    </xf>
    <xf numFmtId="176" fontId="21" fillId="0" borderId="7" xfId="0" applyNumberFormat="1" applyFont="1" applyBorder="1" applyAlignment="1" applyProtection="1">
      <alignment horizontal="left" vertical="center"/>
    </xf>
    <xf numFmtId="3" fontId="20" fillId="0" borderId="7" xfId="0" applyNumberFormat="1" applyFont="1" applyBorder="1" applyAlignment="1" applyProtection="1">
      <alignment horizontal="right" vertical="center"/>
    </xf>
    <xf numFmtId="176" fontId="18" fillId="0" borderId="0" xfId="0" applyNumberFormat="1" applyFont="1" applyBorder="1" applyAlignment="1" applyProtection="1">
      <alignment vertical="center"/>
    </xf>
    <xf numFmtId="3" fontId="20" fillId="0" borderId="10" xfId="0" applyNumberFormat="1" applyFont="1" applyBorder="1" applyAlignment="1" applyProtection="1">
      <alignment vertical="center"/>
    </xf>
    <xf numFmtId="176" fontId="20" fillId="0" borderId="0" xfId="0" applyNumberFormat="1" applyFont="1" applyBorder="1" applyAlignment="1" applyProtection="1">
      <alignment horizontal="centerContinuous" vertical="center"/>
    </xf>
    <xf numFmtId="176" fontId="21" fillId="0" borderId="0" xfId="0" applyNumberFormat="1" applyFont="1" applyBorder="1" applyAlignment="1" applyProtection="1">
      <alignment horizontal="centerContinuous" vertical="center"/>
    </xf>
    <xf numFmtId="1" fontId="20" fillId="0" borderId="0" xfId="0" applyNumberFormat="1" applyFont="1" applyBorder="1" applyAlignment="1" applyProtection="1">
      <alignment horizontal="centerContinuous" vertical="center"/>
    </xf>
    <xf numFmtId="177" fontId="20" fillId="0" borderId="0" xfId="0" applyNumberFormat="1" applyFont="1" applyBorder="1" applyAlignment="1" applyProtection="1">
      <alignment vertical="center"/>
    </xf>
    <xf numFmtId="177" fontId="20" fillId="0" borderId="10" xfId="0" applyNumberFormat="1" applyFont="1" applyBorder="1" applyAlignment="1" applyProtection="1">
      <alignment vertical="center"/>
    </xf>
    <xf numFmtId="176" fontId="20" fillId="0" borderId="7" xfId="0" applyNumberFormat="1" applyFont="1" applyBorder="1" applyAlignment="1" applyProtection="1">
      <alignment horizontal="centerContinuous" vertical="center"/>
    </xf>
    <xf numFmtId="176" fontId="21" fillId="0" borderId="7" xfId="0" applyNumberFormat="1" applyFont="1" applyBorder="1" applyAlignment="1" applyProtection="1">
      <alignment horizontal="centerContinuous" vertical="center"/>
    </xf>
    <xf numFmtId="1" fontId="20" fillId="0" borderId="7" xfId="0" applyNumberFormat="1" applyFont="1" applyBorder="1" applyAlignment="1" applyProtection="1">
      <alignment horizontal="centerContinuous" vertical="center"/>
    </xf>
    <xf numFmtId="0" fontId="32" fillId="0" borderId="1" xfId="0" applyFont="1" applyBorder="1" applyAlignment="1" applyProtection="1">
      <alignment vertical="center"/>
    </xf>
    <xf numFmtId="0" fontId="33" fillId="0" borderId="1" xfId="0" applyFont="1" applyBorder="1" applyAlignment="1" applyProtection="1">
      <alignment vertical="center"/>
    </xf>
    <xf numFmtId="0" fontId="3" fillId="0" borderId="1" xfId="0" applyFont="1" applyBorder="1" applyAlignment="1" applyProtection="1">
      <alignment vertical="center"/>
    </xf>
    <xf numFmtId="176" fontId="32" fillId="0" borderId="1" xfId="0" applyNumberFormat="1" applyFont="1" applyBorder="1" applyAlignment="1" applyProtection="1">
      <alignment vertical="center"/>
    </xf>
    <xf numFmtId="0" fontId="34" fillId="0" borderId="1" xfId="0" applyFont="1" applyBorder="1" applyAlignment="1" applyProtection="1">
      <alignment horizontal="left" vertical="center"/>
    </xf>
    <xf numFmtId="0" fontId="34" fillId="0" borderId="1" xfId="0" applyFont="1" applyBorder="1" applyAlignment="1" applyProtection="1">
      <alignment vertical="center"/>
    </xf>
    <xf numFmtId="0" fontId="32" fillId="0" borderId="0" xfId="0" applyFont="1" applyBorder="1" applyAlignment="1" applyProtection="1">
      <alignment vertical="center"/>
    </xf>
    <xf numFmtId="0" fontId="33" fillId="0" borderId="0" xfId="0" applyFont="1" applyBorder="1" applyAlignment="1" applyProtection="1">
      <alignment vertical="center"/>
    </xf>
    <xf numFmtId="176" fontId="32" fillId="0" borderId="0" xfId="0" applyNumberFormat="1" applyFont="1" applyBorder="1" applyAlignment="1" applyProtection="1">
      <alignment vertical="center"/>
    </xf>
    <xf numFmtId="0" fontId="34" fillId="0" borderId="0" xfId="0" applyFont="1" applyBorder="1" applyAlignment="1" applyProtection="1">
      <alignment horizontal="left" vertical="center"/>
    </xf>
    <xf numFmtId="0" fontId="34" fillId="0" borderId="0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35" fillId="0" borderId="2" xfId="0" applyFont="1" applyBorder="1" applyAlignment="1" applyProtection="1">
      <alignment vertical="center"/>
    </xf>
    <xf numFmtId="0" fontId="35" fillId="0" borderId="3" xfId="0" applyFont="1" applyBorder="1" applyAlignment="1" applyProtection="1">
      <alignment vertical="center"/>
    </xf>
    <xf numFmtId="0" fontId="36" fillId="0" borderId="4" xfId="0" applyFont="1" applyBorder="1" applyAlignment="1" applyProtection="1">
      <alignment horizontal="centerContinuous" vertical="center"/>
    </xf>
    <xf numFmtId="0" fontId="35" fillId="0" borderId="0" xfId="0" applyFont="1" applyBorder="1" applyAlignment="1" applyProtection="1">
      <alignment horizontal="centerContinuous" vertical="center"/>
    </xf>
    <xf numFmtId="0" fontId="35" fillId="0" borderId="4" xfId="0" applyFont="1" applyBorder="1" applyAlignment="1" applyProtection="1">
      <alignment vertical="center"/>
    </xf>
    <xf numFmtId="0" fontId="35" fillId="0" borderId="0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horizontal="left" vertical="center" indent="3"/>
    </xf>
    <xf numFmtId="0" fontId="3" fillId="0" borderId="4" xfId="0" applyFont="1" applyBorder="1" applyAlignment="1" applyProtection="1">
      <alignment vertical="center"/>
    </xf>
    <xf numFmtId="0" fontId="20" fillId="0" borderId="0" xfId="0" applyFont="1" applyAlignment="1" applyProtection="1">
      <alignment vertical="center"/>
    </xf>
    <xf numFmtId="0" fontId="18" fillId="0" borderId="0" xfId="0" applyFont="1" applyAlignment="1" applyProtection="1">
      <alignment vertical="center"/>
    </xf>
    <xf numFmtId="176" fontId="21" fillId="0" borderId="0" xfId="0" applyNumberFormat="1" applyFont="1" applyBorder="1" applyAlignment="1" applyProtection="1">
      <alignment vertical="center"/>
    </xf>
    <xf numFmtId="1" fontId="20" fillId="0" borderId="0" xfId="0" applyNumberFormat="1" applyFont="1" applyBorder="1" applyAlignment="1" applyProtection="1">
      <alignment vertical="center"/>
    </xf>
    <xf numFmtId="176" fontId="21" fillId="0" borderId="10" xfId="0" applyNumberFormat="1" applyFont="1" applyBorder="1" applyAlignment="1" applyProtection="1">
      <alignment vertical="center"/>
    </xf>
    <xf numFmtId="1" fontId="20" fillId="0" borderId="10" xfId="0" applyNumberFormat="1" applyFont="1" applyBorder="1" applyAlignment="1" applyProtection="1">
      <alignment vertical="center"/>
    </xf>
    <xf numFmtId="0" fontId="21" fillId="0" borderId="7" xfId="0" applyFont="1" applyBorder="1" applyAlignment="1" applyProtection="1">
      <alignment vertical="center"/>
    </xf>
    <xf numFmtId="3" fontId="20" fillId="0" borderId="7" xfId="0" applyNumberFormat="1" applyFont="1" applyBorder="1" applyAlignment="1" applyProtection="1">
      <alignment vertical="center"/>
    </xf>
    <xf numFmtId="176" fontId="21" fillId="0" borderId="7" xfId="0" applyNumberFormat="1" applyFont="1" applyBorder="1" applyAlignment="1" applyProtection="1">
      <alignment vertical="center"/>
    </xf>
    <xf numFmtId="1" fontId="20" fillId="0" borderId="7" xfId="0" applyNumberFormat="1" applyFont="1" applyBorder="1" applyAlignment="1" applyProtection="1">
      <alignment vertical="center"/>
    </xf>
    <xf numFmtId="0" fontId="18" fillId="0" borderId="32" xfId="0" applyFont="1" applyBorder="1" applyAlignment="1" applyProtection="1">
      <alignment vertical="center"/>
    </xf>
    <xf numFmtId="3" fontId="20" fillId="0" borderId="10" xfId="0" applyNumberFormat="1" applyFont="1" applyBorder="1" applyAlignment="1" applyProtection="1">
      <alignment horizontal="center" vertical="center"/>
    </xf>
    <xf numFmtId="0" fontId="18" fillId="0" borderId="0" xfId="0" applyFont="1" applyBorder="1" applyAlignment="1" applyProtection="1">
      <alignment horizontal="centerContinuous" vertical="center"/>
    </xf>
    <xf numFmtId="0" fontId="20" fillId="0" borderId="0" xfId="0" applyFont="1" applyBorder="1" applyAlignment="1" applyProtection="1">
      <alignment horizontal="centerContinuous" vertical="center"/>
    </xf>
    <xf numFmtId="0" fontId="18" fillId="0" borderId="16" xfId="0" applyFont="1" applyBorder="1" applyAlignment="1" applyProtection="1">
      <alignment horizontal="centerContinuous" vertical="center"/>
    </xf>
    <xf numFmtId="179" fontId="20" fillId="0" borderId="0" xfId="0" applyNumberFormat="1" applyFont="1" applyBorder="1" applyAlignment="1" applyProtection="1">
      <alignment horizontal="right" vertical="center"/>
    </xf>
    <xf numFmtId="179" fontId="21" fillId="0" borderId="0" xfId="0" applyNumberFormat="1" applyFont="1" applyBorder="1" applyAlignment="1" applyProtection="1">
      <alignment vertical="center"/>
    </xf>
    <xf numFmtId="0" fontId="21" fillId="0" borderId="16" xfId="0" applyFont="1" applyBorder="1" applyAlignment="1" applyProtection="1">
      <alignment horizontal="left" vertical="center"/>
    </xf>
    <xf numFmtId="179" fontId="20" fillId="0" borderId="10" xfId="0" applyNumberFormat="1" applyFont="1" applyBorder="1" applyAlignment="1" applyProtection="1">
      <alignment horizontal="right" vertical="center"/>
    </xf>
    <xf numFmtId="179" fontId="21" fillId="0" borderId="10" xfId="0" applyNumberFormat="1" applyFont="1" applyBorder="1" applyAlignment="1" applyProtection="1">
      <alignment vertical="center"/>
    </xf>
    <xf numFmtId="0" fontId="21" fillId="0" borderId="27" xfId="0" applyFont="1" applyBorder="1" applyAlignment="1" applyProtection="1">
      <alignment horizontal="left" vertical="center"/>
    </xf>
    <xf numFmtId="179" fontId="20" fillId="0" borderId="7" xfId="0" applyNumberFormat="1" applyFont="1" applyBorder="1" applyAlignment="1" applyProtection="1">
      <alignment horizontal="centerContinuous" vertical="center"/>
    </xf>
    <xf numFmtId="179" fontId="18" fillId="0" borderId="7" xfId="0" applyNumberFormat="1" applyFont="1" applyBorder="1" applyAlignment="1" applyProtection="1">
      <alignment horizontal="centerContinuous" vertical="center"/>
    </xf>
    <xf numFmtId="0" fontId="18" fillId="0" borderId="32" xfId="0" applyFont="1" applyBorder="1" applyAlignment="1" applyProtection="1">
      <alignment horizontal="centerContinuous" vertical="center"/>
    </xf>
    <xf numFmtId="0" fontId="0" fillId="0" borderId="20" xfId="0" applyBorder="1" applyAlignment="1" applyProtection="1">
      <alignment horizontal="left" vertical="center"/>
    </xf>
    <xf numFmtId="0" fontId="34" fillId="0" borderId="1" xfId="0" applyFont="1" applyBorder="1" applyAlignment="1" applyProtection="1">
      <alignment horizontal="center" vertical="center"/>
    </xf>
    <xf numFmtId="0" fontId="3" fillId="0" borderId="25" xfId="0" applyFont="1" applyBorder="1" applyAlignment="1" applyProtection="1">
      <alignment vertical="center"/>
    </xf>
    <xf numFmtId="0" fontId="34" fillId="0" borderId="0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0" fontId="3" fillId="0" borderId="13" xfId="0" applyFont="1" applyBorder="1" applyAlignment="1" applyProtection="1">
      <alignment vertical="center"/>
    </xf>
    <xf numFmtId="0" fontId="3" fillId="0" borderId="16" xfId="0" applyFont="1" applyBorder="1" applyAlignment="1" applyProtection="1">
      <alignment horizontal="centerContinuous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 wrapText="1"/>
    </xf>
    <xf numFmtId="0" fontId="37" fillId="0" borderId="17" xfId="0" applyFont="1" applyBorder="1" applyAlignment="1" applyProtection="1">
      <alignment horizontal="center" vertical="center"/>
    </xf>
    <xf numFmtId="0" fontId="37" fillId="0" borderId="0" xfId="0" applyFont="1" applyBorder="1" applyAlignment="1" applyProtection="1">
      <alignment horizontal="center" vertical="center"/>
    </xf>
    <xf numFmtId="0" fontId="37" fillId="0" borderId="0" xfId="0" applyFont="1" applyAlignment="1" applyProtection="1">
      <alignment horizontal="center" vertical="center"/>
    </xf>
    <xf numFmtId="0" fontId="38" fillId="0" borderId="0" xfId="0" applyFont="1" applyAlignment="1" applyProtection="1">
      <alignment horizontal="center" vertical="center"/>
    </xf>
    <xf numFmtId="0" fontId="38" fillId="0" borderId="0" xfId="0" applyFont="1" applyBorder="1" applyAlignment="1" applyProtection="1">
      <alignment horizontal="center" vertical="center"/>
    </xf>
    <xf numFmtId="1" fontId="37" fillId="0" borderId="17" xfId="0" applyNumberFormat="1" applyFont="1" applyBorder="1" applyAlignment="1" applyProtection="1">
      <alignment horizontal="center" vertical="center"/>
    </xf>
    <xf numFmtId="1" fontId="37" fillId="0" borderId="0" xfId="0" applyNumberFormat="1" applyFont="1" applyBorder="1" applyAlignment="1" applyProtection="1">
      <alignment horizontal="center" vertical="center"/>
    </xf>
    <xf numFmtId="1" fontId="38" fillId="0" borderId="0" xfId="0" applyNumberFormat="1" applyFont="1" applyBorder="1" applyAlignment="1" applyProtection="1">
      <alignment horizontal="center" vertical="center"/>
    </xf>
    <xf numFmtId="0" fontId="32" fillId="0" borderId="0" xfId="0" applyFont="1" applyBorder="1" applyAlignment="1" applyProtection="1">
      <alignment horizontal="center" vertical="center"/>
    </xf>
    <xf numFmtId="176" fontId="32" fillId="0" borderId="0" xfId="0" applyNumberFormat="1" applyFont="1" applyBorder="1" applyAlignment="1" applyProtection="1">
      <alignment horizontal="center" vertical="center"/>
    </xf>
    <xf numFmtId="176" fontId="37" fillId="0" borderId="17" xfId="0" applyNumberFormat="1" applyFont="1" applyBorder="1" applyAlignment="1" applyProtection="1">
      <alignment horizontal="center" vertical="center"/>
    </xf>
    <xf numFmtId="176" fontId="37" fillId="0" borderId="0" xfId="0" applyNumberFormat="1" applyFont="1" applyBorder="1" applyAlignment="1" applyProtection="1">
      <alignment horizontal="center" vertical="center"/>
    </xf>
    <xf numFmtId="176" fontId="0" fillId="0" borderId="0" xfId="0" applyNumberFormat="1" applyBorder="1" applyAlignment="1" applyProtection="1">
      <alignment horizontal="left" vertical="center"/>
    </xf>
    <xf numFmtId="0" fontId="38" fillId="0" borderId="0" xfId="0" applyFont="1" applyAlignment="1" applyProtection="1">
      <alignment vertical="center"/>
    </xf>
    <xf numFmtId="0" fontId="38" fillId="0" borderId="0" xfId="0" applyFont="1" applyBorder="1" applyAlignment="1" applyProtection="1">
      <alignment vertical="center"/>
    </xf>
    <xf numFmtId="38" fontId="37" fillId="0" borderId="17" xfId="0" applyNumberFormat="1" applyFont="1" applyBorder="1" applyAlignment="1" applyProtection="1">
      <alignment horizontal="center" vertical="center"/>
    </xf>
    <xf numFmtId="182" fontId="0" fillId="0" borderId="29" xfId="0" applyNumberFormat="1" applyBorder="1" applyAlignment="1" applyProtection="1">
      <alignment horizontal="center" vertical="center"/>
    </xf>
    <xf numFmtId="176" fontId="0" fillId="0" borderId="0" xfId="0" applyNumberFormat="1" applyBorder="1" applyAlignment="1" applyProtection="1">
      <alignment horizontal="center" vertical="center"/>
    </xf>
    <xf numFmtId="0" fontId="18" fillId="0" borderId="0" xfId="0" applyFont="1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2" fillId="0" borderId="4" xfId="0" applyFont="1" applyBorder="1" applyAlignment="1" applyProtection="1">
      <alignment vertical="center"/>
    </xf>
    <xf numFmtId="0" fontId="37" fillId="0" borderId="33" xfId="0" applyFont="1" applyBorder="1" applyAlignment="1" applyProtection="1">
      <alignment horizontal="center" vertical="center"/>
    </xf>
    <xf numFmtId="0" fontId="2" fillId="0" borderId="35" xfId="0" applyFont="1" applyBorder="1" applyAlignment="1" applyProtection="1">
      <alignment horizontal="center" vertical="center"/>
    </xf>
    <xf numFmtId="0" fontId="37" fillId="0" borderId="36" xfId="0" applyFont="1" applyBorder="1" applyAlignment="1" applyProtection="1">
      <alignment horizontal="center" vertical="center"/>
    </xf>
    <xf numFmtId="0" fontId="37" fillId="0" borderId="37" xfId="0" applyFont="1" applyBorder="1" applyAlignment="1" applyProtection="1">
      <alignment horizontal="center" vertical="center"/>
    </xf>
    <xf numFmtId="0" fontId="2" fillId="0" borderId="39" xfId="0" applyFont="1" applyBorder="1" applyAlignment="1" applyProtection="1">
      <alignment horizontal="center" vertical="center"/>
    </xf>
    <xf numFmtId="0" fontId="39" fillId="0" borderId="40" xfId="0" applyFont="1" applyBorder="1" applyAlignment="1" applyProtection="1">
      <alignment horizontal="center" vertical="center"/>
    </xf>
    <xf numFmtId="0" fontId="39" fillId="0" borderId="41" xfId="0" applyFont="1" applyBorder="1" applyAlignment="1" applyProtection="1">
      <alignment horizontal="center" vertical="center"/>
    </xf>
    <xf numFmtId="20" fontId="2" fillId="0" borderId="0" xfId="0" applyNumberFormat="1" applyFont="1" applyBorder="1" applyAlignment="1" applyProtection="1">
      <alignment vertical="center"/>
    </xf>
    <xf numFmtId="0" fontId="39" fillId="0" borderId="42" xfId="0" applyFont="1" applyBorder="1" applyAlignment="1" applyProtection="1">
      <alignment horizontal="center" vertical="center"/>
    </xf>
    <xf numFmtId="0" fontId="39" fillId="0" borderId="43" xfId="0" applyFont="1" applyBorder="1" applyAlignment="1" applyProtection="1">
      <alignment horizontal="center" vertical="center"/>
    </xf>
    <xf numFmtId="20" fontId="2" fillId="0" borderId="38" xfId="0" applyNumberFormat="1" applyFont="1" applyBorder="1" applyAlignment="1" applyProtection="1">
      <alignment vertical="center"/>
    </xf>
    <xf numFmtId="20" fontId="2" fillId="0" borderId="44" xfId="0" applyNumberFormat="1" applyFont="1" applyBorder="1" applyAlignment="1" applyProtection="1">
      <alignment vertical="center"/>
    </xf>
    <xf numFmtId="0" fontId="2" fillId="0" borderId="45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20" fontId="2" fillId="0" borderId="1" xfId="0" applyNumberFormat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8" fillId="0" borderId="0" xfId="0" applyFont="1" applyBorder="1" applyAlignment="1" applyProtection="1">
      <alignment horizontal="center" vertical="center"/>
    </xf>
    <xf numFmtId="176" fontId="18" fillId="0" borderId="0" xfId="0" applyNumberFormat="1" applyFont="1" applyBorder="1" applyAlignment="1" applyProtection="1">
      <alignment horizontal="center" vertical="center"/>
    </xf>
    <xf numFmtId="0" fontId="20" fillId="0" borderId="0" xfId="0" applyFont="1" applyBorder="1" applyAlignment="1" applyProtection="1">
      <alignment horizontal="center" vertical="center"/>
    </xf>
    <xf numFmtId="3" fontId="20" fillId="0" borderId="17" xfId="0" applyNumberFormat="1" applyFont="1" applyBorder="1" applyAlignment="1" applyProtection="1">
      <alignment horizontal="center" vertical="center"/>
    </xf>
    <xf numFmtId="38" fontId="37" fillId="0" borderId="46" xfId="0" applyNumberFormat="1" applyFont="1" applyBorder="1" applyAlignment="1" applyProtection="1">
      <alignment horizontal="center" vertical="center"/>
    </xf>
    <xf numFmtId="1" fontId="2" fillId="0" borderId="0" xfId="0" applyNumberFormat="1" applyFont="1" applyAlignment="1" applyProtection="1">
      <alignment vertical="center"/>
    </xf>
    <xf numFmtId="38" fontId="37" fillId="0" borderId="0" xfId="0" applyNumberFormat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vertical="center"/>
    </xf>
    <xf numFmtId="0" fontId="37" fillId="0" borderId="47" xfId="0" applyFont="1" applyBorder="1" applyAlignment="1" applyProtection="1">
      <alignment vertical="center"/>
    </xf>
    <xf numFmtId="0" fontId="2" fillId="0" borderId="26" xfId="0" applyFont="1" applyBorder="1" applyAlignment="1" applyProtection="1">
      <alignment vertical="center"/>
    </xf>
    <xf numFmtId="0" fontId="2" fillId="0" borderId="48" xfId="0" applyFont="1" applyBorder="1" applyAlignment="1" applyProtection="1">
      <alignment horizontal="center" vertical="center"/>
    </xf>
    <xf numFmtId="0" fontId="39" fillId="0" borderId="49" xfId="0" applyFont="1" applyBorder="1" applyAlignment="1" applyProtection="1">
      <alignment vertical="center"/>
    </xf>
    <xf numFmtId="0" fontId="39" fillId="0" borderId="50" xfId="0" applyFont="1" applyBorder="1" applyAlignment="1" applyProtection="1">
      <alignment vertical="center"/>
    </xf>
    <xf numFmtId="0" fontId="39" fillId="0" borderId="35" xfId="0" applyFont="1" applyBorder="1" applyAlignment="1" applyProtection="1">
      <alignment horizontal="center" vertical="center"/>
    </xf>
    <xf numFmtId="0" fontId="39" fillId="0" borderId="51" xfId="0" applyFont="1" applyBorder="1" applyAlignment="1" applyProtection="1">
      <alignment vertical="center"/>
    </xf>
    <xf numFmtId="0" fontId="39" fillId="0" borderId="52" xfId="0" applyFont="1" applyBorder="1" applyAlignment="1" applyProtection="1">
      <alignment vertical="center"/>
    </xf>
    <xf numFmtId="0" fontId="39" fillId="0" borderId="45" xfId="0" applyFont="1" applyBorder="1" applyAlignment="1" applyProtection="1">
      <alignment horizontal="center" vertical="center"/>
    </xf>
    <xf numFmtId="1" fontId="3" fillId="0" borderId="0" xfId="0" applyNumberFormat="1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2" fillId="0" borderId="25" xfId="0" applyFont="1" applyBorder="1" applyAlignment="1" applyProtection="1">
      <alignment vertical="center"/>
    </xf>
    <xf numFmtId="0" fontId="0" fillId="0" borderId="0" xfId="0" applyNumberFormat="1" applyAlignment="1" applyProtection="1">
      <alignment horizontal="center" vertical="center"/>
    </xf>
    <xf numFmtId="0" fontId="2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1" fontId="0" fillId="0" borderId="0" xfId="0" applyNumberFormat="1" applyBorder="1" applyAlignment="1" applyProtection="1">
      <alignment horizontal="center" vertical="center"/>
    </xf>
    <xf numFmtId="1" fontId="0" fillId="0" borderId="0" xfId="0" applyNumberFormat="1" applyBorder="1" applyAlignment="1" applyProtection="1">
      <alignment horizontal="right" vertical="center"/>
    </xf>
    <xf numFmtId="0" fontId="0" fillId="0" borderId="0" xfId="0" applyBorder="1" applyAlignment="1" applyProtection="1">
      <alignment horizontal="right" vertical="center"/>
    </xf>
    <xf numFmtId="176" fontId="0" fillId="0" borderId="0" xfId="0" applyNumberFormat="1" applyBorder="1" applyAlignment="1" applyProtection="1">
      <alignment horizontal="right" vertical="center"/>
    </xf>
    <xf numFmtId="3" fontId="0" fillId="0" borderId="0" xfId="0" applyNumberFormat="1" applyBorder="1" applyAlignment="1" applyProtection="1">
      <alignment horizontal="center" vertical="center"/>
    </xf>
    <xf numFmtId="15" fontId="6" fillId="0" borderId="0" xfId="0" quotePrefix="1" applyNumberFormat="1" applyFont="1" applyBorder="1" applyAlignment="1" applyProtection="1">
      <alignment horizontal="centerContinuous" vertical="center"/>
    </xf>
    <xf numFmtId="20" fontId="2" fillId="0" borderId="34" xfId="0" quotePrefix="1" applyNumberFormat="1" applyFont="1" applyBorder="1" applyAlignment="1" applyProtection="1">
      <alignment vertical="center"/>
    </xf>
    <xf numFmtId="0" fontId="2" fillId="0" borderId="38" xfId="0" quotePrefix="1" applyFont="1" applyBorder="1" applyAlignment="1" applyProtection="1">
      <alignment vertical="center"/>
    </xf>
    <xf numFmtId="0" fontId="3" fillId="0" borderId="0" xfId="0" applyFont="1" applyBorder="1" applyAlignment="1" applyProtection="1">
      <alignment horizontal="left" vertical="center" wrapText="1"/>
    </xf>
    <xf numFmtId="0" fontId="0" fillId="0" borderId="0" xfId="0" applyBorder="1" applyAlignment="1" applyProtection="1">
      <alignment horizontal="left" vertical="center" wrapText="1"/>
    </xf>
    <xf numFmtId="0" fontId="0" fillId="0" borderId="16" xfId="0" applyBorder="1" applyAlignment="1" applyProtection="1">
      <alignment horizontal="left" vertical="center" wrapText="1"/>
    </xf>
    <xf numFmtId="0" fontId="25" fillId="0" borderId="4" xfId="0" applyFont="1" applyBorder="1" applyAlignment="1" applyProtection="1">
      <alignment horizontal="center" vertical="center" wrapText="1"/>
    </xf>
    <xf numFmtId="0" fontId="25" fillId="0" borderId="16" xfId="0" applyFont="1" applyBorder="1" applyAlignment="1" applyProtection="1">
      <alignment horizontal="center" vertical="center"/>
    </xf>
    <xf numFmtId="0" fontId="3" fillId="0" borderId="0" xfId="0" applyNumberFormat="1" applyFont="1" applyBorder="1" applyAlignment="1" applyProtection="1">
      <alignment horizontal="left" vertical="center" wrapText="1"/>
    </xf>
    <xf numFmtId="0" fontId="0" fillId="0" borderId="0" xfId="0" applyNumberFormat="1" applyBorder="1" applyAlignment="1" applyProtection="1">
      <alignment horizontal="left" vertical="center"/>
    </xf>
    <xf numFmtId="0" fontId="0" fillId="0" borderId="16" xfId="0" applyNumberFormat="1" applyBorder="1" applyAlignment="1" applyProtection="1">
      <alignment horizontal="left" vertical="center"/>
    </xf>
    <xf numFmtId="0" fontId="26" fillId="0" borderId="4" xfId="0" applyFont="1" applyBorder="1" applyAlignment="1" applyProtection="1">
      <alignment horizontal="left" vertical="center" wrapText="1"/>
    </xf>
    <xf numFmtId="0" fontId="26" fillId="0" borderId="16" xfId="0" applyFont="1" applyBorder="1" applyAlignment="1" applyProtection="1">
      <alignment horizontal="left" vertical="center" wrapText="1"/>
    </xf>
    <xf numFmtId="0" fontId="6" fillId="0" borderId="5" xfId="0" applyFont="1" applyBorder="1" applyAlignment="1" applyProtection="1">
      <alignment horizontal="right" vertical="center"/>
    </xf>
    <xf numFmtId="0" fontId="0" fillId="0" borderId="5" xfId="0" applyBorder="1" applyAlignment="1">
      <alignment horizontal="right" vertical="center"/>
    </xf>
    <xf numFmtId="0" fontId="16" fillId="0" borderId="0" xfId="0" applyFont="1" applyBorder="1" applyAlignment="1" applyProtection="1">
      <alignment vertical="center"/>
    </xf>
    <xf numFmtId="0" fontId="17" fillId="0" borderId="0" xfId="0" applyFont="1" applyBorder="1" applyAlignment="1">
      <alignment vertical="center"/>
    </xf>
    <xf numFmtId="0" fontId="0" fillId="0" borderId="18" xfId="0" applyBorder="1" applyAlignment="1" applyProtection="1">
      <alignment vertical="center" wrapText="1"/>
    </xf>
    <xf numFmtId="0" fontId="0" fillId="0" borderId="0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30" xfId="0" applyBorder="1" applyAlignment="1">
      <alignment vertical="center"/>
    </xf>
    <xf numFmtId="0" fontId="12" fillId="0" borderId="6" xfId="0" applyFont="1" applyBorder="1" applyAlignment="1" applyProtection="1">
      <alignment horizontal="left" vertical="center" wrapText="1"/>
    </xf>
    <xf numFmtId="0" fontId="12" fillId="0" borderId="7" xfId="0" applyFont="1" applyBorder="1" applyAlignment="1" applyProtection="1">
      <alignment horizontal="left" vertical="center" wrapText="1"/>
    </xf>
    <xf numFmtId="0" fontId="12" fillId="0" borderId="22" xfId="0" applyFont="1" applyBorder="1" applyAlignment="1" applyProtection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4" fillId="0" borderId="0" xfId="0" applyFont="1" applyBorder="1" applyAlignment="1" applyProtection="1">
      <alignment vertical="center"/>
    </xf>
    <xf numFmtId="0" fontId="0" fillId="0" borderId="0" xfId="0" applyFont="1" applyBorder="1" applyAlignment="1">
      <alignment vertical="center"/>
    </xf>
  </cellXfs>
  <cellStyles count="1">
    <cellStyle name="常规" xfId="0" builtinId="0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F454"/>
  <sheetViews>
    <sheetView tabSelected="1" topLeftCell="A47" zoomScale="40" zoomScaleNormal="40" workbookViewId="0">
      <selection activeCell="L82" sqref="L82"/>
    </sheetView>
  </sheetViews>
  <sheetFormatPr defaultColWidth="8.81640625" defaultRowHeight="12.5"/>
  <cols>
    <col min="1" max="1" width="4.36328125" style="4" customWidth="1"/>
    <col min="2" max="2" width="15.81640625" style="4" customWidth="1"/>
    <col min="3" max="3" width="22.36328125" style="4" customWidth="1"/>
    <col min="4" max="4" width="31.36328125" style="4" customWidth="1"/>
    <col min="5" max="5" width="12.54296875" style="4" customWidth="1"/>
    <col min="6" max="6" width="20.6328125" style="4" customWidth="1"/>
    <col min="7" max="7" width="15.6328125" style="4" customWidth="1"/>
    <col min="8" max="8" width="20.6328125" style="4" customWidth="1"/>
    <col min="9" max="9" width="15.6328125" style="4" customWidth="1"/>
    <col min="10" max="10" width="29.36328125" style="4" customWidth="1"/>
    <col min="11" max="12" width="20.6328125" style="4" customWidth="1"/>
    <col min="13" max="13" width="15.6328125" style="4" customWidth="1"/>
    <col min="14" max="14" width="6.6328125" style="4" customWidth="1"/>
    <col min="15" max="15" width="6.6328125" style="5" customWidth="1"/>
    <col min="16" max="16" width="34.6328125" style="6" customWidth="1"/>
    <col min="17" max="17" width="19.6328125" style="7" customWidth="1"/>
    <col min="18" max="18" width="6.6328125" style="8" customWidth="1"/>
    <col min="19" max="19" width="6.6328125" style="9" customWidth="1"/>
    <col min="20" max="20" width="34.6328125" style="4" customWidth="1"/>
    <col min="21" max="21" width="19.6328125" style="4" customWidth="1"/>
    <col min="22" max="22" width="6.6328125" style="4" customWidth="1"/>
    <col min="23" max="23" width="6.6328125" style="5" customWidth="1"/>
    <col min="24" max="24" width="41.54296875" style="4" customWidth="1"/>
    <col min="25" max="25" width="19.6328125" style="4" customWidth="1"/>
    <col min="26" max="27" width="6.6328125" style="4" customWidth="1"/>
    <col min="28" max="28" width="56.1796875" style="4" customWidth="1"/>
    <col min="29" max="29" width="9.54296875" style="4" customWidth="1"/>
    <col min="30" max="30" width="14.1796875" style="4" customWidth="1"/>
    <col min="31" max="31" width="16.54296875" style="7" customWidth="1"/>
    <col min="32" max="32" width="6.6328125" style="4" customWidth="1"/>
    <col min="33" max="33" width="9.54296875" style="4" customWidth="1"/>
    <col min="34" max="34" width="6.6328125" style="4" customWidth="1"/>
    <col min="35" max="35" width="12.6328125" style="4" customWidth="1"/>
    <col min="36" max="40" width="6.6328125" style="4" customWidth="1"/>
    <col min="41" max="41" width="10.1796875" style="4" customWidth="1"/>
    <col min="42" max="42" width="9.81640625" style="4" customWidth="1"/>
    <col min="43" max="43" width="12.1796875" style="4" customWidth="1"/>
    <col min="44" max="44" width="6.6328125" style="4" customWidth="1"/>
    <col min="45" max="45" width="9" style="4" customWidth="1"/>
    <col min="46" max="46" width="6.6328125" style="4" customWidth="1"/>
    <col min="47" max="47" width="9.36328125" style="4" customWidth="1"/>
    <col min="48" max="52" width="6.6328125" style="4" customWidth="1"/>
    <col min="53" max="16384" width="8.81640625" style="4"/>
  </cols>
  <sheetData>
    <row r="1" spans="1:31" ht="45">
      <c r="A1" s="10" t="s">
        <v>0</v>
      </c>
      <c r="B1" s="11"/>
      <c r="C1" s="12"/>
      <c r="D1" s="11"/>
      <c r="E1" s="11"/>
      <c r="F1" s="11"/>
      <c r="G1" s="11"/>
      <c r="H1" s="11"/>
      <c r="I1" s="11"/>
      <c r="J1" s="11"/>
      <c r="K1" s="11"/>
      <c r="L1" s="11"/>
      <c r="M1" s="11"/>
      <c r="R1" s="4"/>
      <c r="S1" s="5"/>
    </row>
    <row r="2" spans="1:31" ht="45">
      <c r="A2" s="10" t="s">
        <v>1</v>
      </c>
      <c r="B2" s="11"/>
      <c r="C2" s="12"/>
      <c r="D2" s="11"/>
      <c r="E2" s="11"/>
      <c r="F2" s="11"/>
      <c r="G2" s="11"/>
      <c r="H2" s="11"/>
      <c r="I2" s="11"/>
      <c r="J2" s="11"/>
      <c r="K2" s="11"/>
      <c r="L2" s="11"/>
      <c r="M2" s="11"/>
      <c r="R2" s="4"/>
      <c r="S2" s="5"/>
    </row>
    <row r="3" spans="1:31" ht="40" customHeight="1">
      <c r="A3" s="306" t="s">
        <v>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R3" s="4"/>
      <c r="S3" s="5"/>
    </row>
    <row r="4" spans="1:31" ht="30" customHeight="1">
      <c r="A4" s="13" t="s">
        <v>3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R4" s="4"/>
      <c r="S4" s="5"/>
    </row>
    <row r="5" spans="1:31" ht="30" customHeight="1">
      <c r="A5" s="14" t="s">
        <v>4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R5" s="4"/>
      <c r="S5" s="5"/>
    </row>
    <row r="6" spans="1:31" ht="36" customHeight="1">
      <c r="A6" s="14"/>
      <c r="B6" s="15"/>
      <c r="C6" s="16"/>
      <c r="D6" s="16"/>
      <c r="E6" s="16"/>
      <c r="F6" s="16"/>
      <c r="G6" s="16"/>
      <c r="H6" s="16"/>
      <c r="I6" s="16"/>
      <c r="J6" s="15"/>
      <c r="K6" s="16"/>
      <c r="L6" s="15"/>
      <c r="M6" s="16"/>
      <c r="N6" s="71"/>
      <c r="R6" s="4"/>
      <c r="S6" s="5"/>
    </row>
    <row r="7" spans="1:31" ht="25" customHeight="1">
      <c r="A7" s="17" t="s">
        <v>5</v>
      </c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R7" s="4"/>
      <c r="S7" s="5"/>
    </row>
    <row r="8" spans="1:31" ht="25" customHeight="1">
      <c r="A8" s="17"/>
      <c r="B8" s="20" t="s">
        <v>6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R8" s="4"/>
      <c r="S8" s="5"/>
    </row>
    <row r="9" spans="1:31" ht="25" customHeight="1">
      <c r="A9" s="17"/>
      <c r="B9" s="21" t="s">
        <v>7</v>
      </c>
      <c r="C9" s="20" t="s">
        <v>8</v>
      </c>
      <c r="D9" s="19"/>
      <c r="E9" s="19"/>
      <c r="F9" s="19"/>
      <c r="G9" s="19"/>
      <c r="H9" s="19"/>
      <c r="I9" s="19"/>
      <c r="J9" s="19"/>
      <c r="K9" s="19"/>
      <c r="L9" s="19"/>
      <c r="M9" s="19"/>
      <c r="R9" s="4"/>
      <c r="S9" s="5"/>
    </row>
    <row r="10" spans="1:31" ht="25" customHeight="1">
      <c r="A10" s="17"/>
      <c r="B10" s="20" t="s">
        <v>9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R10" s="4"/>
      <c r="S10" s="5"/>
    </row>
    <row r="11" spans="1:31" ht="25" customHeight="1">
      <c r="A11" s="17"/>
      <c r="B11" s="21" t="s">
        <v>7</v>
      </c>
      <c r="C11" s="20" t="s">
        <v>10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R11" s="4"/>
      <c r="S11" s="5"/>
    </row>
    <row r="12" spans="1:31" ht="25" customHeight="1">
      <c r="A12" s="17"/>
      <c r="B12" s="20" t="s">
        <v>11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R12" s="4"/>
      <c r="S12" s="5"/>
    </row>
    <row r="13" spans="1:31" ht="25" customHeight="1">
      <c r="A13" s="17"/>
      <c r="B13" s="21" t="s">
        <v>7</v>
      </c>
      <c r="C13" s="20" t="s">
        <v>12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R13" s="4"/>
      <c r="S13" s="5"/>
    </row>
    <row r="14" spans="1:31" s="1" customFormat="1" ht="15.5">
      <c r="A14" s="20"/>
      <c r="B14" s="20" t="s">
        <v>13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O14" s="72"/>
      <c r="P14" s="73"/>
      <c r="Q14" s="127"/>
      <c r="S14" s="72"/>
      <c r="W14" s="72"/>
      <c r="AE14" s="127"/>
    </row>
    <row r="15" spans="1:31" s="1" customFormat="1" ht="15.5">
      <c r="A15" s="20"/>
      <c r="B15" s="21" t="s">
        <v>7</v>
      </c>
      <c r="C15" s="20" t="s">
        <v>14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O15" s="72"/>
      <c r="P15" s="73"/>
      <c r="Q15" s="127"/>
      <c r="S15" s="72"/>
      <c r="W15" s="72"/>
      <c r="AE15" s="127"/>
    </row>
    <row r="16" spans="1:31" s="1" customFormat="1" ht="15.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O16" s="72"/>
      <c r="P16" s="73"/>
      <c r="Q16" s="127"/>
      <c r="S16" s="72"/>
      <c r="W16" s="72"/>
      <c r="AE16" s="127"/>
    </row>
    <row r="17" spans="1:58" s="1" customFormat="1" ht="15.5">
      <c r="A17" s="20"/>
      <c r="B17" s="20" t="s">
        <v>15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O17" s="72"/>
      <c r="P17" s="73"/>
      <c r="Q17" s="127"/>
      <c r="S17" s="72"/>
      <c r="W17" s="72"/>
      <c r="AE17" s="127"/>
    </row>
    <row r="18" spans="1:58" s="1" customFormat="1" ht="15.5">
      <c r="A18" s="20"/>
      <c r="B18" s="21" t="s">
        <v>16</v>
      </c>
      <c r="C18" s="20" t="s">
        <v>17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O18" s="72"/>
      <c r="P18" s="73"/>
      <c r="Q18" s="127"/>
      <c r="S18" s="72"/>
      <c r="W18" s="128"/>
    </row>
    <row r="19" spans="1:58" s="1" customFormat="1" ht="15.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O19" s="72"/>
      <c r="P19" s="73"/>
      <c r="Q19" s="127"/>
      <c r="S19" s="72"/>
      <c r="W19" s="128"/>
    </row>
    <row r="20" spans="1:58" s="1" customFormat="1" ht="15.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O20" s="72"/>
      <c r="P20" s="73"/>
      <c r="Q20" s="127"/>
      <c r="S20" s="72"/>
      <c r="W20" s="128"/>
    </row>
    <row r="21" spans="1:58" ht="25" customHeight="1">
      <c r="A21" s="22" t="s">
        <v>18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71"/>
      <c r="R21" s="4"/>
      <c r="S21" s="5"/>
    </row>
    <row r="22" spans="1:58" ht="25" customHeight="1">
      <c r="A22" s="24" t="s">
        <v>19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71"/>
      <c r="R22" s="4"/>
      <c r="S22" s="5"/>
    </row>
    <row r="23" spans="1:58" ht="25" customHeight="1">
      <c r="A23" s="26"/>
      <c r="B23" s="27"/>
      <c r="C23" s="27"/>
      <c r="D23" s="27"/>
      <c r="E23" s="27"/>
      <c r="F23" s="27"/>
      <c r="G23" s="27"/>
      <c r="H23" s="27"/>
      <c r="I23" s="27"/>
      <c r="J23" s="74"/>
      <c r="K23" s="74"/>
      <c r="L23" s="41"/>
      <c r="M23" s="75"/>
      <c r="O23" s="76" t="s">
        <v>20</v>
      </c>
      <c r="P23" s="77"/>
      <c r="Q23" s="129"/>
      <c r="R23" s="4"/>
      <c r="S23" s="76" t="s">
        <v>21</v>
      </c>
      <c r="T23" s="130"/>
      <c r="U23" s="129"/>
      <c r="W23" s="76" t="s">
        <v>22</v>
      </c>
      <c r="X23" s="130"/>
      <c r="Y23" s="129"/>
      <c r="AA23" s="155" t="s">
        <v>23</v>
      </c>
      <c r="AB23" s="130"/>
      <c r="AC23" s="156"/>
      <c r="AE23" s="4"/>
      <c r="BE23" s="44"/>
      <c r="BF23" s="134"/>
    </row>
    <row r="24" spans="1:58" ht="40" customHeight="1">
      <c r="A24" s="28"/>
      <c r="B24" s="29" t="s">
        <v>24</v>
      </c>
      <c r="C24" s="29"/>
      <c r="D24" s="19"/>
      <c r="E24" s="30"/>
      <c r="F24" s="31"/>
      <c r="G24" s="309"/>
      <c r="H24" s="310"/>
      <c r="I24" s="310"/>
      <c r="J24" s="311"/>
      <c r="K24" s="78">
        <v>3840</v>
      </c>
      <c r="L24" s="312" t="str">
        <f>IF(H_PIXELS&lt;&gt;H_PIXELS_RND,"WARNING! - Rounded to Nearest Character Cell","")</f>
        <v/>
      </c>
      <c r="M24" s="313"/>
      <c r="O24" s="80"/>
      <c r="P24" s="81" t="s">
        <v>25</v>
      </c>
      <c r="Q24" s="131">
        <f>ROUNDDOWN(CELL_GRAN,0)</f>
        <v>8</v>
      </c>
      <c r="R24" s="4"/>
      <c r="S24" s="88"/>
      <c r="T24" s="132" t="s">
        <v>26</v>
      </c>
      <c r="U24" s="131">
        <f>K126</f>
        <v>550</v>
      </c>
      <c r="W24" s="88"/>
      <c r="X24" s="44" t="s">
        <v>27</v>
      </c>
      <c r="Y24" s="131">
        <f>K151</f>
        <v>460</v>
      </c>
      <c r="AA24" s="157">
        <v>1</v>
      </c>
      <c r="AB24" s="44" t="str">
        <f>IF(OR(H_PIXELS="",V_LINES="",MARGINS_RQD?="",INT_RQD?="",IP_FREQ_RQD="",RED_BLANK_RQD?="",RED_BLANK_VER="",VIDEO_OPT=""),"ERROR!  Invalid Input Parameters  ","")</f>
        <v/>
      </c>
      <c r="AC24" s="158" t="str">
        <f>IF(OR(H_PIXELS="",V_LINES="",MARGINS_RQD?="",INT_RQD?="",IP_FREQ_RQD="",RED_BLANK_RQD?=""),"Yes","")</f>
        <v/>
      </c>
      <c r="AE24" s="4"/>
      <c r="BE24" s="44"/>
      <c r="BF24" s="134"/>
    </row>
    <row r="25" spans="1:58" ht="40" customHeight="1">
      <c r="A25" s="28"/>
      <c r="B25" s="29" t="s">
        <v>28</v>
      </c>
      <c r="C25" s="29"/>
      <c r="D25" s="19"/>
      <c r="E25" s="30"/>
      <c r="F25" s="31"/>
      <c r="G25" s="309"/>
      <c r="H25" s="310"/>
      <c r="I25" s="310"/>
      <c r="J25" s="311"/>
      <c r="K25" s="78">
        <v>2160</v>
      </c>
      <c r="L25" s="312" t="str">
        <f>IF((V_LINES/IF(INT_RQD?="y",2,1))&lt;&gt;V_LINES_RND,"WARNING! - Rounded to Nearest Whole Line","")</f>
        <v/>
      </c>
      <c r="M25" s="313"/>
      <c r="O25" s="80"/>
      <c r="P25" s="81" t="s">
        <v>29</v>
      </c>
      <c r="Q25" s="131">
        <f>$K$107</f>
        <v>1.8</v>
      </c>
      <c r="R25" s="4"/>
      <c r="S25" s="88"/>
      <c r="T25" s="133" t="s">
        <v>30</v>
      </c>
      <c r="U25" s="131">
        <f>K120</f>
        <v>8</v>
      </c>
      <c r="W25" s="88"/>
      <c r="X25" s="134" t="s">
        <v>31</v>
      </c>
      <c r="Y25" s="131">
        <f>K149</f>
        <v>32</v>
      </c>
      <c r="AA25" s="157">
        <v>2</v>
      </c>
      <c r="AB25" s="44" t="str">
        <f>IF(H_PIXELS&lt;&gt;H_PIXELS_RND,"WARNING!  Horizontal Pixel Count Rounded to Nearest Character Cell","")</f>
        <v/>
      </c>
      <c r="AC25" s="158"/>
      <c r="AE25" s="4"/>
      <c r="BE25" s="44"/>
      <c r="BF25" s="134"/>
    </row>
    <row r="26" spans="1:58" ht="40" customHeight="1">
      <c r="A26" s="28"/>
      <c r="B26" s="29" t="s">
        <v>32</v>
      </c>
      <c r="C26" s="29"/>
      <c r="D26" s="19"/>
      <c r="E26" s="19"/>
      <c r="F26" s="19"/>
      <c r="G26" s="19"/>
      <c r="H26" s="19"/>
      <c r="I26" s="15"/>
      <c r="J26" s="33"/>
      <c r="K26" s="82" t="s">
        <v>33</v>
      </c>
      <c r="L26" s="312"/>
      <c r="M26" s="313"/>
      <c r="O26" s="83"/>
      <c r="P26" s="84" t="s">
        <v>34</v>
      </c>
      <c r="Q26" s="131">
        <f>ROUNDDOWN(MIN_V_PORCH,0)</f>
        <v>3</v>
      </c>
      <c r="R26" s="4"/>
      <c r="S26" s="135"/>
      <c r="T26" s="136"/>
      <c r="U26" s="137"/>
      <c r="W26" s="88"/>
      <c r="X26" s="44" t="s">
        <v>35</v>
      </c>
      <c r="Y26" s="131">
        <f>K146</f>
        <v>160</v>
      </c>
      <c r="AA26" s="157">
        <v>3</v>
      </c>
      <c r="AB26" s="44" t="str">
        <f>IF(V_LINES&lt;&gt;(V_LINES_RND*IF(INT_RQD?="Y",2,1)),"WARNING!  Vertical Pixel Count Rounded To Nearest Integer  ","")</f>
        <v/>
      </c>
      <c r="AC26" s="158"/>
      <c r="AE26" s="4"/>
      <c r="BE26" s="44"/>
      <c r="BF26" s="134"/>
    </row>
    <row r="27" spans="1:58" ht="40" customHeight="1">
      <c r="A27" s="28"/>
      <c r="B27" s="29" t="s">
        <v>36</v>
      </c>
      <c r="C27" s="29"/>
      <c r="D27" s="19"/>
      <c r="E27" s="19"/>
      <c r="F27" s="19"/>
      <c r="G27" s="19"/>
      <c r="H27" s="19"/>
      <c r="I27" s="15" t="s">
        <v>37</v>
      </c>
      <c r="J27" s="33"/>
      <c r="K27" s="82" t="s">
        <v>33</v>
      </c>
      <c r="L27" s="312"/>
      <c r="M27" s="313"/>
      <c r="O27" s="76" t="s">
        <v>38</v>
      </c>
      <c r="P27" s="77"/>
      <c r="Q27" s="129"/>
      <c r="R27" s="4"/>
      <c r="S27" s="138" t="s">
        <v>39</v>
      </c>
      <c r="T27" s="44"/>
      <c r="U27" s="139"/>
      <c r="V27" s="44"/>
      <c r="W27" s="140" t="s">
        <v>39</v>
      </c>
      <c r="X27" s="130"/>
      <c r="Y27" s="129"/>
      <c r="AA27" s="157">
        <v>4</v>
      </c>
      <c r="AB27" s="44" t="str">
        <f>IF(H60&lt;&gt;"","WARNING!  Aspect Ratio Not CVT Standard","")</f>
        <v/>
      </c>
      <c r="AC27" s="158"/>
      <c r="AE27" s="4"/>
      <c r="BE27" s="44"/>
      <c r="BF27" s="134"/>
    </row>
    <row r="28" spans="1:58" ht="40" customHeight="1">
      <c r="A28" s="28"/>
      <c r="B28" s="32" t="s">
        <v>40</v>
      </c>
      <c r="C28" s="32"/>
      <c r="D28" s="33"/>
      <c r="E28" s="33"/>
      <c r="F28" s="33"/>
      <c r="G28" s="314" t="str">
        <f>"NOTE: Actual frame rate will be within +/-  "&amp;ROUND(FrameRate_Error,5)&amp;" Hz due to pixel clock rounding to "&amp;CLOCK_STEP&amp;"MHz."</f>
        <v>NOTE: Actual frame rate will be within +/-  0.00338 Hz due to pixel clock rounding to 0.25MHz.</v>
      </c>
      <c r="H28" s="315"/>
      <c r="I28" s="315"/>
      <c r="J28" s="316"/>
      <c r="K28" s="85">
        <v>60</v>
      </c>
      <c r="L28" s="86" t="s">
        <v>41</v>
      </c>
      <c r="M28" s="87"/>
      <c r="O28" s="88">
        <v>1</v>
      </c>
      <c r="P28" s="89" t="s">
        <v>42</v>
      </c>
      <c r="Q28" s="139"/>
      <c r="R28" s="4"/>
      <c r="S28" s="88">
        <f>O48+1</f>
        <v>8</v>
      </c>
      <c r="T28" s="141" t="s">
        <v>43</v>
      </c>
      <c r="U28" s="131"/>
      <c r="V28" s="44"/>
      <c r="W28" s="88">
        <f>O48+1</f>
        <v>8</v>
      </c>
      <c r="X28" s="141" t="s">
        <v>43</v>
      </c>
      <c r="Y28" s="131"/>
      <c r="AA28" s="157">
        <v>5</v>
      </c>
      <c r="AB28" s="44" t="str">
        <f>IF(AND((RED_BLANK_RQD?="y"),(RED_BLANK_VER="y")),"",IF(OR(IP_FREQ_RQD=50,IP_FREQ_RQD=60,IP_FREQ_RQD=75,IP_FREQ_RQD=85),"","WARNING!  Refresh Rate Not a CVT Standard  "))</f>
        <v/>
      </c>
      <c r="AC28" s="158"/>
      <c r="AE28" s="4"/>
      <c r="BE28" s="44"/>
      <c r="BF28" s="134"/>
    </row>
    <row r="29" spans="1:58" ht="40" customHeight="1">
      <c r="A29" s="28"/>
      <c r="B29" s="32" t="s">
        <v>44</v>
      </c>
      <c r="C29" s="32"/>
      <c r="D29" s="33"/>
      <c r="E29" s="33"/>
      <c r="F29" s="33"/>
      <c r="G29" s="34"/>
      <c r="H29" s="35"/>
      <c r="I29" s="35"/>
      <c r="J29" s="89"/>
      <c r="K29" s="82" t="s">
        <v>45</v>
      </c>
      <c r="L29" s="312"/>
      <c r="M29" s="313"/>
      <c r="O29" s="90"/>
      <c r="P29" s="91" t="s">
        <v>46</v>
      </c>
      <c r="Q29" s="131">
        <f>(IF(INT_RQD?="y",IP_FREQ_RQD*2,IP_FREQ_RQD))</f>
        <v>60</v>
      </c>
      <c r="R29" s="4"/>
      <c r="S29" s="88"/>
      <c r="T29" s="134" t="s">
        <v>47</v>
      </c>
      <c r="U29" s="131">
        <f>((1/V_FIELD_RATE_RQD)-MIN_VSYNC_BP/1000000)/(V_LINES_RND+(2*TOP_MARGIN)+MIN_V_PORCH_RND+INTERLACE)*1000000</f>
        <v>7.4510710433040535</v>
      </c>
      <c r="W29" s="88"/>
      <c r="X29" s="134" t="s">
        <v>47</v>
      </c>
      <c r="Y29" s="131">
        <f>((1000000/V_FIELD_RATE_RQD)-RB_MIN_V_BLANK)/(V_LINES_RND+TOP_MARGIN+BOT_MARGIN)</f>
        <v>7.5030864197530871</v>
      </c>
      <c r="AA29" s="157">
        <v>6</v>
      </c>
      <c r="AB29" s="44" t="str">
        <f>IF(AND(RED_BLANK_RQD?="Y",RED_BLANK_VER&lt;&gt;"y",IP_FREQ_RQD&lt;&gt;60),"WARNING!  60Hz Refresh Rate Advised For Reduced Blanking","")</f>
        <v/>
      </c>
      <c r="AC29" s="158"/>
      <c r="AE29" s="4"/>
      <c r="BE29" s="44"/>
      <c r="BF29" s="134"/>
    </row>
    <row r="30" spans="1:58" ht="40" customHeight="1">
      <c r="A30" s="28"/>
      <c r="B30" s="32" t="s">
        <v>48</v>
      </c>
      <c r="C30" s="32"/>
      <c r="D30" s="33"/>
      <c r="E30" s="33"/>
      <c r="F30" s="33"/>
      <c r="G30" s="34"/>
      <c r="H30" s="35"/>
      <c r="I30" s="35"/>
      <c r="J30" s="89"/>
      <c r="K30" s="82" t="s">
        <v>243</v>
      </c>
      <c r="L30" s="317" t="s">
        <v>49</v>
      </c>
      <c r="M30" s="318"/>
      <c r="O30" s="90"/>
      <c r="P30" s="91"/>
      <c r="Q30" s="131"/>
      <c r="R30" s="4"/>
      <c r="S30" s="88"/>
      <c r="T30" s="44"/>
      <c r="U30" s="139"/>
      <c r="W30" s="88"/>
      <c r="X30" s="44"/>
      <c r="Y30" s="139"/>
      <c r="AA30" s="159"/>
      <c r="AB30" s="44"/>
      <c r="AC30" s="158"/>
      <c r="AE30" s="4"/>
      <c r="BE30" s="44"/>
      <c r="BF30" s="134"/>
    </row>
    <row r="31" spans="1:58" ht="40" customHeight="1">
      <c r="A31" s="28"/>
      <c r="B31" s="32" t="s">
        <v>50</v>
      </c>
      <c r="C31" s="32"/>
      <c r="D31" s="33"/>
      <c r="E31" s="33"/>
      <c r="F31" s="33"/>
      <c r="G31" s="34"/>
      <c r="H31" s="35"/>
      <c r="I31" s="35"/>
      <c r="J31" s="89"/>
      <c r="K31" s="82" t="s">
        <v>45</v>
      </c>
      <c r="L31" s="317" t="s">
        <v>51</v>
      </c>
      <c r="M31" s="318"/>
      <c r="O31" s="90">
        <f>O28+1</f>
        <v>2</v>
      </c>
      <c r="P31" s="91" t="s">
        <v>52</v>
      </c>
      <c r="Q31" s="131"/>
      <c r="R31" s="4"/>
      <c r="S31" s="88">
        <f>S28+1</f>
        <v>9</v>
      </c>
      <c r="T31" s="44" t="s">
        <v>53</v>
      </c>
      <c r="U31" s="139"/>
      <c r="W31" s="88">
        <f>W28+1</f>
        <v>9</v>
      </c>
      <c r="X31" s="141" t="s">
        <v>54</v>
      </c>
      <c r="Y31" s="131"/>
      <c r="AA31" s="155" t="s">
        <v>55</v>
      </c>
      <c r="AB31" s="130"/>
      <c r="AC31" s="156"/>
      <c r="AE31" s="4"/>
      <c r="BE31" s="44"/>
      <c r="BF31" s="134"/>
    </row>
    <row r="32" spans="1:58" ht="25" customHeight="1">
      <c r="A32" s="28"/>
      <c r="B32" s="32"/>
      <c r="C32" s="32"/>
      <c r="D32" s="33"/>
      <c r="E32" s="33"/>
      <c r="F32" s="33"/>
      <c r="G32" s="34"/>
      <c r="H32" s="35"/>
      <c r="I32" s="35"/>
      <c r="J32" s="89"/>
      <c r="K32" s="92"/>
      <c r="L32" s="93"/>
      <c r="M32" s="79"/>
      <c r="O32" s="94"/>
      <c r="P32" s="95" t="s">
        <v>56</v>
      </c>
      <c r="Q32" s="142">
        <f>ROUNDDOWN(H_PIXELS/CELL_GRAN_RND,0)*CELL_GRAN_RND</f>
        <v>3840</v>
      </c>
      <c r="R32" s="4"/>
      <c r="S32" s="88"/>
      <c r="T32" s="134" t="s">
        <v>57</v>
      </c>
      <c r="U32" s="143">
        <f>ROUNDDOWN((MIN_VSYNC_BP/H_PERIOD_EST),0)+1</f>
        <v>74</v>
      </c>
      <c r="W32" s="88"/>
      <c r="X32" s="134" t="s">
        <v>58</v>
      </c>
      <c r="Y32" s="131">
        <f>ROUNDDOWN(RB_MIN_V_BLANK/H_PERIOD_EST,0)+1</f>
        <v>62</v>
      </c>
      <c r="AA32" s="323" t="str">
        <f>IF(AB24&lt;&gt;"",AB24&amp;CHAR(10),"")&amp;IF(AB25&lt;&gt;"",AB25&amp;CHAR(10),"")&amp;IF(AB26&lt;&gt;"",AB26&amp;CHAR(10),"")&amp;IF(AB27&lt;&gt;"",AB27&amp;CHAR(10),"")&amp;IF(AB28&lt;&gt;"",AB28&amp;CHAR(10),"")&amp;IF(AB29&lt;&gt;"",AB29&amp;CHAR(10),"")</f>
        <v/>
      </c>
      <c r="AB32" s="324"/>
      <c r="AC32" s="325"/>
      <c r="AE32" s="4"/>
      <c r="BE32" s="44"/>
      <c r="BF32" s="134"/>
    </row>
    <row r="33" spans="1:58" ht="25" customHeight="1">
      <c r="A33" s="28"/>
      <c r="B33" s="29"/>
      <c r="C33" s="319" t="s">
        <v>59</v>
      </c>
      <c r="D33" s="330" t="str">
        <f>IF(AA32="","OK",AA32)</f>
        <v>OK</v>
      </c>
      <c r="E33" s="331"/>
      <c r="F33" s="331"/>
      <c r="G33" s="331"/>
      <c r="H33" s="331"/>
      <c r="I33" s="331"/>
      <c r="J33" s="331"/>
      <c r="K33" s="331"/>
      <c r="L33" s="332"/>
      <c r="M33" s="96"/>
      <c r="O33" s="90"/>
      <c r="P33" s="89"/>
      <c r="Q33" s="131"/>
      <c r="R33" s="4"/>
      <c r="S33" s="88"/>
      <c r="T33" s="134" t="s">
        <v>60</v>
      </c>
      <c r="U33" s="139">
        <f>((MIN_VSYNC_BP/H_PERIOD_EST))</f>
        <v>73.303167420814475</v>
      </c>
      <c r="V33" s="134"/>
      <c r="W33" s="88"/>
      <c r="X33" s="44" t="s">
        <v>61</v>
      </c>
      <c r="Y33" s="139">
        <f>RB_MIN_V_BLANK/H_PERIOD_EST</f>
        <v>61.308103661044832</v>
      </c>
      <c r="AA33" s="326"/>
      <c r="AB33" s="324"/>
      <c r="AC33" s="325"/>
      <c r="AE33" s="4"/>
      <c r="BE33" s="44"/>
      <c r="BF33" s="134"/>
    </row>
    <row r="34" spans="1:58" ht="25" customHeight="1">
      <c r="A34" s="28"/>
      <c r="B34" s="29"/>
      <c r="C34" s="320"/>
      <c r="D34" s="333"/>
      <c r="E34" s="334"/>
      <c r="F34" s="334"/>
      <c r="G34" s="334"/>
      <c r="H34" s="334"/>
      <c r="I34" s="334"/>
      <c r="J34" s="334"/>
      <c r="K34" s="334"/>
      <c r="L34" s="335"/>
      <c r="M34" s="96"/>
      <c r="O34" s="90">
        <f>O31+1</f>
        <v>3</v>
      </c>
      <c r="P34" s="89" t="s">
        <v>62</v>
      </c>
      <c r="Q34" s="131"/>
      <c r="R34" s="4"/>
      <c r="S34" s="88"/>
      <c r="T34" s="134" t="s">
        <v>63</v>
      </c>
      <c r="U34" s="139">
        <f>IF(U32&lt;(V_SYNC+MIN_V_BPORCH),V_SYNC+MIN_V_BPORCH,U32)</f>
        <v>74</v>
      </c>
      <c r="W34" s="88"/>
      <c r="X34" s="44"/>
      <c r="Y34" s="139"/>
      <c r="AA34" s="327"/>
      <c r="AB34" s="328"/>
      <c r="AC34" s="329"/>
      <c r="AE34" s="4"/>
      <c r="BE34" s="44"/>
      <c r="BF34" s="134"/>
    </row>
    <row r="35" spans="1:58" ht="25" customHeight="1">
      <c r="A35" s="28"/>
      <c r="B35" s="29"/>
      <c r="C35" s="320"/>
      <c r="D35" s="336"/>
      <c r="E35" s="337"/>
      <c r="F35" s="337"/>
      <c r="G35" s="337"/>
      <c r="H35" s="337"/>
      <c r="I35" s="337"/>
      <c r="J35" s="337"/>
      <c r="K35" s="337"/>
      <c r="L35" s="338"/>
      <c r="M35" s="96"/>
      <c r="O35" s="90"/>
      <c r="P35" s="91" t="s">
        <v>64</v>
      </c>
      <c r="Q35" s="142">
        <f>(IF(MARGINS_RQD?="Y",(ROUNDDOWN((H_PIXELS_RND*MARGIN_PER/100/CELL_GRAN_RND),0))*CELL_GRAN_RND,0))</f>
        <v>0</v>
      </c>
      <c r="R35" s="4"/>
      <c r="S35" s="88"/>
      <c r="T35" s="134"/>
      <c r="U35" s="139"/>
      <c r="V35" s="134"/>
      <c r="W35" s="88">
        <f>W31+1</f>
        <v>10</v>
      </c>
      <c r="X35" s="144" t="s">
        <v>65</v>
      </c>
      <c r="Y35" s="139"/>
      <c r="AA35" s="7"/>
      <c r="AE35" s="4"/>
      <c r="BE35" s="44"/>
      <c r="BF35" s="134"/>
    </row>
    <row r="36" spans="1:58" ht="25" customHeight="1">
      <c r="A36" s="28"/>
      <c r="B36" s="29"/>
      <c r="C36" s="320"/>
      <c r="D36" s="336"/>
      <c r="E36" s="337"/>
      <c r="F36" s="337"/>
      <c r="G36" s="337"/>
      <c r="H36" s="337"/>
      <c r="I36" s="337"/>
      <c r="J36" s="337"/>
      <c r="K36" s="337"/>
      <c r="L36" s="338"/>
      <c r="M36" s="96"/>
      <c r="O36" s="90"/>
      <c r="P36" s="91" t="s">
        <v>66</v>
      </c>
      <c r="Q36" s="142">
        <f>(IF(MARGINS_RQD?="Y",(ROUNDDOWN((H_PIXELS_RND*MARGIN_PER/100/CELL_GRAN_RND),0))*CELL_GRAN_RND,0))</f>
        <v>0</v>
      </c>
      <c r="R36" s="4"/>
      <c r="S36" s="88">
        <f>S31+1</f>
        <v>10</v>
      </c>
      <c r="T36" s="44" t="s">
        <v>67</v>
      </c>
      <c r="U36" s="139"/>
      <c r="V36" s="134"/>
      <c r="W36" s="88"/>
      <c r="X36" s="144" t="s">
        <v>68</v>
      </c>
      <c r="Y36" s="139">
        <f>RB_V_FPORCH+V_SYNC_RND+MIN_V_BPORCH</f>
        <v>14</v>
      </c>
      <c r="AA36" s="7"/>
      <c r="AE36" s="4"/>
      <c r="BE36" s="44"/>
      <c r="BF36" s="134"/>
    </row>
    <row r="37" spans="1:58" ht="25" customHeight="1">
      <c r="A37" s="28"/>
      <c r="B37" s="29"/>
      <c r="C37" s="320"/>
      <c r="D37" s="336"/>
      <c r="E37" s="337"/>
      <c r="F37" s="337"/>
      <c r="G37" s="337"/>
      <c r="H37" s="337"/>
      <c r="I37" s="337"/>
      <c r="J37" s="337"/>
      <c r="K37" s="337"/>
      <c r="L37" s="338"/>
      <c r="M37" s="96"/>
      <c r="O37" s="90"/>
      <c r="P37" s="91"/>
      <c r="Q37" s="142"/>
      <c r="R37" s="4"/>
      <c r="S37" s="88"/>
      <c r="T37" s="44" t="s">
        <v>69</v>
      </c>
      <c r="U37" s="142">
        <f>V_SYNC_BP-V_SYNC_RND</f>
        <v>69</v>
      </c>
      <c r="W37" s="88"/>
      <c r="X37" s="144" t="s">
        <v>70</v>
      </c>
      <c r="Y37" s="139">
        <f>IF(VBI_LINES&lt;RB_MIN_VBI,RB_MIN_VBI,VBI_LINES)</f>
        <v>62</v>
      </c>
      <c r="AA37" s="7"/>
      <c r="AE37" s="4"/>
      <c r="BE37" s="44"/>
      <c r="BF37" s="134"/>
    </row>
    <row r="38" spans="1:58" ht="25" customHeight="1">
      <c r="A38" s="28"/>
      <c r="B38" s="29"/>
      <c r="C38" s="320"/>
      <c r="D38" s="339"/>
      <c r="E38" s="340"/>
      <c r="F38" s="340"/>
      <c r="G38" s="340"/>
      <c r="H38" s="340"/>
      <c r="I38" s="340"/>
      <c r="J38" s="340"/>
      <c r="K38" s="340"/>
      <c r="L38" s="341"/>
      <c r="M38" s="96"/>
      <c r="O38" s="90">
        <f>O34+1</f>
        <v>4</v>
      </c>
      <c r="P38" s="91" t="s">
        <v>71</v>
      </c>
      <c r="Q38" s="142"/>
      <c r="R38" s="4"/>
      <c r="S38" s="88"/>
      <c r="T38" s="44"/>
      <c r="U38" s="139"/>
      <c r="W38" s="88"/>
      <c r="X38" s="44"/>
      <c r="Y38" s="139"/>
      <c r="AA38" s="7"/>
      <c r="AE38" s="4"/>
      <c r="BE38" s="44"/>
      <c r="BF38" s="134"/>
    </row>
    <row r="39" spans="1:58" ht="25" customHeight="1">
      <c r="A39" s="28"/>
      <c r="B39" s="29"/>
      <c r="C39" s="37"/>
      <c r="D39" s="36"/>
      <c r="E39" s="36"/>
      <c r="F39" s="36"/>
      <c r="G39" s="36"/>
      <c r="H39" s="36"/>
      <c r="I39" s="36"/>
      <c r="J39" s="36"/>
      <c r="K39" s="36"/>
      <c r="L39" s="36"/>
      <c r="M39" s="96"/>
      <c r="O39" s="90"/>
      <c r="P39" s="97" t="s">
        <v>72</v>
      </c>
      <c r="Q39" s="142">
        <f>H_PIXELS_RND+LEFT_MARGIN+RIGHT_MARGIN</f>
        <v>3840</v>
      </c>
      <c r="R39" s="4"/>
      <c r="S39" s="88">
        <f>S36+1</f>
        <v>11</v>
      </c>
      <c r="T39" s="134" t="s">
        <v>73</v>
      </c>
      <c r="U39" s="131"/>
      <c r="W39" s="88">
        <f>W35+1</f>
        <v>11</v>
      </c>
      <c r="X39" s="134" t="s">
        <v>73</v>
      </c>
      <c r="Y39" s="131"/>
      <c r="AA39" s="7"/>
      <c r="AE39" s="4"/>
      <c r="BE39" s="44"/>
      <c r="BF39" s="134"/>
    </row>
    <row r="40" spans="1:58" ht="39.75" customHeight="1">
      <c r="A40" s="28"/>
      <c r="B40" s="29" t="s">
        <v>74</v>
      </c>
      <c r="C40" s="37"/>
      <c r="D40" s="38"/>
      <c r="E40" s="36"/>
      <c r="F40" s="36"/>
      <c r="G40" s="36"/>
      <c r="H40" s="36"/>
      <c r="I40" s="36"/>
      <c r="J40" s="36"/>
      <c r="K40" s="98">
        <v>24</v>
      </c>
      <c r="L40" s="99" t="s">
        <v>75</v>
      </c>
      <c r="M40" s="96"/>
      <c r="O40" s="90"/>
      <c r="P40" s="97"/>
      <c r="Q40" s="142"/>
      <c r="R40" s="4"/>
      <c r="S40" s="88"/>
      <c r="T40" s="145" t="s">
        <v>76</v>
      </c>
      <c r="U40" s="143">
        <f>V_LINES_RND+TOP_MARGIN+BOT_MARGIN+V_SYNC_BP+INTERLACE+MIN_V_PORCH_RND</f>
        <v>2237</v>
      </c>
      <c r="W40" s="88"/>
      <c r="X40" s="145" t="s">
        <v>76</v>
      </c>
      <c r="Y40" s="131">
        <f>ACT_VBI_LINES+V_LINES_RND+TOP_MARGIN+BOT_MARGIN+INTERLACE</f>
        <v>2222</v>
      </c>
      <c r="AA40" s="7"/>
      <c r="AE40" s="4"/>
      <c r="BE40" s="44"/>
      <c r="BF40" s="134"/>
    </row>
    <row r="41" spans="1:58" ht="39.75" customHeight="1">
      <c r="A41" s="28"/>
      <c r="B41" s="29" t="s">
        <v>77</v>
      </c>
      <c r="C41" s="37"/>
      <c r="D41" s="38"/>
      <c r="E41" s="36"/>
      <c r="F41" s="36"/>
      <c r="G41" s="36"/>
      <c r="H41" s="36"/>
      <c r="I41" s="36"/>
      <c r="J41" s="36"/>
      <c r="K41" s="98">
        <v>4</v>
      </c>
      <c r="L41" s="99" t="s">
        <v>78</v>
      </c>
      <c r="M41" s="96"/>
      <c r="O41" s="90">
        <f>O38+1</f>
        <v>5</v>
      </c>
      <c r="P41" s="100" t="s">
        <v>79</v>
      </c>
      <c r="Q41" s="142"/>
      <c r="R41" s="4"/>
      <c r="S41" s="88"/>
      <c r="T41" s="134"/>
      <c r="U41" s="131"/>
      <c r="W41" s="88"/>
      <c r="X41" s="44"/>
      <c r="Y41" s="139"/>
      <c r="AA41" s="7"/>
      <c r="AE41" s="4"/>
      <c r="BE41" s="44"/>
      <c r="BF41" s="134"/>
    </row>
    <row r="42" spans="1:58" ht="39.75" customHeight="1">
      <c r="A42" s="28"/>
      <c r="B42" s="29" t="s">
        <v>80</v>
      </c>
      <c r="C42" s="37"/>
      <c r="D42" s="38"/>
      <c r="E42" s="36"/>
      <c r="F42" s="36"/>
      <c r="G42" s="36"/>
      <c r="H42" s="36"/>
      <c r="I42" s="36"/>
      <c r="J42" s="36"/>
      <c r="K42" s="101">
        <v>5.4</v>
      </c>
      <c r="L42" s="99" t="s">
        <v>81</v>
      </c>
      <c r="M42" s="96"/>
      <c r="O42" s="94"/>
      <c r="P42" s="95" t="s">
        <v>82</v>
      </c>
      <c r="Q42" s="142">
        <f>IF(INT_RQD?="y",ROUNDDOWN(V_LINES/2,0),ROUNDDOWN(V_LINES,0))</f>
        <v>2160</v>
      </c>
      <c r="R42" s="4"/>
      <c r="S42" s="88">
        <f>S39+1</f>
        <v>12</v>
      </c>
      <c r="T42" s="44" t="s">
        <v>83</v>
      </c>
      <c r="U42" s="139"/>
      <c r="W42" s="88">
        <f>W39+1</f>
        <v>12</v>
      </c>
      <c r="X42" s="134" t="s">
        <v>84</v>
      </c>
      <c r="Y42" s="131"/>
      <c r="AA42" s="7"/>
      <c r="AE42" s="4"/>
      <c r="BE42" s="44"/>
      <c r="BF42" s="134"/>
    </row>
    <row r="43" spans="1:58" ht="39.75" customHeight="1">
      <c r="A43" s="28"/>
      <c r="B43" s="29" t="s">
        <v>85</v>
      </c>
      <c r="C43" s="37"/>
      <c r="D43" s="36"/>
      <c r="E43" s="36"/>
      <c r="F43" s="36"/>
      <c r="G43" s="36"/>
      <c r="H43" s="36"/>
      <c r="I43" s="36"/>
      <c r="J43" s="36"/>
      <c r="K43" s="102" t="str">
        <f>IF(ACT_PIXEL_FREQ&lt;=((DPLanes*100*DPRate*8)/DPBitsPerPixel),"YES","NO")</f>
        <v>YES</v>
      </c>
      <c r="M43" s="96"/>
      <c r="O43" s="94"/>
      <c r="P43" s="95"/>
      <c r="Q43" s="142"/>
      <c r="R43" s="4"/>
      <c r="S43" s="88"/>
      <c r="T43" s="134" t="s">
        <v>86</v>
      </c>
      <c r="U43" s="131">
        <f>C_PRIME-(M_PRIME*H_PERIOD_EST/1000)</f>
        <v>27.749074074074073</v>
      </c>
      <c r="W43" s="88"/>
      <c r="X43" s="134" t="s">
        <v>87</v>
      </c>
      <c r="Y43" s="131">
        <f>RB_H_BLANK+TOTAL_ACTIVE_PIXELS</f>
        <v>4000</v>
      </c>
      <c r="AA43" s="7"/>
      <c r="AE43" s="4"/>
      <c r="BE43" s="44"/>
      <c r="BF43" s="134"/>
    </row>
    <row r="44" spans="1:58" ht="39.75" customHeight="1">
      <c r="A44" s="28"/>
      <c r="B44" s="39" t="s">
        <v>88</v>
      </c>
      <c r="K44" s="103">
        <f>ROUND(ACT_PIXEL_FREQ*DPBitsPerPixel*DPModeEncodingOverhead/1000,3)</f>
        <v>15.997999999999999</v>
      </c>
      <c r="L44" s="99" t="s">
        <v>81</v>
      </c>
      <c r="M44" s="96"/>
      <c r="O44" s="94">
        <f>O41+1</f>
        <v>6</v>
      </c>
      <c r="P44" s="95" t="s">
        <v>89</v>
      </c>
      <c r="Q44" s="142"/>
      <c r="R44" s="4"/>
      <c r="S44" s="88"/>
      <c r="T44" s="134"/>
      <c r="U44" s="131"/>
      <c r="W44" s="88"/>
      <c r="X44" s="44"/>
      <c r="Y44" s="139"/>
      <c r="AA44" s="7"/>
      <c r="AE44" s="4"/>
      <c r="BE44" s="44"/>
      <c r="BF44" s="134"/>
    </row>
    <row r="45" spans="1:58" ht="25" customHeight="1">
      <c r="A45" s="40"/>
      <c r="M45" s="104"/>
      <c r="O45" s="90"/>
      <c r="P45" s="91" t="s">
        <v>90</v>
      </c>
      <c r="Q45" s="142">
        <f>(IF(MARGINS_RQD?="Y",ROUNDDOWN((MARGIN_PER/100*V_LINES_RND),0),0))</f>
        <v>0</v>
      </c>
      <c r="R45" s="4"/>
      <c r="S45" s="88">
        <f>S42+1</f>
        <v>13</v>
      </c>
      <c r="T45" s="134" t="s">
        <v>91</v>
      </c>
      <c r="U45" s="131"/>
      <c r="W45" s="88">
        <f>W42+1</f>
        <v>13</v>
      </c>
      <c r="X45" s="144" t="s">
        <v>92</v>
      </c>
      <c r="Y45" s="131"/>
      <c r="AA45" s="7"/>
      <c r="AE45" s="4"/>
      <c r="BE45" s="44"/>
      <c r="BF45" s="134"/>
    </row>
    <row r="46" spans="1:58" ht="25" customHeight="1">
      <c r="A46" s="41"/>
      <c r="B46" s="42"/>
      <c r="C46" s="43"/>
      <c r="D46" s="41"/>
      <c r="E46" s="41"/>
      <c r="F46" s="41"/>
      <c r="G46" s="41"/>
      <c r="H46" s="41"/>
      <c r="I46" s="41"/>
      <c r="J46" s="41"/>
      <c r="K46" s="105"/>
      <c r="L46" s="106"/>
      <c r="M46" s="41"/>
      <c r="O46" s="90"/>
      <c r="P46" s="91" t="s">
        <v>93</v>
      </c>
      <c r="Q46" s="142">
        <f>(IF(MARGINS_RQD?="Y",ROUNDDOWN((MARGIN_PER/100*V_LINES_RND),0),0))</f>
        <v>0</v>
      </c>
      <c r="R46" s="4"/>
      <c r="S46" s="88"/>
      <c r="T46" s="134" t="s">
        <v>94</v>
      </c>
      <c r="U46" s="142">
        <f>IF(IDEAL_DUTY_CYCLE&lt;20,(ROUNDDOWN((TOTAL_ACTIVE_PIXELS*20/(100-20)/(2*CELL_GRAN_RND)),0))*(2*CELL_GRAN_RND),(ROUNDDOWN((TOTAL_ACTIVE_PIXELS*IDEAL_DUTY_CYCLE/(100-IDEAL_DUTY_CYCLE)/(2*CELL_GRAN_RND)),0))*(2*CELL_GRAN_RND))</f>
        <v>1472</v>
      </c>
      <c r="W46" s="88"/>
      <c r="X46" s="144" t="str">
        <f>"Rounded down to "&amp;CLOCK_STEP&amp;"MHz ="</f>
        <v>Rounded down to 0.25MHz =</v>
      </c>
      <c r="Y46" s="131">
        <f>CLOCK_STEP*ROUNDDOWN((V_FIELD_RATE_RQD*TOTAL_V_LINES*TOTAL_PIXELS/1000000)/CLOCK_STEP,0)*IF(AND((RED_BLANK_RQD?="y"),(RED_BLANK_VER="y"),(VIDEO_OPT="y")),1000/1001,1)</f>
        <v>533.25</v>
      </c>
      <c r="AA46" s="7"/>
      <c r="AE46" s="4"/>
      <c r="BE46" s="44"/>
      <c r="BF46" s="134"/>
    </row>
    <row r="47" spans="1:58" ht="25" customHeight="1">
      <c r="A47" s="44"/>
      <c r="B47" s="45"/>
      <c r="C47" s="46"/>
      <c r="D47" s="44"/>
      <c r="E47" s="44"/>
      <c r="F47" s="44"/>
      <c r="G47" s="44"/>
      <c r="H47" s="44"/>
      <c r="I47" s="44"/>
      <c r="J47" s="44"/>
      <c r="K47" s="107"/>
      <c r="L47" s="108"/>
      <c r="M47" s="44"/>
      <c r="O47" s="90"/>
      <c r="P47" s="89"/>
      <c r="Q47" s="131"/>
      <c r="R47" s="4"/>
      <c r="S47" s="88"/>
      <c r="T47" s="134"/>
      <c r="U47" s="131"/>
      <c r="W47" s="88"/>
      <c r="X47" s="144" t="s">
        <v>95</v>
      </c>
      <c r="Y47" s="160">
        <f>V_FIELD_RATE_RQD*TOTAL_V_LINES*TOTAL_PIXELS/1000000*IF(AND((RED_BLANK_RQD?="y"),(RED_BLANK_VER="y"),(VIDEO_OPT="y")),1000/1001,1)</f>
        <v>533.28</v>
      </c>
      <c r="AA47" s="7"/>
      <c r="AE47" s="4"/>
      <c r="BE47" s="44"/>
      <c r="BF47" s="134"/>
    </row>
    <row r="48" spans="1:58" ht="25" customHeight="1">
      <c r="A48" s="342" t="str">
        <f>"Format: "&amp;F53&amp;" x "&amp;F54&amp;" @ "&amp;IP_FREQ_RQD&amp;" Hz"&amp;IF(RED_BLANK_RQD?="Y"," - Reduced Blanking","")</f>
        <v>Format: 3840 x 2160 @ 60 Hz - Reduced Blanking</v>
      </c>
      <c r="B48" s="343"/>
      <c r="C48" s="343"/>
      <c r="D48" s="343"/>
      <c r="E48" s="343"/>
      <c r="F48" s="343"/>
      <c r="G48" s="343"/>
      <c r="H48" s="343"/>
      <c r="I48" s="343"/>
      <c r="J48" s="343"/>
      <c r="K48" s="343"/>
      <c r="L48" s="343"/>
      <c r="M48" s="343"/>
      <c r="O48" s="90">
        <f>O44+1</f>
        <v>7</v>
      </c>
      <c r="P48" s="109" t="s">
        <v>96</v>
      </c>
      <c r="Q48" s="131"/>
      <c r="R48" s="4"/>
      <c r="S48" s="88">
        <f>S45+1</f>
        <v>14</v>
      </c>
      <c r="T48" s="134" t="s">
        <v>84</v>
      </c>
      <c r="U48" s="131"/>
      <c r="W48" s="88"/>
      <c r="X48" s="44"/>
      <c r="Y48" s="139"/>
      <c r="AA48" s="7"/>
      <c r="AE48" s="4"/>
      <c r="BE48" s="44"/>
      <c r="BF48" s="134"/>
    </row>
    <row r="49" spans="1:58" ht="25" customHeight="1">
      <c r="A49" s="343"/>
      <c r="B49" s="343"/>
      <c r="C49" s="343"/>
      <c r="D49" s="343"/>
      <c r="E49" s="343"/>
      <c r="F49" s="343"/>
      <c r="G49" s="343"/>
      <c r="H49" s="343"/>
      <c r="I49" s="343"/>
      <c r="J49" s="343"/>
      <c r="K49" s="343"/>
      <c r="L49" s="343"/>
      <c r="M49" s="343"/>
      <c r="O49" s="83"/>
      <c r="P49" s="110" t="s">
        <v>97</v>
      </c>
      <c r="Q49" s="146">
        <f>(IF(INT_RQD?="y",0.5,0))</f>
        <v>0</v>
      </c>
      <c r="R49" s="4"/>
      <c r="S49" s="88"/>
      <c r="T49" s="134" t="s">
        <v>87</v>
      </c>
      <c r="U49" s="142">
        <f>TOTAL_ACTIVE_PIXELS+H_BLANK</f>
        <v>4000</v>
      </c>
      <c r="W49" s="88">
        <f>W45+1</f>
        <v>14</v>
      </c>
      <c r="X49" s="44" t="s">
        <v>98</v>
      </c>
      <c r="Y49" s="131"/>
      <c r="AA49" s="7"/>
      <c r="AE49" s="4"/>
      <c r="BE49" s="44"/>
      <c r="BF49" s="134"/>
    </row>
    <row r="50" spans="1:58" ht="25" customHeight="1">
      <c r="A50" s="321" t="str">
        <f>"VESA CVT Name: "&amp;IF(D33="OK",TEXT(H_PIXELS_RND*V_LINES_RND/1000000,"0.00")&amp;"M"&amp;IF(ASPECT_RATIO="4:3","3",IF(ASPECT_RATIO="5:4","4",IF(OR(ASPECT_RATIO="15:9",ASPECT_RATIO="16:9"),"9",IF(ASPECT_RATIO="16:10","A",""))))&amp;IF(RED_BLANK_RQD?="Y","-R",""),"NOT CVT STANDARD! - "&amp;TEXT(H_PIXELS_RND*V_LINES_RND/1000000,"0.00")&amp;" Mega Pixel Image")</f>
        <v>VESA CVT Name: 8.29M9-R</v>
      </c>
      <c r="B50" s="322"/>
      <c r="C50" s="322"/>
      <c r="D50" s="322"/>
      <c r="E50" s="322"/>
      <c r="F50" s="322"/>
      <c r="G50" s="322"/>
      <c r="H50" s="322"/>
      <c r="I50" s="322"/>
      <c r="J50" s="322"/>
      <c r="K50" s="322"/>
      <c r="L50" s="322"/>
      <c r="M50" s="322"/>
      <c r="O50" s="111"/>
      <c r="P50" s="112"/>
      <c r="Q50" s="147"/>
      <c r="R50" s="4"/>
      <c r="S50" s="88"/>
      <c r="T50" s="44"/>
      <c r="U50" s="131"/>
      <c r="W50" s="88"/>
      <c r="X50" s="134" t="s">
        <v>99</v>
      </c>
      <c r="Y50" s="131">
        <f>1000*ACT_PIXEL_FREQ/TOTAL_PIXELS</f>
        <v>133.3125</v>
      </c>
      <c r="AA50" s="7"/>
      <c r="AE50" s="4"/>
      <c r="BE50" s="44"/>
      <c r="BF50" s="134"/>
    </row>
    <row r="51" spans="1:58" ht="25" customHeight="1">
      <c r="A51" s="322"/>
      <c r="B51" s="322"/>
      <c r="C51" s="322"/>
      <c r="D51" s="322"/>
      <c r="E51" s="322"/>
      <c r="F51" s="322"/>
      <c r="G51" s="322"/>
      <c r="H51" s="322"/>
      <c r="I51" s="322"/>
      <c r="J51" s="322"/>
      <c r="K51" s="322"/>
      <c r="L51" s="322"/>
      <c r="M51" s="322"/>
      <c r="O51" s="113" t="s">
        <v>100</v>
      </c>
      <c r="P51" s="77"/>
      <c r="Q51" s="129"/>
      <c r="R51" s="4"/>
      <c r="S51" s="148">
        <f>S48+1</f>
        <v>15</v>
      </c>
      <c r="T51" s="144" t="s">
        <v>92</v>
      </c>
      <c r="U51" s="139"/>
      <c r="W51" s="88"/>
      <c r="X51" s="44"/>
      <c r="Y51" s="139"/>
      <c r="AA51" s="7"/>
      <c r="AE51" s="4"/>
      <c r="BE51" s="44"/>
      <c r="BF51" s="134"/>
    </row>
    <row r="52" spans="1:58" ht="25" customHeight="1">
      <c r="A52" s="47"/>
      <c r="B52" s="48"/>
      <c r="C52" s="48"/>
      <c r="D52" s="48"/>
      <c r="E52" s="48"/>
      <c r="F52" s="48"/>
      <c r="G52" s="48"/>
      <c r="H52" s="49"/>
      <c r="I52" s="48"/>
      <c r="J52" s="114"/>
      <c r="K52" s="48"/>
      <c r="L52" s="48"/>
      <c r="M52" s="115"/>
      <c r="O52" s="116"/>
      <c r="P52" s="97"/>
      <c r="Q52" s="149"/>
      <c r="R52" s="4"/>
      <c r="S52" s="88"/>
      <c r="T52" s="144" t="str">
        <f>"Rounded down to "&amp;CLOCK_STEP&amp;"MHz ="</f>
        <v>Rounded down to 0.25MHz =</v>
      </c>
      <c r="U52" s="150">
        <f>CLOCK_STEP*ROUNDDOWN((TOTAL_PIXELS/H_PERIOD_EST)/CLOCK_STEP,0)</f>
        <v>533</v>
      </c>
      <c r="V52" s="134"/>
      <c r="W52" s="88">
        <f>W49+1</f>
        <v>15</v>
      </c>
      <c r="X52" s="144" t="s">
        <v>101</v>
      </c>
      <c r="Y52" s="139"/>
      <c r="AA52" s="7"/>
      <c r="AE52" s="4"/>
      <c r="BE52" s="44"/>
      <c r="BF52" s="134"/>
    </row>
    <row r="53" spans="1:58" ht="25" customHeight="1">
      <c r="A53" s="50"/>
      <c r="B53" s="51" t="s">
        <v>102</v>
      </c>
      <c r="C53" s="52"/>
      <c r="D53" s="52"/>
      <c r="E53" s="52"/>
      <c r="F53" s="53">
        <f>H_PIXELS_RND</f>
        <v>3840</v>
      </c>
      <c r="G53" s="54" t="s">
        <v>103</v>
      </c>
      <c r="H53" s="55"/>
      <c r="I53" s="60"/>
      <c r="J53" s="117"/>
      <c r="K53" s="118"/>
      <c r="L53" s="52"/>
      <c r="M53" s="119"/>
      <c r="O53" s="116" t="s">
        <v>104</v>
      </c>
      <c r="P53" s="97"/>
      <c r="Q53" s="149"/>
      <c r="R53" s="4"/>
      <c r="S53" s="88"/>
      <c r="T53" s="144" t="s">
        <v>95</v>
      </c>
      <c r="U53" s="150">
        <f>TOTAL_PIXELS/H_PERIOD_EST</f>
        <v>533.11394487865073</v>
      </c>
      <c r="V53" s="134"/>
      <c r="W53" s="88"/>
      <c r="X53" s="134" t="s">
        <v>105</v>
      </c>
      <c r="Y53" s="131">
        <f>1000*ACT_H_FREQ/TOTAL_V_LINES</f>
        <v>59.996624662466246</v>
      </c>
      <c r="AA53" s="7"/>
      <c r="AE53" s="4"/>
      <c r="BE53" s="44"/>
      <c r="BF53" s="134"/>
    </row>
    <row r="54" spans="1:58" ht="25" customHeight="1">
      <c r="A54" s="50"/>
      <c r="B54" s="51" t="s">
        <v>106</v>
      </c>
      <c r="C54" s="52"/>
      <c r="D54" s="52"/>
      <c r="E54" s="56" t="str">
        <f>(IF(INT_RQD?="y","PER FRAME:",""))</f>
        <v/>
      </c>
      <c r="F54" s="53">
        <f>IF(INT_RQD?="y",2*V_LINES_RND,V_LINES_RND)</f>
        <v>2160</v>
      </c>
      <c r="G54" s="54" t="s">
        <v>107</v>
      </c>
      <c r="H54" s="55"/>
      <c r="I54" s="56" t="str">
        <f>(IF(INT_RQD?="y","PER FIELD:",""))</f>
        <v/>
      </c>
      <c r="J54" s="120" t="str">
        <f>(IF(INT_RQD?="y",V_LINES_RND,""))</f>
        <v/>
      </c>
      <c r="K54" s="54" t="str">
        <f>(IF($K$27="y","LINES",""))</f>
        <v/>
      </c>
      <c r="L54" s="52"/>
      <c r="M54" s="119"/>
      <c r="O54" s="116"/>
      <c r="P54" s="97" t="s">
        <v>108</v>
      </c>
      <c r="Q54" s="151">
        <f>IF(RED_BLANK_RQD?="Y",Y29,U29)</f>
        <v>7.5030864197530871</v>
      </c>
      <c r="R54" s="4"/>
      <c r="S54" s="88"/>
      <c r="T54" s="44"/>
      <c r="U54" s="139"/>
      <c r="V54" s="134"/>
      <c r="W54" s="88"/>
      <c r="X54" s="44"/>
      <c r="Y54" s="139"/>
      <c r="AA54" s="7"/>
      <c r="AE54" s="4"/>
      <c r="BE54" s="44"/>
      <c r="BF54" s="134"/>
    </row>
    <row r="55" spans="1:58" ht="25" customHeight="1">
      <c r="A55" s="50"/>
      <c r="B55" s="51" t="s">
        <v>109</v>
      </c>
      <c r="C55" s="52"/>
      <c r="D55" s="52"/>
      <c r="E55" s="52"/>
      <c r="F55" s="57">
        <f>ACT_H_FREQ</f>
        <v>133.3125</v>
      </c>
      <c r="G55" s="54" t="s">
        <v>110</v>
      </c>
      <c r="H55" s="58"/>
      <c r="I55" s="60"/>
      <c r="J55" s="117"/>
      <c r="K55" s="118"/>
      <c r="L55" s="60"/>
      <c r="M55" s="119"/>
      <c r="O55" s="116"/>
      <c r="P55" s="97"/>
      <c r="Q55" s="149"/>
      <c r="R55" s="4"/>
      <c r="S55" s="88">
        <f>S51+1</f>
        <v>16</v>
      </c>
      <c r="T55" s="44" t="s">
        <v>98</v>
      </c>
      <c r="U55" s="131"/>
      <c r="V55" s="134"/>
      <c r="W55" s="88">
        <f>W52+1</f>
        <v>16</v>
      </c>
      <c r="X55" s="134" t="s">
        <v>111</v>
      </c>
      <c r="Y55" s="131"/>
      <c r="AA55" s="7"/>
      <c r="AE55" s="4"/>
      <c r="BE55" s="44"/>
      <c r="BF55" s="134"/>
    </row>
    <row r="56" spans="1:58" ht="25" customHeight="1">
      <c r="A56" s="50"/>
      <c r="B56" s="51" t="s">
        <v>112</v>
      </c>
      <c r="C56" s="52"/>
      <c r="D56" s="52"/>
      <c r="E56" s="56" t="str">
        <f>(IF(INT_RQD?="y","FRAME RATE:",""))</f>
        <v/>
      </c>
      <c r="F56" s="57">
        <f>ACT_FRAME_RATE</f>
        <v>59.996624662466246</v>
      </c>
      <c r="G56" s="54" t="s">
        <v>41</v>
      </c>
      <c r="H56" s="59"/>
      <c r="I56" s="56" t="str">
        <f>(IF(INT_RQD?="y","FIELD RATE:",""))</f>
        <v/>
      </c>
      <c r="J56" s="59" t="str">
        <f>(IF(INT_RQD?="y",ACT_FIELD_RATE,""))</f>
        <v/>
      </c>
      <c r="K56" s="60" t="str">
        <f>(IF($K$27="y","Hz",""))</f>
        <v/>
      </c>
      <c r="L56" s="60"/>
      <c r="M56" s="119"/>
      <c r="O56" s="116" t="s">
        <v>113</v>
      </c>
      <c r="P56" s="97"/>
      <c r="Q56" s="149"/>
      <c r="R56" s="4"/>
      <c r="S56" s="88"/>
      <c r="T56" s="134" t="s">
        <v>99</v>
      </c>
      <c r="U56" s="131">
        <f>1000*ACT_PIXEL_FREQ/TOTAL_PIXELS</f>
        <v>133.3125</v>
      </c>
      <c r="W56" s="88"/>
      <c r="X56" s="134" t="s">
        <v>114</v>
      </c>
      <c r="Y56" s="131">
        <f>(IF(INT_RQD?="y",ACT_FIELD_RATE/2,ACT_FIELD_RATE))</f>
        <v>59.996624662466246</v>
      </c>
      <c r="AA56" s="7"/>
      <c r="AE56" s="4"/>
      <c r="BE56" s="44"/>
      <c r="BF56" s="134"/>
    </row>
    <row r="57" spans="1:58" ht="25" customHeight="1">
      <c r="A57" s="50"/>
      <c r="B57" s="51" t="s">
        <v>115</v>
      </c>
      <c r="C57" s="52"/>
      <c r="D57" s="52"/>
      <c r="E57" s="52"/>
      <c r="F57" s="57">
        <f>ACT_PIXEL_FREQ</f>
        <v>533.25</v>
      </c>
      <c r="G57" s="54" t="s">
        <v>116</v>
      </c>
      <c r="H57" s="58"/>
      <c r="I57" s="60"/>
      <c r="J57" s="53">
        <v>1</v>
      </c>
      <c r="K57" s="60" t="s">
        <v>103</v>
      </c>
      <c r="L57" s="52"/>
      <c r="M57" s="119"/>
      <c r="O57" s="116"/>
      <c r="P57" s="89" t="s">
        <v>117</v>
      </c>
      <c r="Q57" s="150">
        <f>IF(RED_BLANK_RQD?="y",Y50,U56)</f>
        <v>133.3125</v>
      </c>
      <c r="R57" s="4"/>
      <c r="S57" s="88"/>
      <c r="T57" s="44"/>
      <c r="U57" s="139"/>
      <c r="W57" s="135"/>
      <c r="X57" s="136"/>
      <c r="Y57" s="154"/>
      <c r="AA57" s="7"/>
      <c r="AE57" s="4"/>
      <c r="BE57" s="44"/>
      <c r="BF57" s="134"/>
    </row>
    <row r="58" spans="1:58" ht="25" customHeight="1">
      <c r="A58" s="50"/>
      <c r="B58" s="51" t="s">
        <v>118</v>
      </c>
      <c r="C58" s="52"/>
      <c r="D58" s="52"/>
      <c r="E58" s="52"/>
      <c r="F58" s="57">
        <f>CELL_GRAN_RND*1000/ACT_PIXEL_FREQ</f>
        <v>15.002344116268167</v>
      </c>
      <c r="G58" s="60" t="s">
        <v>119</v>
      </c>
      <c r="H58" s="58"/>
      <c r="I58" s="60"/>
      <c r="J58" s="53">
        <f>CELL_GRAN_RND</f>
        <v>8</v>
      </c>
      <c r="K58" s="60" t="s">
        <v>103</v>
      </c>
      <c r="L58" s="52"/>
      <c r="M58" s="119"/>
      <c r="O58" s="116" t="s">
        <v>120</v>
      </c>
      <c r="P58" s="89"/>
      <c r="Q58" s="150"/>
      <c r="R58" s="4"/>
      <c r="S58" s="88">
        <f>S55+1</f>
        <v>17</v>
      </c>
      <c r="T58" s="144" t="s">
        <v>101</v>
      </c>
      <c r="U58" s="139"/>
      <c r="AA58" s="7"/>
      <c r="AE58" s="4"/>
      <c r="BE58" s="44"/>
      <c r="BF58" s="134"/>
    </row>
    <row r="59" spans="1:58" ht="25" customHeight="1">
      <c r="A59" s="50"/>
      <c r="B59" s="51" t="s">
        <v>121</v>
      </c>
      <c r="C59" s="52"/>
      <c r="D59" s="52"/>
      <c r="E59" s="52"/>
      <c r="F59" s="57" t="str">
        <f>(IF(INT_RQD?="y","INTERLACED","NON-INT"))</f>
        <v>NON-INT</v>
      </c>
      <c r="G59" s="54"/>
      <c r="H59" s="58"/>
      <c r="I59" s="121"/>
      <c r="J59" s="117"/>
      <c r="K59" s="122"/>
      <c r="L59" s="52"/>
      <c r="M59" s="119"/>
      <c r="O59" s="116"/>
      <c r="P59" s="89" t="s">
        <v>122</v>
      </c>
      <c r="Q59" s="150">
        <f>IF(RED_BLANK_RQD?="y",Y53,U59)</f>
        <v>59.996624662466246</v>
      </c>
      <c r="R59" s="4"/>
      <c r="S59" s="88"/>
      <c r="T59" s="134" t="s">
        <v>105</v>
      </c>
      <c r="U59" s="131">
        <f>1000*ACT_H_FREQ/TOTAL_V_LINES</f>
        <v>59.996624662466246</v>
      </c>
      <c r="AA59" s="7"/>
      <c r="AE59" s="4"/>
      <c r="BE59" s="44"/>
      <c r="BF59" s="134"/>
    </row>
    <row r="60" spans="1:58" ht="25" customHeight="1">
      <c r="A60" s="50"/>
      <c r="B60" s="51" t="s">
        <v>123</v>
      </c>
      <c r="C60" s="52"/>
      <c r="D60" s="52"/>
      <c r="E60" s="52"/>
      <c r="F60" s="61" t="str">
        <f>IF(AND((RED_BLANK_RQD?="y"),(RED_BLANK_VER="y")),"CVT-RB ver 2",IF(F53=CELL_GRAN_RND*INT((F54*4/3)/CELL_GRAN_RND),"4:3","")&amp;IF(F53=CELL_GRAN_RND*INT((F54*16/9)/CELL_GRAN_RND),"16:9","")&amp;IF(F53=CELL_GRAN_RND*INT((F54*16/10)/CELL_GRAN_RND),"16:10","")&amp;IF(F53=CELL_GRAN_RND*INT((F54*5/4)/CELL_GRAN_RND),"5:4","")&amp;IF(F53=CELL_GRAN_RND*INT((F54*15/9)/CELL_GRAN_RND),"15:9",""))</f>
        <v>16:9</v>
      </c>
      <c r="G60" s="62"/>
      <c r="H60" s="55" t="str">
        <f>IF(ASPECT_RATIO="","WARNING! - Not Standard Aspect Ratio","")</f>
        <v/>
      </c>
      <c r="I60" s="123"/>
      <c r="J60" s="117"/>
      <c r="K60" s="124"/>
      <c r="L60" s="52"/>
      <c r="M60" s="119"/>
      <c r="O60" s="116"/>
      <c r="P60" s="89" t="s">
        <v>124</v>
      </c>
      <c r="Q60" s="150">
        <f>IF(RED_BLANK_RQD?="y",Y56,U62)</f>
        <v>59.996624662466246</v>
      </c>
      <c r="R60" s="4"/>
      <c r="S60" s="88"/>
      <c r="T60" s="44"/>
      <c r="U60" s="139"/>
      <c r="AE60" s="4"/>
      <c r="BE60" s="44"/>
      <c r="BF60" s="134"/>
    </row>
    <row r="61" spans="1:58" ht="25" customHeight="1">
      <c r="A61" s="50"/>
      <c r="B61" s="51" t="s">
        <v>125</v>
      </c>
      <c r="C61" s="52"/>
      <c r="D61" s="52"/>
      <c r="E61" s="52"/>
      <c r="F61" s="61" t="str">
        <f>IF(RED_BLANK_RQD?="y","POSITIVE","NEGATIVE")</f>
        <v>POSITIVE</v>
      </c>
      <c r="G61" s="62"/>
      <c r="H61" s="55"/>
      <c r="I61" s="123"/>
      <c r="J61" s="117"/>
      <c r="K61" s="124"/>
      <c r="L61" s="52"/>
      <c r="M61" s="119"/>
      <c r="O61" s="116" t="s">
        <v>126</v>
      </c>
      <c r="P61" s="89"/>
      <c r="Q61" s="150"/>
      <c r="R61" s="4"/>
      <c r="S61" s="88">
        <f>S58+1</f>
        <v>18</v>
      </c>
      <c r="T61" s="134" t="s">
        <v>111</v>
      </c>
      <c r="U61" s="131"/>
      <c r="X61" s="152" t="s">
        <v>127</v>
      </c>
      <c r="Y61" s="161">
        <f>IF(RED_BLANK_RQD?="y",IF(RED_BLANK_VER="y",IF(VIDEO_OPT="y",(IP_FREQ_RQD*(1000/1001))-Y56,IP_FREQ_RQD-Y56),IP_FREQ_RQD-Y56),ABS(IP_FREQ_RQD-U62))</f>
        <v>3.3753375337539637E-3</v>
      </c>
      <c r="AE61" s="4"/>
      <c r="BE61" s="44"/>
      <c r="BF61" s="134"/>
    </row>
    <row r="62" spans="1:58" ht="25" customHeight="1">
      <c r="A62" s="50"/>
      <c r="B62" s="51" t="s">
        <v>128</v>
      </c>
      <c r="C62" s="52"/>
      <c r="D62" s="52"/>
      <c r="E62" s="52"/>
      <c r="F62" s="61" t="str">
        <f>IF(RED_BLANK_RQD?="y","NEGATIVE","POSITIVE")</f>
        <v>NEGATIVE</v>
      </c>
      <c r="G62" s="62"/>
      <c r="H62" s="55"/>
      <c r="I62" s="123"/>
      <c r="J62" s="117"/>
      <c r="K62" s="124"/>
      <c r="L62" s="52"/>
      <c r="M62" s="119"/>
      <c r="O62" s="116"/>
      <c r="P62" s="89" t="s">
        <v>129</v>
      </c>
      <c r="Q62" s="150">
        <f>IF(RED_BLANK_RQD?="y",Y46,U52)</f>
        <v>533.25</v>
      </c>
      <c r="R62" s="4"/>
      <c r="S62" s="88"/>
      <c r="T62" s="134" t="s">
        <v>114</v>
      </c>
      <c r="U62" s="131">
        <f>(IF(INT_RQD?="y",ACT_FIELD_RATE/2,ACT_FIELD_RATE))</f>
        <v>59.996624662466246</v>
      </c>
      <c r="X62" s="152" t="s">
        <v>130</v>
      </c>
      <c r="Y62" s="4">
        <f>((DPLanes*100*DPRate*8)/DPBitsPerPixel)</f>
        <v>720</v>
      </c>
      <c r="AE62" s="4"/>
      <c r="BE62" s="44"/>
      <c r="BF62" s="134"/>
    </row>
    <row r="63" spans="1:58" ht="25" customHeight="1">
      <c r="A63" s="50"/>
      <c r="B63" s="63"/>
      <c r="C63" s="64"/>
      <c r="D63" s="64"/>
      <c r="E63" s="64"/>
      <c r="F63" s="65"/>
      <c r="G63" s="66"/>
      <c r="H63" s="67"/>
      <c r="I63" s="125"/>
      <c r="J63" s="67"/>
      <c r="K63" s="125"/>
      <c r="L63" s="64"/>
      <c r="M63" s="126"/>
      <c r="O63" s="88"/>
      <c r="P63" s="89"/>
      <c r="Q63" s="153"/>
      <c r="R63" s="4"/>
      <c r="S63" s="135"/>
      <c r="T63" s="136"/>
      <c r="U63" s="154"/>
      <c r="X63" s="4" t="s">
        <v>131</v>
      </c>
      <c r="Y63" s="162">
        <f>10/8</f>
        <v>1.25</v>
      </c>
      <c r="AE63" s="4"/>
      <c r="BE63" s="44"/>
      <c r="BF63" s="134"/>
    </row>
    <row r="64" spans="1:58" ht="25" customHeight="1">
      <c r="A64" s="68"/>
      <c r="B64" s="69"/>
      <c r="C64" s="52"/>
      <c r="D64" s="52"/>
      <c r="E64" s="52"/>
      <c r="F64" s="70"/>
      <c r="G64" s="54"/>
      <c r="H64" s="58"/>
      <c r="I64" s="60"/>
      <c r="J64" s="117"/>
      <c r="K64" s="52"/>
      <c r="L64" s="52"/>
      <c r="M64" s="119"/>
      <c r="O64" s="116" t="s">
        <v>132</v>
      </c>
      <c r="P64" s="89"/>
      <c r="Q64" s="153"/>
      <c r="R64" s="4"/>
      <c r="S64" s="5"/>
      <c r="AE64" s="4"/>
      <c r="BE64" s="44"/>
      <c r="BF64" s="134"/>
    </row>
    <row r="65" spans="1:58" ht="25" customHeight="1">
      <c r="A65" s="50"/>
      <c r="B65" s="51" t="s">
        <v>133</v>
      </c>
      <c r="C65" s="52"/>
      <c r="D65" s="52"/>
      <c r="E65" s="52"/>
      <c r="F65" s="70">
        <f>TOTAL_PIXELS/ACT_PIXEL_FREQ</f>
        <v>7.5011720581340837</v>
      </c>
      <c r="G65" s="163" t="s">
        <v>134</v>
      </c>
      <c r="H65" s="53">
        <f>TOTAL_PIXELS/CELL_GRAN_RND</f>
        <v>500</v>
      </c>
      <c r="I65" s="60" t="s">
        <v>135</v>
      </c>
      <c r="J65" s="59">
        <f>TOTAL_PIXELS</f>
        <v>4000</v>
      </c>
      <c r="K65" s="205" t="s">
        <v>103</v>
      </c>
      <c r="L65" s="206"/>
      <c r="M65" s="119"/>
      <c r="O65" s="116"/>
      <c r="P65" s="89" t="s">
        <v>136</v>
      </c>
      <c r="Q65" s="153">
        <f>IF(RED_BLANK_RQD?="Y",Y43,U49)</f>
        <v>4000</v>
      </c>
      <c r="R65" s="4"/>
      <c r="S65" s="5"/>
      <c r="V65" s="134"/>
      <c r="AE65" s="4"/>
      <c r="BE65" s="44"/>
      <c r="BF65" s="134"/>
    </row>
    <row r="66" spans="1:58" ht="25" customHeight="1">
      <c r="A66" s="50"/>
      <c r="B66" s="51" t="s">
        <v>137</v>
      </c>
      <c r="C66" s="52"/>
      <c r="D66" s="52"/>
      <c r="E66" s="52"/>
      <c r="F66" s="70">
        <f>H_PIXELS_RND/ACT_PIXEL_FREQ</f>
        <v>7.2011251758087198</v>
      </c>
      <c r="G66" s="163" t="s">
        <v>134</v>
      </c>
      <c r="H66" s="53">
        <f>H_PIXELS_RND/CELL_GRAN_RND</f>
        <v>480</v>
      </c>
      <c r="I66" s="60" t="s">
        <v>135</v>
      </c>
      <c r="J66" s="59">
        <f>H_PIXELS_RND</f>
        <v>3840</v>
      </c>
      <c r="K66" s="205" t="s">
        <v>103</v>
      </c>
      <c r="L66" s="206"/>
      <c r="M66" s="119"/>
      <c r="O66" s="116" t="s">
        <v>138</v>
      </c>
      <c r="P66" s="89"/>
      <c r="Q66" s="153"/>
      <c r="R66" s="4"/>
      <c r="S66" s="5"/>
      <c r="V66" s="134"/>
      <c r="AE66" s="4"/>
      <c r="BE66" s="44"/>
      <c r="BF66" s="134"/>
    </row>
    <row r="67" spans="1:58" ht="25" customHeight="1">
      <c r="A67" s="164"/>
      <c r="B67" s="165"/>
      <c r="C67" s="64"/>
      <c r="D67" s="64"/>
      <c r="E67" s="64"/>
      <c r="F67" s="65"/>
      <c r="G67" s="166"/>
      <c r="H67" s="167"/>
      <c r="I67" s="125"/>
      <c r="J67" s="174"/>
      <c r="K67" s="207"/>
      <c r="L67" s="208"/>
      <c r="M67" s="126"/>
      <c r="O67" s="116"/>
      <c r="P67" s="89" t="s">
        <v>139</v>
      </c>
      <c r="Q67" s="153">
        <f>IF(RED_BLANK_RQD?="Y",Y26,U46)</f>
        <v>160</v>
      </c>
      <c r="R67" s="4"/>
      <c r="S67" s="5"/>
      <c r="AE67" s="4"/>
      <c r="BE67" s="44"/>
      <c r="BF67" s="134"/>
    </row>
    <row r="68" spans="1:58" ht="25" customHeight="1">
      <c r="A68" s="68"/>
      <c r="B68" s="168"/>
      <c r="C68" s="169"/>
      <c r="D68" s="169"/>
      <c r="E68" s="169"/>
      <c r="F68" s="170"/>
      <c r="G68" s="171"/>
      <c r="H68" s="172"/>
      <c r="I68" s="209"/>
      <c r="J68" s="210"/>
      <c r="K68" s="211"/>
      <c r="L68" s="212"/>
      <c r="M68" s="213"/>
      <c r="O68" s="116" t="s">
        <v>140</v>
      </c>
      <c r="P68" s="89"/>
      <c r="Q68" s="153"/>
      <c r="R68" s="4"/>
      <c r="S68" s="5"/>
      <c r="V68" s="134"/>
      <c r="AD68" s="134"/>
      <c r="AE68" s="4"/>
      <c r="BE68" s="44"/>
      <c r="BF68" s="134"/>
    </row>
    <row r="69" spans="1:58" ht="25" customHeight="1">
      <c r="A69" s="50"/>
      <c r="B69" s="51" t="s">
        <v>141</v>
      </c>
      <c r="C69" s="52"/>
      <c r="D69" s="52"/>
      <c r="E69" s="52"/>
      <c r="F69" s="70">
        <f>H_BLANK/ACT_PIXEL_FREQ</f>
        <v>0.30004688232536336</v>
      </c>
      <c r="G69" s="163" t="s">
        <v>134</v>
      </c>
      <c r="H69" s="53">
        <f>H_BLANK/CELL_GRAN_RND</f>
        <v>20</v>
      </c>
      <c r="I69" s="60" t="s">
        <v>135</v>
      </c>
      <c r="J69" s="59">
        <f>H_BLANK</f>
        <v>160</v>
      </c>
      <c r="K69" s="205" t="s">
        <v>103</v>
      </c>
      <c r="L69" s="206"/>
      <c r="M69" s="119"/>
      <c r="O69" s="116"/>
      <c r="P69" s="89" t="s">
        <v>142</v>
      </c>
      <c r="Q69" s="153">
        <f>H_BLANK-H_BACK_PORCH-H_SYNC_RND</f>
        <v>48</v>
      </c>
      <c r="R69" s="4"/>
      <c r="S69" s="5"/>
      <c r="AD69" s="134"/>
      <c r="AE69" s="4"/>
      <c r="BE69" s="44"/>
      <c r="BF69" s="134"/>
    </row>
    <row r="70" spans="1:58" ht="25" customHeight="1">
      <c r="A70" s="50"/>
      <c r="B70" s="51" t="s">
        <v>143</v>
      </c>
      <c r="C70" s="52"/>
      <c r="D70" s="52"/>
      <c r="E70" s="52"/>
      <c r="F70" s="70">
        <f>(H_BLANK+LEFT_MARGIN+RIGHT_MARGIN)/ACT_PIXEL_FREQ</f>
        <v>0.30004688232536336</v>
      </c>
      <c r="G70" s="163" t="s">
        <v>134</v>
      </c>
      <c r="H70" s="53">
        <f>(H_BLANK+LEFT_MARGIN+RIGHT_MARGIN)/CELL_GRAN_RND</f>
        <v>20</v>
      </c>
      <c r="I70" s="60" t="s">
        <v>135</v>
      </c>
      <c r="J70" s="59">
        <f>H_BLANK+LEFT_MARGIN+RIGHT_MARGIN</f>
        <v>160</v>
      </c>
      <c r="K70" s="205" t="s">
        <v>103</v>
      </c>
      <c r="L70" s="206"/>
      <c r="M70" s="119"/>
      <c r="O70" s="116" t="s">
        <v>144</v>
      </c>
      <c r="P70" s="89"/>
      <c r="Q70" s="153"/>
      <c r="R70" s="4"/>
      <c r="S70" s="5"/>
      <c r="V70" s="134"/>
      <c r="AE70" s="4"/>
      <c r="BE70" s="44"/>
      <c r="BF70" s="134"/>
    </row>
    <row r="71" spans="1:58" ht="24.75" customHeight="1">
      <c r="A71" s="50"/>
      <c r="B71" s="51" t="s">
        <v>145</v>
      </c>
      <c r="C71" s="52"/>
      <c r="D71" s="52"/>
      <c r="E71" s="52"/>
      <c r="F71" s="70">
        <f>IDEAL_DUTY_CYCLE</f>
        <v>27.749074074074073</v>
      </c>
      <c r="G71" s="163" t="s">
        <v>146</v>
      </c>
      <c r="H71" s="59"/>
      <c r="I71" s="205"/>
      <c r="J71" s="117"/>
      <c r="K71" s="52"/>
      <c r="L71" s="52"/>
      <c r="M71" s="119"/>
      <c r="O71" s="116"/>
      <c r="P71" s="89" t="s">
        <v>147</v>
      </c>
      <c r="Q71" s="153">
        <f>IF(RED_BLANK_RQD?="Y",Y25,(ROUNDDOWN((H_SYNC_PER/100*TOTAL_PIXELS/CELL_GRAN_RND),0))*CELL_GRAN_RND)</f>
        <v>32</v>
      </c>
      <c r="R71" s="4"/>
      <c r="S71" s="5"/>
      <c r="V71" s="134"/>
      <c r="AE71" s="4"/>
      <c r="AP71" s="44"/>
      <c r="BE71" s="44"/>
      <c r="BF71" s="134"/>
    </row>
    <row r="72" spans="1:58" ht="25" customHeight="1">
      <c r="A72" s="50"/>
      <c r="B72" s="51"/>
      <c r="C72" s="173" t="s">
        <v>148</v>
      </c>
      <c r="D72" s="173"/>
      <c r="E72" s="173"/>
      <c r="F72" s="70"/>
      <c r="G72" s="163"/>
      <c r="H72" s="59"/>
      <c r="I72" s="205"/>
      <c r="J72" s="117"/>
      <c r="K72" s="173"/>
      <c r="L72" s="52"/>
      <c r="M72" s="119"/>
      <c r="O72" s="116" t="s">
        <v>149</v>
      </c>
      <c r="P72" s="89"/>
      <c r="Q72" s="153"/>
      <c r="R72" s="4"/>
      <c r="S72" s="5"/>
      <c r="V72" s="134"/>
      <c r="AE72" s="4"/>
      <c r="AP72" s="44"/>
      <c r="BE72" s="44"/>
      <c r="BF72" s="134"/>
    </row>
    <row r="73" spans="1:58" ht="25" customHeight="1">
      <c r="A73" s="50"/>
      <c r="B73" s="51" t="s">
        <v>150</v>
      </c>
      <c r="C73" s="52"/>
      <c r="D73" s="52"/>
      <c r="E73" s="52"/>
      <c r="F73" s="70">
        <f>H_BLANK/TOTAL_PIXELS*100</f>
        <v>4</v>
      </c>
      <c r="G73" s="163" t="s">
        <v>146</v>
      </c>
      <c r="H73" s="59"/>
      <c r="I73" s="205"/>
      <c r="J73" s="117"/>
      <c r="K73" s="52"/>
      <c r="L73" s="52"/>
      <c r="M73" s="119"/>
      <c r="O73" s="116"/>
      <c r="P73" s="89" t="s">
        <v>151</v>
      </c>
      <c r="Q73" s="153">
        <f>H_BLANK/2</f>
        <v>80</v>
      </c>
      <c r="R73" s="4"/>
      <c r="S73" s="5"/>
      <c r="T73" s="44"/>
      <c r="U73" s="44"/>
      <c r="V73" s="134"/>
      <c r="AE73" s="4"/>
      <c r="AP73" s="44"/>
      <c r="BE73" s="44"/>
      <c r="BF73" s="134"/>
    </row>
    <row r="74" spans="1:58" ht="25" customHeight="1">
      <c r="A74" s="50"/>
      <c r="B74" s="51" t="s">
        <v>152</v>
      </c>
      <c r="C74" s="52"/>
      <c r="D74" s="52"/>
      <c r="E74" s="52"/>
      <c r="F74" s="70">
        <f>(H_BLANK+LEFT_MARGIN+RIGHT_MARGIN)/TOTAL_PIXELS*100</f>
        <v>4</v>
      </c>
      <c r="G74" s="163" t="s">
        <v>146</v>
      </c>
      <c r="H74" s="59"/>
      <c r="I74" s="205"/>
      <c r="J74" s="117"/>
      <c r="K74" s="52"/>
      <c r="L74" s="52"/>
      <c r="M74" s="119"/>
      <c r="O74" s="88"/>
      <c r="P74" s="89"/>
      <c r="Q74" s="153"/>
      <c r="R74" s="4"/>
      <c r="S74" s="5"/>
      <c r="T74" s="44"/>
      <c r="U74" s="44"/>
      <c r="AE74" s="4"/>
      <c r="AP74" s="44"/>
      <c r="BE74" s="44"/>
      <c r="BF74" s="134"/>
    </row>
    <row r="75" spans="1:58" ht="25" customHeight="1">
      <c r="A75" s="50"/>
      <c r="B75" s="51" t="s">
        <v>153</v>
      </c>
      <c r="C75" s="52"/>
      <c r="D75" s="52"/>
      <c r="E75" s="52"/>
      <c r="F75" s="70">
        <f>LEFT_MARGIN/ACT_PIXEL_FREQ</f>
        <v>0</v>
      </c>
      <c r="G75" s="163" t="s">
        <v>134</v>
      </c>
      <c r="H75" s="53">
        <f>LEFT_MARGIN/CELL_GRAN_RND</f>
        <v>0</v>
      </c>
      <c r="I75" s="60" t="s">
        <v>135</v>
      </c>
      <c r="J75" s="59">
        <f>LEFT_MARGIN</f>
        <v>0</v>
      </c>
      <c r="K75" s="205" t="s">
        <v>103</v>
      </c>
      <c r="L75" s="205"/>
      <c r="M75" s="119"/>
      <c r="O75" s="116" t="s">
        <v>154</v>
      </c>
      <c r="P75" s="89"/>
      <c r="Q75" s="153"/>
      <c r="R75" s="4"/>
      <c r="S75" s="5"/>
      <c r="T75" s="44"/>
      <c r="U75" s="44"/>
      <c r="AE75" s="4"/>
      <c r="AP75" s="44"/>
      <c r="BE75" s="44"/>
      <c r="BF75" s="134"/>
    </row>
    <row r="76" spans="1:58" ht="25" customHeight="1">
      <c r="A76" s="50"/>
      <c r="B76" s="51" t="s">
        <v>155</v>
      </c>
      <c r="C76" s="52"/>
      <c r="D76" s="52"/>
      <c r="E76" s="52"/>
      <c r="F76" s="70">
        <f>H_FRONT_PORCH/ACT_PIXEL_FREQ</f>
        <v>9.0014064697609003E-2</v>
      </c>
      <c r="G76" s="163" t="s">
        <v>134</v>
      </c>
      <c r="H76" s="53">
        <f>H_FRONT_PORCH/CELL_GRAN_RND</f>
        <v>6</v>
      </c>
      <c r="I76" s="60" t="s">
        <v>135</v>
      </c>
      <c r="J76" s="59">
        <f>H_FRONT_PORCH</f>
        <v>48</v>
      </c>
      <c r="K76" s="205" t="s">
        <v>103</v>
      </c>
      <c r="L76" s="205"/>
      <c r="M76" s="119"/>
      <c r="O76" s="116"/>
      <c r="P76" s="89" t="s">
        <v>156</v>
      </c>
      <c r="Q76" s="254">
        <f>IF(RED_BLANK_RQD?="Y",Y40,U40)</f>
        <v>2222</v>
      </c>
      <c r="R76" s="4"/>
      <c r="S76" s="5"/>
      <c r="T76" s="44"/>
      <c r="U76" s="44"/>
      <c r="AE76" s="4"/>
      <c r="AN76" s="44"/>
      <c r="AO76" s="44"/>
      <c r="AP76" s="44"/>
    </row>
    <row r="77" spans="1:58" ht="25" customHeight="1">
      <c r="A77" s="50"/>
      <c r="B77" s="51" t="s">
        <v>157</v>
      </c>
      <c r="C77" s="52"/>
      <c r="D77" s="52"/>
      <c r="E77" s="52"/>
      <c r="F77" s="70">
        <f>H_SYNC_RND/ACT_PIXEL_FREQ</f>
        <v>6.0009376465072671E-2</v>
      </c>
      <c r="G77" s="163" t="s">
        <v>134</v>
      </c>
      <c r="H77" s="53">
        <f>H_SYNC_RND/CELL_GRAN_RND</f>
        <v>4</v>
      </c>
      <c r="I77" s="60" t="s">
        <v>135</v>
      </c>
      <c r="J77" s="59">
        <f>H_SYNC_RND</f>
        <v>32</v>
      </c>
      <c r="K77" s="205" t="s">
        <v>103</v>
      </c>
      <c r="L77" s="205"/>
      <c r="M77" s="119"/>
      <c r="O77" s="116" t="s">
        <v>158</v>
      </c>
      <c r="P77" s="89"/>
      <c r="Q77" s="254"/>
      <c r="R77" s="4"/>
      <c r="S77" s="5"/>
      <c r="T77" s="44"/>
      <c r="U77" s="44"/>
      <c r="V77" s="134"/>
      <c r="AE77" s="4"/>
      <c r="AN77" s="44"/>
      <c r="AO77" s="44"/>
      <c r="AP77" s="44"/>
    </row>
    <row r="78" spans="1:58" ht="25" customHeight="1">
      <c r="A78" s="50"/>
      <c r="B78" s="51" t="s">
        <v>159</v>
      </c>
      <c r="C78" s="52"/>
      <c r="D78" s="52"/>
      <c r="E78" s="52"/>
      <c r="F78" s="70">
        <f>H_BACK_PORCH/ACT_PIXEL_FREQ</f>
        <v>0.15002344116268168</v>
      </c>
      <c r="G78" s="163" t="s">
        <v>134</v>
      </c>
      <c r="H78" s="53">
        <f>H_BACK_PORCH/CELL_GRAN_RND</f>
        <v>10</v>
      </c>
      <c r="I78" s="60" t="s">
        <v>135</v>
      </c>
      <c r="J78" s="59">
        <f>H_BACK_PORCH</f>
        <v>80</v>
      </c>
      <c r="K78" s="205" t="s">
        <v>103</v>
      </c>
      <c r="L78" s="205"/>
      <c r="M78" s="119"/>
      <c r="O78" s="116"/>
      <c r="P78" s="89" t="s">
        <v>160</v>
      </c>
      <c r="Q78" s="153">
        <f>IF(RED_BLANK_RQD?="y",ACT_VBI_LINES,V_SYNC_BP+MIN_V_PORCH_RND)</f>
        <v>62</v>
      </c>
      <c r="R78" s="4"/>
      <c r="S78" s="5"/>
      <c r="T78" s="44"/>
      <c r="U78" s="44"/>
      <c r="V78" s="134"/>
      <c r="W78" s="132"/>
      <c r="AE78" s="4"/>
      <c r="AN78" s="44"/>
      <c r="AO78" s="44"/>
      <c r="AP78" s="44"/>
    </row>
    <row r="79" spans="1:58" ht="25" customHeight="1">
      <c r="A79" s="50"/>
      <c r="B79" s="51" t="s">
        <v>161</v>
      </c>
      <c r="C79" s="52"/>
      <c r="D79" s="52"/>
      <c r="E79" s="52"/>
      <c r="F79" s="70">
        <f>RIGHT_MARGIN/ACT_PIXEL_FREQ</f>
        <v>0</v>
      </c>
      <c r="G79" s="163" t="s">
        <v>134</v>
      </c>
      <c r="H79" s="53">
        <f>RIGHT_MARGIN/CELL_GRAN_RND</f>
        <v>0</v>
      </c>
      <c r="I79" s="60" t="s">
        <v>135</v>
      </c>
      <c r="J79" s="59">
        <f>RIGHT_MARGIN</f>
        <v>0</v>
      </c>
      <c r="K79" s="205" t="s">
        <v>103</v>
      </c>
      <c r="L79" s="205"/>
      <c r="M79" s="119"/>
      <c r="O79" s="116" t="s">
        <v>162</v>
      </c>
      <c r="P79" s="89"/>
      <c r="Q79" s="153"/>
      <c r="R79" s="4"/>
      <c r="S79" s="5"/>
      <c r="T79" s="44"/>
      <c r="U79" s="44"/>
      <c r="V79" s="134"/>
      <c r="W79" s="132"/>
      <c r="AE79" s="4"/>
      <c r="AN79" s="44"/>
      <c r="AO79" s="44"/>
      <c r="AP79" s="44"/>
    </row>
    <row r="80" spans="1:58" ht="25" customHeight="1">
      <c r="A80" s="164"/>
      <c r="B80" s="165"/>
      <c r="C80" s="64"/>
      <c r="D80" s="64"/>
      <c r="E80" s="64"/>
      <c r="F80" s="65"/>
      <c r="G80" s="166"/>
      <c r="H80" s="174"/>
      <c r="I80" s="207"/>
      <c r="J80" s="214"/>
      <c r="K80" s="125"/>
      <c r="L80" s="64"/>
      <c r="M80" s="126"/>
      <c r="O80" s="116"/>
      <c r="P80" s="89" t="s">
        <v>163</v>
      </c>
      <c r="Q80" s="153">
        <f>IF(RED_BLANK_RQD?="y",IF(RED_BLANK_VER="y",V_BLANK-V_BACK_PORCH-V_SYNC_RND,RB_V_FPORCH),MIN_V_PORCH_RND)</f>
        <v>3</v>
      </c>
      <c r="R80" s="4"/>
      <c r="S80" s="5"/>
      <c r="T80" s="44"/>
      <c r="U80" s="44"/>
      <c r="V80" s="134"/>
      <c r="W80" s="132"/>
      <c r="AE80" s="4"/>
      <c r="AN80" s="44"/>
      <c r="AO80" s="44"/>
      <c r="AP80" s="44"/>
    </row>
    <row r="81" spans="1:42" ht="25" customHeight="1">
      <c r="A81" s="50"/>
      <c r="B81" s="51"/>
      <c r="C81" s="52"/>
      <c r="D81" s="52"/>
      <c r="E81" s="52"/>
      <c r="F81" s="175" t="str">
        <f>(IF(INT_RQD?="y","PER FRAME",""))</f>
        <v/>
      </c>
      <c r="G81" s="176"/>
      <c r="H81" s="177" t="str">
        <f>(IF(INT_RQD?="y","PER FIELD",""))</f>
        <v/>
      </c>
      <c r="I81" s="176"/>
      <c r="J81" s="175" t="str">
        <f>(IF(INT_RQD?="y","PER FRAME",""))</f>
        <v/>
      </c>
      <c r="K81" s="215"/>
      <c r="L81" s="216" t="str">
        <f>(IF(INT_RQD?="y","PER FIELD",""))</f>
        <v/>
      </c>
      <c r="M81" s="217"/>
      <c r="O81" s="116" t="s">
        <v>164</v>
      </c>
      <c r="P81" s="89"/>
      <c r="Q81" s="153"/>
      <c r="R81" s="4"/>
      <c r="S81" s="5"/>
      <c r="T81" s="44"/>
      <c r="U81" s="44"/>
      <c r="AE81" s="4"/>
      <c r="AN81" s="44"/>
      <c r="AO81" s="44"/>
      <c r="AP81" s="44"/>
    </row>
    <row r="82" spans="1:42" ht="25" customHeight="1">
      <c r="A82" s="50"/>
      <c r="B82" s="51" t="s">
        <v>165</v>
      </c>
      <c r="C82" s="52"/>
      <c r="D82" s="52"/>
      <c r="E82" s="52"/>
      <c r="F82" s="70">
        <f>IF(INT_RQD?="y",2,1)*TOTAL_V_LINES/ACT_H_FREQ</f>
        <v>16.667604313173932</v>
      </c>
      <c r="G82" s="163" t="s">
        <v>166</v>
      </c>
      <c r="H82" s="178" t="str">
        <f>IF(INT_RQD?="y",TOTAL_V_LINES/ACT_H_FREQ,"")</f>
        <v/>
      </c>
      <c r="I82" s="163" t="str">
        <f>IF(INT_RQD?="y","ms","")</f>
        <v/>
      </c>
      <c r="J82" s="218">
        <f>IF(INT_RQD?="y",2,1)*TOTAL_V_LINES</f>
        <v>2222</v>
      </c>
      <c r="K82" s="219" t="s">
        <v>107</v>
      </c>
      <c r="L82" s="218" t="str">
        <f>IF(INT_RQD?="y",TOTAL_V_LINES,"")</f>
        <v/>
      </c>
      <c r="M82" s="220" t="str">
        <f>(IF(INT_RQD?="y","LINES",""))</f>
        <v/>
      </c>
      <c r="O82" s="116"/>
      <c r="P82" s="89" t="s">
        <v>167</v>
      </c>
      <c r="Q82" s="153">
        <f>INT(V_SYNC)</f>
        <v>5</v>
      </c>
      <c r="R82" s="4"/>
      <c r="S82" s="5"/>
      <c r="V82" s="44"/>
      <c r="AE82" s="4"/>
      <c r="AN82" s="44"/>
      <c r="AO82" s="44"/>
      <c r="AP82" s="44"/>
    </row>
    <row r="83" spans="1:42" ht="25" customHeight="1">
      <c r="A83" s="50"/>
      <c r="B83" s="51" t="s">
        <v>168</v>
      </c>
      <c r="C83" s="52"/>
      <c r="D83" s="52"/>
      <c r="E83" s="52"/>
      <c r="F83" s="70">
        <f>IF(INT_RQD?="y",2,1)*V_LINES_RND/ACT_H_FREQ</f>
        <v>16.202531645569621</v>
      </c>
      <c r="G83" s="163" t="s">
        <v>166</v>
      </c>
      <c r="H83" s="178" t="str">
        <f>IF(INT_RQD?="y",V_LINES_RND/ACT_H_FREQ,"")</f>
        <v/>
      </c>
      <c r="I83" s="163" t="str">
        <f>IF(INT_RQD?="y","ms","")</f>
        <v/>
      </c>
      <c r="J83" s="218">
        <f>IF(INT_RQD?="y",2*V_LINES_RND,V_LINES_RND)</f>
        <v>2160</v>
      </c>
      <c r="K83" s="219" t="s">
        <v>107</v>
      </c>
      <c r="L83" s="218" t="str">
        <f>IF(INT_RQD?="y",V_LINES_RND,"")</f>
        <v/>
      </c>
      <c r="M83" s="220" t="str">
        <f>(IF(INT_RQD?="y","LINES",""))</f>
        <v/>
      </c>
      <c r="O83" s="116" t="s">
        <v>169</v>
      </c>
      <c r="P83" s="89"/>
      <c r="Q83" s="153"/>
      <c r="R83" s="4"/>
      <c r="S83" s="5"/>
      <c r="V83" s="44"/>
      <c r="AE83" s="4"/>
      <c r="AN83" s="44"/>
      <c r="AO83" s="44"/>
      <c r="AP83" s="44"/>
    </row>
    <row r="84" spans="1:42" ht="25" customHeight="1">
      <c r="A84" s="164"/>
      <c r="B84" s="165"/>
      <c r="C84" s="64"/>
      <c r="D84" s="64"/>
      <c r="E84" s="64"/>
      <c r="F84" s="65"/>
      <c r="G84" s="166"/>
      <c r="H84" s="179"/>
      <c r="I84" s="166"/>
      <c r="J84" s="221"/>
      <c r="K84" s="222"/>
      <c r="L84" s="221"/>
      <c r="M84" s="223"/>
      <c r="O84" s="116"/>
      <c r="P84" s="89" t="s">
        <v>170</v>
      </c>
      <c r="Q84" s="153">
        <f>IF(AND((RED_BLANK_RQD?="y"),(RED_BLANK_VER="y")),RB_MIN_V_BPORCH,V_BLANK-V_FRONT_PORCH-V_SYNC_RND)</f>
        <v>54</v>
      </c>
      <c r="R84" s="4"/>
      <c r="S84" s="5"/>
      <c r="AE84" s="4"/>
      <c r="AN84" s="44"/>
      <c r="AO84" s="44"/>
      <c r="AP84" s="44"/>
    </row>
    <row r="85" spans="1:42" ht="25" customHeight="1">
      <c r="A85" s="68"/>
      <c r="B85" s="168"/>
      <c r="C85" s="169"/>
      <c r="D85" s="169"/>
      <c r="E85" s="169"/>
      <c r="F85" s="180" t="str">
        <f>(IF(INT_RQD?="y","ODD FIELD",""))</f>
        <v/>
      </c>
      <c r="G85" s="181"/>
      <c r="H85" s="182" t="str">
        <f>(IF(INT_RQD?="y","EVEN FIELD",""))</f>
        <v/>
      </c>
      <c r="I85" s="181"/>
      <c r="J85" s="224" t="str">
        <f>(IF(INT_RQD?="y","ODD FIELD",""))</f>
        <v/>
      </c>
      <c r="K85" s="225"/>
      <c r="L85" s="224" t="str">
        <f>(IF(INT_RQD?="y","EVEN FIELD",""))</f>
        <v/>
      </c>
      <c r="M85" s="226"/>
      <c r="O85" s="135"/>
      <c r="P85" s="227"/>
      <c r="Q85" s="154"/>
      <c r="R85" s="4"/>
      <c r="S85" s="5"/>
      <c r="AE85" s="4"/>
      <c r="AN85" s="44"/>
      <c r="AO85" s="44"/>
      <c r="AP85" s="44"/>
    </row>
    <row r="86" spans="1:42" ht="25" customHeight="1">
      <c r="A86" s="50"/>
      <c r="B86" s="51" t="s">
        <v>171</v>
      </c>
      <c r="C86" s="52"/>
      <c r="D86" s="52"/>
      <c r="E86" s="52"/>
      <c r="F86" s="70">
        <f>V_BLANK/ACT_H_FREQ</f>
        <v>0.46507266760431315</v>
      </c>
      <c r="G86" s="163" t="s">
        <v>166</v>
      </c>
      <c r="H86" s="70" t="str">
        <f>IF(INT_RQD?="y",(V_BLANK+(2*INTERLACE))/ACT_H_FREQ,"")</f>
        <v/>
      </c>
      <c r="I86" s="163" t="str">
        <f>(IF(INT_RQD?="y","ms",""))</f>
        <v/>
      </c>
      <c r="J86" s="218">
        <f>V_BLANK</f>
        <v>62</v>
      </c>
      <c r="K86" s="219" t="s">
        <v>107</v>
      </c>
      <c r="L86" s="218" t="str">
        <f>IF(INT_RQD?="y",V_BLANK+(2*INTERLACE),"")</f>
        <v/>
      </c>
      <c r="M86" s="220" t="str">
        <f t="shared" ref="M86:M91" si="0">(IF(INT_RQD?="y","LINES",""))</f>
        <v/>
      </c>
      <c r="R86" s="4"/>
      <c r="S86" s="5"/>
      <c r="AE86" s="4"/>
      <c r="AN86" s="44"/>
      <c r="AO86" s="44"/>
      <c r="AP86" s="44"/>
    </row>
    <row r="87" spans="1:42" ht="25" customHeight="1">
      <c r="A87" s="50"/>
      <c r="B87" s="51" t="s">
        <v>172</v>
      </c>
      <c r="C87" s="52"/>
      <c r="D87" s="52"/>
      <c r="E87" s="52"/>
      <c r="F87" s="70">
        <f>1000*TOP_MARGIN/ACT_H_FREQ</f>
        <v>0</v>
      </c>
      <c r="G87" s="163" t="s">
        <v>134</v>
      </c>
      <c r="H87" s="178" t="str">
        <f>(IF(INT_RQD?="y",1000*TOP_MARGIN/ACT_H_FREQ,""))</f>
        <v/>
      </c>
      <c r="I87" s="163" t="str">
        <f>(IF(INT_RQD?="y","us",""))</f>
        <v/>
      </c>
      <c r="J87" s="218">
        <f>TOP_MARGIN</f>
        <v>0</v>
      </c>
      <c r="K87" s="219" t="s">
        <v>107</v>
      </c>
      <c r="L87" s="218" t="str">
        <f>(IF(INT_RQD?="y",TOP_MARGIN,""))</f>
        <v/>
      </c>
      <c r="M87" s="220" t="str">
        <f t="shared" si="0"/>
        <v/>
      </c>
      <c r="R87" s="4"/>
      <c r="S87" s="5"/>
      <c r="V87" s="44"/>
      <c r="AE87" s="4"/>
      <c r="AN87" s="44"/>
      <c r="AO87" s="44"/>
      <c r="AP87" s="44"/>
    </row>
    <row r="88" spans="1:42" ht="25" customHeight="1">
      <c r="A88" s="50"/>
      <c r="B88" s="51" t="s">
        <v>173</v>
      </c>
      <c r="C88" s="52"/>
      <c r="D88" s="52"/>
      <c r="E88" s="52"/>
      <c r="F88" s="70">
        <f>1000*(V_FRONT_PORCH+INTERLACE)/ACT_H_FREQ</f>
        <v>22.50351617440225</v>
      </c>
      <c r="G88" s="163" t="s">
        <v>134</v>
      </c>
      <c r="H88" s="178" t="str">
        <f>IF(INT_RQD?="y",1000*V_FRONT_PORCH/ACT_H_FREQ,"")</f>
        <v/>
      </c>
      <c r="I88" s="163" t="str">
        <f>(IF(INT_RQD?="y","us",""))</f>
        <v/>
      </c>
      <c r="J88" s="218">
        <f>V_FRONT_PORCH+INTERLACE</f>
        <v>3</v>
      </c>
      <c r="K88" s="219" t="s">
        <v>107</v>
      </c>
      <c r="L88" s="218" t="str">
        <f>IF(INT_RQD?="y",V_FRONT_PORCH,"")</f>
        <v/>
      </c>
      <c r="M88" s="220" t="str">
        <f t="shared" si="0"/>
        <v/>
      </c>
      <c r="R88" s="4"/>
      <c r="S88" s="5"/>
      <c r="V88" s="44"/>
      <c r="AE88" s="4"/>
      <c r="AN88" s="44"/>
      <c r="AO88" s="44"/>
      <c r="AP88" s="44"/>
    </row>
    <row r="89" spans="1:42" ht="25" customHeight="1">
      <c r="A89" s="50"/>
      <c r="B89" s="51" t="s">
        <v>174</v>
      </c>
      <c r="C89" s="52"/>
      <c r="D89" s="52"/>
      <c r="E89" s="52"/>
      <c r="F89" s="70">
        <f>1000*V_SYNC_RND/ACT_H_FREQ</f>
        <v>37.505860290670419</v>
      </c>
      <c r="G89" s="163" t="s">
        <v>134</v>
      </c>
      <c r="H89" s="70" t="str">
        <f>IF(INT_RQD?="y",1000*V_SYNC_RND/ACT_H_FREQ,"")</f>
        <v/>
      </c>
      <c r="I89" s="163" t="str">
        <f>(IF(INT_RQD?="y","us",""))</f>
        <v/>
      </c>
      <c r="J89" s="218">
        <f>V_SYNC_RND</f>
        <v>5</v>
      </c>
      <c r="K89" s="219" t="s">
        <v>107</v>
      </c>
      <c r="L89" s="218" t="str">
        <f>IF(INT_RQD?="y",V_SYNC_RND,"")</f>
        <v/>
      </c>
      <c r="M89" s="220" t="str">
        <f t="shared" si="0"/>
        <v/>
      </c>
      <c r="R89" s="4"/>
      <c r="S89" s="5"/>
      <c r="V89" s="44"/>
      <c r="AE89" s="4"/>
      <c r="AN89" s="44"/>
      <c r="AO89" s="44"/>
      <c r="AP89" s="44"/>
    </row>
    <row r="90" spans="1:42" ht="25" customHeight="1">
      <c r="A90" s="50"/>
      <c r="B90" s="51" t="s">
        <v>175</v>
      </c>
      <c r="C90" s="52"/>
      <c r="D90" s="52"/>
      <c r="E90" s="52"/>
      <c r="F90" s="70">
        <f>1000*V_BACK_PORCH/ACT_H_FREQ</f>
        <v>405.0632911392405</v>
      </c>
      <c r="G90" s="163" t="s">
        <v>134</v>
      </c>
      <c r="H90" s="178" t="str">
        <f>IF(INT_RQD?="y",1000*(V_BACK_PORCH+INTERLACE)/ACT_H_FREQ,"")</f>
        <v/>
      </c>
      <c r="I90" s="163" t="str">
        <f>(IF(INT_RQD?="y","us",""))</f>
        <v/>
      </c>
      <c r="J90" s="218">
        <f>V_BACK_PORCH</f>
        <v>54</v>
      </c>
      <c r="K90" s="219" t="s">
        <v>107</v>
      </c>
      <c r="L90" s="218" t="str">
        <f>IF(INT_RQD?="y",V_BACK_PORCH+INTERLACE,"")</f>
        <v/>
      </c>
      <c r="M90" s="220" t="str">
        <f t="shared" si="0"/>
        <v/>
      </c>
      <c r="R90" s="4"/>
      <c r="S90" s="5"/>
      <c r="V90" s="44"/>
      <c r="W90" s="132"/>
      <c r="X90" s="44"/>
      <c r="AE90" s="4"/>
      <c r="AN90" s="44"/>
      <c r="AO90" s="44"/>
      <c r="AP90" s="44"/>
    </row>
    <row r="91" spans="1:42" ht="25" customHeight="1">
      <c r="A91" s="50"/>
      <c r="B91" s="51" t="s">
        <v>176</v>
      </c>
      <c r="C91" s="52"/>
      <c r="D91" s="52"/>
      <c r="E91" s="52"/>
      <c r="F91" s="70">
        <f>1000*BOT_MARGIN/ACT_H_FREQ</f>
        <v>0</v>
      </c>
      <c r="G91" s="163" t="s">
        <v>134</v>
      </c>
      <c r="H91" s="178" t="str">
        <f>(IF(INT_RQD?="y",1000*BOT_MARGIN/ACT_H_FREQ,""))</f>
        <v/>
      </c>
      <c r="I91" s="163" t="str">
        <f>(IF(INT_RQD?="y","us",""))</f>
        <v/>
      </c>
      <c r="J91" s="218">
        <f>BOT_MARGIN</f>
        <v>0</v>
      </c>
      <c r="K91" s="219" t="s">
        <v>107</v>
      </c>
      <c r="L91" s="218" t="str">
        <f>(IF(INT_RQD?="y",BOT_MARGIN,""))</f>
        <v/>
      </c>
      <c r="M91" s="220" t="str">
        <f t="shared" si="0"/>
        <v/>
      </c>
      <c r="R91" s="4"/>
      <c r="S91" s="5"/>
      <c r="V91" s="44"/>
      <c r="W91" s="132"/>
      <c r="X91" s="44"/>
      <c r="AE91" s="4"/>
      <c r="AN91" s="44"/>
      <c r="AO91" s="44"/>
      <c r="AP91" s="44"/>
    </row>
    <row r="92" spans="1:42" ht="25" customHeight="1">
      <c r="A92" s="40"/>
      <c r="B92" s="183"/>
      <c r="C92" s="184" t="str">
        <f>IF(B63="","","NOTE: ANY RESULT IN RED PARENTHESIS INDICATES AN ERROR: SOLUTION NOT POSSIBLE WITH GIVEN INPUTS REQUIREMENTS")</f>
        <v/>
      </c>
      <c r="D92" s="185"/>
      <c r="E92" s="185"/>
      <c r="F92" s="186"/>
      <c r="G92" s="187"/>
      <c r="H92" s="188"/>
      <c r="I92" s="188"/>
      <c r="J92" s="228"/>
      <c r="K92" s="185"/>
      <c r="L92" s="185"/>
      <c r="M92" s="229"/>
      <c r="R92" s="134"/>
      <c r="S92" s="5"/>
      <c r="V92" s="44"/>
      <c r="W92" s="132"/>
      <c r="X92" s="44"/>
      <c r="AE92" s="4"/>
      <c r="AN92" s="44"/>
      <c r="AO92" s="44"/>
      <c r="AP92" s="44"/>
    </row>
    <row r="93" spans="1:42" ht="25" customHeight="1">
      <c r="A93" s="22"/>
      <c r="B93" s="189"/>
      <c r="C93" s="190"/>
      <c r="D93" s="19"/>
      <c r="E93" s="19"/>
      <c r="F93" s="191"/>
      <c r="G93" s="192"/>
      <c r="H93" s="193"/>
      <c r="I93" s="193"/>
      <c r="J93" s="230"/>
      <c r="K93" s="19"/>
      <c r="L93" s="19"/>
      <c r="M93" s="19"/>
      <c r="R93" s="134"/>
      <c r="S93" s="5"/>
      <c r="V93" s="44"/>
      <c r="W93" s="132"/>
      <c r="X93" s="44"/>
      <c r="AE93" s="4"/>
      <c r="AN93" s="44"/>
      <c r="AO93" s="44"/>
      <c r="AP93" s="44"/>
    </row>
    <row r="94" spans="1:42" ht="25" customHeight="1">
      <c r="A94" s="22"/>
      <c r="B94" s="189"/>
      <c r="C94" s="190"/>
      <c r="D94" s="19"/>
      <c r="E94" s="19"/>
      <c r="F94" s="191"/>
      <c r="G94" s="192"/>
      <c r="H94" s="193"/>
      <c r="I94" s="193"/>
      <c r="J94" s="230"/>
      <c r="K94" s="19"/>
      <c r="L94" s="19"/>
      <c r="M94" s="19"/>
      <c r="N94" s="44"/>
      <c r="R94" s="134"/>
      <c r="S94" s="5"/>
      <c r="V94" s="44"/>
      <c r="W94" s="132"/>
      <c r="X94" s="44"/>
      <c r="AE94" s="4"/>
      <c r="AN94" s="44"/>
      <c r="AO94" s="44"/>
      <c r="AP94" s="44"/>
    </row>
    <row r="95" spans="1:42" ht="25" customHeight="1">
      <c r="A95" s="22"/>
      <c r="B95" s="189"/>
      <c r="C95" s="190"/>
      <c r="D95" s="19"/>
      <c r="E95" s="19"/>
      <c r="F95" s="191"/>
      <c r="G95" s="192"/>
      <c r="H95" s="193"/>
      <c r="I95" s="193"/>
      <c r="J95" s="230"/>
      <c r="K95" s="19"/>
      <c r="L95" s="19"/>
      <c r="M95" s="19"/>
      <c r="N95" s="134"/>
      <c r="R95" s="134"/>
      <c r="S95" s="5"/>
      <c r="V95" s="44"/>
      <c r="W95" s="132"/>
      <c r="X95" s="44"/>
      <c r="AE95" s="4"/>
      <c r="AN95" s="44"/>
      <c r="AO95" s="44"/>
      <c r="AP95" s="44"/>
    </row>
    <row r="96" spans="1:42" ht="25" customHeight="1">
      <c r="A96" s="194"/>
      <c r="B96" s="189"/>
      <c r="C96" s="190"/>
      <c r="D96" s="19"/>
      <c r="E96" s="19"/>
      <c r="F96" s="191"/>
      <c r="G96" s="192"/>
      <c r="H96" s="193"/>
      <c r="I96" s="193"/>
      <c r="J96" s="230"/>
      <c r="K96" s="19"/>
      <c r="L96" s="19"/>
      <c r="M96" s="19"/>
      <c r="N96" s="134"/>
      <c r="R96" s="134"/>
      <c r="S96" s="5"/>
      <c r="W96" s="132"/>
      <c r="X96" s="44"/>
      <c r="AE96" s="4"/>
      <c r="AN96" s="44"/>
      <c r="AO96" s="44"/>
      <c r="AP96" s="44"/>
    </row>
    <row r="97" spans="1:42" ht="25" customHeight="1">
      <c r="A97" s="194"/>
      <c r="N97" s="134"/>
      <c r="R97" s="134"/>
      <c r="S97" s="5"/>
      <c r="W97" s="132"/>
      <c r="X97" s="44"/>
      <c r="AE97" s="4"/>
      <c r="AN97" s="44"/>
      <c r="AO97" s="44"/>
      <c r="AP97" s="44"/>
    </row>
    <row r="98" spans="1:42" ht="25" customHeight="1">
      <c r="A98" s="3"/>
      <c r="B98" s="195"/>
      <c r="C98" s="27"/>
      <c r="D98" s="27"/>
      <c r="E98" s="27"/>
      <c r="F98" s="196"/>
      <c r="G98" s="27"/>
      <c r="H98" s="27"/>
      <c r="I98" s="27"/>
      <c r="J98" s="231"/>
      <c r="K98" s="231"/>
      <c r="L98" s="27"/>
      <c r="M98" s="232"/>
      <c r="N98" s="134"/>
      <c r="R98" s="134"/>
      <c r="S98" s="5"/>
      <c r="W98" s="132"/>
      <c r="X98" s="44"/>
      <c r="AE98" s="4"/>
      <c r="AN98" s="44"/>
      <c r="AO98" s="44"/>
      <c r="AP98" s="44"/>
    </row>
    <row r="99" spans="1:42" ht="25" customHeight="1">
      <c r="A99" s="3"/>
      <c r="B99" s="197" t="s">
        <v>177</v>
      </c>
      <c r="C99" s="15"/>
      <c r="D99" s="15"/>
      <c r="E99" s="15"/>
      <c r="F99" s="198"/>
      <c r="G99" s="15"/>
      <c r="H99" s="15"/>
      <c r="I99" s="15"/>
      <c r="J99" s="15"/>
      <c r="K99" s="15"/>
      <c r="L99" s="15"/>
      <c r="M99" s="233"/>
      <c r="N99" s="134"/>
      <c r="R99" s="134"/>
      <c r="S99" s="5"/>
      <c r="AE99" s="4"/>
      <c r="AN99" s="44"/>
      <c r="AO99" s="44"/>
      <c r="AP99" s="44"/>
    </row>
    <row r="100" spans="1:42" ht="25" customHeight="1">
      <c r="A100" s="3"/>
      <c r="B100" s="199"/>
      <c r="C100" s="19"/>
      <c r="D100" s="19"/>
      <c r="E100" s="19"/>
      <c r="F100" s="200"/>
      <c r="G100" s="19"/>
      <c r="H100" s="19"/>
      <c r="I100" s="19"/>
      <c r="J100" s="234"/>
      <c r="K100" s="234"/>
      <c r="L100" s="19"/>
      <c r="M100" s="235"/>
      <c r="N100" s="134"/>
      <c r="R100" s="134"/>
      <c r="S100" s="5"/>
      <c r="AE100" s="4"/>
      <c r="AN100" s="44"/>
      <c r="AO100" s="44"/>
      <c r="AP100" s="44"/>
    </row>
    <row r="101" spans="1:42" ht="25" customHeight="1">
      <c r="A101" s="3"/>
      <c r="B101" s="201" t="s">
        <v>178</v>
      </c>
      <c r="C101" s="19"/>
      <c r="D101" s="19"/>
      <c r="E101" s="19"/>
      <c r="F101" s="200"/>
      <c r="G101" s="19"/>
      <c r="H101" s="19"/>
      <c r="I101" s="19"/>
      <c r="J101" s="234"/>
      <c r="K101" s="234"/>
      <c r="L101" s="19"/>
      <c r="M101" s="235"/>
      <c r="N101" s="134"/>
      <c r="R101" s="134"/>
      <c r="S101" s="5"/>
      <c r="AE101" s="4"/>
      <c r="AN101" s="44"/>
      <c r="AO101" s="44"/>
      <c r="AP101" s="44"/>
    </row>
    <row r="102" spans="1:42" ht="25" customHeight="1">
      <c r="A102" s="3"/>
      <c r="B102" s="202"/>
      <c r="C102" s="3"/>
      <c r="D102" s="3"/>
      <c r="E102" s="3"/>
      <c r="F102" s="3"/>
      <c r="G102" s="3"/>
      <c r="H102" s="3"/>
      <c r="I102" s="3"/>
      <c r="J102" s="236"/>
      <c r="K102" s="237"/>
      <c r="L102" s="237"/>
      <c r="M102" s="235"/>
      <c r="N102" s="134"/>
      <c r="R102" s="134"/>
      <c r="S102" s="5"/>
      <c r="AE102" s="4"/>
      <c r="AN102" s="44"/>
      <c r="AO102" s="44"/>
      <c r="AP102" s="44"/>
    </row>
    <row r="103" spans="1:42" ht="25" customHeight="1">
      <c r="A103" s="3"/>
      <c r="B103" s="202"/>
      <c r="C103" s="45" t="s">
        <v>179</v>
      </c>
      <c r="D103" s="19"/>
      <c r="E103" s="19"/>
      <c r="F103" s="19"/>
      <c r="G103" s="19"/>
      <c r="H103" s="19"/>
      <c r="I103" s="19"/>
      <c r="J103" s="234"/>
      <c r="K103" s="237"/>
      <c r="L103" s="237"/>
      <c r="M103" s="235"/>
      <c r="N103" s="134"/>
      <c r="R103" s="134"/>
      <c r="S103" s="5"/>
      <c r="AE103" s="4"/>
      <c r="AN103" s="44"/>
      <c r="AO103" s="44"/>
      <c r="AP103" s="44"/>
    </row>
    <row r="104" spans="1:42" ht="25" customHeight="1">
      <c r="A104" s="3"/>
      <c r="B104" s="202"/>
      <c r="C104" s="19" t="s">
        <v>180</v>
      </c>
      <c r="D104" s="19"/>
      <c r="E104" s="19"/>
      <c r="F104" s="19"/>
      <c r="G104" s="19"/>
      <c r="H104" s="19"/>
      <c r="I104" s="19"/>
      <c r="J104" s="234"/>
      <c r="K104" s="234"/>
      <c r="L104" s="19"/>
      <c r="M104" s="235"/>
      <c r="N104" s="134"/>
      <c r="R104" s="134"/>
      <c r="S104" s="5"/>
      <c r="AE104" s="4"/>
      <c r="AN104" s="44"/>
      <c r="AO104" s="44"/>
      <c r="AP104" s="44"/>
    </row>
    <row r="105" spans="1:42" ht="25" customHeight="1">
      <c r="A105" s="3"/>
      <c r="B105" s="202"/>
      <c r="C105" s="19"/>
      <c r="D105" s="52" t="s">
        <v>181</v>
      </c>
      <c r="E105" s="52"/>
      <c r="F105" s="52"/>
      <c r="G105" s="19"/>
      <c r="H105" s="19"/>
      <c r="I105" s="19"/>
      <c r="J105" s="234"/>
      <c r="K105" s="234"/>
      <c r="L105" s="19"/>
      <c r="M105" s="235"/>
      <c r="N105" s="134"/>
      <c r="R105" s="134"/>
      <c r="S105" s="5"/>
      <c r="AE105" s="4"/>
      <c r="AN105" s="44"/>
      <c r="AO105" s="44"/>
      <c r="AP105" s="44"/>
    </row>
    <row r="106" spans="1:42" ht="25" customHeight="1">
      <c r="A106" s="3"/>
      <c r="B106" s="202"/>
      <c r="C106" s="19"/>
      <c r="D106" s="52" t="s">
        <v>182</v>
      </c>
      <c r="E106" s="52"/>
      <c r="F106" s="52"/>
      <c r="G106" s="19"/>
      <c r="H106" s="19"/>
      <c r="I106" s="19"/>
      <c r="J106" s="234"/>
      <c r="K106" s="234"/>
      <c r="L106" s="19"/>
      <c r="M106" s="235"/>
      <c r="N106" s="134"/>
      <c r="R106" s="4"/>
      <c r="S106" s="5"/>
      <c r="AE106" s="4"/>
      <c r="AN106" s="44"/>
      <c r="AO106" s="44"/>
      <c r="AP106" s="44"/>
    </row>
    <row r="107" spans="1:42" ht="25" customHeight="1">
      <c r="A107" s="3"/>
      <c r="B107" s="202"/>
      <c r="C107" s="19"/>
      <c r="D107" s="51" t="s">
        <v>183</v>
      </c>
      <c r="E107" s="203" t="s">
        <v>184</v>
      </c>
      <c r="F107" s="204"/>
      <c r="G107" s="3"/>
      <c r="H107" s="3"/>
      <c r="I107" s="3"/>
      <c r="J107" s="236"/>
      <c r="K107" s="238">
        <v>1.8</v>
      </c>
      <c r="L107" s="239"/>
      <c r="M107" s="235"/>
      <c r="N107" s="134"/>
      <c r="R107" s="4"/>
      <c r="S107" s="5"/>
      <c r="AE107" s="4"/>
      <c r="AN107" s="44"/>
      <c r="AO107" s="44"/>
      <c r="AP107" s="44"/>
    </row>
    <row r="108" spans="1:42" ht="25" customHeight="1">
      <c r="A108" s="3"/>
      <c r="B108" s="202"/>
      <c r="C108" s="19"/>
      <c r="D108" s="51"/>
      <c r="E108" s="203"/>
      <c r="F108" s="204"/>
      <c r="G108" s="3"/>
      <c r="H108" s="3"/>
      <c r="I108" s="3"/>
      <c r="J108" s="236"/>
      <c r="K108" s="240"/>
      <c r="L108" s="239"/>
      <c r="M108" s="235"/>
      <c r="N108" s="134"/>
      <c r="R108" s="4"/>
      <c r="S108" s="5"/>
      <c r="AE108" s="4"/>
      <c r="AN108" s="44"/>
      <c r="AO108" s="44"/>
      <c r="AP108" s="44"/>
    </row>
    <row r="109" spans="1:42" ht="25" customHeight="1">
      <c r="A109" s="3"/>
      <c r="B109" s="202"/>
      <c r="C109" s="19"/>
      <c r="D109" s="51"/>
      <c r="E109" s="204"/>
      <c r="F109" s="204"/>
      <c r="G109" s="3"/>
      <c r="H109" s="3"/>
      <c r="I109" s="3"/>
      <c r="J109" s="236"/>
      <c r="K109" s="241"/>
      <c r="L109" s="242"/>
      <c r="M109" s="235"/>
      <c r="N109" s="134"/>
      <c r="R109" s="4"/>
      <c r="S109" s="5"/>
      <c r="AE109" s="4"/>
      <c r="AI109" s="44"/>
      <c r="AJ109" s="44"/>
      <c r="AK109" s="44"/>
    </row>
    <row r="110" spans="1:42" ht="25" customHeight="1">
      <c r="A110" s="3"/>
      <c r="B110" s="202"/>
      <c r="C110" s="45" t="s">
        <v>185</v>
      </c>
      <c r="D110" s="52"/>
      <c r="E110" s="60"/>
      <c r="F110" s="52"/>
      <c r="G110" s="19"/>
      <c r="H110" s="19"/>
      <c r="I110" s="19"/>
      <c r="J110" s="234"/>
      <c r="K110" s="242"/>
      <c r="L110" s="242"/>
      <c r="M110" s="235"/>
      <c r="N110" s="44"/>
      <c r="R110" s="4"/>
      <c r="S110" s="5"/>
      <c r="AE110" s="4"/>
      <c r="AI110" s="44"/>
      <c r="AJ110" s="44"/>
      <c r="AK110" s="44"/>
    </row>
    <row r="111" spans="1:42" ht="25" customHeight="1">
      <c r="A111" s="3"/>
      <c r="B111" s="202"/>
      <c r="C111" s="19"/>
      <c r="D111" s="51" t="s">
        <v>183</v>
      </c>
      <c r="E111" s="203" t="s">
        <v>186</v>
      </c>
      <c r="F111" s="52"/>
      <c r="G111" s="19"/>
      <c r="H111" s="19"/>
      <c r="I111" s="19"/>
      <c r="J111" s="234"/>
      <c r="K111" s="243">
        <f>IF(RED_BLANK_VER="y",K113,K112)</f>
        <v>8</v>
      </c>
      <c r="L111" s="244"/>
      <c r="M111" s="235"/>
      <c r="N111" s="134"/>
      <c r="R111" s="4"/>
      <c r="S111" s="5"/>
      <c r="AE111" s="4"/>
      <c r="AI111" s="44"/>
      <c r="AJ111" s="44"/>
      <c r="AK111" s="44"/>
    </row>
    <row r="112" spans="1:42" ht="25" customHeight="1">
      <c r="A112" s="3"/>
      <c r="B112" s="202"/>
      <c r="C112" s="19"/>
      <c r="D112" s="51"/>
      <c r="E112" s="203" t="s">
        <v>187</v>
      </c>
      <c r="F112" s="52"/>
      <c r="G112" s="19"/>
      <c r="H112" s="19"/>
      <c r="I112" s="19"/>
      <c r="J112" s="234"/>
      <c r="K112" s="244">
        <v>8</v>
      </c>
      <c r="L112" s="244"/>
      <c r="M112" s="235"/>
      <c r="N112" s="134"/>
      <c r="R112" s="4"/>
      <c r="S112" s="5"/>
      <c r="AE112" s="4"/>
      <c r="AI112" s="44"/>
      <c r="AJ112" s="44"/>
      <c r="AK112" s="44"/>
    </row>
    <row r="113" spans="1:37" ht="25" customHeight="1">
      <c r="A113" s="3"/>
      <c r="B113" s="202"/>
      <c r="C113" s="19"/>
      <c r="D113" s="51"/>
      <c r="E113" s="203" t="s">
        <v>188</v>
      </c>
      <c r="F113" s="52"/>
      <c r="G113" s="19"/>
      <c r="H113" s="19"/>
      <c r="I113" s="19"/>
      <c r="J113" s="234"/>
      <c r="K113" s="244">
        <v>1</v>
      </c>
      <c r="L113" s="244"/>
      <c r="M113" s="235"/>
      <c r="N113" s="134"/>
      <c r="R113" s="4"/>
      <c r="S113" s="5"/>
      <c r="AE113" s="4"/>
      <c r="AI113" s="44"/>
      <c r="AJ113" s="44"/>
      <c r="AK113" s="44"/>
    </row>
    <row r="114" spans="1:37" ht="25" customHeight="1">
      <c r="A114" s="3"/>
      <c r="B114" s="202"/>
      <c r="C114" s="19"/>
      <c r="D114" s="52"/>
      <c r="E114" s="52"/>
      <c r="F114" s="52"/>
      <c r="G114" s="19"/>
      <c r="H114" s="19"/>
      <c r="I114" s="19"/>
      <c r="J114" s="234"/>
      <c r="K114" s="245"/>
      <c r="L114" s="245"/>
      <c r="M114" s="235"/>
      <c r="N114" s="134"/>
      <c r="R114" s="4"/>
      <c r="S114" s="5"/>
      <c r="AE114" s="4"/>
      <c r="AI114" s="44"/>
      <c r="AJ114" s="44"/>
      <c r="AK114" s="44"/>
    </row>
    <row r="115" spans="1:37" ht="25" customHeight="1">
      <c r="A115" s="3"/>
      <c r="B115" s="202"/>
      <c r="C115" s="45" t="s">
        <v>189</v>
      </c>
      <c r="D115" s="52"/>
      <c r="E115" s="52"/>
      <c r="F115" s="52"/>
      <c r="G115" s="19"/>
      <c r="H115" s="19"/>
      <c r="I115" s="19"/>
      <c r="J115" s="234"/>
      <c r="K115" s="245"/>
      <c r="L115" s="245"/>
      <c r="M115" s="235"/>
      <c r="N115" s="134"/>
      <c r="R115" s="4"/>
      <c r="S115" s="5"/>
      <c r="AE115" s="4"/>
      <c r="AI115" s="44"/>
      <c r="AJ115" s="44"/>
      <c r="AK115" s="44"/>
    </row>
    <row r="116" spans="1:37" ht="25" customHeight="1">
      <c r="A116" s="3"/>
      <c r="B116" s="202"/>
      <c r="C116" s="19" t="s">
        <v>180</v>
      </c>
      <c r="D116" s="52"/>
      <c r="E116" s="52"/>
      <c r="F116" s="52"/>
      <c r="G116" s="19"/>
      <c r="H116" s="19"/>
      <c r="I116" s="19"/>
      <c r="J116" s="234"/>
      <c r="K116" s="245"/>
      <c r="L116" s="245"/>
      <c r="M116" s="235"/>
      <c r="N116" s="134"/>
      <c r="R116" s="4"/>
      <c r="S116" s="5"/>
      <c r="AE116" s="4"/>
      <c r="AI116" s="44"/>
      <c r="AJ116" s="44"/>
      <c r="AK116" s="44"/>
    </row>
    <row r="117" spans="1:37" ht="25" customHeight="1">
      <c r="A117" s="3"/>
      <c r="B117" s="202"/>
      <c r="C117" s="19"/>
      <c r="D117" s="52" t="s">
        <v>190</v>
      </c>
      <c r="E117" s="52"/>
      <c r="F117" s="52"/>
      <c r="G117" s="19"/>
      <c r="H117" s="19"/>
      <c r="I117" s="19"/>
      <c r="J117" s="234"/>
      <c r="K117" s="245"/>
      <c r="L117" s="245"/>
      <c r="M117" s="235"/>
      <c r="N117" s="134"/>
      <c r="R117" s="4"/>
      <c r="S117" s="5"/>
      <c r="AE117" s="4"/>
      <c r="AI117" s="44"/>
      <c r="AJ117" s="44"/>
      <c r="AK117" s="44"/>
    </row>
    <row r="118" spans="1:37" ht="25" customHeight="1">
      <c r="A118" s="3"/>
      <c r="B118" s="202"/>
      <c r="C118" s="19"/>
      <c r="D118" s="52" t="s">
        <v>191</v>
      </c>
      <c r="E118" s="52"/>
      <c r="F118" s="52"/>
      <c r="G118" s="19"/>
      <c r="H118" s="19"/>
      <c r="I118" s="19"/>
      <c r="J118" s="234"/>
      <c r="K118" s="245"/>
      <c r="L118" s="245"/>
      <c r="M118" s="235"/>
      <c r="N118" s="134"/>
      <c r="R118" s="4"/>
      <c r="S118" s="5"/>
      <c r="AE118" s="4"/>
      <c r="AI118" s="44"/>
      <c r="AJ118" s="44"/>
      <c r="AK118" s="44"/>
    </row>
    <row r="119" spans="1:37" ht="25" customHeight="1">
      <c r="A119" s="3"/>
      <c r="B119" s="202"/>
      <c r="C119" s="19"/>
      <c r="D119" s="51" t="s">
        <v>183</v>
      </c>
      <c r="E119" s="70" t="s">
        <v>192</v>
      </c>
      <c r="F119" s="51"/>
      <c r="G119" s="189"/>
      <c r="H119" s="189"/>
      <c r="I119" s="189"/>
      <c r="J119" s="246"/>
      <c r="K119" s="243">
        <f>IF(ASPECT_RATIO&lt;&gt;"",VLOOKUP(ASPECT_RATIO,VSYNC_WIDTH_TABLE,2,FALSE),VLOOKUP("Custom",VSYNC_WIDTH_TABLE,2,FALSE))</f>
        <v>5</v>
      </c>
      <c r="L119" s="244"/>
      <c r="M119" s="235"/>
      <c r="N119" s="134"/>
      <c r="R119" s="4"/>
      <c r="S119" s="5"/>
      <c r="AE119" s="4"/>
      <c r="AI119" s="44"/>
      <c r="AJ119" s="44"/>
      <c r="AK119" s="44"/>
    </row>
    <row r="120" spans="1:37" ht="25" customHeight="1">
      <c r="A120" s="3"/>
      <c r="B120" s="202"/>
      <c r="C120" s="19"/>
      <c r="D120" s="70" t="s">
        <v>183</v>
      </c>
      <c r="E120" s="70" t="s">
        <v>193</v>
      </c>
      <c r="F120" s="70"/>
      <c r="G120" s="191"/>
      <c r="H120" s="191"/>
      <c r="I120" s="191"/>
      <c r="J120" s="247"/>
      <c r="K120" s="248">
        <v>8</v>
      </c>
      <c r="L120" s="249"/>
      <c r="M120" s="235"/>
      <c r="N120" s="134"/>
      <c r="R120" s="4"/>
      <c r="S120" s="5"/>
      <c r="AE120" s="4"/>
      <c r="AI120" s="44"/>
      <c r="AJ120" s="44"/>
      <c r="AK120" s="44"/>
    </row>
    <row r="121" spans="1:37" ht="25" customHeight="1">
      <c r="A121" s="3"/>
      <c r="B121" s="202"/>
      <c r="C121" s="19"/>
      <c r="D121" s="52"/>
      <c r="E121" s="52"/>
      <c r="F121" s="52"/>
      <c r="G121" s="19"/>
      <c r="H121" s="19"/>
      <c r="I121" s="19"/>
      <c r="J121" s="234"/>
      <c r="K121" s="242"/>
      <c r="L121" s="242"/>
      <c r="M121" s="235"/>
      <c r="N121" s="134"/>
      <c r="R121" s="4"/>
      <c r="S121" s="5"/>
      <c r="AE121" s="4"/>
      <c r="AI121" s="44"/>
      <c r="AJ121" s="44"/>
      <c r="AK121" s="44"/>
    </row>
    <row r="122" spans="1:37" ht="25" customHeight="1">
      <c r="A122" s="3"/>
      <c r="B122" s="202"/>
      <c r="C122" s="19"/>
      <c r="D122" s="52"/>
      <c r="E122" s="52"/>
      <c r="F122" s="52"/>
      <c r="G122" s="19"/>
      <c r="H122" s="19"/>
      <c r="I122" s="19"/>
      <c r="J122" s="234"/>
      <c r="K122" s="242"/>
      <c r="L122" s="242"/>
      <c r="M122" s="235"/>
      <c r="N122" s="134"/>
      <c r="R122" s="4"/>
      <c r="S122" s="5"/>
      <c r="AE122" s="4"/>
      <c r="AI122" s="44"/>
      <c r="AJ122" s="44"/>
      <c r="AK122" s="44"/>
    </row>
    <row r="123" spans="1:37" ht="25" customHeight="1">
      <c r="A123" s="3"/>
      <c r="B123" s="202"/>
      <c r="C123" s="45" t="s">
        <v>194</v>
      </c>
      <c r="D123" s="52"/>
      <c r="E123" s="52"/>
      <c r="F123" s="52"/>
      <c r="G123" s="19"/>
      <c r="H123" s="19"/>
      <c r="I123" s="19"/>
      <c r="J123" s="234"/>
      <c r="K123" s="242"/>
      <c r="L123" s="242"/>
      <c r="M123" s="235"/>
      <c r="N123" s="134"/>
      <c r="O123" s="132"/>
      <c r="P123" s="250"/>
      <c r="Q123" s="255"/>
      <c r="R123" s="4"/>
      <c r="S123" s="5"/>
      <c r="AE123" s="4"/>
      <c r="AI123" s="44"/>
      <c r="AJ123" s="44"/>
      <c r="AK123" s="44"/>
    </row>
    <row r="124" spans="1:37" ht="25" customHeight="1">
      <c r="A124" s="3"/>
      <c r="B124" s="202"/>
      <c r="C124" s="19" t="s">
        <v>180</v>
      </c>
      <c r="D124" s="52"/>
      <c r="E124" s="52"/>
      <c r="F124" s="52"/>
      <c r="G124" s="19"/>
      <c r="H124" s="19"/>
      <c r="I124" s="19"/>
      <c r="J124" s="234"/>
      <c r="K124" s="242"/>
      <c r="L124" s="242"/>
      <c r="M124" s="235"/>
      <c r="N124" s="134"/>
      <c r="O124" s="132"/>
      <c r="P124" s="250"/>
      <c r="Q124" s="255"/>
      <c r="R124" s="4"/>
      <c r="S124" s="5"/>
      <c r="AE124" s="4"/>
      <c r="AI124" s="44"/>
      <c r="AJ124" s="44"/>
      <c r="AK124" s="44"/>
    </row>
    <row r="125" spans="1:37" ht="25" customHeight="1">
      <c r="A125" s="3"/>
      <c r="B125" s="202"/>
      <c r="C125" s="19"/>
      <c r="D125" s="52" t="s">
        <v>195</v>
      </c>
      <c r="E125" s="52"/>
      <c r="F125" s="52"/>
      <c r="G125" s="19"/>
      <c r="H125" s="19"/>
      <c r="I125" s="19"/>
      <c r="J125" s="234"/>
      <c r="K125" s="242"/>
      <c r="L125" s="242"/>
      <c r="M125" s="235"/>
      <c r="N125" s="134"/>
      <c r="O125" s="132"/>
      <c r="P125" s="250"/>
      <c r="Q125" s="255"/>
      <c r="R125" s="4"/>
      <c r="S125" s="5"/>
      <c r="AE125" s="4"/>
      <c r="AI125" s="44"/>
      <c r="AJ125" s="44"/>
      <c r="AK125" s="44"/>
    </row>
    <row r="126" spans="1:37" ht="25" customHeight="1">
      <c r="A126" s="3"/>
      <c r="B126" s="202"/>
      <c r="C126" s="19"/>
      <c r="D126" s="51" t="s">
        <v>183</v>
      </c>
      <c r="E126" s="70" t="s">
        <v>196</v>
      </c>
      <c r="F126" s="70"/>
      <c r="G126" s="191"/>
      <c r="H126" s="191"/>
      <c r="I126" s="191"/>
      <c r="J126" s="247"/>
      <c r="K126" s="248">
        <v>550</v>
      </c>
      <c r="L126" s="249"/>
      <c r="M126" s="235"/>
      <c r="N126" s="134"/>
      <c r="O126" s="132"/>
      <c r="P126" s="250"/>
      <c r="Q126" s="255"/>
      <c r="R126" s="4"/>
      <c r="S126" s="5"/>
      <c r="AE126" s="4"/>
      <c r="AI126" s="44"/>
      <c r="AJ126" s="44"/>
      <c r="AK126" s="44"/>
    </row>
    <row r="127" spans="1:37" ht="22.5">
      <c r="A127" s="3"/>
      <c r="B127" s="202"/>
      <c r="C127" s="19"/>
      <c r="D127" s="3"/>
      <c r="E127" s="3"/>
      <c r="F127" s="3"/>
      <c r="G127" s="3"/>
      <c r="H127" s="3"/>
      <c r="I127" s="203"/>
      <c r="J127" s="3"/>
      <c r="K127" s="251"/>
      <c r="L127" s="252"/>
      <c r="M127" s="235"/>
      <c r="N127" s="134"/>
      <c r="O127" s="132"/>
      <c r="P127" s="250"/>
      <c r="Q127" s="255"/>
      <c r="R127" s="4"/>
      <c r="S127" s="5"/>
      <c r="AE127" s="4"/>
      <c r="AI127" s="44"/>
      <c r="AJ127" s="44"/>
      <c r="AK127" s="44"/>
    </row>
    <row r="128" spans="1:37" ht="22.5">
      <c r="A128" s="3"/>
      <c r="B128" s="202"/>
      <c r="C128" s="19"/>
      <c r="D128" s="51" t="s">
        <v>183</v>
      </c>
      <c r="E128" s="70" t="s">
        <v>197</v>
      </c>
      <c r="F128" s="3"/>
      <c r="G128" s="3"/>
      <c r="H128" s="3"/>
      <c r="I128" s="203"/>
      <c r="J128" s="3"/>
      <c r="K128" s="253">
        <v>6</v>
      </c>
      <c r="L128" s="252"/>
      <c r="M128" s="235"/>
      <c r="N128" s="134"/>
      <c r="O128" s="132"/>
      <c r="P128" s="250"/>
      <c r="Q128" s="255"/>
      <c r="R128" s="4"/>
      <c r="S128" s="5"/>
      <c r="AE128" s="4"/>
      <c r="AI128" s="44"/>
      <c r="AJ128" s="44"/>
      <c r="AK128" s="44"/>
    </row>
    <row r="129" spans="1:37" ht="22.5">
      <c r="A129" s="3"/>
      <c r="B129" s="202"/>
      <c r="C129" s="19"/>
      <c r="D129" s="51" t="s">
        <v>183</v>
      </c>
      <c r="E129" s="70" t="s">
        <v>198</v>
      </c>
      <c r="F129" s="52"/>
      <c r="G129" s="19"/>
      <c r="H129" s="19"/>
      <c r="I129" s="19"/>
      <c r="J129" s="234"/>
      <c r="K129" s="243">
        <v>3</v>
      </c>
      <c r="L129" s="252"/>
      <c r="M129" s="235"/>
      <c r="N129" s="134"/>
      <c r="O129" s="132"/>
      <c r="P129" s="250"/>
      <c r="Q129" s="255"/>
      <c r="R129" s="4"/>
      <c r="S129" s="5"/>
      <c r="AE129" s="4"/>
      <c r="AI129" s="44"/>
      <c r="AJ129" s="44"/>
      <c r="AK129" s="44"/>
    </row>
    <row r="130" spans="1:37" ht="25" customHeight="1">
      <c r="A130" s="3"/>
      <c r="B130" s="202"/>
      <c r="C130" s="19"/>
      <c r="D130" s="19"/>
      <c r="E130" s="19"/>
      <c r="F130" s="19"/>
      <c r="G130" s="19"/>
      <c r="H130" s="19"/>
      <c r="I130" s="19"/>
      <c r="J130" s="234"/>
      <c r="K130" s="234"/>
      <c r="L130" s="234"/>
      <c r="M130" s="235"/>
      <c r="O130" s="132"/>
      <c r="P130" s="250"/>
      <c r="Q130" s="255"/>
      <c r="R130" s="4"/>
      <c r="S130" s="5"/>
      <c r="AE130" s="4"/>
      <c r="AI130" s="44"/>
      <c r="AJ130" s="44"/>
      <c r="AK130" s="44"/>
    </row>
    <row r="131" spans="1:37" ht="25" customHeight="1">
      <c r="A131" s="3"/>
      <c r="B131" s="202"/>
      <c r="C131" s="45" t="s">
        <v>199</v>
      </c>
      <c r="D131" s="19"/>
      <c r="E131" s="19"/>
      <c r="F131" s="19"/>
      <c r="G131" s="19"/>
      <c r="H131" s="19"/>
      <c r="I131" s="19"/>
      <c r="J131" s="234"/>
      <c r="K131" s="234"/>
      <c r="L131" s="234"/>
      <c r="M131" s="235"/>
      <c r="O131" s="132"/>
      <c r="P131" s="250"/>
      <c r="Q131" s="255"/>
      <c r="R131" s="4"/>
      <c r="S131" s="5"/>
      <c r="AE131" s="4"/>
      <c r="AI131" s="44"/>
      <c r="AJ131" s="44"/>
      <c r="AK131" s="44"/>
    </row>
    <row r="132" spans="1:37" ht="25" customHeight="1">
      <c r="A132" s="3"/>
      <c r="B132" s="202"/>
      <c r="C132" s="19" t="s">
        <v>180</v>
      </c>
      <c r="D132" s="19"/>
      <c r="E132" s="19"/>
      <c r="F132" s="19"/>
      <c r="G132" s="19"/>
      <c r="H132" s="19"/>
      <c r="I132" s="19"/>
      <c r="J132" s="234"/>
      <c r="K132" s="234"/>
      <c r="L132" s="234"/>
      <c r="M132" s="235"/>
      <c r="O132" s="132"/>
      <c r="P132" s="250"/>
      <c r="Q132" s="255"/>
      <c r="R132" s="4"/>
      <c r="S132" s="5"/>
      <c r="AE132" s="4"/>
      <c r="AI132" s="44"/>
      <c r="AJ132" s="44"/>
      <c r="AK132" s="44"/>
    </row>
    <row r="133" spans="1:37" ht="25" customHeight="1">
      <c r="A133" s="3"/>
      <c r="B133" s="202"/>
      <c r="C133" s="19"/>
      <c r="D133" s="52" t="s">
        <v>200</v>
      </c>
      <c r="E133" s="52"/>
      <c r="F133" s="52"/>
      <c r="G133" s="52"/>
      <c r="H133" s="52"/>
      <c r="I133" s="52"/>
      <c r="J133" s="276"/>
      <c r="K133" s="276"/>
      <c r="L133" s="276"/>
      <c r="M133" s="235"/>
      <c r="O133" s="132"/>
      <c r="P133" s="250"/>
      <c r="Q133" s="255"/>
      <c r="R133" s="4"/>
      <c r="S133" s="5"/>
      <c r="AE133" s="4"/>
      <c r="AI133" s="44"/>
      <c r="AJ133" s="134"/>
      <c r="AK133" s="44"/>
    </row>
    <row r="134" spans="1:37" ht="25" customHeight="1">
      <c r="A134" s="3"/>
      <c r="B134" s="202"/>
      <c r="C134" s="19"/>
      <c r="D134" s="52" t="s">
        <v>201</v>
      </c>
      <c r="E134" s="52"/>
      <c r="F134" s="52"/>
      <c r="G134" s="52"/>
      <c r="H134" s="52"/>
      <c r="I134" s="52"/>
      <c r="J134" s="277"/>
      <c r="K134" s="277"/>
      <c r="L134" s="277"/>
      <c r="M134" s="235"/>
      <c r="O134" s="132"/>
      <c r="P134" s="250"/>
      <c r="Q134" s="255"/>
      <c r="R134" s="4"/>
      <c r="S134" s="5"/>
      <c r="AE134" s="4"/>
      <c r="AI134" s="44"/>
      <c r="AJ134" s="134"/>
      <c r="AK134" s="44"/>
    </row>
    <row r="135" spans="1:37" ht="25" customHeight="1">
      <c r="A135" s="3"/>
      <c r="B135" s="202"/>
      <c r="C135" s="19"/>
      <c r="D135" s="256" t="s">
        <v>202</v>
      </c>
      <c r="E135" s="52"/>
      <c r="F135" s="52"/>
      <c r="G135" s="52"/>
      <c r="H135" s="52"/>
      <c r="I135" s="52"/>
      <c r="J135" s="276"/>
      <c r="K135" s="277"/>
      <c r="L135" s="277"/>
      <c r="M135" s="235"/>
      <c r="O135" s="132"/>
      <c r="P135" s="250"/>
      <c r="Q135" s="255"/>
      <c r="R135" s="4"/>
      <c r="S135" s="5"/>
      <c r="AE135" s="4"/>
      <c r="AI135" s="44"/>
      <c r="AJ135" s="134"/>
    </row>
    <row r="136" spans="1:37" ht="25" customHeight="1">
      <c r="B136" s="202"/>
      <c r="C136" s="19"/>
      <c r="D136" s="51"/>
      <c r="E136" s="51" t="s">
        <v>203</v>
      </c>
      <c r="F136" s="51"/>
      <c r="G136" s="51"/>
      <c r="H136" s="51"/>
      <c r="I136" s="51"/>
      <c r="J136" s="278"/>
      <c r="K136" s="279">
        <v>600</v>
      </c>
      <c r="L136" s="120"/>
      <c r="M136" s="235"/>
      <c r="O136" s="132"/>
      <c r="P136" s="250"/>
      <c r="Q136" s="255"/>
      <c r="R136" s="4"/>
      <c r="S136" s="5"/>
      <c r="AE136" s="4"/>
      <c r="AI136" s="44"/>
      <c r="AJ136" s="44"/>
    </row>
    <row r="137" spans="1:37" ht="25" customHeight="1">
      <c r="B137" s="202"/>
      <c r="C137" s="19"/>
      <c r="D137" s="70"/>
      <c r="E137" s="51" t="s">
        <v>204</v>
      </c>
      <c r="F137" s="51"/>
      <c r="G137" s="51"/>
      <c r="H137" s="51"/>
      <c r="I137" s="51"/>
      <c r="J137" s="278"/>
      <c r="K137" s="279">
        <v>40</v>
      </c>
      <c r="L137" s="120"/>
      <c r="M137" s="235"/>
      <c r="Q137" s="297"/>
      <c r="R137" s="4"/>
      <c r="S137" s="5"/>
      <c r="AE137" s="4"/>
      <c r="AI137" s="44"/>
      <c r="AJ137" s="44"/>
    </row>
    <row r="138" spans="1:37" ht="25" customHeight="1">
      <c r="B138" s="202"/>
      <c r="C138" s="19"/>
      <c r="D138" s="70"/>
      <c r="E138" s="51" t="s">
        <v>205</v>
      </c>
      <c r="F138" s="52"/>
      <c r="G138" s="52"/>
      <c r="H138" s="52"/>
      <c r="I138" s="52"/>
      <c r="J138" s="276"/>
      <c r="K138" s="279">
        <v>128</v>
      </c>
      <c r="L138" s="120"/>
      <c r="M138" s="235"/>
      <c r="R138" s="4"/>
      <c r="S138" s="5"/>
      <c r="AE138" s="4"/>
      <c r="AI138" s="44"/>
      <c r="AJ138" s="44"/>
    </row>
    <row r="139" spans="1:37" ht="20">
      <c r="B139" s="202"/>
      <c r="C139" s="19"/>
      <c r="D139" s="70"/>
      <c r="E139" s="51" t="s">
        <v>206</v>
      </c>
      <c r="F139" s="52"/>
      <c r="G139" s="52"/>
      <c r="H139" s="52"/>
      <c r="I139" s="52"/>
      <c r="J139" s="276"/>
      <c r="K139" s="279">
        <v>20</v>
      </c>
      <c r="L139" s="120"/>
      <c r="M139" s="235"/>
      <c r="R139" s="4"/>
      <c r="S139" s="5"/>
      <c r="AE139" s="4"/>
      <c r="AI139" s="44"/>
      <c r="AJ139" s="44"/>
    </row>
    <row r="140" spans="1:37" ht="20">
      <c r="B140" s="202"/>
      <c r="C140" s="19"/>
      <c r="D140" s="70"/>
      <c r="E140" s="51"/>
      <c r="F140" s="52"/>
      <c r="G140" s="52"/>
      <c r="H140" s="52"/>
      <c r="I140" s="52"/>
      <c r="J140" s="276"/>
      <c r="K140" s="120"/>
      <c r="L140" s="120"/>
      <c r="M140" s="235"/>
      <c r="R140" s="4"/>
      <c r="S140" s="5"/>
      <c r="AE140" s="4"/>
    </row>
    <row r="141" spans="1:37" ht="20">
      <c r="B141" s="202"/>
      <c r="C141" s="19"/>
      <c r="D141" s="70"/>
      <c r="E141" s="51" t="s">
        <v>207</v>
      </c>
      <c r="F141" s="52"/>
      <c r="G141" s="52"/>
      <c r="H141" s="52"/>
      <c r="I141" s="52"/>
      <c r="J141" s="276"/>
      <c r="K141" s="120">
        <f>GTF_K_VAR/256*GTF_M_VAR</f>
        <v>300</v>
      </c>
      <c r="L141" s="120"/>
      <c r="M141" s="235"/>
      <c r="R141" s="4"/>
      <c r="S141" s="5"/>
      <c r="AE141" s="4"/>
    </row>
    <row r="142" spans="1:37" ht="20">
      <c r="B142" s="202"/>
      <c r="C142" s="19"/>
      <c r="D142" s="70"/>
      <c r="E142" s="51" t="s">
        <v>208</v>
      </c>
      <c r="F142" s="52"/>
      <c r="G142" s="52"/>
      <c r="H142" s="52"/>
      <c r="I142" s="52"/>
      <c r="J142" s="276"/>
      <c r="K142" s="120">
        <f>((GTF_C_VAR-GTF_J_VAR)*GTF_K_VAR/256)+GTF_J_VAR</f>
        <v>30</v>
      </c>
      <c r="L142" s="120"/>
      <c r="M142" s="235"/>
      <c r="R142" s="4"/>
      <c r="S142" s="5"/>
      <c r="AE142" s="4"/>
    </row>
    <row r="143" spans="1:37" ht="20">
      <c r="B143" s="202"/>
      <c r="C143" s="19"/>
      <c r="D143" s="70"/>
      <c r="E143" s="51"/>
      <c r="F143" s="52"/>
      <c r="G143" s="52"/>
      <c r="H143" s="52"/>
      <c r="I143" s="52"/>
      <c r="J143" s="276"/>
      <c r="K143" s="120"/>
      <c r="L143" s="120"/>
      <c r="M143" s="235"/>
      <c r="R143" s="4"/>
      <c r="S143" s="5"/>
      <c r="AE143" s="4"/>
    </row>
    <row r="144" spans="1:37" ht="20">
      <c r="B144" s="202"/>
      <c r="C144" s="19"/>
      <c r="D144" s="70"/>
      <c r="E144" s="51"/>
      <c r="F144" s="52"/>
      <c r="G144" s="52"/>
      <c r="H144" s="52"/>
      <c r="I144" s="52"/>
      <c r="J144" s="276"/>
      <c r="K144" s="120"/>
      <c r="L144" s="120"/>
      <c r="M144" s="235"/>
      <c r="R144" s="4"/>
      <c r="S144" s="5"/>
      <c r="AE144" s="4"/>
    </row>
    <row r="145" spans="2:31" ht="22.5">
      <c r="B145" s="201" t="s">
        <v>209</v>
      </c>
      <c r="C145" s="19"/>
      <c r="D145" s="70"/>
      <c r="E145" s="51"/>
      <c r="F145" s="52"/>
      <c r="G145" s="52"/>
      <c r="H145" s="52"/>
      <c r="I145" s="52"/>
      <c r="J145" s="276"/>
      <c r="K145" s="120"/>
      <c r="L145" s="120"/>
      <c r="M145" s="235"/>
      <c r="R145" s="4"/>
      <c r="S145" s="5"/>
      <c r="AE145" s="4"/>
    </row>
    <row r="146" spans="2:31" ht="22.5">
      <c r="B146" s="202"/>
      <c r="C146" s="19"/>
      <c r="D146" s="70" t="s">
        <v>210</v>
      </c>
      <c r="E146" s="70"/>
      <c r="F146" s="3"/>
      <c r="G146" s="3"/>
      <c r="H146" s="3"/>
      <c r="I146" s="203"/>
      <c r="J146" s="3"/>
      <c r="K146" s="253">
        <f>IF(AND((RED_BLANK_RQD?="y"),(RED_BLANK_VER="y")),K148,K147)</f>
        <v>160</v>
      </c>
      <c r="L146" s="120"/>
      <c r="M146" s="235"/>
      <c r="R146" s="4"/>
      <c r="S146" s="5"/>
      <c r="AE146" s="4"/>
    </row>
    <row r="147" spans="2:31" ht="22.5">
      <c r="B147" s="202"/>
      <c r="C147" s="19"/>
      <c r="D147" s="70" t="s">
        <v>211</v>
      </c>
      <c r="E147" s="70"/>
      <c r="F147" s="3"/>
      <c r="G147" s="3"/>
      <c r="H147" s="3"/>
      <c r="I147" s="203"/>
      <c r="J147" s="3"/>
      <c r="K147" s="253">
        <v>160</v>
      </c>
      <c r="L147" s="120"/>
      <c r="M147" s="235"/>
      <c r="R147" s="4"/>
      <c r="S147" s="5"/>
      <c r="AE147" s="4"/>
    </row>
    <row r="148" spans="2:31" ht="22.5">
      <c r="B148" s="202"/>
      <c r="C148" s="19"/>
      <c r="D148" s="70" t="s">
        <v>212</v>
      </c>
      <c r="E148" s="70"/>
      <c r="F148" s="3"/>
      <c r="G148" s="3"/>
      <c r="H148" s="3"/>
      <c r="I148" s="203"/>
      <c r="J148" s="3"/>
      <c r="K148" s="253">
        <v>80</v>
      </c>
      <c r="L148" s="120"/>
      <c r="M148" s="235"/>
      <c r="R148" s="4"/>
      <c r="S148" s="5"/>
      <c r="AE148" s="4"/>
    </row>
    <row r="149" spans="2:31" ht="22.5">
      <c r="B149" s="202"/>
      <c r="C149" s="19"/>
      <c r="D149" s="70" t="s">
        <v>213</v>
      </c>
      <c r="E149" s="70"/>
      <c r="F149" s="3"/>
      <c r="G149" s="3"/>
      <c r="H149" s="3"/>
      <c r="I149" s="203"/>
      <c r="J149" s="3"/>
      <c r="K149" s="253">
        <v>32</v>
      </c>
      <c r="L149" s="120"/>
      <c r="M149" s="235"/>
      <c r="R149" s="4"/>
      <c r="S149" s="5"/>
      <c r="AE149" s="4"/>
    </row>
    <row r="150" spans="2:31" ht="22.5">
      <c r="B150" s="202"/>
      <c r="C150" s="19"/>
      <c r="D150" s="70"/>
      <c r="E150" s="70"/>
      <c r="F150" s="3"/>
      <c r="G150" s="3"/>
      <c r="H150" s="3"/>
      <c r="I150" s="203"/>
      <c r="J150" s="3"/>
      <c r="K150" s="280"/>
      <c r="L150" s="120"/>
      <c r="M150" s="235"/>
      <c r="R150" s="4"/>
      <c r="S150" s="5"/>
      <c r="AE150" s="4"/>
    </row>
    <row r="151" spans="2:31" ht="22.5">
      <c r="B151" s="202"/>
      <c r="C151" s="19"/>
      <c r="D151" s="70" t="s">
        <v>214</v>
      </c>
      <c r="E151" s="70"/>
      <c r="F151" s="3"/>
      <c r="G151" s="3"/>
      <c r="H151" s="3"/>
      <c r="I151" s="203"/>
      <c r="J151" s="3"/>
      <c r="K151" s="248">
        <v>460</v>
      </c>
      <c r="L151" s="120"/>
      <c r="M151" s="235"/>
      <c r="R151" s="4"/>
      <c r="S151" s="5"/>
      <c r="AE151" s="4"/>
    </row>
    <row r="152" spans="2:31" ht="22.5">
      <c r="B152" s="202"/>
      <c r="C152" s="19"/>
      <c r="D152" s="70" t="s">
        <v>215</v>
      </c>
      <c r="E152" s="70"/>
      <c r="F152" s="3"/>
      <c r="G152" s="3"/>
      <c r="H152" s="3"/>
      <c r="I152" s="203"/>
      <c r="J152" s="3"/>
      <c r="K152" s="253">
        <f>IF(AND((RED_BLANK_RQD?="y"),(RED_BLANK_VER="y")),K154,K153)</f>
        <v>3</v>
      </c>
      <c r="L152" s="120"/>
      <c r="M152" s="235"/>
      <c r="R152" s="4"/>
      <c r="S152" s="5"/>
      <c r="AE152" s="4"/>
    </row>
    <row r="153" spans="2:31" ht="22.5">
      <c r="B153" s="202"/>
      <c r="C153" s="19"/>
      <c r="D153" s="70" t="s">
        <v>216</v>
      </c>
      <c r="E153" s="70"/>
      <c r="F153" s="3"/>
      <c r="G153" s="3"/>
      <c r="H153" s="3"/>
      <c r="I153" s="203"/>
      <c r="J153" s="3"/>
      <c r="K153" s="253">
        <v>3</v>
      </c>
      <c r="L153" s="120"/>
      <c r="M153" s="235"/>
      <c r="R153" s="4"/>
      <c r="S153" s="5"/>
      <c r="AE153" s="4"/>
    </row>
    <row r="154" spans="2:31" ht="22.5">
      <c r="B154" s="202"/>
      <c r="C154" s="19"/>
      <c r="D154" s="70" t="s">
        <v>217</v>
      </c>
      <c r="E154" s="70"/>
      <c r="F154" s="3"/>
      <c r="G154" s="3"/>
      <c r="H154" s="3"/>
      <c r="I154" s="203"/>
      <c r="J154" s="3"/>
      <c r="K154" s="253">
        <v>1</v>
      </c>
      <c r="L154" s="120"/>
      <c r="M154" s="235"/>
      <c r="O154" s="4"/>
      <c r="P154" s="5"/>
      <c r="Q154" s="6"/>
      <c r="R154" s="4"/>
      <c r="S154" s="4"/>
      <c r="T154" s="5"/>
      <c r="W154" s="4"/>
      <c r="X154" s="5"/>
      <c r="AE154" s="4"/>
    </row>
    <row r="155" spans="2:31" ht="23">
      <c r="B155" s="202"/>
      <c r="C155" s="19"/>
      <c r="L155" s="120"/>
      <c r="M155" s="235"/>
      <c r="O155" s="4"/>
      <c r="P155" s="5"/>
      <c r="Q155" s="6"/>
      <c r="R155" s="4"/>
      <c r="S155" s="4"/>
      <c r="T155" s="5"/>
      <c r="W155" s="4"/>
      <c r="X155" s="5"/>
      <c r="Y155" s="2"/>
      <c r="AE155" s="4"/>
    </row>
    <row r="156" spans="2:31" ht="23">
      <c r="B156" s="202"/>
      <c r="C156" s="19"/>
      <c r="D156" s="70" t="s">
        <v>218</v>
      </c>
      <c r="E156" s="70"/>
      <c r="F156" s="3"/>
      <c r="G156" s="3"/>
      <c r="H156" s="3"/>
      <c r="I156" s="203"/>
      <c r="J156" s="3"/>
      <c r="K156" s="253">
        <f>IF(AND((RED_BLANK_RQD?="y"),(RED_BLANK_VER="y")),K158,K157)</f>
        <v>6</v>
      </c>
      <c r="L156" s="120"/>
      <c r="M156" s="235"/>
      <c r="O156" s="2"/>
      <c r="P156" s="281"/>
      <c r="Q156" s="298"/>
      <c r="R156" s="4"/>
      <c r="S156" s="2"/>
      <c r="T156" s="281"/>
      <c r="U156" s="2"/>
      <c r="V156" s="2"/>
      <c r="W156" s="2"/>
      <c r="X156" s="281"/>
      <c r="Y156" s="2"/>
      <c r="AE156" s="4"/>
    </row>
    <row r="157" spans="2:31" ht="23">
      <c r="B157" s="202"/>
      <c r="C157" s="19"/>
      <c r="D157" s="70" t="s">
        <v>219</v>
      </c>
      <c r="E157" s="70"/>
      <c r="F157" s="3"/>
      <c r="G157" s="3"/>
      <c r="H157" s="3"/>
      <c r="I157" s="203"/>
      <c r="J157" s="3"/>
      <c r="K157" s="253">
        <v>6</v>
      </c>
      <c r="L157" s="120"/>
      <c r="M157" s="235"/>
      <c r="O157" s="2"/>
      <c r="P157" s="281"/>
      <c r="Q157" s="298"/>
      <c r="R157" s="4"/>
      <c r="S157" s="2"/>
      <c r="T157" s="281"/>
      <c r="U157" s="2"/>
      <c r="V157" s="2"/>
      <c r="W157" s="2"/>
      <c r="X157" s="281"/>
      <c r="Y157" s="2"/>
      <c r="AE157" s="4"/>
    </row>
    <row r="158" spans="2:31" ht="23">
      <c r="B158" s="202"/>
      <c r="C158" s="19"/>
      <c r="D158" s="70" t="s">
        <v>220</v>
      </c>
      <c r="E158" s="70"/>
      <c r="F158" s="3"/>
      <c r="G158" s="3"/>
      <c r="H158" s="3"/>
      <c r="I158" s="203"/>
      <c r="J158" s="3"/>
      <c r="K158" s="253">
        <v>6</v>
      </c>
      <c r="L158" s="120"/>
      <c r="M158" s="235"/>
      <c r="O158" s="2"/>
      <c r="P158" s="281"/>
      <c r="Q158" s="298"/>
      <c r="R158" s="4"/>
      <c r="S158" s="2"/>
      <c r="T158" s="281"/>
      <c r="U158" s="2"/>
      <c r="V158" s="2"/>
      <c r="W158" s="2"/>
      <c r="X158" s="281"/>
      <c r="Y158" s="2"/>
      <c r="AE158" s="4"/>
    </row>
    <row r="159" spans="2:31" ht="23">
      <c r="B159" s="202"/>
      <c r="C159" s="19"/>
      <c r="D159" s="70"/>
      <c r="E159" s="70"/>
      <c r="F159" s="3"/>
      <c r="G159" s="3"/>
      <c r="H159" s="3"/>
      <c r="I159" s="203"/>
      <c r="J159" s="3"/>
      <c r="K159" s="282"/>
      <c r="L159" s="120"/>
      <c r="M159" s="235"/>
      <c r="O159" s="2"/>
      <c r="P159" s="281"/>
      <c r="Q159" s="298"/>
      <c r="R159" s="4"/>
      <c r="S159" s="2"/>
      <c r="T159" s="281"/>
      <c r="U159" s="2"/>
      <c r="V159" s="2"/>
      <c r="W159" s="2"/>
      <c r="X159" s="281"/>
      <c r="Y159" s="2"/>
      <c r="AE159" s="4"/>
    </row>
    <row r="160" spans="2:31" ht="23">
      <c r="B160" s="201" t="s">
        <v>221</v>
      </c>
      <c r="C160" s="19"/>
      <c r="D160" s="70"/>
      <c r="E160" s="70"/>
      <c r="F160" s="3"/>
      <c r="G160" s="3"/>
      <c r="H160" s="3"/>
      <c r="I160" s="203"/>
      <c r="J160" s="3"/>
      <c r="K160" s="248">
        <f>IF(AND((RED_BLANK_RQD?="y"),(RED_BLANK_VER="y")),K162,K161)</f>
        <v>0.25</v>
      </c>
      <c r="L160" s="120"/>
      <c r="M160" s="235"/>
      <c r="O160" s="2"/>
      <c r="P160" s="281"/>
      <c r="Q160" s="298"/>
      <c r="R160" s="7"/>
      <c r="S160" s="2"/>
      <c r="T160" s="281"/>
      <c r="U160" s="2"/>
      <c r="V160" s="2"/>
      <c r="W160" s="2"/>
      <c r="X160" s="281"/>
      <c r="Y160" s="2"/>
      <c r="AE160" s="4"/>
    </row>
    <row r="161" spans="2:31" ht="23">
      <c r="B161" s="201"/>
      <c r="C161" s="19"/>
      <c r="D161" s="70" t="s">
        <v>222</v>
      </c>
      <c r="E161" s="70"/>
      <c r="F161" s="3"/>
      <c r="G161" s="3"/>
      <c r="H161" s="3"/>
      <c r="I161" s="203"/>
      <c r="J161" s="3"/>
      <c r="K161" s="249">
        <v>0.25</v>
      </c>
      <c r="L161" s="120"/>
      <c r="M161" s="235"/>
      <c r="O161" s="2"/>
      <c r="P161" s="281"/>
      <c r="Q161" s="298"/>
      <c r="R161" s="7"/>
      <c r="S161" s="2"/>
      <c r="T161" s="281"/>
      <c r="U161" s="2"/>
      <c r="V161" s="2"/>
      <c r="W161" s="2"/>
      <c r="X161" s="281"/>
      <c r="Y161" s="2"/>
      <c r="AE161" s="4"/>
    </row>
    <row r="162" spans="2:31" ht="24" customHeight="1">
      <c r="B162" s="28"/>
      <c r="C162" s="19"/>
      <c r="D162" s="51" t="s">
        <v>223</v>
      </c>
      <c r="E162" s="51"/>
      <c r="F162" s="51"/>
      <c r="G162" s="51"/>
      <c r="H162" s="51"/>
      <c r="I162" s="51"/>
      <c r="J162" s="51"/>
      <c r="K162" s="239">
        <v>1E-3</v>
      </c>
      <c r="L162" s="234"/>
      <c r="M162" s="235"/>
      <c r="N162" s="19"/>
      <c r="O162" s="2"/>
      <c r="P162" s="281"/>
      <c r="Q162" s="298"/>
      <c r="R162" s="299"/>
      <c r="S162" s="2"/>
      <c r="T162" s="281"/>
      <c r="U162" s="2"/>
      <c r="V162" s="2"/>
      <c r="W162" s="2"/>
      <c r="X162" s="281"/>
      <c r="Y162" s="2"/>
      <c r="Z162" s="2"/>
      <c r="AA162" s="2"/>
      <c r="AB162" s="2"/>
      <c r="AC162" s="2"/>
      <c r="AE162" s="4"/>
    </row>
    <row r="163" spans="2:31" ht="24" customHeight="1">
      <c r="B163" s="201" t="s">
        <v>224</v>
      </c>
      <c r="C163" s="19"/>
      <c r="D163" s="19"/>
      <c r="E163" s="19"/>
      <c r="F163" s="19"/>
      <c r="G163" s="19"/>
      <c r="H163" s="19"/>
      <c r="I163" s="19"/>
      <c r="J163" s="19"/>
      <c r="K163" s="234"/>
      <c r="L163" s="234"/>
      <c r="M163" s="235"/>
      <c r="N163" s="19"/>
      <c r="O163" s="2"/>
      <c r="P163" s="281"/>
      <c r="Q163" s="298"/>
      <c r="R163" s="299"/>
      <c r="S163" s="2"/>
      <c r="T163" s="281"/>
      <c r="U163" s="2"/>
      <c r="V163" s="2"/>
      <c r="W163" s="2"/>
      <c r="X163" s="281"/>
      <c r="Y163" s="2"/>
      <c r="Z163" s="2"/>
      <c r="AA163" s="2"/>
      <c r="AB163" s="2"/>
      <c r="AC163" s="2"/>
      <c r="AE163" s="4"/>
    </row>
    <row r="164" spans="2:31" s="2" customFormat="1" ht="24" customHeight="1">
      <c r="B164" s="201"/>
      <c r="C164" s="257"/>
      <c r="D164" s="257"/>
      <c r="E164" s="257"/>
      <c r="F164" s="257"/>
      <c r="G164" s="257"/>
      <c r="H164" s="257"/>
      <c r="I164" s="257"/>
      <c r="J164" s="257"/>
      <c r="K164" s="283"/>
      <c r="L164" s="283"/>
      <c r="M164" s="284"/>
      <c r="N164" s="257"/>
      <c r="P164" s="281"/>
      <c r="Q164" s="298"/>
      <c r="R164" s="299"/>
      <c r="T164" s="281"/>
      <c r="X164" s="281"/>
    </row>
    <row r="165" spans="2:31" s="2" customFormat="1" ht="24" customHeight="1">
      <c r="B165" s="201"/>
      <c r="C165" s="257"/>
      <c r="D165" s="45" t="s">
        <v>225</v>
      </c>
      <c r="E165" s="257"/>
      <c r="F165" s="257"/>
      <c r="G165" s="45" t="s">
        <v>226</v>
      </c>
      <c r="H165" s="257"/>
      <c r="I165" s="257"/>
      <c r="J165" s="257"/>
      <c r="K165" s="283"/>
      <c r="L165" s="283"/>
      <c r="M165" s="284"/>
      <c r="N165" s="257"/>
      <c r="P165" s="281"/>
      <c r="Q165" s="298"/>
      <c r="R165" s="299"/>
      <c r="T165" s="281"/>
      <c r="X165" s="281"/>
    </row>
    <row r="166" spans="2:31" s="2" customFormat="1" ht="24" customHeight="1">
      <c r="B166" s="258"/>
      <c r="C166" s="257"/>
      <c r="D166" s="257"/>
      <c r="E166" s="259" t="s">
        <v>227</v>
      </c>
      <c r="F166" s="257"/>
      <c r="G166" s="257"/>
      <c r="H166" s="257"/>
      <c r="I166" s="257"/>
      <c r="J166" s="257"/>
      <c r="K166" s="283"/>
      <c r="L166" s="283"/>
      <c r="M166" s="284"/>
      <c r="N166" s="257"/>
      <c r="P166" s="281"/>
      <c r="Q166" s="298"/>
      <c r="R166" s="299"/>
      <c r="T166" s="281"/>
      <c r="X166" s="281"/>
    </row>
    <row r="167" spans="2:31" s="2" customFormat="1" ht="24" customHeight="1">
      <c r="B167" s="258"/>
      <c r="C167" s="257"/>
      <c r="D167" s="307" t="s">
        <v>228</v>
      </c>
      <c r="E167" s="260">
        <v>4</v>
      </c>
      <c r="F167" s="257"/>
      <c r="G167" s="261" t="s">
        <v>229</v>
      </c>
      <c r="H167" s="262" t="s">
        <v>230</v>
      </c>
      <c r="I167" s="285" t="s">
        <v>231</v>
      </c>
      <c r="J167" s="286"/>
      <c r="K167" s="287"/>
      <c r="L167" s="283"/>
      <c r="M167" s="284"/>
      <c r="N167" s="257"/>
      <c r="P167" s="281"/>
      <c r="Q167" s="298"/>
      <c r="R167" s="299"/>
      <c r="T167" s="281"/>
      <c r="X167" s="281"/>
    </row>
    <row r="168" spans="2:31" s="2" customFormat="1" ht="24" customHeight="1">
      <c r="B168" s="258"/>
      <c r="C168" s="257"/>
      <c r="D168" s="308" t="s">
        <v>232</v>
      </c>
      <c r="E168" s="263">
        <f t="shared" ref="E168:E174" si="1">E167+1</f>
        <v>5</v>
      </c>
      <c r="F168" s="257"/>
      <c r="G168" s="264" t="s">
        <v>233</v>
      </c>
      <c r="H168" s="265" t="s">
        <v>234</v>
      </c>
      <c r="I168" s="288" t="s">
        <v>235</v>
      </c>
      <c r="J168" s="289"/>
      <c r="K168" s="290"/>
      <c r="L168" s="283"/>
      <c r="M168" s="284"/>
      <c r="N168" s="257"/>
      <c r="P168" s="281"/>
      <c r="Q168" s="298"/>
      <c r="R168" s="299"/>
      <c r="T168" s="281"/>
      <c r="X168" s="281"/>
    </row>
    <row r="169" spans="2:31" s="2" customFormat="1" ht="24" customHeight="1">
      <c r="B169" s="258"/>
      <c r="C169" s="257"/>
      <c r="D169" s="308" t="s">
        <v>236</v>
      </c>
      <c r="E169" s="263">
        <f t="shared" si="1"/>
        <v>6</v>
      </c>
      <c r="F169" s="266"/>
      <c r="G169" s="267" t="s">
        <v>234</v>
      </c>
      <c r="H169" s="268" t="s">
        <v>233</v>
      </c>
      <c r="I169" s="291" t="s">
        <v>237</v>
      </c>
      <c r="J169" s="292"/>
      <c r="K169" s="293"/>
      <c r="L169" s="283"/>
      <c r="M169" s="284"/>
      <c r="N169" s="257"/>
      <c r="P169" s="281"/>
      <c r="Q169" s="298"/>
      <c r="R169" s="299"/>
      <c r="T169" s="281"/>
      <c r="X169" s="281"/>
      <c r="Y169" s="3"/>
    </row>
    <row r="170" spans="2:31" s="2" customFormat="1" ht="24" customHeight="1">
      <c r="B170" s="258"/>
      <c r="C170" s="257"/>
      <c r="D170" s="308" t="s">
        <v>238</v>
      </c>
      <c r="E170" s="263">
        <f t="shared" si="1"/>
        <v>7</v>
      </c>
      <c r="F170" s="257"/>
      <c r="G170" s="257"/>
      <c r="H170" s="257"/>
      <c r="I170" s="257"/>
      <c r="J170" s="257"/>
      <c r="K170" s="283"/>
      <c r="L170" s="283"/>
      <c r="M170" s="284"/>
      <c r="N170" s="257"/>
      <c r="O170" s="3"/>
      <c r="P170" s="294"/>
      <c r="Q170" s="295"/>
      <c r="R170" s="299"/>
      <c r="S170" s="3"/>
      <c r="T170" s="294"/>
      <c r="U170" s="3"/>
      <c r="V170" s="3"/>
      <c r="W170" s="3"/>
      <c r="X170" s="294"/>
      <c r="Y170" s="3"/>
    </row>
    <row r="171" spans="2:31" s="2" customFormat="1" ht="24" customHeight="1">
      <c r="B171" s="258"/>
      <c r="C171" s="257"/>
      <c r="D171" s="308" t="s">
        <v>239</v>
      </c>
      <c r="E171" s="263">
        <v>7</v>
      </c>
      <c r="F171" s="257"/>
      <c r="G171" s="257"/>
      <c r="H171" s="257"/>
      <c r="I171" s="257"/>
      <c r="J171" s="257"/>
      <c r="K171" s="283"/>
      <c r="L171" s="283"/>
      <c r="M171" s="284"/>
      <c r="N171" s="257"/>
      <c r="O171" s="294"/>
      <c r="P171" s="295"/>
      <c r="Q171" s="236"/>
      <c r="R171" s="299"/>
      <c r="S171" s="294"/>
      <c r="T171" s="3"/>
      <c r="U171" s="3"/>
      <c r="V171" s="3"/>
      <c r="W171" s="294"/>
      <c r="X171" s="3"/>
      <c r="Y171" s="3"/>
    </row>
    <row r="172" spans="2:31" s="2" customFormat="1" ht="24" customHeight="1">
      <c r="B172" s="258"/>
      <c r="C172" s="257"/>
      <c r="D172" s="308" t="s">
        <v>240</v>
      </c>
      <c r="E172" s="263">
        <f>E170+1</f>
        <v>8</v>
      </c>
      <c r="F172" s="257"/>
      <c r="G172" s="257"/>
      <c r="H172" s="257"/>
      <c r="I172" s="257"/>
      <c r="J172" s="257"/>
      <c r="K172" s="283"/>
      <c r="L172" s="283"/>
      <c r="M172" s="284"/>
      <c r="N172" s="257"/>
      <c r="O172" s="294"/>
      <c r="P172" s="295"/>
      <c r="Q172" s="236"/>
      <c r="R172" s="299"/>
      <c r="S172" s="294"/>
      <c r="T172" s="3"/>
      <c r="U172" s="3"/>
      <c r="V172" s="3"/>
      <c r="W172" s="294"/>
      <c r="X172" s="3"/>
      <c r="Y172" s="3"/>
    </row>
    <row r="173" spans="2:31" s="2" customFormat="1" ht="24" customHeight="1">
      <c r="B173" s="258"/>
      <c r="C173" s="257"/>
      <c r="D173" s="269" t="s">
        <v>241</v>
      </c>
      <c r="E173" s="263">
        <f t="shared" si="1"/>
        <v>9</v>
      </c>
      <c r="F173" s="257"/>
      <c r="G173" s="257"/>
      <c r="H173" s="257"/>
      <c r="I173" s="257"/>
      <c r="J173" s="257"/>
      <c r="K173" s="283"/>
      <c r="L173" s="283"/>
      <c r="M173" s="284"/>
      <c r="N173" s="257"/>
      <c r="O173" s="294"/>
      <c r="P173" s="295"/>
      <c r="Q173" s="236"/>
      <c r="R173" s="299"/>
      <c r="S173" s="294"/>
      <c r="T173" s="3"/>
      <c r="U173" s="3"/>
      <c r="V173" s="3"/>
      <c r="W173" s="294"/>
      <c r="X173" s="3"/>
      <c r="Y173" s="3"/>
    </row>
    <row r="174" spans="2:31" s="2" customFormat="1" ht="24" customHeight="1">
      <c r="B174" s="258"/>
      <c r="C174" s="257"/>
      <c r="D174" s="270" t="s">
        <v>242</v>
      </c>
      <c r="E174" s="271">
        <f t="shared" si="1"/>
        <v>10</v>
      </c>
      <c r="F174" s="257"/>
      <c r="G174" s="257"/>
      <c r="H174" s="257"/>
      <c r="I174" s="257"/>
      <c r="J174" s="257"/>
      <c r="K174" s="283"/>
      <c r="L174" s="257"/>
      <c r="M174" s="284"/>
      <c r="N174" s="257"/>
      <c r="O174" s="294"/>
      <c r="P174" s="295"/>
      <c r="Q174" s="236"/>
      <c r="R174" s="299"/>
      <c r="S174" s="294"/>
      <c r="T174" s="3"/>
      <c r="U174" s="3"/>
      <c r="V174" s="3"/>
      <c r="W174" s="294"/>
      <c r="X174" s="3"/>
      <c r="Y174" s="3"/>
    </row>
    <row r="175" spans="2:31" s="2" customFormat="1" ht="24" customHeight="1">
      <c r="B175" s="272"/>
      <c r="C175" s="273"/>
      <c r="D175" s="273"/>
      <c r="E175" s="274"/>
      <c r="F175" s="273"/>
      <c r="G175" s="273"/>
      <c r="H175" s="273"/>
      <c r="I175" s="273"/>
      <c r="J175" s="273"/>
      <c r="K175" s="273"/>
      <c r="L175" s="273"/>
      <c r="M175" s="296"/>
      <c r="N175" s="257"/>
      <c r="O175" s="294"/>
      <c r="P175" s="295"/>
      <c r="Q175" s="236"/>
      <c r="R175" s="299"/>
      <c r="S175" s="294"/>
      <c r="T175" s="3"/>
      <c r="U175" s="3"/>
      <c r="V175" s="3"/>
      <c r="W175" s="294"/>
      <c r="X175" s="3"/>
      <c r="Y175" s="3"/>
    </row>
    <row r="176" spans="2:31" s="2" customFormat="1" ht="24" customHeight="1">
      <c r="N176" s="257"/>
      <c r="O176" s="294"/>
      <c r="P176" s="295"/>
      <c r="Q176" s="236"/>
      <c r="R176" s="236"/>
      <c r="S176" s="5"/>
      <c r="T176" s="4"/>
      <c r="U176" s="4"/>
      <c r="V176" s="3"/>
      <c r="W176" s="294"/>
      <c r="X176" s="3"/>
      <c r="Y176" s="3"/>
      <c r="Z176" s="3"/>
      <c r="AA176" s="3"/>
      <c r="AB176" s="3"/>
      <c r="AC176" s="3"/>
    </row>
    <row r="177" spans="1:35" s="2" customFormat="1" ht="24" customHeight="1">
      <c r="B177" s="3"/>
      <c r="C177" s="3"/>
      <c r="D177" s="3"/>
      <c r="E177" s="3"/>
      <c r="F177" s="3"/>
      <c r="L177" s="3"/>
      <c r="M177" s="3"/>
      <c r="N177" s="257"/>
      <c r="O177" s="294"/>
      <c r="P177" s="295"/>
      <c r="Q177" s="236"/>
      <c r="R177" s="3"/>
      <c r="S177" s="5"/>
      <c r="T177" s="4"/>
      <c r="U177" s="4"/>
      <c r="V177" s="3"/>
      <c r="W177" s="294"/>
      <c r="X177" s="3"/>
      <c r="Y177" s="3"/>
      <c r="Z177" s="3"/>
      <c r="AA177" s="3"/>
      <c r="AB177" s="3"/>
      <c r="AC177" s="3"/>
    </row>
    <row r="178" spans="1:35" s="3" customFormat="1" ht="17.5">
      <c r="M178" s="19"/>
      <c r="N178" s="19"/>
      <c r="O178" s="5"/>
      <c r="P178" s="6"/>
      <c r="Q178" s="7"/>
      <c r="S178" s="5"/>
      <c r="T178" s="4"/>
      <c r="U178" s="4"/>
      <c r="V178" s="4"/>
      <c r="W178" s="294"/>
    </row>
    <row r="179" spans="1:35" s="3" customFormat="1" ht="17.5">
      <c r="B179" s="4"/>
      <c r="C179" s="4"/>
      <c r="M179" s="19"/>
      <c r="O179" s="5"/>
      <c r="P179" s="6"/>
      <c r="Q179" s="7"/>
      <c r="S179" s="5"/>
      <c r="T179" s="4"/>
      <c r="U179" s="4"/>
      <c r="V179" s="4"/>
      <c r="W179" s="294"/>
      <c r="AI179" s="19"/>
    </row>
    <row r="180" spans="1:35" s="3" customFormat="1" ht="17.5">
      <c r="B180" s="4"/>
      <c r="C180" s="4"/>
      <c r="D180" s="4"/>
      <c r="E180" s="4"/>
      <c r="F180" s="4"/>
      <c r="L180" s="4"/>
      <c r="M180" s="4"/>
      <c r="O180" s="5"/>
      <c r="P180" s="6"/>
      <c r="Q180" s="7"/>
      <c r="S180" s="5"/>
      <c r="T180" s="4"/>
      <c r="U180" s="4"/>
      <c r="V180" s="4"/>
      <c r="W180" s="294"/>
      <c r="AI180" s="31"/>
    </row>
    <row r="181" spans="1:35" s="3" customFormat="1" ht="18">
      <c r="A181" s="275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O181" s="5"/>
      <c r="P181" s="6"/>
      <c r="Q181" s="7"/>
      <c r="S181" s="5"/>
      <c r="T181" s="4"/>
      <c r="U181" s="4"/>
      <c r="V181" s="4"/>
      <c r="W181" s="294"/>
      <c r="Y181" s="4"/>
      <c r="AI181" s="31"/>
    </row>
    <row r="182" spans="1:35" s="3" customFormat="1" ht="17.5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O182" s="5"/>
      <c r="P182" s="6"/>
      <c r="Q182" s="7"/>
      <c r="S182" s="5"/>
      <c r="T182" s="4"/>
      <c r="U182" s="4"/>
      <c r="V182" s="4"/>
      <c r="W182" s="5"/>
      <c r="X182" s="4"/>
      <c r="Y182" s="4"/>
      <c r="AI182" s="31"/>
    </row>
    <row r="183" spans="1:35" s="3" customFormat="1" ht="17.5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O183" s="5"/>
      <c r="P183" s="6"/>
      <c r="Q183" s="7"/>
      <c r="S183" s="5"/>
      <c r="T183" s="4"/>
      <c r="U183" s="4"/>
      <c r="V183" s="4"/>
      <c r="W183" s="5"/>
      <c r="X183" s="4"/>
      <c r="Y183" s="4"/>
      <c r="AI183" s="19"/>
    </row>
    <row r="184" spans="1:35" s="3" customFormat="1" ht="17.5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O184" s="5"/>
      <c r="P184" s="6"/>
      <c r="Q184" s="7"/>
      <c r="R184" s="4"/>
      <c r="S184" s="5"/>
      <c r="T184" s="4"/>
      <c r="U184" s="4"/>
      <c r="V184" s="4"/>
      <c r="W184" s="5"/>
      <c r="X184" s="4"/>
      <c r="Y184" s="4"/>
      <c r="Z184" s="4"/>
      <c r="AA184" s="4"/>
      <c r="AB184" s="4"/>
      <c r="AC184" s="4"/>
    </row>
    <row r="185" spans="1:35" s="3" customFormat="1" ht="17.5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O185" s="5"/>
      <c r="P185" s="6"/>
      <c r="Q185" s="7"/>
      <c r="R185" s="4"/>
      <c r="S185" s="5"/>
      <c r="T185" s="4"/>
      <c r="U185" s="4"/>
      <c r="V185" s="4"/>
      <c r="W185" s="5"/>
      <c r="X185" s="4"/>
      <c r="Y185" s="4"/>
      <c r="Z185" s="4"/>
      <c r="AA185" s="4"/>
      <c r="AB185" s="4"/>
      <c r="AC185" s="4"/>
    </row>
    <row r="186" spans="1:35" ht="17.5">
      <c r="A186" s="3"/>
      <c r="R186" s="4"/>
      <c r="S186" s="5"/>
      <c r="AE186" s="4"/>
    </row>
    <row r="187" spans="1:35" ht="17.5">
      <c r="A187" s="3"/>
      <c r="R187" s="4"/>
      <c r="S187" s="5"/>
      <c r="AE187" s="4"/>
    </row>
    <row r="188" spans="1:35">
      <c r="R188" s="4"/>
      <c r="S188" s="5"/>
      <c r="AE188" s="4"/>
    </row>
    <row r="189" spans="1:35">
      <c r="R189" s="4"/>
      <c r="S189" s="5"/>
      <c r="AE189" s="4"/>
    </row>
    <row r="190" spans="1:35">
      <c r="R190" s="4"/>
      <c r="S190" s="5"/>
      <c r="AE190" s="4"/>
    </row>
    <row r="191" spans="1:35">
      <c r="R191" s="4"/>
      <c r="S191" s="5"/>
      <c r="AE191" s="4"/>
    </row>
    <row r="192" spans="1:35">
      <c r="R192" s="4"/>
      <c r="S192" s="5"/>
      <c r="AE192" s="4"/>
    </row>
    <row r="193" spans="18:31">
      <c r="R193" s="4"/>
      <c r="S193" s="5"/>
      <c r="AE193" s="4"/>
    </row>
    <row r="194" spans="18:31">
      <c r="R194" s="4"/>
      <c r="S194" s="5"/>
      <c r="AE194" s="4"/>
    </row>
    <row r="195" spans="18:31">
      <c r="R195" s="4"/>
      <c r="S195" s="5"/>
      <c r="AE195" s="4"/>
    </row>
    <row r="196" spans="18:31">
      <c r="R196" s="4"/>
      <c r="S196" s="5"/>
      <c r="AE196" s="4"/>
    </row>
    <row r="197" spans="18:31">
      <c r="R197" s="4"/>
      <c r="S197" s="5"/>
      <c r="AE197" s="4"/>
    </row>
    <row r="198" spans="18:31">
      <c r="R198" s="4"/>
      <c r="S198" s="5"/>
      <c r="AE198" s="4"/>
    </row>
    <row r="199" spans="18:31">
      <c r="R199" s="4"/>
      <c r="S199" s="5"/>
      <c r="AE199" s="4"/>
    </row>
    <row r="200" spans="18:31">
      <c r="R200" s="4"/>
      <c r="S200" s="5"/>
      <c r="AE200" s="4"/>
    </row>
    <row r="201" spans="18:31">
      <c r="R201" s="4"/>
      <c r="S201" s="5"/>
      <c r="AE201" s="4"/>
    </row>
    <row r="202" spans="18:31">
      <c r="R202" s="4"/>
      <c r="S202" s="5"/>
      <c r="AE202" s="4"/>
    </row>
    <row r="203" spans="18:31">
      <c r="R203" s="4"/>
      <c r="S203" s="5"/>
      <c r="AE203" s="4"/>
    </row>
    <row r="204" spans="18:31">
      <c r="R204" s="4"/>
      <c r="S204" s="5"/>
      <c r="AE204" s="4"/>
    </row>
    <row r="205" spans="18:31">
      <c r="R205" s="4"/>
      <c r="S205" s="5"/>
      <c r="AE205" s="4"/>
    </row>
    <row r="206" spans="18:31">
      <c r="R206" s="4"/>
      <c r="S206" s="5"/>
      <c r="AE206" s="4"/>
    </row>
    <row r="207" spans="18:31">
      <c r="R207" s="4"/>
      <c r="S207" s="5"/>
      <c r="AE207" s="4"/>
    </row>
    <row r="208" spans="18:31">
      <c r="R208" s="4"/>
      <c r="S208" s="5"/>
      <c r="AE208" s="4"/>
    </row>
    <row r="209" spans="18:31">
      <c r="R209" s="4"/>
      <c r="S209" s="5"/>
      <c r="AE209" s="4"/>
    </row>
    <row r="210" spans="18:31">
      <c r="R210" s="4"/>
      <c r="S210" s="5"/>
      <c r="AE210" s="4"/>
    </row>
    <row r="211" spans="18:31">
      <c r="R211" s="4"/>
      <c r="S211" s="5"/>
      <c r="AE211" s="4"/>
    </row>
    <row r="212" spans="18:31">
      <c r="R212" s="4"/>
      <c r="S212" s="5"/>
      <c r="AE212" s="4"/>
    </row>
    <row r="213" spans="18:31">
      <c r="R213" s="4"/>
      <c r="S213" s="5"/>
      <c r="AE213" s="4"/>
    </row>
    <row r="214" spans="18:31">
      <c r="R214" s="4"/>
      <c r="S214" s="5"/>
      <c r="AE214" s="4"/>
    </row>
    <row r="215" spans="18:31">
      <c r="R215" s="4"/>
      <c r="S215" s="5"/>
      <c r="AE215" s="4"/>
    </row>
    <row r="216" spans="18:31">
      <c r="R216" s="4"/>
      <c r="S216" s="5"/>
      <c r="AE216" s="4"/>
    </row>
    <row r="217" spans="18:31">
      <c r="R217" s="4"/>
      <c r="S217" s="5"/>
      <c r="AE217" s="4"/>
    </row>
    <row r="218" spans="18:31">
      <c r="R218" s="4"/>
      <c r="S218" s="5"/>
      <c r="AE218" s="4"/>
    </row>
    <row r="219" spans="18:31">
      <c r="R219" s="4"/>
      <c r="S219" s="5"/>
      <c r="AE219" s="4"/>
    </row>
    <row r="220" spans="18:31">
      <c r="R220" s="4"/>
      <c r="S220" s="5"/>
      <c r="AE220" s="4"/>
    </row>
    <row r="221" spans="18:31">
      <c r="R221" s="4"/>
      <c r="S221" s="5"/>
      <c r="AE221" s="4"/>
    </row>
    <row r="222" spans="18:31">
      <c r="R222" s="4"/>
      <c r="S222" s="5"/>
      <c r="AE222" s="4"/>
    </row>
    <row r="223" spans="18:31">
      <c r="R223" s="4"/>
      <c r="S223" s="5"/>
      <c r="AE223" s="4"/>
    </row>
    <row r="224" spans="18:31">
      <c r="R224" s="4"/>
      <c r="S224" s="5"/>
      <c r="AE224" s="4"/>
    </row>
    <row r="225" spans="18:31">
      <c r="R225" s="4"/>
      <c r="S225" s="5"/>
      <c r="AE225" s="4"/>
    </row>
    <row r="226" spans="18:31">
      <c r="R226" s="4"/>
      <c r="S226" s="5"/>
      <c r="AE226" s="4"/>
    </row>
    <row r="227" spans="18:31">
      <c r="R227" s="4"/>
      <c r="S227" s="5"/>
      <c r="AE227" s="4"/>
    </row>
    <row r="228" spans="18:31">
      <c r="R228" s="4"/>
      <c r="S228" s="5"/>
      <c r="AE228" s="4"/>
    </row>
    <row r="229" spans="18:31">
      <c r="R229" s="4"/>
      <c r="S229" s="5"/>
      <c r="AE229" s="4"/>
    </row>
    <row r="230" spans="18:31">
      <c r="R230" s="4"/>
      <c r="S230" s="5"/>
      <c r="AE230" s="4"/>
    </row>
    <row r="231" spans="18:31">
      <c r="R231" s="4"/>
      <c r="S231" s="5"/>
      <c r="AE231" s="4"/>
    </row>
    <row r="232" spans="18:31">
      <c r="R232" s="4"/>
      <c r="S232" s="5"/>
      <c r="AE232" s="4"/>
    </row>
    <row r="233" spans="18:31">
      <c r="R233" s="4"/>
      <c r="S233" s="5"/>
      <c r="AE233" s="4"/>
    </row>
    <row r="234" spans="18:31">
      <c r="R234" s="4"/>
      <c r="S234" s="5"/>
      <c r="AE234" s="4"/>
    </row>
    <row r="235" spans="18:31">
      <c r="R235" s="4"/>
      <c r="S235" s="5"/>
      <c r="AE235" s="4"/>
    </row>
    <row r="236" spans="18:31">
      <c r="R236" s="4"/>
      <c r="S236" s="5"/>
      <c r="AE236" s="4"/>
    </row>
    <row r="237" spans="18:31">
      <c r="R237" s="4"/>
      <c r="S237" s="5"/>
      <c r="AE237" s="4"/>
    </row>
    <row r="238" spans="18:31">
      <c r="R238" s="4"/>
      <c r="S238" s="5"/>
      <c r="AE238" s="4"/>
    </row>
    <row r="239" spans="18:31">
      <c r="R239" s="4"/>
      <c r="S239" s="5"/>
      <c r="AE239" s="4"/>
    </row>
    <row r="240" spans="18:31">
      <c r="R240" s="4"/>
      <c r="S240" s="5"/>
      <c r="AE240" s="4"/>
    </row>
    <row r="241" spans="18:31">
      <c r="R241" s="4"/>
      <c r="S241" s="5"/>
      <c r="AE241" s="4"/>
    </row>
    <row r="242" spans="18:31">
      <c r="R242" s="4"/>
      <c r="S242" s="5"/>
      <c r="AE242" s="4"/>
    </row>
    <row r="243" spans="18:31">
      <c r="R243" s="4"/>
      <c r="S243" s="5"/>
      <c r="AE243" s="4"/>
    </row>
    <row r="244" spans="18:31">
      <c r="R244" s="4"/>
      <c r="S244" s="5"/>
      <c r="AE244" s="4"/>
    </row>
    <row r="245" spans="18:31">
      <c r="R245" s="4"/>
      <c r="S245" s="5"/>
      <c r="AE245" s="4"/>
    </row>
    <row r="246" spans="18:31">
      <c r="R246" s="4"/>
      <c r="S246" s="5"/>
      <c r="AE246" s="4"/>
    </row>
    <row r="247" spans="18:31">
      <c r="R247" s="4"/>
      <c r="S247" s="5"/>
      <c r="AE247" s="4"/>
    </row>
    <row r="248" spans="18:31">
      <c r="R248" s="4"/>
      <c r="S248" s="5"/>
      <c r="AE248" s="4"/>
    </row>
    <row r="249" spans="18:31">
      <c r="R249" s="4"/>
      <c r="S249" s="5"/>
      <c r="AE249" s="4"/>
    </row>
    <row r="250" spans="18:31">
      <c r="R250" s="4"/>
      <c r="S250" s="5"/>
      <c r="AE250" s="4"/>
    </row>
    <row r="251" spans="18:31">
      <c r="R251" s="4"/>
      <c r="S251" s="5"/>
      <c r="AE251" s="4"/>
    </row>
    <row r="252" spans="18:31">
      <c r="R252" s="4"/>
      <c r="S252" s="5"/>
      <c r="W252" s="9"/>
      <c r="AE252" s="4"/>
    </row>
    <row r="253" spans="18:31">
      <c r="R253" s="4"/>
      <c r="S253" s="5"/>
      <c r="W253" s="9"/>
      <c r="AE253" s="4"/>
    </row>
    <row r="254" spans="18:31">
      <c r="R254" s="4"/>
      <c r="S254" s="5"/>
      <c r="W254" s="9"/>
      <c r="AE254" s="4"/>
    </row>
    <row r="255" spans="18:31">
      <c r="R255" s="4"/>
      <c r="S255" s="5"/>
      <c r="W255" s="9"/>
      <c r="AE255" s="4"/>
    </row>
    <row r="256" spans="18:31">
      <c r="R256" s="4"/>
      <c r="S256" s="5"/>
      <c r="W256" s="9"/>
      <c r="AE256" s="4"/>
    </row>
    <row r="257" spans="16:31">
      <c r="R257" s="4"/>
      <c r="S257" s="5"/>
      <c r="W257" s="9"/>
      <c r="AE257" s="4"/>
    </row>
    <row r="258" spans="16:31">
      <c r="R258" s="4"/>
      <c r="S258" s="5"/>
      <c r="W258" s="9"/>
      <c r="AE258" s="4"/>
    </row>
    <row r="259" spans="16:31">
      <c r="R259" s="4"/>
      <c r="S259" s="5"/>
      <c r="W259" s="9"/>
      <c r="AE259" s="4"/>
    </row>
    <row r="260" spans="16:31">
      <c r="R260" s="4"/>
      <c r="S260" s="5"/>
      <c r="W260" s="9"/>
      <c r="AE260" s="4"/>
    </row>
    <row r="261" spans="16:31">
      <c r="R261" s="4"/>
      <c r="S261" s="5"/>
      <c r="W261" s="9"/>
      <c r="AE261" s="4"/>
    </row>
    <row r="262" spans="16:31">
      <c r="R262" s="4"/>
      <c r="S262" s="5"/>
      <c r="W262" s="9"/>
      <c r="AE262" s="4"/>
    </row>
    <row r="263" spans="16:31">
      <c r="R263" s="4"/>
      <c r="S263" s="5"/>
      <c r="W263" s="9"/>
      <c r="AE263" s="4"/>
    </row>
    <row r="264" spans="16:31">
      <c r="P264" s="89"/>
      <c r="Q264" s="300"/>
      <c r="R264" s="4"/>
      <c r="S264" s="5"/>
      <c r="W264" s="9"/>
      <c r="AE264" s="4"/>
    </row>
    <row r="265" spans="16:31">
      <c r="P265" s="89"/>
      <c r="Q265" s="300"/>
      <c r="R265" s="4"/>
      <c r="S265" s="5"/>
      <c r="W265" s="9"/>
      <c r="AE265" s="4"/>
    </row>
    <row r="266" spans="16:31">
      <c r="P266" s="89"/>
      <c r="Q266" s="300"/>
      <c r="R266" s="4"/>
      <c r="S266" s="5"/>
      <c r="W266" s="9"/>
      <c r="AE266" s="4"/>
    </row>
    <row r="267" spans="16:31">
      <c r="P267" s="89"/>
      <c r="Q267" s="300"/>
      <c r="R267" s="4"/>
      <c r="S267" s="5"/>
      <c r="W267" s="9"/>
      <c r="AE267" s="4"/>
    </row>
    <row r="268" spans="16:31">
      <c r="P268" s="89"/>
      <c r="Q268" s="300"/>
      <c r="R268" s="4"/>
      <c r="S268" s="5"/>
      <c r="W268" s="9"/>
      <c r="AE268" s="4"/>
    </row>
    <row r="269" spans="16:31">
      <c r="P269" s="89"/>
      <c r="Q269" s="300"/>
      <c r="R269" s="4"/>
      <c r="S269" s="5"/>
      <c r="W269" s="9"/>
      <c r="AE269" s="4"/>
    </row>
    <row r="270" spans="16:31">
      <c r="P270" s="89"/>
      <c r="Q270" s="300"/>
      <c r="R270" s="4"/>
      <c r="S270" s="5"/>
      <c r="W270" s="9"/>
      <c r="AE270" s="4"/>
    </row>
    <row r="271" spans="16:31">
      <c r="P271" s="89"/>
      <c r="Q271" s="300"/>
      <c r="R271" s="4"/>
      <c r="S271" s="5"/>
      <c r="W271" s="9"/>
      <c r="AE271" s="4"/>
    </row>
    <row r="272" spans="16:31">
      <c r="P272" s="89"/>
      <c r="Q272" s="300"/>
      <c r="R272" s="4"/>
      <c r="S272" s="5"/>
      <c r="W272" s="9"/>
      <c r="AE272" s="4"/>
    </row>
    <row r="273" spans="16:31">
      <c r="P273" s="89"/>
      <c r="Q273" s="300"/>
      <c r="R273" s="4"/>
      <c r="S273" s="5"/>
      <c r="W273" s="9"/>
      <c r="AE273" s="4"/>
    </row>
    <row r="274" spans="16:31">
      <c r="P274" s="89"/>
      <c r="Q274" s="300"/>
      <c r="R274" s="4"/>
      <c r="S274" s="5"/>
      <c r="W274" s="9"/>
      <c r="AE274" s="4"/>
    </row>
    <row r="275" spans="16:31">
      <c r="P275" s="89"/>
      <c r="Q275" s="300"/>
      <c r="R275" s="4"/>
      <c r="S275" s="5"/>
      <c r="W275" s="9"/>
      <c r="AE275" s="4"/>
    </row>
    <row r="276" spans="16:31">
      <c r="P276" s="89"/>
      <c r="Q276" s="300"/>
      <c r="R276" s="4"/>
      <c r="S276" s="5"/>
      <c r="W276" s="9"/>
      <c r="AE276" s="4"/>
    </row>
    <row r="277" spans="16:31">
      <c r="P277" s="89"/>
      <c r="Q277" s="300"/>
      <c r="R277" s="4"/>
      <c r="S277" s="5"/>
      <c r="W277" s="9"/>
      <c r="AE277" s="4"/>
    </row>
    <row r="278" spans="16:31">
      <c r="P278" s="89"/>
      <c r="Q278" s="300"/>
      <c r="R278" s="4"/>
      <c r="S278" s="5"/>
      <c r="W278" s="9"/>
      <c r="AE278" s="4"/>
    </row>
    <row r="279" spans="16:31">
      <c r="P279" s="89"/>
      <c r="Q279" s="300"/>
      <c r="R279" s="4"/>
      <c r="S279" s="5"/>
      <c r="W279" s="9"/>
      <c r="AE279" s="4"/>
    </row>
    <row r="280" spans="16:31">
      <c r="P280" s="89"/>
      <c r="Q280" s="300"/>
      <c r="R280" s="4"/>
      <c r="S280" s="5"/>
      <c r="W280" s="9"/>
      <c r="AE280" s="4"/>
    </row>
    <row r="281" spans="16:31">
      <c r="P281" s="89"/>
      <c r="Q281" s="300"/>
      <c r="R281" s="4"/>
      <c r="S281" s="5"/>
      <c r="W281" s="9"/>
      <c r="AE281" s="4"/>
    </row>
    <row r="282" spans="16:31">
      <c r="P282" s="89"/>
      <c r="Q282" s="300"/>
      <c r="R282" s="4"/>
      <c r="S282" s="5"/>
      <c r="W282" s="9"/>
      <c r="AE282" s="4"/>
    </row>
    <row r="283" spans="16:31">
      <c r="P283" s="89"/>
      <c r="Q283" s="300"/>
      <c r="R283" s="4"/>
      <c r="S283" s="5"/>
      <c r="W283" s="9"/>
      <c r="AE283" s="4"/>
    </row>
    <row r="284" spans="16:31">
      <c r="P284" s="89"/>
      <c r="Q284" s="300"/>
      <c r="R284" s="4"/>
      <c r="S284" s="5"/>
      <c r="W284" s="9"/>
      <c r="AE284" s="4"/>
    </row>
    <row r="285" spans="16:31">
      <c r="P285" s="89"/>
      <c r="Q285" s="300"/>
      <c r="R285" s="4"/>
      <c r="S285" s="5"/>
      <c r="W285" s="9"/>
      <c r="AE285" s="4"/>
    </row>
    <row r="286" spans="16:31">
      <c r="P286" s="89"/>
      <c r="Q286" s="300"/>
      <c r="R286" s="4"/>
      <c r="S286" s="5"/>
      <c r="W286" s="9"/>
      <c r="AE286" s="4"/>
    </row>
    <row r="287" spans="16:31">
      <c r="P287" s="89"/>
      <c r="Q287" s="300"/>
      <c r="R287" s="4"/>
      <c r="S287" s="5"/>
      <c r="W287" s="9"/>
      <c r="AE287" s="4"/>
    </row>
    <row r="288" spans="16:31">
      <c r="P288" s="89"/>
      <c r="Q288" s="300"/>
      <c r="R288" s="4"/>
      <c r="S288" s="5"/>
      <c r="W288" s="9"/>
      <c r="AE288" s="4"/>
    </row>
    <row r="289" spans="16:31">
      <c r="P289" s="89"/>
      <c r="Q289" s="300"/>
      <c r="R289" s="4"/>
      <c r="S289" s="5"/>
      <c r="W289" s="9"/>
      <c r="AE289" s="4"/>
    </row>
    <row r="290" spans="16:31">
      <c r="P290" s="89"/>
      <c r="Q290" s="300"/>
      <c r="R290" s="4"/>
      <c r="S290" s="5"/>
      <c r="W290" s="9"/>
      <c r="AE290" s="4"/>
    </row>
    <row r="291" spans="16:31">
      <c r="P291" s="89"/>
      <c r="Q291" s="300"/>
      <c r="R291" s="4"/>
      <c r="S291" s="5"/>
      <c r="W291" s="9"/>
      <c r="AE291" s="4"/>
    </row>
    <row r="292" spans="16:31">
      <c r="P292" s="89"/>
      <c r="Q292" s="300"/>
      <c r="R292" s="4"/>
      <c r="S292" s="5"/>
      <c r="W292" s="9"/>
      <c r="AE292" s="4"/>
    </row>
    <row r="293" spans="16:31">
      <c r="P293" s="89"/>
      <c r="Q293" s="300"/>
      <c r="R293" s="4"/>
      <c r="S293" s="5"/>
      <c r="W293" s="9"/>
      <c r="AE293" s="4"/>
    </row>
    <row r="294" spans="16:31">
      <c r="P294" s="89"/>
      <c r="Q294" s="300"/>
      <c r="R294" s="4"/>
      <c r="S294" s="5"/>
      <c r="W294" s="9"/>
      <c r="AE294" s="4"/>
    </row>
    <row r="295" spans="16:31">
      <c r="P295" s="89"/>
      <c r="Q295" s="300"/>
      <c r="R295" s="4"/>
      <c r="S295" s="5"/>
      <c r="W295" s="9"/>
      <c r="AE295" s="4"/>
    </row>
    <row r="296" spans="16:31">
      <c r="P296" s="89"/>
      <c r="Q296" s="300"/>
      <c r="R296" s="4"/>
      <c r="S296" s="5"/>
      <c r="W296" s="9"/>
      <c r="AE296" s="4"/>
    </row>
    <row r="297" spans="16:31">
      <c r="P297" s="89"/>
      <c r="Q297" s="300"/>
      <c r="R297" s="4"/>
      <c r="S297" s="5"/>
      <c r="W297" s="9"/>
      <c r="AE297" s="4"/>
    </row>
    <row r="298" spans="16:31">
      <c r="P298" s="89"/>
      <c r="Q298" s="300"/>
      <c r="R298" s="4"/>
      <c r="S298" s="5"/>
      <c r="W298" s="9"/>
      <c r="AE298" s="4"/>
    </row>
    <row r="299" spans="16:31">
      <c r="P299" s="89"/>
      <c r="Q299" s="300"/>
      <c r="R299" s="4"/>
      <c r="S299" s="5"/>
      <c r="W299" s="9"/>
      <c r="AE299" s="4"/>
    </row>
    <row r="300" spans="16:31">
      <c r="P300" s="89"/>
      <c r="Q300" s="300"/>
      <c r="R300" s="4"/>
      <c r="S300" s="5"/>
      <c r="W300" s="9"/>
      <c r="AE300" s="4"/>
    </row>
    <row r="301" spans="16:31">
      <c r="P301" s="89"/>
      <c r="Q301" s="300"/>
      <c r="R301" s="4"/>
      <c r="S301" s="5"/>
      <c r="W301" s="9"/>
      <c r="AE301" s="4"/>
    </row>
    <row r="302" spans="16:31">
      <c r="P302" s="89"/>
      <c r="Q302" s="300"/>
      <c r="R302" s="4"/>
      <c r="S302" s="5"/>
      <c r="W302" s="9"/>
      <c r="AE302" s="4"/>
    </row>
    <row r="303" spans="16:31">
      <c r="P303" s="89"/>
      <c r="Q303" s="300"/>
      <c r="R303" s="4"/>
      <c r="S303" s="5"/>
      <c r="W303" s="9"/>
      <c r="AE303" s="4"/>
    </row>
    <row r="304" spans="16:31">
      <c r="P304" s="89"/>
      <c r="Q304" s="300"/>
      <c r="R304" s="4"/>
      <c r="S304" s="5"/>
      <c r="W304" s="9"/>
      <c r="AE304" s="4"/>
    </row>
    <row r="305" spans="16:31">
      <c r="P305" s="89"/>
      <c r="Q305" s="300"/>
      <c r="R305" s="4"/>
      <c r="S305" s="5"/>
      <c r="W305" s="9"/>
      <c r="AE305" s="4"/>
    </row>
    <row r="306" spans="16:31">
      <c r="P306" s="89"/>
      <c r="Q306" s="300"/>
      <c r="R306" s="4"/>
      <c r="S306" s="5"/>
      <c r="W306" s="9"/>
      <c r="AE306" s="4"/>
    </row>
    <row r="307" spans="16:31">
      <c r="P307" s="89"/>
      <c r="Q307" s="300"/>
      <c r="R307" s="4"/>
      <c r="S307" s="5"/>
      <c r="W307" s="9"/>
      <c r="AE307" s="4"/>
    </row>
    <row r="308" spans="16:31">
      <c r="P308" s="89"/>
      <c r="Q308" s="300"/>
      <c r="R308" s="4"/>
      <c r="S308" s="5"/>
      <c r="W308" s="9"/>
      <c r="AE308" s="4"/>
    </row>
    <row r="309" spans="16:31">
      <c r="P309" s="89"/>
      <c r="Q309" s="300"/>
      <c r="R309" s="4"/>
      <c r="S309" s="132"/>
      <c r="T309" s="44"/>
      <c r="U309" s="44"/>
      <c r="W309" s="9"/>
      <c r="AE309" s="4"/>
    </row>
    <row r="310" spans="16:31">
      <c r="P310" s="89"/>
      <c r="Q310" s="300"/>
      <c r="R310" s="4"/>
      <c r="S310" s="132"/>
      <c r="T310" s="44"/>
      <c r="U310" s="44"/>
      <c r="W310" s="9"/>
      <c r="AE310" s="4"/>
    </row>
    <row r="311" spans="16:31">
      <c r="P311" s="89"/>
      <c r="Q311" s="300"/>
      <c r="R311" s="4"/>
      <c r="S311" s="132"/>
      <c r="T311" s="44"/>
      <c r="U311" s="44"/>
      <c r="W311" s="9"/>
      <c r="AE311" s="4"/>
    </row>
    <row r="312" spans="16:31">
      <c r="P312" s="89"/>
      <c r="Q312" s="300"/>
      <c r="R312" s="4"/>
      <c r="S312" s="132"/>
      <c r="T312" s="44"/>
      <c r="U312" s="44"/>
      <c r="W312" s="9"/>
      <c r="AE312" s="4"/>
    </row>
    <row r="313" spans="16:31">
      <c r="P313" s="89"/>
      <c r="Q313" s="300"/>
      <c r="R313" s="4"/>
      <c r="S313" s="132"/>
      <c r="T313" s="44"/>
      <c r="U313" s="44"/>
      <c r="W313" s="9"/>
      <c r="AE313" s="4"/>
    </row>
    <row r="314" spans="16:31">
      <c r="P314" s="89"/>
      <c r="Q314" s="300"/>
      <c r="R314" s="4"/>
      <c r="S314" s="132"/>
      <c r="T314" s="44"/>
      <c r="U314" s="44"/>
      <c r="W314" s="9"/>
      <c r="AE314" s="4"/>
    </row>
    <row r="315" spans="16:31">
      <c r="P315" s="89"/>
      <c r="Q315" s="300"/>
      <c r="R315" s="4"/>
      <c r="S315" s="132"/>
      <c r="T315" s="44"/>
      <c r="U315" s="44"/>
      <c r="W315" s="9"/>
      <c r="AE315" s="4"/>
    </row>
    <row r="316" spans="16:31">
      <c r="P316" s="89"/>
      <c r="Q316" s="300"/>
      <c r="R316" s="4"/>
      <c r="S316" s="132"/>
      <c r="T316" s="134"/>
      <c r="U316" s="145"/>
      <c r="W316" s="9"/>
      <c r="AE316" s="4"/>
    </row>
    <row r="317" spans="16:31">
      <c r="P317" s="89"/>
      <c r="Q317" s="300"/>
      <c r="R317" s="4"/>
      <c r="S317" s="132"/>
      <c r="T317" s="134"/>
      <c r="U317" s="145"/>
      <c r="W317" s="9"/>
      <c r="AE317" s="4"/>
    </row>
    <row r="318" spans="16:31">
      <c r="P318" s="89"/>
      <c r="Q318" s="300"/>
      <c r="R318" s="4"/>
      <c r="S318" s="132"/>
      <c r="T318" s="134"/>
      <c r="U318" s="134"/>
      <c r="W318" s="9"/>
      <c r="AE318" s="4"/>
    </row>
    <row r="319" spans="16:31">
      <c r="P319" s="89"/>
      <c r="Q319" s="300"/>
      <c r="R319" s="4"/>
      <c r="S319" s="132"/>
      <c r="T319" s="134"/>
      <c r="U319" s="134"/>
      <c r="W319" s="9"/>
      <c r="AE319" s="4"/>
    </row>
    <row r="320" spans="16:31">
      <c r="P320" s="89"/>
      <c r="Q320" s="300"/>
      <c r="R320" s="4"/>
      <c r="S320" s="132"/>
      <c r="T320" s="134"/>
      <c r="U320" s="134"/>
      <c r="W320" s="9"/>
      <c r="AE320" s="4"/>
    </row>
    <row r="321" spans="16:31">
      <c r="P321" s="89"/>
      <c r="Q321" s="300"/>
      <c r="R321" s="4"/>
      <c r="S321" s="132"/>
      <c r="T321" s="134"/>
      <c r="U321" s="134"/>
      <c r="W321" s="9"/>
      <c r="AE321" s="4"/>
    </row>
    <row r="322" spans="16:31">
      <c r="P322" s="89"/>
      <c r="Q322" s="300"/>
      <c r="R322" s="4"/>
      <c r="S322" s="132"/>
      <c r="T322" s="134"/>
      <c r="U322" s="134"/>
      <c r="W322" s="9"/>
      <c r="AE322" s="4"/>
    </row>
    <row r="323" spans="16:31">
      <c r="P323" s="89"/>
      <c r="Q323" s="300"/>
      <c r="R323" s="4"/>
      <c r="S323" s="132"/>
      <c r="T323" s="134"/>
      <c r="U323" s="134"/>
      <c r="W323" s="9"/>
      <c r="AE323" s="4"/>
    </row>
    <row r="324" spans="16:31">
      <c r="P324" s="89"/>
      <c r="Q324" s="300"/>
      <c r="R324" s="4"/>
      <c r="S324" s="132"/>
      <c r="T324" s="134"/>
      <c r="U324" s="134"/>
      <c r="W324" s="9"/>
      <c r="Y324" s="44"/>
      <c r="AE324" s="4"/>
    </row>
    <row r="325" spans="16:31">
      <c r="P325" s="89"/>
      <c r="Q325" s="300"/>
      <c r="R325" s="4"/>
      <c r="S325" s="132"/>
      <c r="T325" s="134"/>
      <c r="U325" s="134"/>
      <c r="W325" s="301"/>
      <c r="X325" s="44"/>
      <c r="Y325" s="44"/>
      <c r="AE325" s="4"/>
    </row>
    <row r="326" spans="16:31">
      <c r="P326" s="89"/>
      <c r="Q326" s="300"/>
      <c r="R326" s="4"/>
      <c r="S326" s="132"/>
      <c r="T326" s="134"/>
      <c r="U326" s="134"/>
      <c r="W326" s="301"/>
      <c r="X326" s="44"/>
      <c r="Y326" s="44"/>
      <c r="AE326" s="4"/>
    </row>
    <row r="327" spans="16:31">
      <c r="P327" s="89"/>
      <c r="Q327" s="300"/>
      <c r="R327" s="4"/>
      <c r="S327" s="132"/>
      <c r="T327" s="134"/>
      <c r="U327" s="134"/>
      <c r="W327" s="301"/>
      <c r="X327" s="44"/>
      <c r="Y327" s="44"/>
      <c r="AE327" s="4"/>
    </row>
    <row r="328" spans="16:31">
      <c r="P328" s="89"/>
      <c r="Q328" s="300"/>
      <c r="R328" s="4"/>
      <c r="S328" s="132"/>
      <c r="T328" s="134"/>
      <c r="U328" s="134"/>
      <c r="W328" s="301"/>
      <c r="X328" s="44"/>
      <c r="Y328" s="44"/>
      <c r="AE328" s="4"/>
    </row>
    <row r="329" spans="16:31">
      <c r="P329" s="89"/>
      <c r="Q329" s="300"/>
      <c r="R329" s="4"/>
      <c r="S329" s="132"/>
      <c r="T329" s="134"/>
      <c r="U329" s="250"/>
      <c r="W329" s="301"/>
      <c r="X329" s="44"/>
      <c r="Y329" s="44"/>
      <c r="AE329" s="4"/>
    </row>
    <row r="330" spans="16:31">
      <c r="P330" s="89"/>
      <c r="Q330" s="300"/>
      <c r="R330" s="4"/>
      <c r="S330" s="132"/>
      <c r="T330" s="134"/>
      <c r="U330" s="250"/>
      <c r="W330" s="301"/>
      <c r="X330" s="44"/>
      <c r="Y330" s="44"/>
      <c r="AE330" s="4"/>
    </row>
    <row r="331" spans="16:31">
      <c r="P331" s="89"/>
      <c r="Q331" s="300"/>
      <c r="R331" s="4"/>
      <c r="S331" s="132"/>
      <c r="T331" s="134"/>
      <c r="U331" s="134"/>
      <c r="W331" s="301"/>
      <c r="X331" s="44"/>
      <c r="Y331" s="134"/>
      <c r="AE331" s="4"/>
    </row>
    <row r="332" spans="16:31">
      <c r="P332" s="89"/>
      <c r="Q332" s="300"/>
      <c r="R332" s="4"/>
      <c r="S332" s="132"/>
      <c r="T332" s="134"/>
      <c r="U332" s="145"/>
      <c r="W332" s="301"/>
      <c r="X332" s="134"/>
      <c r="Y332" s="134"/>
      <c r="AE332" s="4"/>
    </row>
    <row r="333" spans="16:31">
      <c r="P333" s="89"/>
      <c r="Q333" s="300"/>
      <c r="R333" s="4"/>
      <c r="S333" s="132"/>
      <c r="T333" s="134"/>
      <c r="U333" s="134"/>
      <c r="W333" s="301"/>
      <c r="X333" s="134"/>
      <c r="Y333" s="134"/>
      <c r="AE333" s="4"/>
    </row>
    <row r="334" spans="16:31">
      <c r="P334" s="89"/>
      <c r="Q334" s="300"/>
      <c r="R334" s="4"/>
      <c r="S334" s="132"/>
      <c r="T334" s="134"/>
      <c r="U334" s="134"/>
      <c r="W334" s="301"/>
      <c r="X334" s="134"/>
      <c r="Y334" s="134"/>
      <c r="AE334" s="4"/>
    </row>
    <row r="335" spans="16:31">
      <c r="P335" s="89"/>
      <c r="Q335" s="300"/>
      <c r="R335" s="4"/>
      <c r="S335" s="132"/>
      <c r="T335" s="134"/>
      <c r="U335" s="134"/>
      <c r="W335" s="301"/>
      <c r="X335" s="134"/>
      <c r="Y335" s="134"/>
      <c r="AE335" s="4"/>
    </row>
    <row r="336" spans="16:31">
      <c r="P336" s="89"/>
      <c r="Q336" s="300"/>
      <c r="R336" s="4"/>
      <c r="S336" s="302"/>
      <c r="T336" s="134"/>
      <c r="U336" s="134"/>
      <c r="W336" s="301"/>
      <c r="X336" s="134"/>
      <c r="Y336" s="134"/>
      <c r="AE336" s="4"/>
    </row>
    <row r="337" spans="16:49">
      <c r="P337" s="89"/>
      <c r="Q337" s="300"/>
      <c r="R337" s="4"/>
      <c r="S337" s="302"/>
      <c r="T337" s="134"/>
      <c r="U337" s="134"/>
      <c r="W337" s="301"/>
      <c r="X337" s="134"/>
      <c r="Y337" s="134"/>
      <c r="AE337" s="4"/>
    </row>
    <row r="338" spans="16:49">
      <c r="P338" s="89"/>
      <c r="Q338" s="300"/>
      <c r="R338" s="4"/>
      <c r="S338" s="301"/>
      <c r="T338" s="44"/>
      <c r="U338" s="44"/>
      <c r="W338" s="301"/>
      <c r="X338" s="134"/>
      <c r="Y338" s="134"/>
      <c r="AE338" s="4"/>
    </row>
    <row r="339" spans="16:49">
      <c r="P339" s="89"/>
      <c r="Q339" s="300"/>
      <c r="R339" s="4"/>
      <c r="S339" s="301"/>
      <c r="T339" s="44"/>
      <c r="U339" s="44"/>
      <c r="W339" s="301"/>
      <c r="X339" s="134"/>
      <c r="Y339" s="134"/>
      <c r="AE339" s="4"/>
    </row>
    <row r="340" spans="16:49">
      <c r="P340" s="89"/>
      <c r="Q340" s="300"/>
      <c r="R340" s="4"/>
      <c r="S340" s="301"/>
      <c r="T340" s="44"/>
      <c r="U340" s="44"/>
      <c r="W340" s="301"/>
      <c r="X340" s="134"/>
      <c r="Y340" s="134"/>
      <c r="AE340" s="4"/>
    </row>
    <row r="341" spans="16:49">
      <c r="P341" s="89"/>
      <c r="Q341" s="300"/>
      <c r="R341" s="4"/>
      <c r="S341" s="301"/>
      <c r="T341" s="44"/>
      <c r="U341" s="44"/>
      <c r="V341" s="44"/>
      <c r="W341" s="301"/>
      <c r="X341" s="134"/>
      <c r="Y341" s="134"/>
      <c r="AE341" s="4"/>
    </row>
    <row r="342" spans="16:49">
      <c r="P342" s="89"/>
      <c r="Q342" s="300"/>
      <c r="R342" s="4"/>
      <c r="S342" s="301"/>
      <c r="T342" s="44"/>
      <c r="U342" s="44"/>
      <c r="V342" s="44"/>
      <c r="W342" s="301"/>
      <c r="X342" s="134"/>
      <c r="Y342" s="134"/>
      <c r="AE342" s="4"/>
    </row>
    <row r="343" spans="16:49">
      <c r="P343" s="89"/>
      <c r="Q343" s="300"/>
      <c r="R343" s="4"/>
      <c r="S343" s="301"/>
      <c r="T343" s="44"/>
      <c r="U343" s="44"/>
      <c r="V343" s="44"/>
      <c r="W343" s="301"/>
      <c r="X343" s="134"/>
      <c r="Y343" s="134"/>
      <c r="AE343" s="4"/>
    </row>
    <row r="344" spans="16:49">
      <c r="P344" s="89"/>
      <c r="Q344" s="300"/>
      <c r="R344" s="4"/>
      <c r="S344" s="301"/>
      <c r="T344" s="44"/>
      <c r="U344" s="44"/>
      <c r="V344" s="44"/>
      <c r="W344" s="301"/>
      <c r="X344" s="134"/>
      <c r="Y344" s="134"/>
      <c r="AE344" s="4"/>
    </row>
    <row r="345" spans="16:49">
      <c r="P345" s="89"/>
      <c r="Q345" s="300"/>
      <c r="R345" s="4"/>
      <c r="S345" s="301"/>
      <c r="T345" s="44"/>
      <c r="U345" s="44"/>
      <c r="V345" s="44"/>
      <c r="W345" s="301"/>
      <c r="X345" s="134"/>
      <c r="Y345" s="134"/>
      <c r="AE345" s="4"/>
    </row>
    <row r="346" spans="16:49">
      <c r="P346" s="89"/>
      <c r="Q346" s="300"/>
      <c r="R346" s="4"/>
      <c r="S346" s="301"/>
      <c r="T346" s="44"/>
      <c r="U346" s="44"/>
      <c r="V346" s="44"/>
      <c r="W346" s="301"/>
      <c r="X346" s="134"/>
      <c r="Y346" s="134"/>
      <c r="AE346" s="4"/>
    </row>
    <row r="347" spans="16:49">
      <c r="P347" s="89"/>
      <c r="Q347" s="300"/>
      <c r="R347" s="4"/>
      <c r="S347" s="301"/>
      <c r="T347" s="44"/>
      <c r="U347" s="44"/>
      <c r="V347" s="44"/>
      <c r="W347" s="301"/>
      <c r="X347" s="134"/>
      <c r="Y347" s="134"/>
      <c r="AE347" s="4"/>
    </row>
    <row r="348" spans="16:49">
      <c r="P348" s="89"/>
      <c r="Q348" s="300"/>
      <c r="R348" s="4"/>
      <c r="S348" s="301"/>
      <c r="T348" s="44"/>
      <c r="U348" s="44"/>
      <c r="V348" s="134"/>
      <c r="W348" s="301"/>
      <c r="X348" s="134"/>
      <c r="Y348" s="134"/>
      <c r="Z348" s="44"/>
      <c r="AA348" s="44"/>
      <c r="AC348" s="44"/>
      <c r="AE348" s="4"/>
    </row>
    <row r="349" spans="16:49">
      <c r="P349" s="89"/>
      <c r="Q349" s="300"/>
      <c r="R349" s="4"/>
      <c r="S349" s="301"/>
      <c r="T349" s="44"/>
      <c r="U349" s="44"/>
      <c r="V349" s="134"/>
      <c r="W349" s="301"/>
      <c r="X349" s="134"/>
      <c r="Y349" s="134"/>
      <c r="Z349" s="44"/>
      <c r="AA349" s="44"/>
      <c r="AB349" s="44"/>
      <c r="AC349" s="44"/>
      <c r="AE349" s="4"/>
    </row>
    <row r="350" spans="16:49">
      <c r="P350" s="89"/>
      <c r="Q350" s="300"/>
      <c r="R350" s="4"/>
      <c r="S350" s="301"/>
      <c r="T350" s="44"/>
      <c r="U350" s="44"/>
      <c r="V350" s="134"/>
      <c r="W350" s="301"/>
      <c r="X350" s="134"/>
      <c r="Y350" s="13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  <c r="AO350" s="44"/>
      <c r="AP350" s="44"/>
      <c r="AQ350" s="44"/>
      <c r="AR350" s="44"/>
      <c r="AS350" s="44"/>
      <c r="AT350" s="44"/>
      <c r="AU350" s="44"/>
      <c r="AV350" s="44"/>
      <c r="AW350" s="44"/>
    </row>
    <row r="351" spans="16:49">
      <c r="P351" s="89"/>
      <c r="Q351" s="300"/>
      <c r="R351" s="4"/>
      <c r="S351" s="301"/>
      <c r="T351" s="44"/>
      <c r="U351" s="44"/>
      <c r="V351" s="134"/>
      <c r="W351" s="301"/>
      <c r="X351" s="134"/>
      <c r="Y351" s="13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  <c r="AO351" s="44"/>
      <c r="AP351" s="44"/>
      <c r="AQ351" s="44"/>
      <c r="AR351" s="44"/>
      <c r="AS351" s="44"/>
      <c r="AT351" s="44"/>
      <c r="AU351" s="44"/>
      <c r="AV351" s="44"/>
      <c r="AW351" s="44"/>
    </row>
    <row r="352" spans="16:49">
      <c r="P352" s="89"/>
      <c r="Q352" s="300"/>
      <c r="R352" s="303"/>
      <c r="S352" s="301"/>
      <c r="T352" s="44"/>
      <c r="U352" s="44"/>
      <c r="V352" s="134"/>
      <c r="W352" s="301"/>
      <c r="X352" s="134"/>
      <c r="Y352" s="13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  <c r="AM352" s="44"/>
      <c r="AN352" s="44"/>
      <c r="AO352" s="44"/>
      <c r="AP352" s="44"/>
      <c r="AQ352" s="44"/>
      <c r="AR352" s="44"/>
      <c r="AS352" s="44"/>
      <c r="AT352" s="44"/>
      <c r="AU352" s="44"/>
      <c r="AV352" s="44"/>
      <c r="AW352" s="44"/>
    </row>
    <row r="353" spans="4:49">
      <c r="P353" s="89"/>
      <c r="Q353" s="300"/>
      <c r="R353" s="303"/>
      <c r="S353" s="301"/>
      <c r="T353" s="44"/>
      <c r="U353" s="44"/>
      <c r="V353" s="134"/>
      <c r="W353" s="301"/>
      <c r="X353" s="134"/>
      <c r="Y353" s="13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4"/>
      <c r="AO353" s="44"/>
      <c r="AP353" s="44"/>
      <c r="AQ353" s="44"/>
      <c r="AR353" s="44"/>
      <c r="AS353" s="44"/>
      <c r="AT353" s="44"/>
      <c r="AU353" s="44"/>
      <c r="AV353" s="44"/>
      <c r="AW353" s="44"/>
    </row>
    <row r="354" spans="4:49">
      <c r="P354" s="89"/>
      <c r="Q354" s="300"/>
      <c r="R354" s="303"/>
      <c r="S354" s="301"/>
      <c r="T354" s="44"/>
      <c r="U354" s="44"/>
      <c r="V354" s="134"/>
      <c r="W354" s="132"/>
      <c r="X354" s="44"/>
      <c r="Y354" s="13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  <c r="AN354" s="44"/>
      <c r="AO354" s="44"/>
      <c r="AP354" s="44"/>
      <c r="AQ354" s="44"/>
      <c r="AR354" s="44"/>
      <c r="AS354" s="44"/>
      <c r="AT354" s="44"/>
      <c r="AU354" s="44"/>
      <c r="AV354" s="44"/>
      <c r="AW354" s="44"/>
    </row>
    <row r="355" spans="4:49">
      <c r="P355" s="89"/>
      <c r="Q355" s="300"/>
      <c r="R355" s="303"/>
      <c r="S355" s="301"/>
      <c r="T355" s="44"/>
      <c r="U355" s="44"/>
      <c r="V355" s="134"/>
      <c r="W355" s="132"/>
      <c r="X355" s="44"/>
      <c r="Y355" s="134"/>
      <c r="Z355" s="13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  <c r="AN355" s="44"/>
      <c r="AO355" s="44"/>
      <c r="AP355" s="44"/>
      <c r="AQ355" s="44"/>
      <c r="AR355" s="44"/>
      <c r="AS355" s="44"/>
      <c r="AT355" s="44"/>
      <c r="AU355" s="44"/>
      <c r="AV355" s="44"/>
      <c r="AW355" s="44"/>
    </row>
    <row r="356" spans="4:49">
      <c r="P356" s="89"/>
      <c r="Q356" s="300"/>
      <c r="R356" s="303"/>
      <c r="S356" s="301"/>
      <c r="T356" s="44"/>
      <c r="U356" s="44"/>
      <c r="V356" s="134"/>
      <c r="W356" s="132"/>
      <c r="X356" s="44"/>
      <c r="Y356" s="134"/>
      <c r="Z356" s="13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  <c r="AL356" s="44"/>
      <c r="AM356" s="44"/>
      <c r="AN356" s="44"/>
      <c r="AO356" s="44"/>
      <c r="AP356" s="44"/>
      <c r="AQ356" s="44"/>
      <c r="AR356" s="44"/>
      <c r="AS356" s="44"/>
      <c r="AT356" s="44"/>
      <c r="AU356" s="44"/>
      <c r="AV356" s="44"/>
      <c r="AW356" s="44"/>
    </row>
    <row r="357" spans="4:49">
      <c r="P357" s="89"/>
      <c r="Q357" s="300"/>
      <c r="R357" s="303"/>
      <c r="S357" s="301"/>
      <c r="T357" s="44"/>
      <c r="U357" s="44"/>
      <c r="V357" s="134"/>
      <c r="W357" s="132"/>
      <c r="X357" s="44"/>
      <c r="Y357" s="134"/>
      <c r="Z357" s="13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  <c r="AO357" s="44"/>
      <c r="AP357" s="44"/>
      <c r="AQ357" s="44"/>
      <c r="AR357" s="44"/>
      <c r="AS357" s="44"/>
      <c r="AT357" s="44"/>
      <c r="AU357" s="44"/>
      <c r="AV357" s="44"/>
      <c r="AW357" s="44"/>
    </row>
    <row r="358" spans="4:49">
      <c r="P358" s="89"/>
      <c r="Q358" s="300"/>
      <c r="R358" s="303"/>
      <c r="S358" s="301"/>
      <c r="T358" s="44"/>
      <c r="U358" s="44"/>
      <c r="V358" s="134"/>
      <c r="W358" s="132"/>
      <c r="X358" s="44"/>
      <c r="Y358" s="134"/>
      <c r="Z358" s="13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  <c r="AO358" s="44"/>
      <c r="AP358" s="44"/>
      <c r="AQ358" s="44"/>
      <c r="AR358" s="44"/>
      <c r="AS358" s="44"/>
      <c r="AT358" s="44"/>
      <c r="AU358" s="44"/>
      <c r="AV358" s="44"/>
      <c r="AW358" s="44"/>
    </row>
    <row r="359" spans="4:49">
      <c r="P359" s="89"/>
      <c r="Q359" s="300"/>
      <c r="R359" s="303"/>
      <c r="S359" s="301"/>
      <c r="T359" s="44"/>
      <c r="U359" s="44"/>
      <c r="V359" s="134"/>
      <c r="W359" s="132"/>
      <c r="X359" s="44"/>
      <c r="Y359" s="134"/>
      <c r="Z359" s="13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  <c r="AO359" s="44"/>
      <c r="AP359" s="44"/>
      <c r="AQ359" s="44"/>
      <c r="AR359" s="44"/>
      <c r="AS359" s="44"/>
      <c r="AT359" s="44"/>
      <c r="AU359" s="44"/>
      <c r="AV359" s="44"/>
      <c r="AW359" s="44"/>
    </row>
    <row r="360" spans="4:49">
      <c r="P360" s="89"/>
      <c r="Q360" s="300"/>
      <c r="R360" s="303"/>
      <c r="S360" s="301"/>
      <c r="T360" s="44"/>
      <c r="U360" s="44"/>
      <c r="V360" s="134"/>
      <c r="W360" s="132"/>
      <c r="X360" s="44"/>
      <c r="Y360" s="134"/>
      <c r="Z360" s="13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4"/>
      <c r="AO360" s="44"/>
      <c r="AP360" s="44"/>
      <c r="AQ360" s="44"/>
      <c r="AR360" s="44"/>
      <c r="AS360" s="44"/>
      <c r="AT360" s="44"/>
      <c r="AU360" s="44"/>
      <c r="AV360" s="44"/>
      <c r="AW360" s="44"/>
    </row>
    <row r="361" spans="4:49">
      <c r="P361" s="89"/>
      <c r="Q361" s="300"/>
      <c r="R361" s="303"/>
      <c r="S361" s="301"/>
      <c r="T361" s="44"/>
      <c r="U361" s="44"/>
      <c r="V361" s="134"/>
      <c r="W361" s="132"/>
      <c r="X361" s="44"/>
      <c r="Y361" s="134"/>
      <c r="Z361" s="13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  <c r="AO361" s="44"/>
      <c r="AP361" s="44"/>
      <c r="AQ361" s="44"/>
      <c r="AR361" s="44"/>
      <c r="AS361" s="44"/>
      <c r="AT361" s="44"/>
      <c r="AU361" s="44"/>
      <c r="AV361" s="44"/>
      <c r="AW361" s="44"/>
    </row>
    <row r="362" spans="4:49">
      <c r="P362" s="89"/>
      <c r="Q362" s="300"/>
      <c r="R362" s="303"/>
      <c r="S362" s="301"/>
      <c r="T362" s="44"/>
      <c r="U362" s="44"/>
      <c r="V362" s="134"/>
      <c r="W362" s="132"/>
      <c r="X362" s="44"/>
      <c r="Y362" s="134"/>
      <c r="Z362" s="13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  <c r="AQ362" s="44"/>
      <c r="AR362" s="44"/>
      <c r="AS362" s="44"/>
      <c r="AT362" s="44"/>
      <c r="AU362" s="44"/>
      <c r="AV362" s="44"/>
      <c r="AW362" s="44"/>
    </row>
    <row r="363" spans="4:49">
      <c r="P363" s="89"/>
      <c r="Q363" s="300"/>
      <c r="R363" s="303"/>
      <c r="S363" s="301"/>
      <c r="T363" s="44"/>
      <c r="U363" s="44"/>
      <c r="V363" s="134"/>
      <c r="W363" s="132"/>
      <c r="X363" s="44"/>
      <c r="Y363" s="134"/>
      <c r="Z363" s="13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  <c r="AO363" s="44"/>
      <c r="AP363" s="44"/>
      <c r="AQ363" s="44"/>
      <c r="AR363" s="44"/>
      <c r="AS363" s="44"/>
      <c r="AT363" s="44"/>
      <c r="AU363" s="44"/>
      <c r="AV363" s="44"/>
      <c r="AW363" s="44"/>
    </row>
    <row r="364" spans="4:49">
      <c r="R364" s="303"/>
      <c r="S364" s="301"/>
      <c r="T364" s="44"/>
      <c r="U364" s="44"/>
      <c r="V364" s="134"/>
      <c r="W364" s="132"/>
      <c r="X364" s="44"/>
      <c r="Y364" s="134"/>
      <c r="Z364" s="13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  <c r="AL364" s="44"/>
      <c r="AM364" s="44"/>
      <c r="AN364" s="44"/>
      <c r="AO364" s="44"/>
      <c r="AP364" s="44"/>
      <c r="AQ364" s="44"/>
      <c r="AR364" s="44"/>
      <c r="AS364" s="44"/>
      <c r="AT364" s="44"/>
      <c r="AU364" s="44"/>
      <c r="AV364" s="44"/>
      <c r="AW364" s="44"/>
    </row>
    <row r="365" spans="4:49">
      <c r="R365" s="303"/>
      <c r="S365" s="301"/>
      <c r="T365" s="44"/>
      <c r="U365" s="44"/>
      <c r="V365" s="134"/>
      <c r="W365" s="132"/>
      <c r="X365" s="44"/>
      <c r="Y365" s="134"/>
      <c r="Z365" s="13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  <c r="AM365" s="44"/>
      <c r="AN365" s="44"/>
      <c r="AO365" s="44"/>
      <c r="AP365" s="44"/>
      <c r="AQ365" s="44"/>
      <c r="AR365" s="44"/>
      <c r="AS365" s="44"/>
      <c r="AT365" s="44"/>
      <c r="AU365" s="44"/>
      <c r="AV365" s="44"/>
      <c r="AW365" s="44"/>
    </row>
    <row r="366" spans="4:49">
      <c r="R366" s="303"/>
      <c r="S366" s="301"/>
      <c r="T366" s="44"/>
      <c r="U366" s="44"/>
      <c r="V366" s="134"/>
      <c r="W366" s="132"/>
      <c r="X366" s="44"/>
      <c r="Y366" s="134"/>
      <c r="Z366" s="13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  <c r="AN366" s="44"/>
      <c r="AO366" s="44"/>
      <c r="AP366" s="44"/>
      <c r="AQ366" s="44"/>
      <c r="AR366" s="44"/>
      <c r="AS366" s="44"/>
      <c r="AT366" s="44"/>
      <c r="AU366" s="44"/>
      <c r="AV366" s="44"/>
      <c r="AW366" s="44"/>
    </row>
    <row r="367" spans="4:49">
      <c r="R367" s="303"/>
      <c r="S367" s="301"/>
      <c r="T367" s="44"/>
      <c r="U367" s="44"/>
      <c r="V367" s="134"/>
      <c r="W367" s="132"/>
      <c r="X367" s="44"/>
      <c r="Y367" s="134"/>
      <c r="Z367" s="13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  <c r="AO367" s="44"/>
      <c r="AP367" s="44"/>
      <c r="AQ367" s="44"/>
      <c r="AR367" s="44"/>
      <c r="AS367" s="44"/>
      <c r="AT367" s="44"/>
      <c r="AU367" s="44"/>
      <c r="AV367" s="44"/>
      <c r="AW367" s="44"/>
    </row>
    <row r="368" spans="4:49">
      <c r="D368" s="7"/>
      <c r="R368" s="303"/>
      <c r="S368" s="301"/>
      <c r="T368" s="44"/>
      <c r="U368" s="44"/>
      <c r="V368" s="134"/>
      <c r="W368" s="132"/>
      <c r="X368" s="44"/>
      <c r="Y368" s="134"/>
      <c r="Z368" s="13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  <c r="AL368" s="44"/>
      <c r="AM368" s="44"/>
      <c r="AN368" s="44"/>
      <c r="AO368" s="44"/>
      <c r="AP368" s="44"/>
      <c r="AQ368" s="44"/>
      <c r="AR368" s="44"/>
      <c r="AS368" s="44"/>
      <c r="AT368" s="44"/>
      <c r="AU368" s="44"/>
      <c r="AV368" s="44"/>
      <c r="AW368" s="44"/>
    </row>
    <row r="369" spans="11:58">
      <c r="K369" s="7"/>
      <c r="R369" s="303"/>
      <c r="S369" s="301"/>
      <c r="T369" s="44"/>
      <c r="U369" s="44"/>
      <c r="V369" s="134"/>
      <c r="W369" s="132"/>
      <c r="X369" s="44"/>
      <c r="Y369" s="134"/>
      <c r="Z369" s="13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  <c r="AQ369" s="44"/>
      <c r="AR369" s="44"/>
      <c r="AS369" s="44"/>
      <c r="AT369" s="44"/>
      <c r="AU369" s="44"/>
      <c r="AV369" s="44"/>
      <c r="AW369" s="44"/>
    </row>
    <row r="370" spans="11:58">
      <c r="R370" s="303"/>
      <c r="S370" s="301"/>
      <c r="T370" s="44"/>
      <c r="U370" s="44"/>
      <c r="V370" s="44"/>
      <c r="W370" s="132"/>
      <c r="X370" s="44"/>
      <c r="Y370" s="134"/>
      <c r="Z370" s="13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  <c r="AO370" s="44"/>
      <c r="AP370" s="44"/>
      <c r="AQ370" s="44"/>
      <c r="AR370" s="44"/>
      <c r="AS370" s="44"/>
      <c r="AT370" s="44"/>
      <c r="AU370" s="44"/>
      <c r="AV370" s="44"/>
      <c r="AW370" s="44"/>
    </row>
    <row r="371" spans="11:58">
      <c r="R371" s="303"/>
      <c r="S371" s="301"/>
      <c r="T371" s="44"/>
      <c r="U371" s="44"/>
      <c r="V371" s="44"/>
      <c r="W371" s="132"/>
      <c r="X371" s="44"/>
      <c r="Y371" s="134"/>
      <c r="Z371" s="13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  <c r="AQ371" s="44"/>
      <c r="AR371" s="44"/>
      <c r="AS371" s="44"/>
      <c r="AT371" s="44"/>
      <c r="AU371" s="44"/>
      <c r="AV371" s="44"/>
      <c r="AW371" s="44"/>
    </row>
    <row r="372" spans="11:58">
      <c r="R372" s="303"/>
      <c r="S372" s="301"/>
      <c r="T372" s="44"/>
      <c r="U372" s="44"/>
      <c r="V372" s="44"/>
      <c r="W372" s="132"/>
      <c r="X372" s="44"/>
      <c r="Y372" s="134"/>
      <c r="Z372" s="13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4"/>
      <c r="AO372" s="44"/>
      <c r="AP372" s="44"/>
      <c r="AQ372" s="44"/>
      <c r="AR372" s="44"/>
      <c r="AS372" s="44"/>
      <c r="AT372" s="44"/>
      <c r="AU372" s="44"/>
      <c r="AV372" s="44"/>
      <c r="AW372" s="44"/>
    </row>
    <row r="373" spans="11:58">
      <c r="R373" s="303"/>
      <c r="S373" s="301"/>
      <c r="T373" s="44"/>
      <c r="U373" s="44"/>
      <c r="V373" s="44"/>
      <c r="W373" s="132"/>
      <c r="X373" s="44"/>
      <c r="Y373" s="134"/>
      <c r="Z373" s="145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  <c r="AR373" s="44"/>
      <c r="AS373" s="44"/>
      <c r="AT373" s="44"/>
      <c r="AU373" s="44"/>
      <c r="AV373" s="44"/>
      <c r="AW373" s="44"/>
    </row>
    <row r="374" spans="11:58">
      <c r="R374" s="303"/>
      <c r="S374" s="301"/>
      <c r="T374" s="44"/>
      <c r="U374" s="44"/>
      <c r="V374" s="44"/>
      <c r="W374" s="132"/>
      <c r="X374" s="44"/>
      <c r="Y374" s="134"/>
      <c r="Z374" s="145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  <c r="AN374" s="44"/>
      <c r="AO374" s="44"/>
      <c r="AP374" s="44"/>
      <c r="AQ374" s="44"/>
      <c r="AR374" s="44"/>
      <c r="AS374" s="44"/>
      <c r="AT374" s="44"/>
      <c r="AU374" s="44"/>
      <c r="AV374" s="44"/>
      <c r="AW374" s="44"/>
    </row>
    <row r="375" spans="11:58">
      <c r="R375" s="303"/>
      <c r="S375" s="301"/>
      <c r="T375" s="44"/>
      <c r="U375" s="44"/>
      <c r="V375" s="44"/>
      <c r="W375" s="132"/>
      <c r="X375" s="44"/>
      <c r="Y375" s="134"/>
      <c r="Z375" s="145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  <c r="AL375" s="44"/>
      <c r="AM375" s="44"/>
      <c r="AN375" s="44"/>
      <c r="AO375" s="44"/>
      <c r="AP375" s="44"/>
      <c r="AQ375" s="44"/>
      <c r="AR375" s="44"/>
      <c r="AS375" s="44"/>
      <c r="AT375" s="44"/>
      <c r="AU375" s="44"/>
      <c r="AV375" s="44"/>
      <c r="AW375" s="44"/>
    </row>
    <row r="376" spans="11:58">
      <c r="R376" s="303"/>
      <c r="S376" s="301"/>
      <c r="T376" s="44"/>
      <c r="U376" s="44"/>
      <c r="V376" s="44"/>
      <c r="W376" s="132"/>
      <c r="X376" s="44"/>
      <c r="Y376" s="134"/>
      <c r="Z376" s="13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4"/>
      <c r="AM376" s="44"/>
      <c r="AN376" s="44"/>
      <c r="AO376" s="44"/>
      <c r="AP376" s="44"/>
      <c r="AQ376" s="44"/>
      <c r="AR376" s="44"/>
      <c r="AS376" s="44"/>
      <c r="AT376" s="44"/>
      <c r="AU376" s="44"/>
      <c r="AV376" s="44"/>
      <c r="AW376" s="44"/>
    </row>
    <row r="377" spans="11:58">
      <c r="R377" s="303"/>
      <c r="S377" s="301"/>
      <c r="T377" s="44"/>
      <c r="U377" s="44"/>
      <c r="V377" s="44"/>
      <c r="W377" s="132"/>
      <c r="X377" s="44"/>
      <c r="Y377" s="134"/>
      <c r="Z377" s="304"/>
      <c r="AA377" s="134"/>
      <c r="AB377" s="44"/>
      <c r="AC377" s="134"/>
      <c r="AD377" s="44"/>
      <c r="AE377" s="44"/>
      <c r="AF377" s="44"/>
      <c r="AG377" s="44"/>
      <c r="AH377" s="44"/>
      <c r="AI377" s="44"/>
      <c r="AJ377" s="44"/>
      <c r="AK377" s="44"/>
      <c r="AL377" s="44"/>
      <c r="AM377" s="44"/>
      <c r="AN377" s="44"/>
      <c r="AO377" s="44"/>
      <c r="AP377" s="44"/>
      <c r="AQ377" s="44"/>
      <c r="AR377" s="44"/>
      <c r="AS377" s="44"/>
      <c r="AT377" s="44"/>
      <c r="AU377" s="44"/>
      <c r="AV377" s="44"/>
      <c r="AW377" s="44"/>
    </row>
    <row r="378" spans="11:58">
      <c r="R378" s="303"/>
      <c r="S378" s="301"/>
      <c r="T378" s="44"/>
      <c r="U378" s="44"/>
      <c r="V378" s="44"/>
      <c r="W378" s="132"/>
      <c r="X378" s="44"/>
      <c r="Y378" s="134"/>
      <c r="Z378" s="304"/>
      <c r="AA378" s="134"/>
      <c r="AB378" s="134"/>
      <c r="AC378" s="134"/>
      <c r="AD378" s="44"/>
      <c r="AE378" s="44"/>
      <c r="AF378" s="44"/>
      <c r="AG378" s="44"/>
      <c r="AH378" s="44"/>
      <c r="AI378" s="44"/>
      <c r="AJ378" s="44"/>
      <c r="AK378" s="44"/>
      <c r="AL378" s="44"/>
      <c r="AM378" s="44"/>
      <c r="AN378" s="44"/>
      <c r="AO378" s="44"/>
      <c r="AP378" s="44"/>
      <c r="AQ378" s="44"/>
      <c r="AR378" s="44"/>
      <c r="AS378" s="44"/>
      <c r="AT378" s="44"/>
      <c r="AU378" s="44"/>
      <c r="AV378" s="44"/>
      <c r="AW378" s="44"/>
    </row>
    <row r="379" spans="11:58">
      <c r="R379" s="303"/>
      <c r="S379" s="301"/>
      <c r="T379" s="44"/>
      <c r="U379" s="44"/>
      <c r="V379" s="44"/>
      <c r="W379" s="132"/>
      <c r="X379" s="44"/>
      <c r="Y379" s="134"/>
      <c r="Z379" s="304"/>
      <c r="AA379" s="134"/>
      <c r="AB379" s="134"/>
      <c r="AC379" s="134"/>
      <c r="AD379" s="134"/>
      <c r="AE379" s="255"/>
      <c r="AF379" s="134"/>
      <c r="AG379" s="134"/>
      <c r="AH379" s="134"/>
      <c r="AI379" s="134"/>
      <c r="AJ379" s="44"/>
      <c r="AK379" s="44"/>
      <c r="AL379" s="44"/>
      <c r="AM379" s="44"/>
      <c r="AN379" s="44"/>
      <c r="AO379" s="44"/>
      <c r="AP379" s="44"/>
      <c r="AQ379" s="44"/>
      <c r="AR379" s="44"/>
      <c r="AS379" s="44"/>
      <c r="AT379" s="44"/>
      <c r="AU379" s="44"/>
      <c r="AV379" s="44"/>
      <c r="AW379" s="44"/>
      <c r="AX379" s="44"/>
      <c r="AY379" s="44"/>
      <c r="AZ379" s="44"/>
      <c r="BA379" s="44"/>
      <c r="BB379" s="44"/>
      <c r="BC379" s="44"/>
      <c r="BD379" s="44"/>
      <c r="BE379" s="44"/>
      <c r="BF379" s="44"/>
    </row>
    <row r="380" spans="11:58">
      <c r="R380" s="303"/>
      <c r="S380" s="301"/>
      <c r="T380" s="44"/>
      <c r="U380" s="44"/>
      <c r="V380" s="44"/>
      <c r="W380" s="132"/>
      <c r="X380" s="44"/>
      <c r="Y380" s="134"/>
      <c r="Z380" s="134"/>
      <c r="AA380" s="134"/>
      <c r="AB380" s="134"/>
      <c r="AC380" s="134"/>
      <c r="AD380" s="134"/>
      <c r="AE380" s="255"/>
      <c r="AF380" s="134"/>
      <c r="AG380" s="134"/>
      <c r="AH380" s="134"/>
      <c r="AI380" s="145"/>
      <c r="AJ380" s="44"/>
      <c r="AK380" s="44"/>
      <c r="AL380" s="44"/>
      <c r="AM380" s="44"/>
      <c r="AN380" s="44"/>
      <c r="AO380" s="44"/>
      <c r="AP380" s="44"/>
      <c r="AQ380" s="44"/>
      <c r="AR380" s="44"/>
      <c r="AS380" s="44"/>
      <c r="AT380" s="44"/>
      <c r="AU380" s="44"/>
      <c r="AV380" s="44"/>
      <c r="AW380" s="44"/>
      <c r="AX380" s="44"/>
      <c r="AY380" s="44"/>
      <c r="AZ380" s="44"/>
      <c r="BA380" s="44"/>
      <c r="BB380" s="44"/>
      <c r="BC380" s="44"/>
      <c r="BD380" s="44"/>
      <c r="BE380" s="44"/>
      <c r="BF380" s="44"/>
    </row>
    <row r="381" spans="11:58">
      <c r="R381" s="303"/>
      <c r="S381" s="301"/>
      <c r="T381" s="44"/>
      <c r="U381" s="44"/>
      <c r="V381" s="44"/>
      <c r="W381" s="132"/>
      <c r="X381" s="44"/>
      <c r="Y381" s="134"/>
      <c r="Z381" s="134"/>
      <c r="AA381" s="134"/>
      <c r="AB381" s="134"/>
      <c r="AC381" s="134"/>
      <c r="AD381" s="134"/>
      <c r="AE381" s="255"/>
      <c r="AF381" s="134"/>
      <c r="AG381" s="134"/>
      <c r="AH381" s="134"/>
      <c r="AI381" s="134"/>
      <c r="AJ381" s="44"/>
      <c r="AK381" s="44"/>
      <c r="AL381" s="44"/>
      <c r="AM381" s="44"/>
      <c r="AN381" s="44"/>
      <c r="AO381" s="44"/>
      <c r="AP381" s="44"/>
      <c r="AQ381" s="44"/>
      <c r="AR381" s="44"/>
      <c r="AS381" s="44"/>
      <c r="AT381" s="44"/>
      <c r="AU381" s="44"/>
      <c r="AV381" s="44"/>
      <c r="AW381" s="44"/>
      <c r="AX381" s="44"/>
      <c r="AY381" s="44"/>
      <c r="AZ381" s="44"/>
      <c r="BA381" s="44"/>
      <c r="BB381" s="44"/>
      <c r="BC381" s="44"/>
      <c r="BD381" s="44"/>
      <c r="BE381" s="44"/>
      <c r="BF381" s="44"/>
    </row>
    <row r="382" spans="11:58">
      <c r="R382" s="303"/>
      <c r="S382" s="301"/>
      <c r="T382" s="44"/>
      <c r="U382" s="44"/>
      <c r="V382" s="44"/>
      <c r="W382" s="132"/>
      <c r="X382" s="44"/>
      <c r="Y382" s="134"/>
      <c r="Z382" s="134"/>
      <c r="AA382" s="134"/>
      <c r="AB382" s="134"/>
      <c r="AC382" s="134"/>
      <c r="AD382" s="134"/>
      <c r="AE382" s="255"/>
      <c r="AF382" s="134"/>
      <c r="AG382" s="134"/>
      <c r="AH382" s="134"/>
      <c r="AI382" s="145"/>
      <c r="AJ382" s="44"/>
      <c r="AK382" s="44"/>
      <c r="AL382" s="44"/>
      <c r="AM382" s="44"/>
      <c r="AN382" s="44"/>
      <c r="AO382" s="44"/>
      <c r="AP382" s="44"/>
      <c r="AQ382" s="44"/>
      <c r="AR382" s="44"/>
      <c r="AS382" s="44"/>
      <c r="AT382" s="44"/>
      <c r="AU382" s="44"/>
      <c r="AV382" s="44"/>
      <c r="AW382" s="44"/>
      <c r="AX382" s="44"/>
      <c r="AY382" s="44"/>
      <c r="AZ382" s="44"/>
      <c r="BA382" s="44"/>
      <c r="BB382" s="44"/>
      <c r="BC382" s="44"/>
      <c r="BD382" s="44"/>
      <c r="BE382" s="44"/>
      <c r="BF382" s="44"/>
    </row>
    <row r="383" spans="11:58">
      <c r="R383" s="303"/>
      <c r="S383" s="301"/>
      <c r="T383" s="44"/>
      <c r="U383" s="44"/>
      <c r="V383" s="44"/>
      <c r="W383" s="132"/>
      <c r="X383" s="44"/>
      <c r="Y383" s="134"/>
      <c r="Z383" s="134"/>
      <c r="AA383" s="134"/>
      <c r="AB383" s="134"/>
      <c r="AC383" s="134"/>
      <c r="AD383" s="134"/>
      <c r="AE383" s="255"/>
      <c r="AF383" s="134"/>
      <c r="AG383" s="134"/>
      <c r="AH383" s="134"/>
      <c r="AI383" s="134"/>
      <c r="AJ383" s="44"/>
      <c r="AK383" s="44"/>
      <c r="AL383" s="44"/>
      <c r="AM383" s="44"/>
      <c r="AN383" s="44"/>
      <c r="AO383" s="44"/>
      <c r="AP383" s="44"/>
      <c r="AQ383" s="44"/>
      <c r="AR383" s="44"/>
      <c r="AS383" s="44"/>
      <c r="AT383" s="44"/>
      <c r="AU383" s="44"/>
      <c r="AV383" s="44"/>
      <c r="AW383" s="44"/>
      <c r="AX383" s="44"/>
      <c r="AY383" s="44"/>
      <c r="AZ383" s="44"/>
      <c r="BA383" s="44"/>
      <c r="BB383" s="44"/>
      <c r="BC383" s="44"/>
      <c r="BD383" s="44"/>
      <c r="BE383" s="44"/>
      <c r="BF383" s="44"/>
    </row>
    <row r="384" spans="11:58">
      <c r="R384" s="303"/>
      <c r="S384" s="301"/>
      <c r="T384" s="44"/>
      <c r="U384" s="44"/>
      <c r="V384" s="44"/>
      <c r="W384" s="132"/>
      <c r="X384" s="44"/>
      <c r="Y384" s="44"/>
      <c r="Z384" s="134"/>
      <c r="AA384" s="134"/>
      <c r="AB384" s="134"/>
      <c r="AC384" s="134"/>
      <c r="AD384" s="134"/>
      <c r="AE384" s="255"/>
      <c r="AF384" s="134"/>
      <c r="AG384" s="134"/>
      <c r="AH384" s="134"/>
      <c r="AI384" s="134"/>
      <c r="AJ384" s="44"/>
      <c r="AK384" s="44"/>
      <c r="AL384" s="44"/>
      <c r="AM384" s="44"/>
      <c r="AN384" s="44"/>
      <c r="AO384" s="44"/>
      <c r="AP384" s="44"/>
      <c r="AQ384" s="44"/>
      <c r="AR384" s="44"/>
      <c r="AS384" s="44"/>
      <c r="AT384" s="44"/>
      <c r="AU384" s="44"/>
      <c r="AV384" s="44"/>
      <c r="AW384" s="44"/>
      <c r="AX384" s="44"/>
      <c r="AY384" s="44"/>
      <c r="AZ384" s="44"/>
      <c r="BA384" s="44"/>
      <c r="BB384" s="44"/>
      <c r="BC384" s="44"/>
      <c r="BD384" s="44"/>
      <c r="BE384" s="44"/>
      <c r="BF384" s="44"/>
    </row>
    <row r="385" spans="18:58">
      <c r="R385" s="303"/>
      <c r="S385" s="301"/>
      <c r="T385" s="44"/>
      <c r="U385" s="44"/>
      <c r="V385" s="44"/>
      <c r="W385" s="132"/>
      <c r="X385" s="44"/>
      <c r="Y385" s="44"/>
      <c r="Z385" s="134"/>
      <c r="AA385" s="134"/>
      <c r="AB385" s="134"/>
      <c r="AC385" s="134"/>
      <c r="AD385" s="134"/>
      <c r="AE385" s="255"/>
      <c r="AF385" s="134"/>
      <c r="AG385" s="134"/>
      <c r="AH385" s="134"/>
      <c r="AI385" s="134"/>
      <c r="AJ385" s="44"/>
      <c r="AK385" s="44"/>
      <c r="AL385" s="44"/>
      <c r="AM385" s="44"/>
      <c r="AN385" s="44"/>
      <c r="AO385" s="44"/>
      <c r="AP385" s="44"/>
      <c r="AQ385" s="44"/>
      <c r="AR385" s="44"/>
      <c r="AS385" s="44"/>
      <c r="AT385" s="44"/>
      <c r="AU385" s="44"/>
      <c r="AV385" s="44"/>
      <c r="AW385" s="44"/>
      <c r="AX385" s="44"/>
      <c r="AY385" s="44"/>
      <c r="AZ385" s="44"/>
      <c r="BA385" s="44"/>
      <c r="BB385" s="44"/>
      <c r="BC385" s="44"/>
      <c r="BD385" s="44"/>
      <c r="BE385" s="44"/>
      <c r="BF385" s="44"/>
    </row>
    <row r="386" spans="18:58">
      <c r="R386" s="303"/>
      <c r="S386" s="301"/>
      <c r="T386" s="44"/>
      <c r="U386" s="44"/>
      <c r="V386" s="44"/>
      <c r="W386" s="132"/>
      <c r="X386" s="44"/>
      <c r="Y386" s="44"/>
      <c r="Z386" s="134"/>
      <c r="AA386" s="134"/>
      <c r="AB386" s="134"/>
      <c r="AC386" s="134"/>
      <c r="AD386" s="134"/>
      <c r="AE386" s="255"/>
      <c r="AF386" s="134"/>
      <c r="AG386" s="134"/>
      <c r="AH386" s="134"/>
      <c r="AI386" s="134"/>
      <c r="AJ386" s="44"/>
      <c r="AK386" s="44"/>
      <c r="AL386" s="44"/>
      <c r="AM386" s="44"/>
      <c r="AN386" s="44"/>
      <c r="AO386" s="44"/>
      <c r="AP386" s="44"/>
      <c r="AQ386" s="44"/>
      <c r="AR386" s="44"/>
      <c r="AS386" s="44"/>
      <c r="AT386" s="44"/>
      <c r="AU386" s="44"/>
      <c r="AV386" s="44"/>
      <c r="AW386" s="44"/>
      <c r="AX386" s="44"/>
      <c r="AY386" s="44"/>
      <c r="AZ386" s="44"/>
      <c r="BA386" s="44"/>
      <c r="BB386" s="44"/>
      <c r="BC386" s="44"/>
      <c r="BD386" s="44"/>
      <c r="BE386" s="44"/>
      <c r="BF386" s="44"/>
    </row>
    <row r="387" spans="18:58">
      <c r="R387" s="303"/>
      <c r="S387" s="301"/>
      <c r="T387" s="44"/>
      <c r="U387" s="44"/>
      <c r="V387" s="44"/>
      <c r="W387" s="132"/>
      <c r="X387" s="44"/>
      <c r="Y387" s="44"/>
      <c r="Z387" s="134"/>
      <c r="AA387" s="134"/>
      <c r="AB387" s="134"/>
      <c r="AC387" s="134"/>
      <c r="AD387" s="145"/>
      <c r="AE387" s="255"/>
      <c r="AF387" s="134"/>
      <c r="AG387" s="134"/>
      <c r="AH387" s="134"/>
      <c r="AI387" s="134"/>
      <c r="AJ387" s="44"/>
      <c r="AK387" s="44"/>
      <c r="AL387" s="44"/>
      <c r="AM387" s="44"/>
      <c r="AN387" s="44"/>
      <c r="AO387" s="44"/>
      <c r="AP387" s="44"/>
      <c r="AQ387" s="44"/>
      <c r="AR387" s="44"/>
      <c r="AS387" s="44"/>
      <c r="AT387" s="44"/>
      <c r="AU387" s="44"/>
      <c r="AV387" s="44"/>
      <c r="AW387" s="44"/>
      <c r="AX387" s="44"/>
      <c r="AY387" s="44"/>
      <c r="AZ387" s="44"/>
      <c r="BA387" s="44"/>
      <c r="BB387" s="44"/>
      <c r="BC387" s="44"/>
      <c r="BD387" s="44"/>
      <c r="BE387" s="44"/>
      <c r="BF387" s="44"/>
    </row>
    <row r="388" spans="18:58">
      <c r="R388" s="303"/>
      <c r="S388" s="301"/>
      <c r="T388" s="44"/>
      <c r="U388" s="44"/>
      <c r="V388" s="44"/>
      <c r="W388" s="132"/>
      <c r="X388" s="44"/>
      <c r="Y388" s="44"/>
      <c r="Z388" s="134"/>
      <c r="AA388" s="134"/>
      <c r="AB388" s="134"/>
      <c r="AC388" s="134"/>
      <c r="AD388" s="134"/>
      <c r="AE388" s="255"/>
      <c r="AF388" s="134"/>
      <c r="AG388" s="134"/>
      <c r="AH388" s="134"/>
      <c r="AI388" s="134"/>
      <c r="AJ388" s="44"/>
      <c r="AK388" s="44"/>
      <c r="AL388" s="44"/>
      <c r="AM388" s="44"/>
      <c r="AN388" s="44"/>
      <c r="AO388" s="44"/>
      <c r="AP388" s="44"/>
      <c r="AQ388" s="44"/>
      <c r="AR388" s="44"/>
      <c r="AS388" s="44"/>
      <c r="AT388" s="44"/>
      <c r="AU388" s="44"/>
      <c r="AV388" s="44"/>
      <c r="AW388" s="44"/>
      <c r="AX388" s="44"/>
      <c r="AY388" s="44"/>
      <c r="AZ388" s="44"/>
      <c r="BA388" s="44"/>
      <c r="BB388" s="44"/>
      <c r="BC388" s="44"/>
      <c r="BD388" s="44"/>
      <c r="BE388" s="44"/>
      <c r="BF388" s="44"/>
    </row>
    <row r="389" spans="18:58">
      <c r="R389" s="303"/>
      <c r="S389" s="301"/>
      <c r="T389" s="44"/>
      <c r="U389" s="44"/>
      <c r="V389" s="44"/>
      <c r="W389" s="132"/>
      <c r="X389" s="44"/>
      <c r="Y389" s="44"/>
      <c r="Z389" s="134"/>
      <c r="AA389" s="134"/>
      <c r="AB389" s="134"/>
      <c r="AC389" s="145"/>
      <c r="AD389" s="134"/>
      <c r="AE389" s="255"/>
      <c r="AF389" s="134"/>
      <c r="AG389" s="134"/>
      <c r="AH389" s="134"/>
      <c r="AI389" s="134"/>
      <c r="AJ389" s="44"/>
      <c r="AK389" s="44"/>
      <c r="AL389" s="44"/>
      <c r="AM389" s="44"/>
      <c r="AN389" s="44"/>
      <c r="AO389" s="44"/>
      <c r="AP389" s="44"/>
      <c r="AQ389" s="44"/>
      <c r="AR389" s="44"/>
      <c r="AS389" s="44"/>
      <c r="AT389" s="44"/>
      <c r="AU389" s="44"/>
      <c r="AV389" s="44"/>
      <c r="AW389" s="44"/>
      <c r="AX389" s="44"/>
      <c r="AY389" s="44"/>
      <c r="AZ389" s="44"/>
      <c r="BA389" s="44"/>
      <c r="BB389" s="44"/>
      <c r="BC389" s="44"/>
      <c r="BD389" s="44"/>
      <c r="BE389" s="44"/>
      <c r="BF389" s="44"/>
    </row>
    <row r="390" spans="18:58">
      <c r="R390" s="303"/>
      <c r="S390" s="301"/>
      <c r="T390" s="44"/>
      <c r="U390" s="44"/>
      <c r="V390" s="44"/>
      <c r="W390" s="132"/>
      <c r="X390" s="44"/>
      <c r="Y390" s="44"/>
      <c r="Z390" s="134"/>
      <c r="AA390" s="134"/>
      <c r="AB390" s="134"/>
      <c r="AC390" s="134"/>
      <c r="AD390" s="134"/>
      <c r="AE390" s="255"/>
      <c r="AF390" s="134"/>
      <c r="AG390" s="134"/>
      <c r="AH390" s="134"/>
      <c r="AI390" s="134"/>
      <c r="AJ390" s="44"/>
      <c r="AK390" s="44"/>
      <c r="AL390" s="44"/>
      <c r="AM390" s="44"/>
      <c r="AN390" s="44"/>
      <c r="AO390" s="44"/>
      <c r="AP390" s="44"/>
      <c r="AQ390" s="44"/>
      <c r="AR390" s="44"/>
      <c r="AS390" s="44"/>
      <c r="AT390" s="44"/>
      <c r="AU390" s="44"/>
      <c r="AV390" s="44"/>
      <c r="AW390" s="44"/>
      <c r="AX390" s="44"/>
      <c r="AY390" s="44"/>
      <c r="AZ390" s="44"/>
      <c r="BA390" s="44"/>
      <c r="BB390" s="44"/>
      <c r="BC390" s="44"/>
      <c r="BD390" s="44"/>
      <c r="BE390" s="44"/>
      <c r="BF390" s="44"/>
    </row>
    <row r="391" spans="18:58">
      <c r="R391" s="303"/>
      <c r="S391" s="301"/>
      <c r="T391" s="44"/>
      <c r="U391" s="44"/>
      <c r="V391" s="44"/>
      <c r="W391" s="132"/>
      <c r="X391" s="44"/>
      <c r="Y391" s="44"/>
      <c r="Z391" s="134"/>
      <c r="AA391" s="134"/>
      <c r="AB391" s="134"/>
      <c r="AC391" s="145"/>
      <c r="AD391" s="134"/>
      <c r="AE391" s="255"/>
      <c r="AF391" s="134"/>
      <c r="AG391" s="134"/>
      <c r="AH391" s="134"/>
      <c r="AI391" s="134"/>
      <c r="AJ391" s="44"/>
      <c r="AK391" s="44"/>
      <c r="AL391" s="44"/>
      <c r="AM391" s="44"/>
      <c r="AN391" s="44"/>
      <c r="AO391" s="44"/>
      <c r="AP391" s="44"/>
      <c r="AQ391" s="44"/>
      <c r="AR391" s="44"/>
      <c r="AS391" s="44"/>
      <c r="AT391" s="44"/>
      <c r="AU391" s="44"/>
      <c r="AV391" s="44"/>
      <c r="AW391" s="44"/>
      <c r="AX391" s="44"/>
      <c r="AY391" s="44"/>
      <c r="AZ391" s="44"/>
      <c r="BA391" s="44"/>
      <c r="BB391" s="44"/>
      <c r="BC391" s="44"/>
      <c r="BD391" s="44"/>
      <c r="BE391" s="44"/>
      <c r="BF391" s="44"/>
    </row>
    <row r="392" spans="18:58">
      <c r="R392" s="303"/>
      <c r="S392" s="301"/>
      <c r="T392" s="44"/>
      <c r="U392" s="44"/>
      <c r="V392" s="44"/>
      <c r="W392" s="132"/>
      <c r="X392" s="44"/>
      <c r="Y392" s="44"/>
      <c r="Z392" s="134"/>
      <c r="AA392" s="134"/>
      <c r="AB392" s="134"/>
      <c r="AC392" s="145"/>
      <c r="AD392" s="134"/>
      <c r="AE392" s="255"/>
      <c r="AF392" s="134"/>
      <c r="AG392" s="134"/>
      <c r="AH392" s="134"/>
      <c r="AI392" s="134"/>
      <c r="AJ392" s="44"/>
      <c r="AK392" s="44"/>
      <c r="AL392" s="44"/>
      <c r="AM392" s="44"/>
      <c r="AN392" s="44"/>
      <c r="AO392" s="44"/>
      <c r="AP392" s="44"/>
      <c r="AQ392" s="44"/>
      <c r="AR392" s="44"/>
      <c r="AS392" s="44"/>
      <c r="AT392" s="44"/>
      <c r="AU392" s="44"/>
      <c r="AV392" s="44"/>
      <c r="AW392" s="44"/>
      <c r="AX392" s="44"/>
      <c r="AY392" s="44"/>
      <c r="AZ392" s="44"/>
      <c r="BA392" s="44"/>
      <c r="BB392" s="44"/>
      <c r="BC392" s="44"/>
      <c r="BD392" s="44"/>
      <c r="BE392" s="44"/>
      <c r="BF392" s="44"/>
    </row>
    <row r="393" spans="18:58">
      <c r="R393" s="303"/>
      <c r="S393" s="301"/>
      <c r="T393" s="44"/>
      <c r="U393" s="44"/>
      <c r="V393" s="44"/>
      <c r="W393" s="132"/>
      <c r="X393" s="44"/>
      <c r="Y393" s="44"/>
      <c r="Z393" s="134"/>
      <c r="AA393" s="134"/>
      <c r="AB393" s="134"/>
      <c r="AC393" s="134"/>
      <c r="AD393" s="134"/>
      <c r="AE393" s="255"/>
      <c r="AF393" s="134"/>
      <c r="AG393" s="134"/>
      <c r="AH393" s="134"/>
      <c r="AI393" s="134"/>
      <c r="AJ393" s="44"/>
      <c r="AK393" s="44"/>
      <c r="AL393" s="44"/>
      <c r="AM393" s="44"/>
      <c r="AN393" s="44"/>
      <c r="AO393" s="44"/>
      <c r="AP393" s="44"/>
      <c r="AQ393" s="44"/>
      <c r="AR393" s="44"/>
      <c r="AS393" s="44"/>
      <c r="AT393" s="44"/>
      <c r="AU393" s="44"/>
      <c r="AV393" s="44"/>
      <c r="AW393" s="44"/>
      <c r="AX393" s="44"/>
      <c r="AY393" s="44"/>
      <c r="AZ393" s="44"/>
      <c r="BA393" s="44"/>
      <c r="BB393" s="44"/>
      <c r="BC393" s="44"/>
      <c r="BD393" s="44"/>
      <c r="BE393" s="44"/>
      <c r="BF393" s="44"/>
    </row>
    <row r="394" spans="18:58">
      <c r="R394" s="303"/>
      <c r="S394" s="301"/>
      <c r="T394" s="44"/>
      <c r="U394" s="44"/>
      <c r="V394" s="44"/>
      <c r="W394" s="132"/>
      <c r="X394" s="44"/>
      <c r="Y394" s="44"/>
      <c r="Z394" s="134"/>
      <c r="AA394" s="134"/>
      <c r="AB394" s="134"/>
      <c r="AC394" s="134"/>
      <c r="AD394" s="134"/>
      <c r="AE394" s="255"/>
      <c r="AF394" s="134"/>
      <c r="AG394" s="134"/>
      <c r="AH394" s="134"/>
      <c r="AI394" s="134"/>
      <c r="AJ394" s="44"/>
      <c r="AK394" s="44"/>
      <c r="AL394" s="44"/>
      <c r="AM394" s="44"/>
      <c r="AN394" s="44"/>
      <c r="AO394" s="44"/>
      <c r="AP394" s="44"/>
      <c r="AQ394" s="44"/>
      <c r="AR394" s="44"/>
      <c r="AS394" s="44"/>
      <c r="AT394" s="44"/>
      <c r="AU394" s="44"/>
      <c r="AV394" s="44"/>
      <c r="AW394" s="44"/>
      <c r="AX394" s="44"/>
      <c r="AY394" s="44"/>
      <c r="AZ394" s="44"/>
      <c r="BA394" s="44"/>
      <c r="BB394" s="44"/>
      <c r="BC394" s="44"/>
      <c r="BD394" s="44"/>
      <c r="BE394" s="44"/>
      <c r="BF394" s="44"/>
    </row>
    <row r="395" spans="18:58">
      <c r="R395" s="303"/>
      <c r="S395" s="301"/>
      <c r="T395" s="44"/>
      <c r="U395" s="44"/>
      <c r="V395" s="44"/>
      <c r="W395" s="132"/>
      <c r="X395" s="44"/>
      <c r="Y395" s="44"/>
      <c r="Z395" s="134"/>
      <c r="AA395" s="134"/>
      <c r="AB395" s="134"/>
      <c r="AC395" s="134"/>
      <c r="AD395" s="134"/>
      <c r="AE395" s="255"/>
      <c r="AF395" s="134"/>
      <c r="AG395" s="134"/>
      <c r="AH395" s="134"/>
      <c r="AI395" s="134"/>
      <c r="AJ395" s="44"/>
      <c r="AK395" s="44"/>
      <c r="AL395" s="44"/>
      <c r="AM395" s="44"/>
      <c r="AN395" s="44"/>
      <c r="AO395" s="44"/>
      <c r="AP395" s="44"/>
      <c r="AQ395" s="44"/>
      <c r="AR395" s="44"/>
      <c r="AS395" s="44"/>
      <c r="AT395" s="44"/>
      <c r="AU395" s="44"/>
      <c r="AV395" s="44"/>
      <c r="AW395" s="44"/>
      <c r="AX395" s="44"/>
      <c r="AY395" s="44"/>
      <c r="AZ395" s="44"/>
      <c r="BA395" s="44"/>
      <c r="BB395" s="44"/>
      <c r="BC395" s="44"/>
      <c r="BD395" s="44"/>
      <c r="BE395" s="44"/>
      <c r="BF395" s="44"/>
    </row>
    <row r="396" spans="18:58">
      <c r="R396" s="303"/>
      <c r="S396" s="301"/>
      <c r="T396" s="44"/>
      <c r="U396" s="44"/>
      <c r="V396" s="44"/>
      <c r="W396" s="132"/>
      <c r="X396" s="44"/>
      <c r="Y396" s="44"/>
      <c r="Z396" s="134"/>
      <c r="AA396" s="134"/>
      <c r="AB396" s="134"/>
      <c r="AC396" s="134"/>
      <c r="AD396" s="134"/>
      <c r="AE396" s="255"/>
      <c r="AF396" s="134"/>
      <c r="AG396" s="134"/>
      <c r="AH396" s="134"/>
      <c r="AI396" s="134"/>
      <c r="AJ396" s="44"/>
      <c r="AK396" s="44"/>
      <c r="AL396" s="44"/>
      <c r="AM396" s="44"/>
      <c r="AN396" s="44"/>
      <c r="AO396" s="44"/>
      <c r="AP396" s="44"/>
      <c r="AQ396" s="44"/>
      <c r="AR396" s="44"/>
      <c r="AS396" s="44"/>
      <c r="AT396" s="44"/>
      <c r="AU396" s="44"/>
      <c r="AV396" s="44"/>
      <c r="AW396" s="44"/>
      <c r="AX396" s="44"/>
      <c r="AY396" s="44"/>
      <c r="AZ396" s="44"/>
      <c r="BA396" s="44"/>
      <c r="BB396" s="44"/>
      <c r="BC396" s="44"/>
      <c r="BD396" s="44"/>
      <c r="BE396" s="44"/>
      <c r="BF396" s="44"/>
    </row>
    <row r="397" spans="18:58">
      <c r="R397" s="303"/>
      <c r="S397" s="301"/>
      <c r="T397" s="44"/>
      <c r="U397" s="44"/>
      <c r="V397" s="44"/>
      <c r="W397" s="132"/>
      <c r="X397" s="44"/>
      <c r="Y397" s="44"/>
      <c r="Z397" s="134"/>
      <c r="AA397" s="134"/>
      <c r="AB397" s="134"/>
      <c r="AC397" s="134"/>
      <c r="AD397" s="134"/>
      <c r="AE397" s="255"/>
      <c r="AF397" s="134"/>
      <c r="AG397" s="134"/>
      <c r="AH397" s="134"/>
      <c r="AI397" s="134"/>
      <c r="AJ397" s="44"/>
      <c r="AK397" s="44"/>
      <c r="AL397" s="44"/>
      <c r="AM397" s="44"/>
      <c r="AN397" s="44"/>
      <c r="AO397" s="44"/>
      <c r="AP397" s="44"/>
      <c r="AQ397" s="44"/>
      <c r="AR397" s="44"/>
      <c r="AS397" s="44"/>
      <c r="AT397" s="44"/>
      <c r="AU397" s="44"/>
      <c r="AV397" s="44"/>
      <c r="AW397" s="44"/>
      <c r="AX397" s="44"/>
      <c r="AY397" s="44"/>
      <c r="AZ397" s="44"/>
      <c r="BA397" s="44"/>
      <c r="BB397" s="44"/>
      <c r="BC397" s="44"/>
      <c r="BD397" s="44"/>
      <c r="BE397" s="44"/>
      <c r="BF397" s="44"/>
    </row>
    <row r="398" spans="18:58">
      <c r="R398" s="303"/>
      <c r="S398" s="301"/>
      <c r="T398" s="44"/>
      <c r="U398" s="44"/>
      <c r="V398" s="44"/>
      <c r="W398" s="132"/>
      <c r="X398" s="44"/>
      <c r="Y398" s="44"/>
      <c r="Z398" s="134"/>
      <c r="AA398" s="134"/>
      <c r="AB398" s="134"/>
      <c r="AC398" s="134"/>
      <c r="AD398" s="134"/>
      <c r="AE398" s="255"/>
      <c r="AF398" s="134"/>
      <c r="AG398" s="304"/>
      <c r="AH398" s="134"/>
      <c r="AI398" s="134"/>
      <c r="AJ398" s="44"/>
      <c r="AK398" s="44"/>
      <c r="AL398" s="44"/>
      <c r="AM398" s="44"/>
      <c r="AN398" s="44"/>
      <c r="AO398" s="44"/>
      <c r="AP398" s="44"/>
      <c r="AQ398" s="44"/>
      <c r="AR398" s="44"/>
      <c r="AS398" s="44"/>
      <c r="AT398" s="44"/>
      <c r="AU398" s="44"/>
      <c r="AV398" s="44"/>
      <c r="AW398" s="44"/>
      <c r="AX398" s="44"/>
      <c r="AY398" s="44"/>
      <c r="AZ398" s="44"/>
      <c r="BA398" s="44"/>
      <c r="BB398" s="44"/>
      <c r="BC398" s="44"/>
      <c r="BD398" s="44"/>
      <c r="BE398" s="44"/>
      <c r="BF398" s="44"/>
    </row>
    <row r="399" spans="18:58">
      <c r="R399" s="303"/>
      <c r="S399" s="301"/>
      <c r="T399" s="44"/>
      <c r="U399" s="44"/>
      <c r="V399" s="44"/>
      <c r="W399" s="132"/>
      <c r="X399" s="44"/>
      <c r="Y399" s="44"/>
      <c r="Z399" s="134"/>
      <c r="AA399" s="134"/>
      <c r="AB399" s="134"/>
      <c r="AC399" s="134"/>
      <c r="AD399" s="134"/>
      <c r="AE399" s="255"/>
      <c r="AF399" s="44"/>
      <c r="AG399" s="304"/>
      <c r="AH399" s="134"/>
      <c r="AI399" s="134"/>
      <c r="AJ399" s="44"/>
      <c r="AK399" s="44"/>
      <c r="AL399" s="44"/>
      <c r="AM399" s="44"/>
      <c r="AN399" s="44"/>
      <c r="AO399" s="44"/>
      <c r="AP399" s="44"/>
      <c r="AQ399" s="44"/>
      <c r="AR399" s="44"/>
      <c r="AS399" s="44"/>
      <c r="AT399" s="44"/>
      <c r="AU399" s="44"/>
      <c r="AV399" s="44"/>
      <c r="AW399" s="44"/>
      <c r="AX399" s="44"/>
      <c r="AY399" s="44"/>
      <c r="AZ399" s="44"/>
      <c r="BA399" s="44"/>
      <c r="BB399" s="44"/>
      <c r="BC399" s="44"/>
      <c r="BD399" s="44"/>
      <c r="BE399" s="44"/>
      <c r="BF399" s="44"/>
    </row>
    <row r="400" spans="18:58">
      <c r="R400" s="303"/>
      <c r="S400" s="301"/>
      <c r="T400" s="44"/>
      <c r="U400" s="44"/>
      <c r="V400" s="44"/>
      <c r="W400" s="132"/>
      <c r="X400" s="44"/>
      <c r="Y400" s="44"/>
      <c r="Z400" s="134"/>
      <c r="AA400" s="134"/>
      <c r="AB400" s="134"/>
      <c r="AC400" s="134"/>
      <c r="AD400" s="134"/>
      <c r="AE400" s="255"/>
      <c r="AF400" s="44"/>
      <c r="AG400" s="304"/>
      <c r="AH400" s="134"/>
      <c r="AI400" s="134"/>
      <c r="AJ400" s="44"/>
      <c r="AK400" s="44"/>
      <c r="AL400" s="44"/>
      <c r="AM400" s="44"/>
      <c r="AN400" s="44"/>
      <c r="AO400" s="44"/>
      <c r="AP400" s="44"/>
      <c r="AQ400" s="44"/>
      <c r="AR400" s="44"/>
      <c r="AS400" s="44"/>
      <c r="AT400" s="44"/>
      <c r="AU400" s="44"/>
      <c r="AV400" s="44"/>
      <c r="AW400" s="44"/>
      <c r="AX400" s="44"/>
      <c r="AY400" s="44"/>
      <c r="AZ400" s="44"/>
      <c r="BA400" s="44"/>
      <c r="BB400" s="44"/>
      <c r="BC400" s="44"/>
      <c r="BD400" s="44"/>
      <c r="BE400" s="44"/>
      <c r="BF400" s="44"/>
    </row>
    <row r="401" spans="18:58">
      <c r="R401" s="303"/>
      <c r="S401" s="301"/>
      <c r="T401" s="44"/>
      <c r="U401" s="44"/>
      <c r="V401" s="44"/>
      <c r="W401" s="132"/>
      <c r="X401" s="44"/>
      <c r="Y401" s="44"/>
      <c r="Z401" s="134"/>
      <c r="AA401" s="134"/>
      <c r="AB401" s="134"/>
      <c r="AC401" s="134"/>
      <c r="AD401" s="134"/>
      <c r="AE401" s="255"/>
      <c r="AF401" s="44"/>
      <c r="AG401" s="304"/>
      <c r="AH401" s="134"/>
      <c r="AI401" s="134"/>
      <c r="AJ401" s="44"/>
      <c r="AK401" s="44"/>
      <c r="AL401" s="44"/>
      <c r="AM401" s="44"/>
      <c r="AN401" s="44"/>
      <c r="AO401" s="44"/>
      <c r="AP401" s="44"/>
      <c r="AQ401" s="44"/>
      <c r="AR401" s="44"/>
      <c r="AS401" s="44"/>
      <c r="AT401" s="44"/>
      <c r="AU401" s="44"/>
      <c r="AV401" s="44"/>
      <c r="AW401" s="44"/>
      <c r="AX401" s="44"/>
      <c r="AY401" s="44"/>
      <c r="AZ401" s="44"/>
      <c r="BA401" s="44"/>
      <c r="BB401" s="44"/>
      <c r="BC401" s="44"/>
      <c r="BD401" s="44"/>
      <c r="BE401" s="44"/>
      <c r="BF401" s="44"/>
    </row>
    <row r="402" spans="18:58">
      <c r="R402" s="303"/>
      <c r="S402" s="301"/>
      <c r="T402" s="44"/>
      <c r="U402" s="44"/>
      <c r="V402" s="44"/>
      <c r="W402" s="132"/>
      <c r="X402" s="44"/>
      <c r="Y402" s="44"/>
      <c r="Z402" s="134"/>
      <c r="AA402" s="134"/>
      <c r="AB402" s="134"/>
      <c r="AC402" s="134"/>
      <c r="AD402" s="134"/>
      <c r="AE402" s="255"/>
      <c r="AF402" s="44"/>
      <c r="AG402" s="304"/>
      <c r="AH402" s="134"/>
      <c r="AI402" s="134"/>
      <c r="AJ402" s="44"/>
      <c r="AK402" s="44"/>
      <c r="AL402" s="44"/>
      <c r="AM402" s="44"/>
      <c r="AN402" s="44"/>
      <c r="AO402" s="44"/>
      <c r="AP402" s="44"/>
      <c r="AQ402" s="44"/>
      <c r="AR402" s="44"/>
      <c r="AS402" s="44"/>
      <c r="AT402" s="44"/>
      <c r="AU402" s="44"/>
      <c r="AV402" s="44"/>
      <c r="AW402" s="44"/>
      <c r="AX402" s="44"/>
      <c r="AY402" s="44"/>
      <c r="AZ402" s="44"/>
      <c r="BA402" s="44"/>
      <c r="BB402" s="44"/>
      <c r="BC402" s="44"/>
      <c r="BD402" s="44"/>
      <c r="BE402" s="44"/>
      <c r="BF402" s="44"/>
    </row>
    <row r="403" spans="18:58">
      <c r="R403" s="303"/>
      <c r="S403" s="301"/>
      <c r="T403" s="44"/>
      <c r="U403" s="44"/>
      <c r="V403" s="44"/>
      <c r="W403" s="132"/>
      <c r="X403" s="44"/>
      <c r="Y403" s="44"/>
      <c r="Z403" s="134"/>
      <c r="AA403" s="134"/>
      <c r="AB403" s="134"/>
      <c r="AC403" s="134"/>
      <c r="AD403" s="134"/>
      <c r="AE403" s="255"/>
      <c r="AF403" s="44"/>
      <c r="AG403" s="304"/>
      <c r="AH403" s="134"/>
      <c r="AI403" s="134"/>
      <c r="AJ403" s="44"/>
      <c r="AK403" s="44"/>
      <c r="AL403" s="44"/>
      <c r="AM403" s="44"/>
      <c r="AN403" s="44"/>
      <c r="AO403" s="44"/>
      <c r="AP403" s="44"/>
      <c r="AQ403" s="44"/>
      <c r="AR403" s="44"/>
      <c r="AS403" s="44"/>
      <c r="AT403" s="44"/>
      <c r="AU403" s="44"/>
      <c r="AV403" s="44"/>
      <c r="AW403" s="44"/>
      <c r="AX403" s="44"/>
      <c r="AY403" s="44"/>
      <c r="AZ403" s="44"/>
      <c r="BA403" s="44"/>
      <c r="BB403" s="44"/>
      <c r="BC403" s="44"/>
      <c r="BD403" s="44"/>
      <c r="BE403" s="44"/>
      <c r="BF403" s="44"/>
    </row>
    <row r="404" spans="18:58">
      <c r="R404" s="303"/>
      <c r="S404" s="301"/>
      <c r="T404" s="44"/>
      <c r="U404" s="44"/>
      <c r="V404" s="44"/>
      <c r="W404" s="132"/>
      <c r="X404" s="44"/>
      <c r="Y404" s="44"/>
      <c r="Z404" s="134"/>
      <c r="AA404" s="134"/>
      <c r="AB404" s="134"/>
      <c r="AC404" s="134"/>
      <c r="AD404" s="134"/>
      <c r="AE404" s="255"/>
      <c r="AF404" s="44"/>
      <c r="AG404" s="304"/>
      <c r="AH404" s="134"/>
      <c r="AI404" s="134"/>
      <c r="AJ404" s="44"/>
      <c r="AK404" s="44"/>
      <c r="AL404" s="44"/>
      <c r="AM404" s="44"/>
      <c r="AN404" s="44"/>
      <c r="AO404" s="44"/>
      <c r="AP404" s="44"/>
      <c r="AQ404" s="44"/>
      <c r="AR404" s="44"/>
      <c r="AS404" s="44"/>
      <c r="AT404" s="44"/>
      <c r="AU404" s="44"/>
      <c r="AV404" s="44"/>
      <c r="AW404" s="44"/>
      <c r="AX404" s="44"/>
      <c r="AY404" s="44"/>
      <c r="AZ404" s="44"/>
      <c r="BA404" s="44"/>
      <c r="BB404" s="44"/>
      <c r="BC404" s="44"/>
      <c r="BD404" s="44"/>
      <c r="BE404" s="44"/>
      <c r="BF404" s="44"/>
    </row>
    <row r="405" spans="18:58">
      <c r="R405" s="303"/>
      <c r="S405" s="301"/>
      <c r="T405" s="44"/>
      <c r="U405" s="44"/>
      <c r="V405" s="44"/>
      <c r="W405" s="132"/>
      <c r="X405" s="44"/>
      <c r="Y405" s="44"/>
      <c r="Z405" s="134"/>
      <c r="AA405" s="134"/>
      <c r="AB405" s="134"/>
      <c r="AC405" s="134"/>
      <c r="AD405" s="134"/>
      <c r="AE405" s="255"/>
      <c r="AF405" s="134"/>
      <c r="AG405" s="134"/>
      <c r="AH405" s="134"/>
      <c r="AI405" s="134"/>
      <c r="AJ405" s="44"/>
      <c r="AK405" s="44"/>
      <c r="AL405" s="44"/>
      <c r="AM405" s="44"/>
      <c r="AN405" s="44"/>
      <c r="AO405" s="44"/>
      <c r="AP405" s="44"/>
      <c r="AQ405" s="44"/>
      <c r="AR405" s="44"/>
      <c r="AS405" s="44"/>
      <c r="AT405" s="44"/>
      <c r="AU405" s="44"/>
      <c r="AV405" s="44"/>
      <c r="AW405" s="44"/>
      <c r="AX405" s="44"/>
      <c r="AY405" s="44"/>
      <c r="AZ405" s="44"/>
      <c r="BA405" s="44"/>
      <c r="BB405" s="44"/>
      <c r="BC405" s="44"/>
      <c r="BD405" s="44"/>
      <c r="BE405" s="44"/>
      <c r="BF405" s="44"/>
    </row>
    <row r="406" spans="18:58">
      <c r="R406" s="303"/>
      <c r="S406" s="301"/>
      <c r="T406" s="44"/>
      <c r="U406" s="44"/>
      <c r="V406" s="44"/>
      <c r="W406" s="132"/>
      <c r="X406" s="44"/>
      <c r="Y406" s="44"/>
      <c r="Z406" s="134"/>
      <c r="AA406" s="134"/>
      <c r="AB406" s="134"/>
      <c r="AC406" s="134"/>
      <c r="AD406" s="134"/>
      <c r="AE406" s="305"/>
      <c r="AF406" s="145"/>
      <c r="AG406" s="134"/>
      <c r="AH406" s="134"/>
      <c r="AI406" s="134"/>
      <c r="AJ406" s="44"/>
      <c r="AK406" s="44"/>
      <c r="AL406" s="44"/>
      <c r="AM406" s="44"/>
      <c r="AN406" s="44"/>
      <c r="AO406" s="44"/>
      <c r="AP406" s="44"/>
      <c r="AQ406" s="44"/>
      <c r="AR406" s="44"/>
      <c r="AS406" s="44"/>
      <c r="AT406" s="44"/>
      <c r="AU406" s="44"/>
      <c r="AV406" s="44"/>
      <c r="AW406" s="44"/>
      <c r="AX406" s="44"/>
      <c r="AY406" s="44"/>
      <c r="AZ406" s="44"/>
      <c r="BA406" s="44"/>
      <c r="BB406" s="44"/>
      <c r="BC406" s="44"/>
      <c r="BD406" s="44"/>
      <c r="BE406" s="44"/>
      <c r="BF406" s="44"/>
    </row>
    <row r="407" spans="18:58">
      <c r="R407" s="303"/>
      <c r="S407" s="301"/>
      <c r="T407" s="44"/>
      <c r="U407" s="44"/>
      <c r="V407" s="44"/>
      <c r="W407" s="132"/>
      <c r="X407" s="44"/>
      <c r="Y407" s="44"/>
      <c r="Z407" s="134"/>
      <c r="AA407" s="134"/>
      <c r="AB407" s="134"/>
      <c r="AC407" s="134"/>
      <c r="AD407" s="134"/>
      <c r="AE407" s="305"/>
      <c r="AF407" s="145"/>
      <c r="AG407" s="134"/>
      <c r="AH407" s="134"/>
      <c r="AI407" s="134"/>
      <c r="AJ407" s="44"/>
      <c r="AK407" s="44"/>
      <c r="AL407" s="44"/>
      <c r="AM407" s="44"/>
      <c r="AN407" s="44"/>
      <c r="AO407" s="44"/>
      <c r="AP407" s="44"/>
      <c r="AQ407" s="44"/>
      <c r="AR407" s="44"/>
      <c r="AS407" s="44"/>
      <c r="AT407" s="44"/>
      <c r="AU407" s="44"/>
      <c r="AV407" s="44"/>
      <c r="AW407" s="44"/>
      <c r="AX407" s="44"/>
      <c r="AY407" s="44"/>
      <c r="AZ407" s="44"/>
      <c r="BA407" s="44"/>
      <c r="BB407" s="44"/>
      <c r="BC407" s="44"/>
      <c r="BD407" s="44"/>
      <c r="BE407" s="44"/>
      <c r="BF407" s="44"/>
    </row>
    <row r="408" spans="18:58">
      <c r="R408" s="303"/>
      <c r="S408" s="301"/>
      <c r="T408" s="44"/>
      <c r="U408" s="44"/>
      <c r="V408" s="44"/>
      <c r="W408" s="132"/>
      <c r="X408" s="44"/>
      <c r="Y408" s="44"/>
      <c r="Z408" s="44"/>
      <c r="AA408" s="44"/>
      <c r="AB408" s="134"/>
      <c r="AC408" s="44"/>
      <c r="AD408" s="134"/>
      <c r="AE408" s="305"/>
      <c r="AF408" s="145"/>
      <c r="AG408" s="134"/>
      <c r="AH408" s="134"/>
      <c r="AI408" s="134"/>
      <c r="AJ408" s="44"/>
      <c r="AK408" s="44"/>
      <c r="AL408" s="44"/>
      <c r="AM408" s="44"/>
      <c r="AN408" s="44"/>
      <c r="AO408" s="44"/>
      <c r="AP408" s="44"/>
      <c r="AQ408" s="44"/>
      <c r="AR408" s="44"/>
      <c r="AS408" s="44"/>
      <c r="AT408" s="44"/>
      <c r="AU408" s="44"/>
      <c r="AV408" s="44"/>
      <c r="AW408" s="44"/>
      <c r="AX408" s="44"/>
      <c r="AY408" s="44"/>
      <c r="AZ408" s="44"/>
      <c r="BA408" s="44"/>
      <c r="BB408" s="44"/>
      <c r="BC408" s="44"/>
      <c r="BD408" s="44"/>
      <c r="BE408" s="44"/>
      <c r="BF408" s="44"/>
    </row>
    <row r="409" spans="18:58">
      <c r="R409" s="303"/>
      <c r="S409" s="301"/>
      <c r="T409" s="44"/>
      <c r="U409" s="44"/>
      <c r="V409" s="44"/>
      <c r="W409" s="132"/>
      <c r="X409" s="44"/>
      <c r="Y409" s="44"/>
      <c r="Z409" s="44"/>
      <c r="AA409" s="44"/>
      <c r="AB409" s="44"/>
      <c r="AC409" s="44"/>
      <c r="AD409" s="134"/>
      <c r="AE409" s="255"/>
      <c r="AF409" s="134"/>
      <c r="AG409" s="134"/>
      <c r="AH409" s="134"/>
      <c r="AI409" s="134"/>
      <c r="AJ409" s="44"/>
      <c r="AK409" s="44"/>
      <c r="AL409" s="44"/>
      <c r="AM409" s="44"/>
      <c r="AN409" s="44"/>
      <c r="AO409" s="44"/>
      <c r="AP409" s="44"/>
      <c r="AQ409" s="44"/>
      <c r="AR409" s="44"/>
      <c r="AS409" s="44"/>
      <c r="AT409" s="44"/>
      <c r="AU409" s="44"/>
      <c r="AV409" s="44"/>
      <c r="AW409" s="44"/>
      <c r="AX409" s="44"/>
      <c r="AY409" s="44"/>
      <c r="AZ409" s="44"/>
      <c r="BA409" s="44"/>
      <c r="BB409" s="44"/>
      <c r="BC409" s="44"/>
      <c r="BD409" s="44"/>
      <c r="BE409" s="44"/>
      <c r="BF409" s="44"/>
    </row>
    <row r="410" spans="18:58">
      <c r="R410" s="303"/>
      <c r="S410" s="301"/>
      <c r="T410" s="44"/>
      <c r="U410" s="44"/>
      <c r="V410" s="44"/>
      <c r="W410" s="132"/>
      <c r="X410" s="44"/>
      <c r="Y410" s="44"/>
      <c r="Z410" s="44"/>
      <c r="AA410" s="44"/>
      <c r="AB410" s="44"/>
      <c r="AC410" s="44"/>
      <c r="AD410" s="44"/>
      <c r="AE410" s="300"/>
      <c r="AF410" s="44"/>
      <c r="AG410" s="44"/>
      <c r="AH410" s="44"/>
      <c r="AI410" s="44"/>
      <c r="AJ410" s="44"/>
      <c r="AK410" s="44"/>
      <c r="AL410" s="44"/>
      <c r="AM410" s="44"/>
      <c r="AN410" s="44"/>
      <c r="AO410" s="44"/>
      <c r="AP410" s="44"/>
      <c r="AQ410" s="44"/>
      <c r="AR410" s="44"/>
      <c r="AS410" s="44"/>
      <c r="AT410" s="44"/>
      <c r="AU410" s="44"/>
      <c r="AV410" s="44"/>
      <c r="AW410" s="44"/>
      <c r="AX410" s="44"/>
      <c r="AY410" s="44"/>
      <c r="AZ410" s="44"/>
      <c r="BA410" s="44"/>
      <c r="BB410" s="44"/>
      <c r="BC410" s="44"/>
      <c r="BD410" s="44"/>
      <c r="BE410" s="44"/>
      <c r="BF410" s="44"/>
    </row>
    <row r="411" spans="18:58">
      <c r="R411" s="303"/>
      <c r="S411" s="301"/>
      <c r="T411" s="44"/>
      <c r="U411" s="44"/>
      <c r="V411" s="44"/>
      <c r="W411" s="132"/>
      <c r="X411" s="44"/>
      <c r="Y411" s="44"/>
      <c r="Z411" s="44"/>
      <c r="AA411" s="44"/>
      <c r="AB411" s="44"/>
      <c r="AC411" s="44"/>
      <c r="AD411" s="44"/>
      <c r="AE411" s="300"/>
      <c r="AF411" s="44"/>
      <c r="AG411" s="44"/>
      <c r="AH411" s="44"/>
      <c r="AI411" s="44"/>
      <c r="AJ411" s="44"/>
      <c r="AK411" s="44"/>
      <c r="AL411" s="44"/>
      <c r="AM411" s="44"/>
      <c r="AN411" s="44"/>
      <c r="AO411" s="44"/>
      <c r="AP411" s="44"/>
      <c r="AQ411" s="44"/>
      <c r="AR411" s="44"/>
      <c r="AS411" s="44"/>
      <c r="AT411" s="44"/>
      <c r="AU411" s="44"/>
      <c r="AV411" s="44"/>
      <c r="AW411" s="44"/>
      <c r="AX411" s="44"/>
      <c r="AY411" s="44"/>
      <c r="AZ411" s="44"/>
      <c r="BA411" s="44"/>
      <c r="BB411" s="44"/>
      <c r="BC411" s="44"/>
      <c r="BD411" s="44"/>
      <c r="BE411" s="44"/>
      <c r="BF411" s="44"/>
    </row>
    <row r="412" spans="18:58">
      <c r="R412" s="303"/>
      <c r="S412" s="301"/>
      <c r="T412" s="44"/>
      <c r="U412" s="44"/>
      <c r="V412" s="44"/>
      <c r="W412" s="132"/>
      <c r="X412" s="44"/>
      <c r="Y412" s="44"/>
      <c r="Z412" s="44"/>
      <c r="AA412" s="44"/>
      <c r="AB412" s="44"/>
      <c r="AC412" s="44"/>
      <c r="AD412" s="44"/>
      <c r="AE412" s="300"/>
      <c r="AF412" s="44"/>
      <c r="AG412" s="44"/>
      <c r="AH412" s="44"/>
      <c r="AI412" s="44"/>
      <c r="AJ412" s="44"/>
      <c r="AK412" s="44"/>
      <c r="AL412" s="44"/>
      <c r="AM412" s="44"/>
      <c r="AN412" s="44"/>
      <c r="AO412" s="44"/>
      <c r="AP412" s="44"/>
      <c r="AQ412" s="44"/>
      <c r="AR412" s="44"/>
      <c r="AS412" s="44"/>
      <c r="AT412" s="44"/>
      <c r="AU412" s="44"/>
      <c r="AV412" s="44"/>
      <c r="AW412" s="44"/>
      <c r="AX412" s="44"/>
      <c r="AY412" s="44"/>
      <c r="AZ412" s="44"/>
      <c r="BA412" s="44"/>
      <c r="BB412" s="44"/>
      <c r="BC412" s="44"/>
      <c r="BD412" s="44"/>
      <c r="BE412" s="44"/>
      <c r="BF412" s="44"/>
    </row>
    <row r="413" spans="18:58">
      <c r="R413" s="303"/>
      <c r="S413" s="301"/>
      <c r="T413" s="44"/>
      <c r="U413" s="44"/>
      <c r="V413" s="44"/>
      <c r="W413" s="132"/>
      <c r="X413" s="44"/>
      <c r="Y413" s="44"/>
      <c r="Z413" s="44"/>
      <c r="AA413" s="44"/>
      <c r="AB413" s="44"/>
      <c r="AC413" s="44"/>
      <c r="AD413" s="44"/>
      <c r="AE413" s="300"/>
      <c r="AF413" s="44"/>
      <c r="AG413" s="44"/>
      <c r="AH413" s="44"/>
      <c r="AI413" s="44"/>
      <c r="AJ413" s="44"/>
      <c r="AK413" s="44"/>
      <c r="AL413" s="44"/>
      <c r="AM413" s="44"/>
      <c r="AN413" s="44"/>
      <c r="AO413" s="44"/>
      <c r="AP413" s="44"/>
      <c r="AQ413" s="44"/>
      <c r="AR413" s="44"/>
      <c r="AS413" s="44"/>
      <c r="AT413" s="44"/>
      <c r="AU413" s="44"/>
      <c r="AV413" s="44"/>
      <c r="AW413" s="44"/>
      <c r="AX413" s="44"/>
      <c r="AY413" s="44"/>
      <c r="AZ413" s="44"/>
      <c r="BA413" s="44"/>
      <c r="BB413" s="44"/>
      <c r="BC413" s="44"/>
      <c r="BD413" s="44"/>
      <c r="BE413" s="44"/>
      <c r="BF413" s="44"/>
    </row>
    <row r="414" spans="18:58">
      <c r="R414" s="303"/>
      <c r="V414" s="44"/>
      <c r="W414" s="132"/>
      <c r="X414" s="44"/>
      <c r="Y414" s="44"/>
      <c r="Z414" s="44"/>
      <c r="AA414" s="44"/>
      <c r="AB414" s="44"/>
      <c r="AC414" s="44"/>
      <c r="AD414" s="44"/>
      <c r="AE414" s="300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  <c r="AQ414" s="44"/>
      <c r="AR414" s="44"/>
      <c r="AS414" s="44"/>
      <c r="AT414" s="44"/>
      <c r="AU414" s="44"/>
      <c r="AV414" s="44"/>
      <c r="AW414" s="44"/>
      <c r="AX414" s="44"/>
      <c r="AY414" s="44"/>
      <c r="AZ414" s="44"/>
      <c r="BA414" s="44"/>
      <c r="BB414" s="44"/>
      <c r="BC414" s="44"/>
      <c r="BD414" s="44"/>
      <c r="BE414" s="44"/>
      <c r="BF414" s="44"/>
    </row>
    <row r="415" spans="18:58">
      <c r="R415" s="303"/>
      <c r="V415" s="44"/>
      <c r="W415" s="132"/>
      <c r="X415" s="44"/>
      <c r="Y415" s="44"/>
      <c r="Z415" s="44"/>
      <c r="AA415" s="44"/>
      <c r="AB415" s="44"/>
      <c r="AC415" s="44"/>
      <c r="AD415" s="44"/>
      <c r="AE415" s="300"/>
      <c r="AF415" s="44"/>
      <c r="AG415" s="44"/>
      <c r="AH415" s="44"/>
      <c r="AI415" s="44"/>
      <c r="AJ415" s="44"/>
      <c r="AK415" s="44"/>
      <c r="AL415" s="44"/>
      <c r="AM415" s="44"/>
      <c r="AN415" s="44"/>
      <c r="AO415" s="44"/>
      <c r="AP415" s="44"/>
      <c r="AQ415" s="44"/>
      <c r="AR415" s="44"/>
      <c r="AS415" s="44"/>
      <c r="AT415" s="44"/>
      <c r="AU415" s="44"/>
      <c r="AV415" s="44"/>
      <c r="AW415" s="44"/>
      <c r="AX415" s="44"/>
      <c r="AY415" s="44"/>
      <c r="AZ415" s="44"/>
      <c r="BA415" s="44"/>
      <c r="BB415" s="44"/>
      <c r="BC415" s="44"/>
      <c r="BD415" s="44"/>
      <c r="BE415" s="44"/>
      <c r="BF415" s="44"/>
    </row>
    <row r="416" spans="18:58">
      <c r="R416" s="303"/>
      <c r="V416" s="44"/>
      <c r="W416" s="132"/>
      <c r="X416" s="44"/>
      <c r="Y416" s="44"/>
      <c r="Z416" s="44"/>
      <c r="AA416" s="44"/>
      <c r="AB416" s="44"/>
      <c r="AC416" s="44"/>
      <c r="AD416" s="44"/>
      <c r="AE416" s="300"/>
      <c r="AF416" s="44"/>
      <c r="AG416" s="44"/>
      <c r="AH416" s="44"/>
      <c r="AI416" s="44"/>
      <c r="AJ416" s="44"/>
      <c r="AK416" s="44"/>
      <c r="AL416" s="44"/>
      <c r="AM416" s="44"/>
      <c r="AN416" s="44"/>
      <c r="AO416" s="44"/>
      <c r="AP416" s="44"/>
      <c r="AQ416" s="44"/>
      <c r="AR416" s="44"/>
      <c r="AS416" s="44"/>
      <c r="AT416" s="44"/>
      <c r="AU416" s="44"/>
      <c r="AV416" s="44"/>
      <c r="AW416" s="44"/>
      <c r="AX416" s="44"/>
      <c r="AY416" s="44"/>
      <c r="AZ416" s="44"/>
      <c r="BA416" s="44"/>
      <c r="BB416" s="44"/>
      <c r="BC416" s="44"/>
      <c r="BD416" s="44"/>
      <c r="BE416" s="44"/>
      <c r="BF416" s="44"/>
    </row>
    <row r="417" spans="18:58">
      <c r="R417" s="303"/>
      <c r="V417" s="44"/>
      <c r="W417" s="132"/>
      <c r="X417" s="44"/>
      <c r="Y417" s="44"/>
      <c r="Z417" s="44"/>
      <c r="AA417" s="44"/>
      <c r="AB417" s="44"/>
      <c r="AC417" s="44"/>
      <c r="AD417" s="44"/>
      <c r="AE417" s="300"/>
      <c r="AF417" s="44"/>
      <c r="AG417" s="44"/>
      <c r="AH417" s="44"/>
      <c r="AI417" s="44"/>
      <c r="AJ417" s="44"/>
      <c r="AK417" s="44"/>
      <c r="AL417" s="44"/>
      <c r="AM417" s="44"/>
      <c r="AN417" s="44"/>
      <c r="AO417" s="44"/>
      <c r="AP417" s="44"/>
      <c r="AQ417" s="44"/>
      <c r="AR417" s="44"/>
      <c r="AS417" s="44"/>
      <c r="AT417" s="44"/>
      <c r="AU417" s="44"/>
      <c r="AV417" s="44"/>
      <c r="AW417" s="44"/>
      <c r="AX417" s="44"/>
      <c r="AY417" s="44"/>
      <c r="AZ417" s="44"/>
      <c r="BA417" s="44"/>
      <c r="BB417" s="44"/>
      <c r="BC417" s="44"/>
      <c r="BD417" s="44"/>
      <c r="BE417" s="44"/>
      <c r="BF417" s="44"/>
    </row>
    <row r="418" spans="18:58">
      <c r="R418" s="303"/>
      <c r="V418" s="44"/>
      <c r="W418" s="132"/>
      <c r="X418" s="44"/>
      <c r="Y418" s="44"/>
      <c r="Z418" s="44"/>
      <c r="AA418" s="44"/>
      <c r="AB418" s="44"/>
      <c r="AC418" s="44"/>
      <c r="AD418" s="44"/>
      <c r="AE418" s="300"/>
      <c r="AF418" s="44"/>
      <c r="AG418" s="44"/>
      <c r="AH418" s="44"/>
      <c r="AI418" s="44"/>
      <c r="AJ418" s="44"/>
      <c r="AK418" s="44"/>
      <c r="AL418" s="44"/>
      <c r="AM418" s="44"/>
      <c r="AN418" s="44"/>
      <c r="AO418" s="44"/>
      <c r="AP418" s="44"/>
      <c r="AQ418" s="44"/>
      <c r="AR418" s="44"/>
      <c r="AS418" s="44"/>
      <c r="AT418" s="44"/>
      <c r="AU418" s="44"/>
      <c r="AV418" s="44"/>
      <c r="AW418" s="44"/>
      <c r="AX418" s="44"/>
      <c r="AY418" s="44"/>
      <c r="AZ418" s="44"/>
      <c r="BA418" s="44"/>
      <c r="BB418" s="44"/>
      <c r="BC418" s="44"/>
      <c r="BD418" s="44"/>
      <c r="BE418" s="44"/>
      <c r="BF418" s="44"/>
    </row>
    <row r="419" spans="18:58">
      <c r="R419" s="303"/>
      <c r="V419" s="44"/>
      <c r="W419" s="132"/>
      <c r="X419" s="44"/>
      <c r="Y419" s="44"/>
      <c r="Z419" s="44"/>
      <c r="AA419" s="44"/>
      <c r="AB419" s="44"/>
      <c r="AC419" s="44"/>
      <c r="AD419" s="44"/>
      <c r="AE419" s="300"/>
      <c r="AF419" s="44"/>
      <c r="AG419" s="44"/>
      <c r="AH419" s="44"/>
      <c r="AI419" s="44"/>
      <c r="AJ419" s="44"/>
      <c r="AK419" s="44"/>
      <c r="AL419" s="44"/>
      <c r="AM419" s="44"/>
      <c r="AN419" s="44"/>
      <c r="AO419" s="44"/>
      <c r="AP419" s="44"/>
      <c r="AQ419" s="44"/>
      <c r="AR419" s="44"/>
      <c r="AS419" s="44"/>
      <c r="AT419" s="44"/>
      <c r="AU419" s="44"/>
      <c r="AV419" s="44"/>
      <c r="AW419" s="44"/>
      <c r="AX419" s="44"/>
      <c r="AY419" s="44"/>
      <c r="AZ419" s="44"/>
      <c r="BA419" s="44"/>
      <c r="BB419" s="44"/>
      <c r="BC419" s="44"/>
      <c r="BD419" s="44"/>
      <c r="BE419" s="44"/>
      <c r="BF419" s="44"/>
    </row>
    <row r="420" spans="18:58">
      <c r="R420" s="303"/>
      <c r="V420" s="44"/>
      <c r="W420" s="132"/>
      <c r="X420" s="44"/>
      <c r="Y420" s="44"/>
      <c r="Z420" s="44"/>
      <c r="AA420" s="44"/>
      <c r="AB420" s="44"/>
      <c r="AC420" s="44"/>
      <c r="AD420" s="44"/>
      <c r="AE420" s="300"/>
      <c r="AF420" s="44"/>
      <c r="AG420" s="44"/>
      <c r="AH420" s="44"/>
      <c r="AI420" s="44"/>
      <c r="AJ420" s="44"/>
      <c r="AK420" s="44"/>
      <c r="AL420" s="44"/>
      <c r="AM420" s="44"/>
      <c r="AN420" s="44"/>
      <c r="AO420" s="44"/>
      <c r="AP420" s="44"/>
      <c r="AQ420" s="44"/>
      <c r="AR420" s="44"/>
      <c r="AS420" s="44"/>
      <c r="AT420" s="44"/>
      <c r="AU420" s="44"/>
      <c r="AV420" s="44"/>
      <c r="AW420" s="44"/>
      <c r="AX420" s="44"/>
      <c r="AY420" s="44"/>
      <c r="AZ420" s="44"/>
      <c r="BA420" s="44"/>
      <c r="BB420" s="44"/>
      <c r="BC420" s="44"/>
      <c r="BD420" s="44"/>
      <c r="BE420" s="44"/>
      <c r="BF420" s="44"/>
    </row>
    <row r="421" spans="18:58">
      <c r="R421" s="303"/>
      <c r="V421" s="44"/>
      <c r="W421" s="132"/>
      <c r="X421" s="44"/>
      <c r="Y421" s="44"/>
      <c r="Z421" s="44"/>
      <c r="AA421" s="44"/>
      <c r="AB421" s="44"/>
      <c r="AC421" s="44"/>
      <c r="AD421" s="44"/>
      <c r="AE421" s="300"/>
      <c r="AF421" s="44"/>
      <c r="AG421" s="44"/>
      <c r="AH421" s="44"/>
      <c r="AI421" s="44"/>
      <c r="AJ421" s="44"/>
      <c r="AK421" s="44"/>
      <c r="AL421" s="44"/>
      <c r="AM421" s="44"/>
      <c r="AN421" s="44"/>
      <c r="AO421" s="44"/>
      <c r="AP421" s="44"/>
      <c r="AQ421" s="44"/>
      <c r="AR421" s="44"/>
      <c r="AS421" s="44"/>
      <c r="AT421" s="44"/>
      <c r="AU421" s="44"/>
      <c r="AV421" s="44"/>
      <c r="AW421" s="44"/>
      <c r="AX421" s="44"/>
      <c r="AY421" s="44"/>
      <c r="AZ421" s="44"/>
      <c r="BA421" s="44"/>
      <c r="BB421" s="44"/>
      <c r="BC421" s="44"/>
      <c r="BD421" s="44"/>
      <c r="BE421" s="44"/>
      <c r="BF421" s="44"/>
    </row>
    <row r="422" spans="18:58">
      <c r="R422" s="303"/>
      <c r="V422" s="44"/>
      <c r="W422" s="132"/>
      <c r="X422" s="44"/>
      <c r="Y422" s="44"/>
      <c r="Z422" s="44"/>
      <c r="AA422" s="44"/>
      <c r="AB422" s="44"/>
      <c r="AC422" s="44"/>
      <c r="AD422" s="44"/>
      <c r="AE422" s="300"/>
      <c r="AF422" s="44"/>
      <c r="AG422" s="44"/>
      <c r="AH422" s="44"/>
      <c r="AI422" s="44"/>
      <c r="AJ422" s="44"/>
      <c r="AK422" s="44"/>
      <c r="AL422" s="44"/>
      <c r="AM422" s="44"/>
      <c r="AN422" s="44"/>
      <c r="AO422" s="44"/>
      <c r="AP422" s="44"/>
      <c r="AQ422" s="44"/>
      <c r="AR422" s="44"/>
      <c r="AS422" s="44"/>
      <c r="AT422" s="44"/>
      <c r="AU422" s="44"/>
      <c r="AV422" s="44"/>
      <c r="AW422" s="44"/>
      <c r="AX422" s="44"/>
      <c r="AY422" s="44"/>
      <c r="AZ422" s="44"/>
      <c r="BA422" s="44"/>
      <c r="BB422" s="44"/>
      <c r="BC422" s="44"/>
      <c r="BD422" s="44"/>
      <c r="BE422" s="44"/>
      <c r="BF422" s="44"/>
    </row>
    <row r="423" spans="18:58">
      <c r="R423" s="303"/>
      <c r="V423" s="44"/>
      <c r="W423" s="132"/>
      <c r="X423" s="44"/>
      <c r="Y423" s="44"/>
      <c r="Z423" s="44"/>
      <c r="AA423" s="44"/>
      <c r="AB423" s="44"/>
      <c r="AC423" s="44"/>
      <c r="AD423" s="44"/>
      <c r="AE423" s="300"/>
      <c r="AF423" s="44"/>
      <c r="AG423" s="44"/>
      <c r="AH423" s="44"/>
      <c r="AI423" s="44"/>
      <c r="AJ423" s="44"/>
      <c r="AK423" s="44"/>
      <c r="AL423" s="44"/>
      <c r="AM423" s="44"/>
      <c r="AN423" s="44"/>
      <c r="AO423" s="44"/>
      <c r="AP423" s="44"/>
      <c r="AQ423" s="44"/>
      <c r="AR423" s="44"/>
      <c r="AS423" s="44"/>
      <c r="AT423" s="44"/>
      <c r="AU423" s="44"/>
      <c r="AV423" s="44"/>
      <c r="AW423" s="44"/>
      <c r="AX423" s="44"/>
      <c r="AY423" s="44"/>
      <c r="AZ423" s="44"/>
      <c r="BA423" s="44"/>
      <c r="BB423" s="44"/>
      <c r="BC423" s="44"/>
      <c r="BD423" s="44"/>
      <c r="BE423" s="44"/>
      <c r="BF423" s="44"/>
    </row>
    <row r="424" spans="18:58">
      <c r="R424" s="303"/>
      <c r="V424" s="44"/>
      <c r="W424" s="132"/>
      <c r="X424" s="44"/>
      <c r="Y424" s="44"/>
      <c r="Z424" s="44"/>
      <c r="AA424" s="44"/>
      <c r="AB424" s="44"/>
      <c r="AC424" s="44"/>
      <c r="AD424" s="44"/>
      <c r="AE424" s="300"/>
      <c r="AF424" s="44"/>
      <c r="AG424" s="44"/>
      <c r="AH424" s="44"/>
      <c r="AI424" s="44"/>
      <c r="AJ424" s="44"/>
      <c r="AK424" s="44"/>
      <c r="AL424" s="44"/>
      <c r="AM424" s="44"/>
      <c r="AN424" s="44"/>
      <c r="AO424" s="44"/>
      <c r="AP424" s="44"/>
      <c r="AQ424" s="44"/>
      <c r="AR424" s="44"/>
      <c r="AS424" s="44"/>
      <c r="AT424" s="44"/>
      <c r="AU424" s="44"/>
      <c r="AV424" s="44"/>
      <c r="AW424" s="44"/>
      <c r="AX424" s="44"/>
      <c r="AY424" s="44"/>
      <c r="AZ424" s="44"/>
      <c r="BA424" s="44"/>
      <c r="BB424" s="44"/>
      <c r="BC424" s="44"/>
      <c r="BD424" s="44"/>
      <c r="BE424" s="44"/>
      <c r="BF424" s="44"/>
    </row>
    <row r="425" spans="18:58">
      <c r="R425" s="303"/>
      <c r="V425" s="44"/>
      <c r="W425" s="132"/>
      <c r="X425" s="44"/>
      <c r="Y425" s="44"/>
      <c r="Z425" s="44"/>
      <c r="AA425" s="44"/>
      <c r="AB425" s="44"/>
      <c r="AC425" s="44"/>
      <c r="AD425" s="44"/>
      <c r="AE425" s="300"/>
      <c r="AF425" s="44"/>
      <c r="AG425" s="44"/>
      <c r="AH425" s="44"/>
      <c r="AI425" s="44"/>
      <c r="AJ425" s="44"/>
      <c r="AK425" s="44"/>
      <c r="AL425" s="44"/>
      <c r="AM425" s="44"/>
      <c r="AN425" s="44"/>
      <c r="AO425" s="44"/>
      <c r="AP425" s="44"/>
      <c r="AQ425" s="44"/>
      <c r="AR425" s="44"/>
      <c r="AS425" s="44"/>
      <c r="AT425" s="44"/>
      <c r="AU425" s="44"/>
      <c r="AV425" s="44"/>
      <c r="AW425" s="44"/>
      <c r="AX425" s="44"/>
      <c r="AY425" s="44"/>
      <c r="AZ425" s="44"/>
      <c r="BA425" s="44"/>
      <c r="BB425" s="44"/>
      <c r="BC425" s="44"/>
      <c r="BD425" s="44"/>
      <c r="BE425" s="44"/>
      <c r="BF425" s="44"/>
    </row>
    <row r="426" spans="18:58">
      <c r="R426" s="303"/>
      <c r="V426" s="44"/>
      <c r="W426" s="132"/>
      <c r="X426" s="44"/>
      <c r="Y426" s="44"/>
      <c r="Z426" s="44"/>
      <c r="AA426" s="44"/>
      <c r="AB426" s="44"/>
      <c r="AC426" s="44"/>
      <c r="AD426" s="44"/>
      <c r="AE426" s="300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  <c r="AQ426" s="44"/>
      <c r="AR426" s="44"/>
      <c r="AS426" s="44"/>
      <c r="AT426" s="44"/>
      <c r="AU426" s="44"/>
      <c r="AV426" s="44"/>
      <c r="AW426" s="44"/>
      <c r="AX426" s="44"/>
      <c r="AY426" s="44"/>
      <c r="AZ426" s="44"/>
      <c r="BA426" s="44"/>
      <c r="BB426" s="44"/>
      <c r="BC426" s="44"/>
      <c r="BD426" s="44"/>
      <c r="BE426" s="44"/>
      <c r="BF426" s="44"/>
    </row>
    <row r="427" spans="18:58">
      <c r="R427" s="303"/>
      <c r="V427" s="44"/>
      <c r="W427" s="132"/>
      <c r="X427" s="44"/>
      <c r="Y427" s="44"/>
      <c r="Z427" s="44"/>
      <c r="AA427" s="44"/>
      <c r="AB427" s="44"/>
      <c r="AC427" s="44"/>
      <c r="AD427" s="44"/>
      <c r="AE427" s="300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  <c r="AQ427" s="44"/>
      <c r="AR427" s="44"/>
      <c r="AS427" s="44"/>
      <c r="AT427" s="44"/>
      <c r="AU427" s="44"/>
      <c r="AV427" s="44"/>
      <c r="AW427" s="44"/>
      <c r="AX427" s="44"/>
      <c r="AY427" s="44"/>
      <c r="AZ427" s="44"/>
      <c r="BA427" s="44"/>
      <c r="BB427" s="44"/>
      <c r="BC427" s="44"/>
      <c r="BD427" s="44"/>
      <c r="BE427" s="44"/>
      <c r="BF427" s="44"/>
    </row>
    <row r="428" spans="18:58">
      <c r="R428" s="303"/>
      <c r="V428" s="44"/>
      <c r="W428" s="132"/>
      <c r="X428" s="44"/>
      <c r="Y428" s="44"/>
      <c r="Z428" s="44"/>
      <c r="AA428" s="44"/>
      <c r="AB428" s="44"/>
      <c r="AC428" s="44"/>
      <c r="AD428" s="44"/>
      <c r="AE428" s="300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  <c r="AQ428" s="44"/>
      <c r="AR428" s="44"/>
      <c r="AS428" s="44"/>
      <c r="AT428" s="44"/>
      <c r="AU428" s="44"/>
      <c r="AV428" s="44"/>
      <c r="AW428" s="44"/>
      <c r="AX428" s="44"/>
      <c r="AY428" s="44"/>
      <c r="AZ428" s="44"/>
      <c r="BA428" s="44"/>
      <c r="BB428" s="44"/>
      <c r="BC428" s="44"/>
      <c r="BD428" s="44"/>
      <c r="BE428" s="44"/>
      <c r="BF428" s="44"/>
    </row>
    <row r="429" spans="18:58">
      <c r="R429" s="303"/>
      <c r="V429" s="44"/>
      <c r="W429" s="132"/>
      <c r="X429" s="44"/>
      <c r="Z429" s="44"/>
      <c r="AA429" s="44"/>
      <c r="AB429" s="44"/>
      <c r="AC429" s="44"/>
      <c r="AD429" s="44"/>
      <c r="AE429" s="300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  <c r="AQ429" s="44"/>
      <c r="AR429" s="44"/>
      <c r="AS429" s="44"/>
      <c r="AT429" s="44"/>
      <c r="AU429" s="44"/>
      <c r="AV429" s="44"/>
      <c r="AW429" s="44"/>
      <c r="AX429" s="44"/>
      <c r="AY429" s="44"/>
      <c r="AZ429" s="44"/>
      <c r="BA429" s="44"/>
      <c r="BB429" s="44"/>
      <c r="BC429" s="44"/>
      <c r="BD429" s="44"/>
      <c r="BE429" s="44"/>
      <c r="BF429" s="44"/>
    </row>
    <row r="430" spans="18:58">
      <c r="R430" s="303"/>
      <c r="V430" s="44"/>
      <c r="Z430" s="44"/>
      <c r="AA430" s="44"/>
      <c r="AB430" s="44"/>
      <c r="AC430" s="44"/>
      <c r="AD430" s="44"/>
      <c r="AE430" s="300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  <c r="AQ430" s="44"/>
      <c r="AR430" s="44"/>
      <c r="AS430" s="44"/>
      <c r="AT430" s="44"/>
      <c r="AU430" s="44"/>
      <c r="AV430" s="44"/>
      <c r="AW430" s="44"/>
      <c r="AX430" s="44"/>
      <c r="AY430" s="44"/>
      <c r="AZ430" s="44"/>
      <c r="BA430" s="44"/>
      <c r="BB430" s="44"/>
      <c r="BC430" s="44"/>
      <c r="BD430" s="44"/>
      <c r="BE430" s="44"/>
      <c r="BF430" s="44"/>
    </row>
    <row r="431" spans="18:58">
      <c r="R431" s="303"/>
      <c r="V431" s="44"/>
      <c r="Z431" s="44"/>
      <c r="AA431" s="44"/>
      <c r="AB431" s="44"/>
      <c r="AC431" s="44"/>
      <c r="AD431" s="44"/>
      <c r="AE431" s="300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  <c r="AQ431" s="44"/>
      <c r="AR431" s="44"/>
      <c r="AS431" s="44"/>
      <c r="AT431" s="44"/>
      <c r="AU431" s="44"/>
      <c r="AV431" s="44"/>
      <c r="AW431" s="44"/>
      <c r="AX431" s="44"/>
      <c r="AY431" s="44"/>
      <c r="AZ431" s="44"/>
      <c r="BA431" s="44"/>
      <c r="BB431" s="44"/>
      <c r="BC431" s="44"/>
      <c r="BD431" s="44"/>
      <c r="BE431" s="44"/>
      <c r="BF431" s="44"/>
    </row>
    <row r="432" spans="18:58">
      <c r="R432" s="303"/>
      <c r="V432" s="44"/>
      <c r="Z432" s="44"/>
      <c r="AA432" s="44"/>
      <c r="AB432" s="44"/>
      <c r="AC432" s="44"/>
      <c r="AD432" s="44"/>
      <c r="AE432" s="300"/>
      <c r="AF432" s="44"/>
      <c r="AG432" s="44"/>
      <c r="AH432" s="44"/>
      <c r="AI432" s="44"/>
      <c r="AJ432" s="44"/>
      <c r="AK432" s="44"/>
      <c r="AL432" s="44"/>
      <c r="AM432" s="44"/>
      <c r="AN432" s="44"/>
      <c r="AO432" s="44"/>
      <c r="AP432" s="44"/>
      <c r="AQ432" s="44"/>
      <c r="AR432" s="44"/>
      <c r="AS432" s="44"/>
      <c r="AT432" s="44"/>
      <c r="AU432" s="44"/>
      <c r="AV432" s="44"/>
      <c r="AW432" s="44"/>
      <c r="AX432" s="44"/>
      <c r="AY432" s="44"/>
      <c r="AZ432" s="44"/>
      <c r="BA432" s="44"/>
      <c r="BB432" s="44"/>
      <c r="BC432" s="44"/>
      <c r="BD432" s="44"/>
      <c r="BE432" s="44"/>
      <c r="BF432" s="44"/>
    </row>
    <row r="433" spans="18:58">
      <c r="R433" s="303"/>
      <c r="V433" s="44"/>
      <c r="Z433" s="44"/>
      <c r="AA433" s="44"/>
      <c r="AB433" s="44"/>
      <c r="AC433" s="44"/>
      <c r="AD433" s="44"/>
      <c r="AE433" s="300"/>
      <c r="AF433" s="44"/>
      <c r="AG433" s="44"/>
      <c r="AH433" s="44"/>
      <c r="AI433" s="44"/>
      <c r="AJ433" s="44"/>
      <c r="AK433" s="44"/>
      <c r="AL433" s="44"/>
      <c r="AM433" s="44"/>
      <c r="AN433" s="44"/>
      <c r="AO433" s="44"/>
      <c r="AP433" s="44"/>
      <c r="AQ433" s="44"/>
      <c r="AR433" s="44"/>
      <c r="AS433" s="44"/>
      <c r="AT433" s="44"/>
      <c r="AU433" s="44"/>
      <c r="AV433" s="44"/>
      <c r="AW433" s="44"/>
      <c r="AX433" s="44"/>
      <c r="AY433" s="44"/>
      <c r="AZ433" s="44"/>
      <c r="BA433" s="44"/>
      <c r="BB433" s="44"/>
      <c r="BC433" s="44"/>
      <c r="BD433" s="44"/>
      <c r="BE433" s="44"/>
      <c r="BF433" s="44"/>
    </row>
    <row r="434" spans="18:58">
      <c r="R434" s="303"/>
      <c r="V434" s="44"/>
      <c r="Z434" s="44"/>
      <c r="AA434" s="44"/>
      <c r="AB434" s="44"/>
      <c r="AC434" s="44"/>
      <c r="AD434" s="44"/>
      <c r="AE434" s="300"/>
      <c r="AF434" s="44"/>
      <c r="AG434" s="44"/>
      <c r="AH434" s="44"/>
      <c r="AI434" s="44"/>
      <c r="AJ434" s="44"/>
      <c r="AK434" s="44"/>
      <c r="AL434" s="44"/>
      <c r="AM434" s="44"/>
      <c r="AN434" s="44"/>
      <c r="AO434" s="44"/>
      <c r="AP434" s="44"/>
      <c r="AQ434" s="44"/>
      <c r="AR434" s="44"/>
      <c r="AS434" s="44"/>
      <c r="AT434" s="44"/>
      <c r="AU434" s="44"/>
      <c r="AV434" s="44"/>
      <c r="AW434" s="44"/>
      <c r="AX434" s="44"/>
      <c r="AY434" s="44"/>
      <c r="AZ434" s="44"/>
      <c r="BA434" s="44"/>
      <c r="BB434" s="44"/>
      <c r="BC434" s="44"/>
      <c r="BD434" s="44"/>
      <c r="BE434" s="44"/>
      <c r="BF434" s="44"/>
    </row>
    <row r="435" spans="18:58">
      <c r="R435" s="303"/>
      <c r="V435" s="44"/>
      <c r="Z435" s="44"/>
      <c r="AA435" s="44"/>
      <c r="AB435" s="44"/>
      <c r="AC435" s="44"/>
      <c r="AD435" s="44"/>
      <c r="AE435" s="300"/>
      <c r="AF435" s="44"/>
      <c r="AG435" s="44"/>
      <c r="AH435" s="44"/>
      <c r="AI435" s="44"/>
      <c r="AJ435" s="44"/>
      <c r="AK435" s="44"/>
      <c r="AL435" s="44"/>
      <c r="AM435" s="44"/>
      <c r="AN435" s="44"/>
      <c r="AO435" s="44"/>
      <c r="AP435" s="44"/>
      <c r="AQ435" s="44"/>
      <c r="AR435" s="44"/>
      <c r="AS435" s="44"/>
      <c r="AT435" s="44"/>
      <c r="AU435" s="44"/>
      <c r="AV435" s="44"/>
      <c r="AW435" s="44"/>
      <c r="AX435" s="44"/>
      <c r="AY435" s="44"/>
      <c r="AZ435" s="44"/>
      <c r="BA435" s="44"/>
      <c r="BB435" s="44"/>
      <c r="BC435" s="44"/>
      <c r="BD435" s="44"/>
      <c r="BE435" s="44"/>
      <c r="BF435" s="44"/>
    </row>
    <row r="436" spans="18:58">
      <c r="R436" s="303"/>
      <c r="V436" s="44"/>
      <c r="Z436" s="44"/>
      <c r="AA436" s="44"/>
      <c r="AB436" s="44"/>
      <c r="AC436" s="44"/>
      <c r="AD436" s="44"/>
      <c r="AE436" s="300"/>
      <c r="AF436" s="44"/>
      <c r="AG436" s="44"/>
      <c r="AH436" s="44"/>
      <c r="AI436" s="44"/>
      <c r="AJ436" s="44"/>
      <c r="AK436" s="44"/>
      <c r="AL436" s="44"/>
      <c r="AM436" s="44"/>
      <c r="AN436" s="44"/>
      <c r="AO436" s="44"/>
      <c r="AP436" s="44"/>
      <c r="AQ436" s="44"/>
      <c r="AR436" s="44"/>
      <c r="AS436" s="44"/>
      <c r="AT436" s="44"/>
      <c r="AU436" s="44"/>
      <c r="AV436" s="44"/>
      <c r="AW436" s="44"/>
      <c r="AX436" s="44"/>
      <c r="AY436" s="44"/>
      <c r="AZ436" s="44"/>
      <c r="BA436" s="44"/>
      <c r="BB436" s="44"/>
      <c r="BC436" s="44"/>
      <c r="BD436" s="44"/>
      <c r="BE436" s="44"/>
      <c r="BF436" s="44"/>
    </row>
    <row r="437" spans="18:58">
      <c r="R437" s="303"/>
      <c r="V437" s="44"/>
      <c r="Z437" s="44"/>
      <c r="AA437" s="44"/>
      <c r="AB437" s="44"/>
      <c r="AC437" s="44"/>
      <c r="AD437" s="44"/>
      <c r="AE437" s="300"/>
      <c r="AF437" s="44"/>
      <c r="AG437" s="44"/>
      <c r="AH437" s="44"/>
      <c r="AI437" s="44"/>
      <c r="AJ437" s="44"/>
      <c r="AK437" s="44"/>
      <c r="AL437" s="44"/>
      <c r="AM437" s="44"/>
      <c r="AN437" s="44"/>
      <c r="AO437" s="44"/>
      <c r="AP437" s="44"/>
      <c r="AQ437" s="44"/>
      <c r="AR437" s="44"/>
      <c r="AS437" s="44"/>
      <c r="AT437" s="44"/>
      <c r="AU437" s="44"/>
      <c r="AV437" s="44"/>
      <c r="AW437" s="44"/>
      <c r="AX437" s="44"/>
      <c r="AY437" s="44"/>
      <c r="AZ437" s="44"/>
      <c r="BA437" s="44"/>
      <c r="BB437" s="44"/>
      <c r="BC437" s="44"/>
      <c r="BD437" s="44"/>
      <c r="BE437" s="44"/>
      <c r="BF437" s="44"/>
    </row>
    <row r="438" spans="18:58">
      <c r="R438" s="303"/>
      <c r="V438" s="44"/>
      <c r="Z438" s="44"/>
      <c r="AA438" s="44"/>
      <c r="AB438" s="44"/>
      <c r="AC438" s="44"/>
      <c r="AD438" s="44"/>
      <c r="AE438" s="300"/>
      <c r="AF438" s="44"/>
      <c r="AG438" s="44"/>
      <c r="AH438" s="44"/>
      <c r="AI438" s="44"/>
      <c r="AJ438" s="44"/>
      <c r="AK438" s="44"/>
      <c r="AL438" s="44"/>
      <c r="AM438" s="44"/>
      <c r="AN438" s="44"/>
      <c r="AO438" s="44"/>
      <c r="AP438" s="44"/>
      <c r="AQ438" s="44"/>
      <c r="AR438" s="44"/>
      <c r="AS438" s="44"/>
      <c r="AT438" s="44"/>
      <c r="AU438" s="44"/>
      <c r="AV438" s="44"/>
      <c r="AW438" s="44"/>
      <c r="AX438" s="44"/>
      <c r="AY438" s="44"/>
      <c r="AZ438" s="44"/>
      <c r="BA438" s="44"/>
      <c r="BB438" s="44"/>
      <c r="BC438" s="44"/>
      <c r="BD438" s="44"/>
      <c r="BE438" s="44"/>
      <c r="BF438" s="44"/>
    </row>
    <row r="439" spans="18:58">
      <c r="R439" s="303"/>
      <c r="V439" s="44"/>
      <c r="Z439" s="44"/>
      <c r="AA439" s="44"/>
      <c r="AB439" s="44"/>
      <c r="AC439" s="44"/>
      <c r="AD439" s="44"/>
      <c r="AE439" s="300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  <c r="AR439" s="44"/>
      <c r="AS439" s="44"/>
      <c r="AT439" s="44"/>
      <c r="AU439" s="44"/>
      <c r="AV439" s="44"/>
      <c r="AW439" s="44"/>
      <c r="AX439" s="44"/>
      <c r="AY439" s="44"/>
      <c r="AZ439" s="44"/>
      <c r="BA439" s="44"/>
      <c r="BB439" s="44"/>
      <c r="BC439" s="44"/>
      <c r="BD439" s="44"/>
      <c r="BE439" s="44"/>
      <c r="BF439" s="44"/>
    </row>
    <row r="440" spans="18:58">
      <c r="R440" s="303"/>
      <c r="V440" s="44"/>
      <c r="Z440" s="44"/>
      <c r="AA440" s="44"/>
      <c r="AB440" s="44"/>
      <c r="AC440" s="44"/>
      <c r="AD440" s="44"/>
      <c r="AE440" s="300"/>
      <c r="AF440" s="44"/>
      <c r="AG440" s="44"/>
      <c r="AH440" s="44"/>
      <c r="AI440" s="44"/>
      <c r="AJ440" s="44"/>
      <c r="AK440" s="44"/>
      <c r="AL440" s="44"/>
      <c r="AM440" s="44"/>
      <c r="AN440" s="44"/>
      <c r="AO440" s="44"/>
      <c r="AP440" s="44"/>
      <c r="AQ440" s="44"/>
      <c r="AR440" s="44"/>
      <c r="AS440" s="44"/>
      <c r="AT440" s="44"/>
      <c r="AU440" s="44"/>
      <c r="AV440" s="44"/>
      <c r="AW440" s="44"/>
      <c r="AX440" s="44"/>
      <c r="AY440" s="44"/>
      <c r="AZ440" s="44"/>
      <c r="BA440" s="44"/>
      <c r="BB440" s="44"/>
      <c r="BC440" s="44"/>
      <c r="BD440" s="44"/>
      <c r="BE440" s="44"/>
      <c r="BF440" s="44"/>
    </row>
    <row r="441" spans="18:58">
      <c r="R441" s="303"/>
      <c r="V441" s="44"/>
      <c r="Z441" s="44"/>
      <c r="AA441" s="44"/>
      <c r="AB441" s="44"/>
      <c r="AC441" s="44"/>
      <c r="AD441" s="44"/>
      <c r="AE441" s="300"/>
      <c r="AF441" s="44"/>
      <c r="AG441" s="44"/>
      <c r="AH441" s="44"/>
      <c r="AI441" s="44"/>
      <c r="AJ441" s="44"/>
      <c r="AK441" s="44"/>
      <c r="AL441" s="44"/>
      <c r="AM441" s="44"/>
      <c r="AN441" s="44"/>
      <c r="AO441" s="44"/>
      <c r="AP441" s="44"/>
      <c r="AQ441" s="44"/>
      <c r="AR441" s="44"/>
      <c r="AS441" s="44"/>
      <c r="AT441" s="44"/>
      <c r="AU441" s="44"/>
      <c r="AV441" s="44"/>
      <c r="AW441" s="44"/>
      <c r="AX441" s="44"/>
      <c r="AY441" s="44"/>
      <c r="AZ441" s="44"/>
      <c r="BA441" s="44"/>
      <c r="BB441" s="44"/>
      <c r="BC441" s="44"/>
      <c r="BD441" s="44"/>
      <c r="BE441" s="44"/>
      <c r="BF441" s="44"/>
    </row>
    <row r="442" spans="18:58">
      <c r="R442" s="303"/>
      <c r="V442" s="44"/>
      <c r="Z442" s="44"/>
      <c r="AA442" s="44"/>
      <c r="AB442" s="44"/>
      <c r="AC442" s="44"/>
      <c r="AD442" s="44"/>
      <c r="AE442" s="300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  <c r="AQ442" s="44"/>
      <c r="AR442" s="44"/>
      <c r="AS442" s="44"/>
      <c r="AT442" s="44"/>
      <c r="AU442" s="44"/>
      <c r="AV442" s="44"/>
      <c r="AW442" s="44"/>
      <c r="AX442" s="44"/>
      <c r="AY442" s="44"/>
      <c r="AZ442" s="44"/>
      <c r="BA442" s="44"/>
      <c r="BB442" s="44"/>
      <c r="BC442" s="44"/>
      <c r="BD442" s="44"/>
      <c r="BE442" s="44"/>
      <c r="BF442" s="44"/>
    </row>
    <row r="443" spans="18:58">
      <c r="R443" s="303"/>
      <c r="V443" s="44"/>
      <c r="Z443" s="44"/>
      <c r="AA443" s="44"/>
      <c r="AB443" s="44"/>
      <c r="AC443" s="44"/>
      <c r="AD443" s="44"/>
      <c r="AE443" s="300"/>
      <c r="AF443" s="44"/>
      <c r="AG443" s="44"/>
      <c r="AH443" s="44"/>
      <c r="AI443" s="44"/>
      <c r="AJ443" s="44"/>
      <c r="AK443" s="44"/>
      <c r="AL443" s="44"/>
      <c r="AM443" s="44"/>
      <c r="AN443" s="44"/>
      <c r="AO443" s="44"/>
      <c r="AP443" s="44"/>
      <c r="AQ443" s="44"/>
      <c r="AR443" s="44"/>
      <c r="AS443" s="44"/>
      <c r="AT443" s="44"/>
      <c r="AU443" s="44"/>
      <c r="AV443" s="44"/>
      <c r="AW443" s="44"/>
      <c r="AX443" s="44"/>
      <c r="AY443" s="44"/>
      <c r="AZ443" s="44"/>
      <c r="BA443" s="44"/>
      <c r="BB443" s="44"/>
      <c r="BC443" s="44"/>
      <c r="BD443" s="44"/>
      <c r="BE443" s="44"/>
      <c r="BF443" s="44"/>
    </row>
    <row r="444" spans="18:58">
      <c r="R444" s="303"/>
      <c r="V444" s="44"/>
      <c r="Z444" s="44"/>
      <c r="AA444" s="44"/>
      <c r="AB444" s="44"/>
      <c r="AC444" s="44"/>
      <c r="AD444" s="44"/>
      <c r="AE444" s="300"/>
      <c r="AF444" s="44"/>
      <c r="AG444" s="44"/>
      <c r="AH444" s="44"/>
      <c r="AI444" s="44"/>
      <c r="AJ444" s="44"/>
      <c r="AK444" s="44"/>
      <c r="AL444" s="44"/>
      <c r="AM444" s="44"/>
      <c r="AN444" s="44"/>
      <c r="AO444" s="44"/>
      <c r="AP444" s="44"/>
      <c r="AQ444" s="44"/>
      <c r="AR444" s="44"/>
      <c r="AS444" s="44"/>
      <c r="AT444" s="44"/>
      <c r="AU444" s="44"/>
      <c r="AV444" s="44"/>
      <c r="AW444" s="44"/>
      <c r="AX444" s="44"/>
      <c r="AY444" s="44"/>
      <c r="AZ444" s="44"/>
      <c r="BA444" s="44"/>
      <c r="BB444" s="44"/>
      <c r="BC444" s="44"/>
      <c r="BD444" s="44"/>
      <c r="BE444" s="44"/>
      <c r="BF444" s="44"/>
    </row>
    <row r="445" spans="18:58">
      <c r="R445" s="303"/>
      <c r="V445" s="44"/>
      <c r="Z445" s="44"/>
      <c r="AA445" s="44"/>
      <c r="AB445" s="44"/>
      <c r="AC445" s="44"/>
      <c r="AD445" s="44"/>
      <c r="AE445" s="300"/>
      <c r="AF445" s="44"/>
      <c r="AG445" s="44"/>
      <c r="AH445" s="44"/>
      <c r="AI445" s="44"/>
      <c r="AJ445" s="44"/>
      <c r="AK445" s="44"/>
      <c r="AL445" s="44"/>
      <c r="AM445" s="44"/>
      <c r="AN445" s="44"/>
      <c r="AO445" s="44"/>
      <c r="AP445" s="44"/>
      <c r="AQ445" s="44"/>
      <c r="AR445" s="44"/>
      <c r="AS445" s="44"/>
      <c r="AT445" s="44"/>
      <c r="AU445" s="44"/>
      <c r="AV445" s="44"/>
      <c r="AW445" s="44"/>
      <c r="AX445" s="44"/>
      <c r="AY445" s="44"/>
      <c r="AZ445" s="44"/>
      <c r="BA445" s="44"/>
      <c r="BB445" s="44"/>
      <c r="BC445" s="44"/>
      <c r="BD445" s="44"/>
      <c r="BE445" s="44"/>
      <c r="BF445" s="44"/>
    </row>
    <row r="446" spans="18:58">
      <c r="R446" s="303"/>
      <c r="Z446" s="44"/>
      <c r="AA446" s="44"/>
      <c r="AB446" s="44"/>
      <c r="AC446" s="44"/>
      <c r="AD446" s="44"/>
      <c r="AE446" s="300"/>
      <c r="AF446" s="44"/>
      <c r="AG446" s="44"/>
      <c r="AH446" s="44"/>
      <c r="AI446" s="44"/>
      <c r="AJ446" s="44"/>
      <c r="AK446" s="44"/>
      <c r="AL446" s="44"/>
      <c r="AM446" s="44"/>
      <c r="AN446" s="44"/>
      <c r="AO446" s="44"/>
      <c r="AP446" s="44"/>
      <c r="AQ446" s="44"/>
      <c r="AR446" s="44"/>
      <c r="AS446" s="44"/>
      <c r="AT446" s="44"/>
      <c r="AU446" s="44"/>
      <c r="AV446" s="44"/>
      <c r="AW446" s="44"/>
      <c r="AX446" s="44"/>
      <c r="AY446" s="44"/>
      <c r="AZ446" s="44"/>
      <c r="BA446" s="44"/>
      <c r="BB446" s="44"/>
      <c r="BC446" s="44"/>
      <c r="BD446" s="44"/>
      <c r="BE446" s="44"/>
      <c r="BF446" s="44"/>
    </row>
    <row r="447" spans="18:58">
      <c r="R447" s="303"/>
      <c r="Z447" s="44"/>
      <c r="AA447" s="44"/>
      <c r="AB447" s="44"/>
      <c r="AC447" s="44"/>
      <c r="AD447" s="44"/>
      <c r="AE447" s="300"/>
      <c r="AF447" s="44"/>
      <c r="AG447" s="44"/>
      <c r="AH447" s="44"/>
      <c r="AI447" s="44"/>
      <c r="AJ447" s="44"/>
      <c r="AK447" s="44"/>
      <c r="AL447" s="44"/>
      <c r="AM447" s="44"/>
      <c r="AN447" s="44"/>
      <c r="AO447" s="44"/>
      <c r="AP447" s="44"/>
      <c r="AQ447" s="44"/>
      <c r="AR447" s="44"/>
      <c r="AS447" s="44"/>
      <c r="AT447" s="44"/>
      <c r="AU447" s="44"/>
      <c r="AV447" s="44"/>
      <c r="AW447" s="44"/>
      <c r="AX447" s="44"/>
      <c r="AY447" s="44"/>
      <c r="AZ447" s="44"/>
      <c r="BA447" s="44"/>
      <c r="BB447" s="44"/>
      <c r="BC447" s="44"/>
      <c r="BD447" s="44"/>
      <c r="BE447" s="44"/>
      <c r="BF447" s="44"/>
    </row>
    <row r="448" spans="18:58">
      <c r="R448" s="303"/>
      <c r="Z448" s="44"/>
      <c r="AA448" s="44"/>
      <c r="AB448" s="44"/>
      <c r="AC448" s="44"/>
      <c r="AD448" s="44"/>
      <c r="AE448" s="300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  <c r="AQ448" s="44"/>
      <c r="AR448" s="44"/>
      <c r="AS448" s="44"/>
      <c r="AT448" s="44"/>
      <c r="AU448" s="44"/>
      <c r="AV448" s="44"/>
      <c r="AW448" s="44"/>
      <c r="AX448" s="44"/>
      <c r="AY448" s="44"/>
      <c r="AZ448" s="44"/>
      <c r="BA448" s="44"/>
      <c r="BB448" s="44"/>
      <c r="BC448" s="44"/>
      <c r="BD448" s="44"/>
      <c r="BE448" s="44"/>
      <c r="BF448" s="44"/>
    </row>
    <row r="449" spans="18:58">
      <c r="R449" s="303"/>
      <c r="Z449" s="44"/>
      <c r="AA449" s="44"/>
      <c r="AB449" s="44"/>
      <c r="AC449" s="44"/>
      <c r="AD449" s="44"/>
      <c r="AE449" s="300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  <c r="AQ449" s="44"/>
      <c r="AR449" s="44"/>
      <c r="AS449" s="44"/>
      <c r="AT449" s="44"/>
      <c r="AU449" s="44"/>
      <c r="AV449" s="44"/>
      <c r="AW449" s="44"/>
      <c r="AX449" s="44"/>
      <c r="AY449" s="44"/>
      <c r="AZ449" s="44"/>
      <c r="BA449" s="44"/>
      <c r="BB449" s="44"/>
      <c r="BC449" s="44"/>
      <c r="BD449" s="44"/>
      <c r="BE449" s="44"/>
      <c r="BF449" s="44"/>
    </row>
    <row r="450" spans="18:58">
      <c r="R450" s="303"/>
      <c r="Z450" s="44"/>
      <c r="AA450" s="44"/>
      <c r="AB450" s="44"/>
      <c r="AC450" s="44"/>
      <c r="AD450" s="44"/>
      <c r="AE450" s="300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  <c r="AQ450" s="44"/>
      <c r="AR450" s="44"/>
      <c r="AS450" s="44"/>
      <c r="AT450" s="44"/>
      <c r="AU450" s="44"/>
      <c r="AV450" s="44"/>
      <c r="AW450" s="44"/>
      <c r="AX450" s="44"/>
      <c r="AY450" s="44"/>
      <c r="AZ450" s="44"/>
      <c r="BA450" s="44"/>
      <c r="BB450" s="44"/>
      <c r="BC450" s="44"/>
      <c r="BD450" s="44"/>
      <c r="BE450" s="44"/>
      <c r="BF450" s="44"/>
    </row>
    <row r="451" spans="18:58">
      <c r="R451" s="303"/>
      <c r="Z451" s="44"/>
      <c r="AA451" s="44"/>
      <c r="AB451" s="44"/>
      <c r="AC451" s="44"/>
      <c r="AD451" s="44"/>
      <c r="AE451" s="300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  <c r="AQ451" s="44"/>
      <c r="AR451" s="44"/>
      <c r="AS451" s="44"/>
      <c r="AT451" s="44"/>
      <c r="AU451" s="44"/>
      <c r="AV451" s="44"/>
      <c r="AW451" s="44"/>
      <c r="AX451" s="44"/>
      <c r="AY451" s="44"/>
      <c r="AZ451" s="44"/>
      <c r="BA451" s="44"/>
      <c r="BB451" s="44"/>
      <c r="BC451" s="44"/>
      <c r="BD451" s="44"/>
      <c r="BE451" s="44"/>
      <c r="BF451" s="44"/>
    </row>
    <row r="452" spans="18:58">
      <c r="Z452" s="44"/>
      <c r="AA452" s="44"/>
      <c r="AB452" s="44"/>
      <c r="AC452" s="44"/>
      <c r="AD452" s="44"/>
      <c r="AE452" s="300"/>
      <c r="AF452" s="44"/>
      <c r="AG452" s="44"/>
      <c r="AH452" s="44"/>
      <c r="AI452" s="44"/>
      <c r="AJ452" s="44"/>
      <c r="AK452" s="44"/>
      <c r="AL452" s="44"/>
      <c r="AM452" s="44"/>
      <c r="AN452" s="44"/>
      <c r="AO452" s="44"/>
      <c r="AP452" s="44"/>
      <c r="AQ452" s="44"/>
      <c r="AR452" s="44"/>
      <c r="AS452" s="44"/>
      <c r="AT452" s="44"/>
      <c r="AU452" s="44"/>
      <c r="AV452" s="44"/>
      <c r="AW452" s="44"/>
      <c r="AX452" s="44"/>
      <c r="AY452" s="44"/>
      <c r="AZ452" s="44"/>
      <c r="BA452" s="44"/>
      <c r="BB452" s="44"/>
      <c r="BC452" s="44"/>
      <c r="BD452" s="44"/>
      <c r="BE452" s="44"/>
      <c r="BF452" s="44"/>
    </row>
    <row r="453" spans="18:58">
      <c r="AB453" s="44"/>
      <c r="AD453" s="44"/>
      <c r="AE453" s="300"/>
      <c r="AF453" s="44"/>
      <c r="AG453" s="44"/>
      <c r="AH453" s="44"/>
      <c r="AI453" s="44"/>
      <c r="AJ453" s="44"/>
      <c r="AK453" s="44"/>
      <c r="AL453" s="44"/>
      <c r="AM453" s="44"/>
      <c r="AN453" s="44"/>
      <c r="AO453" s="44"/>
      <c r="AP453" s="44"/>
      <c r="AQ453" s="44"/>
      <c r="AR453" s="44"/>
      <c r="AS453" s="44"/>
      <c r="AT453" s="44"/>
      <c r="AU453" s="44"/>
      <c r="AV453" s="44"/>
      <c r="AW453" s="44"/>
      <c r="AX453" s="44"/>
      <c r="AY453" s="44"/>
      <c r="AZ453" s="44"/>
      <c r="BA453" s="44"/>
      <c r="BB453" s="44"/>
      <c r="BC453" s="44"/>
      <c r="BD453" s="44"/>
      <c r="BE453" s="44"/>
      <c r="BF453" s="44"/>
    </row>
    <row r="454" spans="18:58">
      <c r="AD454" s="44"/>
      <c r="AE454" s="300"/>
      <c r="AF454" s="44"/>
      <c r="AG454" s="44"/>
      <c r="AH454" s="44"/>
      <c r="AI454" s="44"/>
      <c r="AJ454" s="44"/>
      <c r="AK454" s="44"/>
      <c r="AL454" s="44"/>
      <c r="AM454" s="44"/>
      <c r="AN454" s="44"/>
      <c r="AO454" s="44"/>
      <c r="AP454" s="44"/>
      <c r="AQ454" s="44"/>
      <c r="AR454" s="44"/>
      <c r="AS454" s="44"/>
      <c r="AT454" s="44"/>
      <c r="AU454" s="44"/>
      <c r="AV454" s="44"/>
      <c r="AW454" s="44"/>
      <c r="AX454" s="44"/>
      <c r="AY454" s="44"/>
      <c r="AZ454" s="44"/>
      <c r="BA454" s="44"/>
      <c r="BB454" s="44"/>
      <c r="BC454" s="44"/>
      <c r="BD454" s="44"/>
      <c r="BE454" s="44"/>
      <c r="BF454" s="44"/>
    </row>
  </sheetData>
  <mergeCells count="15">
    <mergeCell ref="C33:C38"/>
    <mergeCell ref="A50:M51"/>
    <mergeCell ref="AA32:AC34"/>
    <mergeCell ref="D33:L38"/>
    <mergeCell ref="A48:M49"/>
    <mergeCell ref="L27:M27"/>
    <mergeCell ref="G28:J28"/>
    <mergeCell ref="L29:M29"/>
    <mergeCell ref="L30:M30"/>
    <mergeCell ref="L31:M31"/>
    <mergeCell ref="G24:J24"/>
    <mergeCell ref="L24:M24"/>
    <mergeCell ref="G25:J25"/>
    <mergeCell ref="L25:M25"/>
    <mergeCell ref="L26:M26"/>
  </mergeCells>
  <phoneticPr fontId="40" type="noConversion"/>
  <conditionalFormatting sqref="K43">
    <cfRule type="cellIs" dxfId="1" priority="1" operator="equal">
      <formula>"NO"</formula>
    </cfRule>
    <cfRule type="cellIs" dxfId="0" priority="2" operator="equal">
      <formula>"YES"</formula>
    </cfRule>
  </conditionalFormatting>
  <dataValidations count="9">
    <dataValidation type="custom" errorStyle="warning" showInputMessage="1" showErrorMessage="1" error="Non-Standard Link Rate" sqref="K42" xr:uid="{00000000-0002-0000-0000-000000000000}">
      <formula1>OR(K42=1.62,K42=2.7,K42=5.4)</formula1>
    </dataValidation>
    <dataValidation type="whole" operator="greaterThan" allowBlank="1" showInputMessage="1" showErrorMessage="1" errorTitle="Invalid Number!" error="Vertical Pixel value should be a whole number." promptTitle="Note:" prompt="Vertical linel value will be rounded to nearest integer." sqref="K25" xr:uid="{00000000-0002-0000-0000-000001000000}">
      <formula1>0</formula1>
    </dataValidation>
    <dataValidation type="whole" operator="greaterThan" showInputMessage="1" showErrorMessage="1" errorTitle="Invalid Number!" error="Horizontal Pixel value should be a whole number." promptTitle="Note:" prompt="Value will be rounded to the nearest integer number of character cells." sqref="K24" xr:uid="{00000000-0002-0000-0000-000002000000}">
      <formula1>0</formula1>
    </dataValidation>
    <dataValidation type="custom" showInputMessage="1" showErrorMessage="1" errorTitle="Invalid Entry!" error="Please enter Y or N (Yes/No)." promptTitle="Video Optimized Rate" prompt="This field should be set to &quot;Y&quot; when Frame Rate is 60 Hz, 30 Hz, 24 Hz to get the CVT reduced blank version 2 timing for 59.94 Hz, 29.97 Hz and 23.976 Hz respectively." sqref="K31" xr:uid="{00000000-0002-0000-0000-000003000000}">
      <formula1>OR(K31="Y",K31="N")</formula1>
    </dataValidation>
    <dataValidation type="decimal" operator="greaterThan" showInputMessage="1" showErrorMessage="1" errorTitle="Invalid Number!" error="Frame Rate value must be a number." promptTitle="Vertical Frame Rate:" prompt="CVT normal blank and reduced blank version 1, standard Frame Rates are:_x000a_    50Hz_x000a_    60Hz_x000a_    75Hz_x000a_    85Hz_x000a__x000a_CVT reduced blank version 2 supports any non-interlace frame rate." sqref="K28" xr:uid="{00000000-0002-0000-0000-000004000000}">
      <formula1>0</formula1>
    </dataValidation>
    <dataValidation type="list" allowBlank="1" showInputMessage="1" showErrorMessage="1" sqref="K41" xr:uid="{00000000-0002-0000-0000-000005000000}">
      <formula1>"1,2,4"</formula1>
    </dataValidation>
    <dataValidation type="custom" showInputMessage="1" showErrorMessage="1" errorTitle="Invalid Entry!" error="Please enter Y or N (Yes/No)." sqref="K29 K30 K26:K27" xr:uid="{00000000-0002-0000-0000-000006000000}">
      <formula1>OR(K26="Y",K26="N")</formula1>
    </dataValidation>
    <dataValidation type="list" allowBlank="1" showInputMessage="1" showErrorMessage="1" sqref="K40" xr:uid="{00000000-0002-0000-0000-000007000000}">
      <formula1>"6,8,10,12,16,18,20,24,30,36,48"</formula1>
    </dataValidation>
    <dataValidation errorStyle="warning" showInputMessage="1" showErrorMessage="1" error="Non-Standard Link Rate" sqref="K44" xr:uid="{00000000-0002-0000-0000-000008000000}"/>
  </dataValidations>
  <printOptions horizontalCentered="1" verticalCentered="1"/>
  <pageMargins left="0.5" right="0.5" top="0.55902777777777801" bottom="0.55902777777777801" header="0.5" footer="0.5"/>
  <pageSetup scale="40" orientation="portrait" verticalDpi="300"/>
  <headerFooter alignWithMargins="0">
    <oddFooter>&amp;L&amp;"Times New Roman,Regular"&amp;14VESA Coordinated Video Timing Generator
(c) Copyright 2002 Video Electronics Standards Association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1640625" defaultRowHeight="12.5"/>
  <sheetData/>
  <phoneticPr fontId="40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69</vt:i4>
      </vt:variant>
    </vt:vector>
  </HeadingPairs>
  <TitlesOfParts>
    <vt:vector size="71" baseType="lpstr">
      <vt:lpstr>CVTv1r1.2</vt:lpstr>
      <vt:lpstr>Sheet1</vt:lpstr>
      <vt:lpstr>ACT_FIELD_RATE</vt:lpstr>
      <vt:lpstr>ACT_FRAME_RATE</vt:lpstr>
      <vt:lpstr>ACT_H_FREQ</vt:lpstr>
      <vt:lpstr>ACT_PIXEL_FREQ</vt:lpstr>
      <vt:lpstr>ACT_VBI_LINES</vt:lpstr>
      <vt:lpstr>ASPECT_RATIO</vt:lpstr>
      <vt:lpstr>BOT_MARGIN</vt:lpstr>
      <vt:lpstr>C_PRIME</vt:lpstr>
      <vt:lpstr>CELL_GRAN</vt:lpstr>
      <vt:lpstr>CELL_GRAN_RND</vt:lpstr>
      <vt:lpstr>CLOCK_STEP</vt:lpstr>
      <vt:lpstr>DPBitsPerPixel</vt:lpstr>
      <vt:lpstr>DPLanes</vt:lpstr>
      <vt:lpstr>DPModeEncodingOverhead</vt:lpstr>
      <vt:lpstr>DPRate</vt:lpstr>
      <vt:lpstr>FrameRate_Error</vt:lpstr>
      <vt:lpstr>GTF_C_VAR</vt:lpstr>
      <vt:lpstr>GTF_J_VAR</vt:lpstr>
      <vt:lpstr>GTF_K_VAR</vt:lpstr>
      <vt:lpstr>GTF_M_VAR</vt:lpstr>
      <vt:lpstr>H_BACK_PORCH</vt:lpstr>
      <vt:lpstr>H_BLANK</vt:lpstr>
      <vt:lpstr>H_FRONT_PORCH</vt:lpstr>
      <vt:lpstr>H_PERIOD_EST</vt:lpstr>
      <vt:lpstr>H_PIXELS</vt:lpstr>
      <vt:lpstr>H_PIXELS_RND</vt:lpstr>
      <vt:lpstr>H_SYNC_PER</vt:lpstr>
      <vt:lpstr>H_SYNC_RND</vt:lpstr>
      <vt:lpstr>IDEAL_DUTY_CYCLE</vt:lpstr>
      <vt:lpstr>INT_RQD?</vt:lpstr>
      <vt:lpstr>INTERLACE</vt:lpstr>
      <vt:lpstr>IP_FREQ_RQD</vt:lpstr>
      <vt:lpstr>LEFT_MARGIN</vt:lpstr>
      <vt:lpstr>M_PRIME</vt:lpstr>
      <vt:lpstr>MARGIN_PER</vt:lpstr>
      <vt:lpstr>MARGINS_RQD?</vt:lpstr>
      <vt:lpstr>MIN_V_BPORCH</vt:lpstr>
      <vt:lpstr>MIN_V_PORCH</vt:lpstr>
      <vt:lpstr>MIN_V_PORCH_RND</vt:lpstr>
      <vt:lpstr>MIN_VSYNC_BP</vt:lpstr>
      <vt:lpstr>CVTv1r1.2!Print_Area</vt:lpstr>
      <vt:lpstr>CVTv1r1.2!Print_Titles</vt:lpstr>
      <vt:lpstr>RB_H_BLANK</vt:lpstr>
      <vt:lpstr>RB_H_SYNC</vt:lpstr>
      <vt:lpstr>RB_MIN_V_BLANK</vt:lpstr>
      <vt:lpstr>RB_MIN_V_BPORCH</vt:lpstr>
      <vt:lpstr>RB_MIN_VBI</vt:lpstr>
      <vt:lpstr>RB_V_FPORCH</vt:lpstr>
      <vt:lpstr>RED_BLANK_RQD?</vt:lpstr>
      <vt:lpstr>RED_BLANK_VER</vt:lpstr>
      <vt:lpstr>RED_BLANK_VER2</vt:lpstr>
      <vt:lpstr>RIGHT_MARGIN</vt:lpstr>
      <vt:lpstr>TOP_MARGIN</vt:lpstr>
      <vt:lpstr>TOTAL_ACTIVE_PIXELS</vt:lpstr>
      <vt:lpstr>TOTAL_PIXELS</vt:lpstr>
      <vt:lpstr>TOTAL_V_LINES</vt:lpstr>
      <vt:lpstr>V_BACK_PORCH</vt:lpstr>
      <vt:lpstr>V_BLANK</vt:lpstr>
      <vt:lpstr>V_FIELD_RATE_RQD</vt:lpstr>
      <vt:lpstr>V_FRONT_PORCH</vt:lpstr>
      <vt:lpstr>V_LINES</vt:lpstr>
      <vt:lpstr>V_LINES_RND</vt:lpstr>
      <vt:lpstr>V_SYNC</vt:lpstr>
      <vt:lpstr>V_SYNC_BP</vt:lpstr>
      <vt:lpstr>V_SYNC_RND</vt:lpstr>
      <vt:lpstr>VBI_LINES</vt:lpstr>
      <vt:lpstr>Version</vt:lpstr>
      <vt:lpstr>VIDEO_OPT</vt:lpstr>
      <vt:lpstr>VSYNC_WIDTH_TABLE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VESA Coordinated Video Timing Generator</dc:title>
  <dc:subject>CVT Timing</dc:subject>
  <dc:creator>Graham Loveridge</dc:creator>
  <cp:keywords>CVT Timing Generator</cp:keywords>
  <cp:lastModifiedBy>yuhao chen</cp:lastModifiedBy>
  <cp:lastPrinted>2003-03-03T23:34:00Z</cp:lastPrinted>
  <dcterms:created xsi:type="dcterms:W3CDTF">2002-01-07T17:37:00Z</dcterms:created>
  <dcterms:modified xsi:type="dcterms:W3CDTF">2021-04-28T10:32:50Z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