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balazs_fodor3_stud_uni-corvinus_hu/Documents/"/>
    </mc:Choice>
  </mc:AlternateContent>
  <xr:revisionPtr revIDLastSave="0" documentId="8_{FA708D38-9E4A-4116-8235-8575DD5A2ADC}" xr6:coauthVersionLast="47" xr6:coauthVersionMax="47" xr10:uidLastSave="{00000000-0000-0000-0000-000000000000}"/>
  <bookViews>
    <workbookView xWindow="-108" yWindow="-108" windowWidth="23256" windowHeight="12456" activeTab="2" xr2:uid="{683BD78C-CA69-B848-B3CD-A56B28954251}"/>
  </bookViews>
  <sheets>
    <sheet name="Sarokcsiszoló javítás-mérés" sheetId="1" r:id="rId1"/>
    <sheet name="Fluktuáció" sheetId="3" r:id="rId2"/>
    <sheet name="Fluktuáció feladat" sheetId="4" r:id="rId3"/>
    <sheet name="Sarokcsiszoló beérkezés" sheetId="2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6" i="2"/>
  <c r="J17" i="2"/>
  <c r="H17" i="2"/>
  <c r="N17" i="2"/>
  <c r="H19" i="4"/>
  <c r="H32" i="2"/>
  <c r="G20" i="4"/>
  <c r="AE56" i="1"/>
  <c r="AD56" i="1"/>
  <c r="AC56" i="1"/>
  <c r="AB56" i="1"/>
  <c r="AE55" i="1"/>
  <c r="AD55" i="1"/>
  <c r="AC55" i="1"/>
  <c r="AC57" i="1" s="1"/>
  <c r="AB55" i="1"/>
  <c r="AE54" i="1"/>
  <c r="AD54" i="1"/>
  <c r="AC54" i="1"/>
  <c r="AB54" i="1"/>
  <c r="AE53" i="1"/>
  <c r="AD53" i="1"/>
  <c r="AC53" i="1"/>
  <c r="AB53" i="1"/>
  <c r="AE44" i="1"/>
  <c r="AD44" i="1"/>
  <c r="AC44" i="1"/>
  <c r="AB44" i="1"/>
  <c r="AE43" i="1"/>
  <c r="AD43" i="1"/>
  <c r="AC43" i="1"/>
  <c r="AC45" i="1" s="1"/>
  <c r="AB43" i="1"/>
  <c r="AB45" i="1" s="1"/>
  <c r="AE42" i="1"/>
  <c r="AD42" i="1"/>
  <c r="AC42" i="1"/>
  <c r="AB42" i="1"/>
  <c r="AE41" i="1"/>
  <c r="AD41" i="1"/>
  <c r="AC41" i="1"/>
  <c r="AB41" i="1"/>
  <c r="AE32" i="1"/>
  <c r="AD32" i="1"/>
  <c r="AC32" i="1"/>
  <c r="AB32" i="1"/>
  <c r="AE31" i="1"/>
  <c r="AD31" i="1"/>
  <c r="AD33" i="1" s="1"/>
  <c r="AC31" i="1"/>
  <c r="AC33" i="1" s="1"/>
  <c r="AB31" i="1"/>
  <c r="AE30" i="1"/>
  <c r="AD30" i="1"/>
  <c r="AC30" i="1"/>
  <c r="AB30" i="1"/>
  <c r="AE29" i="1"/>
  <c r="AD29" i="1"/>
  <c r="AC29" i="1"/>
  <c r="AB29" i="1"/>
  <c r="AE20" i="1"/>
  <c r="AD20" i="1"/>
  <c r="AC20" i="1"/>
  <c r="AB20" i="1"/>
  <c r="AE19" i="1"/>
  <c r="AD19" i="1"/>
  <c r="AC19" i="1"/>
  <c r="AC21" i="1" s="1"/>
  <c r="AB19" i="1"/>
  <c r="AB21" i="1" s="1"/>
  <c r="AE18" i="1"/>
  <c r="AD18" i="1"/>
  <c r="AC18" i="1"/>
  <c r="AB18" i="1"/>
  <c r="AE17" i="1"/>
  <c r="AD17" i="1"/>
  <c r="AC17" i="1"/>
  <c r="AB17" i="1"/>
  <c r="AE16" i="1"/>
  <c r="AD16" i="1"/>
  <c r="AC16" i="1"/>
  <c r="AB16" i="1"/>
  <c r="H19" i="2"/>
  <c r="AB25" i="1" l="1"/>
  <c r="AC25" i="1"/>
  <c r="AD25" i="1"/>
  <c r="AE25" i="1"/>
  <c r="AD21" i="1"/>
  <c r="AE21" i="1"/>
  <c r="AB37" i="1"/>
  <c r="AC37" i="1"/>
  <c r="AD37" i="1"/>
  <c r="AE37" i="1"/>
  <c r="AB33" i="1"/>
  <c r="AE33" i="1"/>
  <c r="AB49" i="1"/>
  <c r="AC49" i="1"/>
  <c r="AD49" i="1"/>
  <c r="AE49" i="1"/>
  <c r="AD45" i="1"/>
  <c r="AE45" i="1"/>
  <c r="AB61" i="1"/>
  <c r="AC61" i="1"/>
  <c r="AD61" i="1"/>
  <c r="AE61" i="1"/>
  <c r="AB57" i="1"/>
  <c r="AD57" i="1"/>
  <c r="AE57" i="1"/>
  <c r="AA66" i="1" l="1"/>
  <c r="AA76" i="1" s="1"/>
  <c r="AA86" i="1" s="1"/>
  <c r="AA74" i="1"/>
  <c r="H33" i="2"/>
  <c r="G19" i="4"/>
  <c r="M30" i="4"/>
  <c r="P29" i="4"/>
  <c r="M28" i="4"/>
  <c r="L28" i="4"/>
  <c r="K28" i="4"/>
  <c r="J27" i="4"/>
  <c r="L10" i="4"/>
  <c r="M10" i="4"/>
  <c r="N10" i="4"/>
  <c r="O10" i="4"/>
  <c r="P10" i="4"/>
  <c r="Q10" i="4"/>
  <c r="M7" i="4"/>
  <c r="E7" i="3"/>
  <c r="E5" i="3"/>
  <c r="J5" i="4"/>
  <c r="D7" i="3"/>
  <c r="J10" i="4"/>
  <c r="I10" i="4"/>
  <c r="H10" i="4"/>
  <c r="J7" i="4"/>
  <c r="B8" i="3"/>
  <c r="H21" i="2"/>
  <c r="N23" i="3" s="1"/>
  <c r="B7" i="3"/>
  <c r="B6" i="3"/>
  <c r="C5" i="3"/>
  <c r="Z14" i="3"/>
  <c r="Y14" i="3"/>
  <c r="O14" i="3"/>
  <c r="AB68" i="1"/>
  <c r="AB73" i="1" s="1"/>
  <c r="AB67" i="1"/>
  <c r="AB78" i="1" s="1"/>
  <c r="AB66" i="1"/>
  <c r="AB77" i="1" s="1"/>
  <c r="AB65" i="1"/>
  <c r="AA68" i="1"/>
  <c r="AA73" i="1" s="1"/>
  <c r="AA67" i="1"/>
  <c r="AA78" i="1" s="1"/>
  <c r="AA65" i="1"/>
  <c r="Z68" i="1"/>
  <c r="Z73" i="1" s="1"/>
  <c r="Z67" i="1"/>
  <c r="Z78" i="1" s="1"/>
  <c r="Z66" i="1"/>
  <c r="Z77" i="1" s="1"/>
  <c r="Z65" i="1"/>
  <c r="Y68" i="1"/>
  <c r="Y73" i="1" s="1"/>
  <c r="Y67" i="1"/>
  <c r="Y66" i="1"/>
  <c r="Y77" i="1" s="1"/>
  <c r="Y65" i="1"/>
  <c r="Y80" i="1" s="1"/>
  <c r="Y86" i="1" s="1"/>
  <c r="H20" i="4"/>
  <c r="N20" i="4"/>
  <c r="N19" i="4"/>
  <c r="J12" i="4"/>
  <c r="I12" i="4"/>
  <c r="H12" i="4"/>
  <c r="J11" i="4"/>
  <c r="I11" i="4"/>
  <c r="Q31" i="4"/>
  <c r="R31" i="4" s="1"/>
  <c r="N30" i="4"/>
  <c r="O30" i="4" s="1"/>
  <c r="P30" i="4" s="1"/>
  <c r="Q30" i="4" s="1"/>
  <c r="R30" i="4" s="1"/>
  <c r="K29" i="4"/>
  <c r="L29" i="4" s="1"/>
  <c r="M29" i="4" s="1"/>
  <c r="N29" i="4" s="1"/>
  <c r="O29" i="4" s="1"/>
  <c r="Q29" i="4" s="1"/>
  <c r="R29" i="4" s="1"/>
  <c r="H11" i="4"/>
  <c r="K5" i="4"/>
  <c r="I13" i="4"/>
  <c r="J13" i="4"/>
  <c r="H13" i="4"/>
  <c r="L19" i="2"/>
  <c r="L17" i="2"/>
  <c r="M14" i="3"/>
  <c r="L21" i="2"/>
  <c r="N17" i="3"/>
  <c r="N16" i="3"/>
  <c r="N19" i="3" s="1"/>
  <c r="N14" i="3"/>
  <c r="P14" i="3"/>
  <c r="Q14" i="3"/>
  <c r="R14" i="3"/>
  <c r="S14" i="3"/>
  <c r="T14" i="3"/>
  <c r="U14" i="3"/>
  <c r="V14" i="3"/>
  <c r="W14" i="3"/>
  <c r="X14" i="3"/>
  <c r="E74" i="1"/>
  <c r="E72" i="1"/>
  <c r="E68" i="1"/>
  <c r="E66" i="1"/>
  <c r="AC67" i="1" l="1"/>
  <c r="F72" i="1" s="1"/>
  <c r="G72" i="1" s="1"/>
  <c r="Y78" i="1"/>
  <c r="H27" i="2"/>
  <c r="AC65" i="1"/>
  <c r="Y87" i="1"/>
  <c r="Y79" i="1"/>
  <c r="Z80" i="1"/>
  <c r="Z79" i="1"/>
  <c r="Z82" i="1" s="1"/>
  <c r="Z86" i="1" s="1"/>
  <c r="Z81" i="1"/>
  <c r="AA80" i="1"/>
  <c r="AA79" i="1"/>
  <c r="AA82" i="1"/>
  <c r="AA81" i="1"/>
  <c r="AB80" i="1"/>
  <c r="AB79" i="1"/>
  <c r="AB82" i="1"/>
  <c r="AB81" i="1"/>
  <c r="AA77" i="1"/>
  <c r="AA87" i="1" s="1"/>
  <c r="F67" i="1"/>
  <c r="G67" i="1" s="1"/>
  <c r="F66" i="1"/>
  <c r="G66" i="1" s="1"/>
  <c r="Y76" i="1"/>
  <c r="Y74" i="1"/>
  <c r="AC66" i="1"/>
  <c r="F73" i="1"/>
  <c r="G73" i="1" s="1"/>
  <c r="Y75" i="1"/>
  <c r="AC68" i="1"/>
  <c r="F74" i="1" s="1"/>
  <c r="G74" i="1" s="1"/>
  <c r="Z76" i="1"/>
  <c r="Z74" i="1"/>
  <c r="Z75" i="1"/>
  <c r="AB76" i="1"/>
  <c r="AB74" i="1"/>
  <c r="AB75" i="1"/>
  <c r="AA75" i="1"/>
  <c r="F69" i="1"/>
  <c r="G69" i="1" s="1"/>
  <c r="F70" i="1"/>
  <c r="G70" i="1" s="1"/>
  <c r="F71" i="1"/>
  <c r="G71" i="1" s="1"/>
  <c r="F68" i="1"/>
  <c r="G68" i="1" s="1"/>
  <c r="K27" i="4"/>
  <c r="N25" i="3"/>
  <c r="H29" i="2"/>
  <c r="K7" i="4"/>
  <c r="L5" i="4"/>
  <c r="M5" i="4" s="1"/>
  <c r="N5" i="4" s="1"/>
  <c r="O5" i="4" s="1"/>
  <c r="P5" i="4" s="1"/>
  <c r="Q5" i="4" s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5" i="1"/>
  <c r="V34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5" i="1"/>
  <c r="Q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5" i="1"/>
  <c r="G34" i="1"/>
  <c r="AB69" i="1"/>
  <c r="AA69" i="1"/>
  <c r="Z69" i="1"/>
  <c r="Y69" i="1"/>
  <c r="C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B5" i="3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Z87" i="1" l="1"/>
  <c r="AE87" i="1" s="1"/>
  <c r="G64" i="1"/>
  <c r="AB8" i="1"/>
  <c r="AB7" i="1"/>
  <c r="AB6" i="1"/>
  <c r="AB5" i="1"/>
  <c r="L64" i="1"/>
  <c r="AC5" i="1"/>
  <c r="AC8" i="1"/>
  <c r="AC7" i="1"/>
  <c r="AC6" i="1"/>
  <c r="AC13" i="1" s="1"/>
  <c r="Q64" i="1"/>
  <c r="AD8" i="1"/>
  <c r="AD7" i="1"/>
  <c r="AD6" i="1"/>
  <c r="AD5" i="1"/>
  <c r="V64" i="1"/>
  <c r="AE8" i="1"/>
  <c r="AE7" i="1"/>
  <c r="AE9" i="1" s="1"/>
  <c r="AE6" i="1"/>
  <c r="AE5" i="1"/>
  <c r="AB86" i="1"/>
  <c r="Y82" i="1"/>
  <c r="Y81" i="1"/>
  <c r="Y72" i="1"/>
  <c r="H26" i="2" s="1"/>
  <c r="N28" i="4"/>
  <c r="O28" i="4" s="1"/>
  <c r="H28" i="2"/>
  <c r="H30" i="2"/>
  <c r="L27" i="4"/>
  <c r="G34" i="4"/>
  <c r="L7" i="4"/>
  <c r="D5" i="3"/>
  <c r="D6" i="3"/>
  <c r="C8" i="3"/>
  <c r="C7" i="3"/>
  <c r="AB87" i="1" l="1"/>
  <c r="AD87" i="1" s="1"/>
  <c r="AD86" i="1"/>
  <c r="AE13" i="1"/>
  <c r="AD13" i="1"/>
  <c r="AD9" i="1"/>
  <c r="AC9" i="1"/>
  <c r="AB13" i="1"/>
  <c r="AB9" i="1"/>
  <c r="N69" i="1"/>
  <c r="N21" i="3" s="1"/>
  <c r="AE86" i="1"/>
  <c r="G35" i="4"/>
  <c r="E8" i="3"/>
  <c r="D8" i="3"/>
  <c r="N7" i="4" l="1"/>
  <c r="O7" i="4" l="1"/>
  <c r="P7" i="4" l="1"/>
  <c r="Q7" i="4" l="1"/>
  <c r="G21" i="4" s="1"/>
  <c r="G22" i="4"/>
  <c r="H22" i="4" s="1"/>
  <c r="J19" i="4" l="1"/>
  <c r="H21" i="4"/>
  <c r="G38" i="4" l="1"/>
  <c r="J20" i="4"/>
  <c r="G39" i="4" s="1"/>
  <c r="G36" i="4"/>
  <c r="G37" i="4" s="1"/>
</calcChain>
</file>

<file path=xl/sharedStrings.xml><?xml version="1.0" encoding="utf-8"?>
<sst xmlns="http://schemas.openxmlformats.org/spreadsheetml/2006/main" count="333" uniqueCount="167">
  <si>
    <t>Géptípusok</t>
  </si>
  <si>
    <t>Mérések száma</t>
  </si>
  <si>
    <t>Operátorok</t>
  </si>
  <si>
    <t>Operátor 1</t>
  </si>
  <si>
    <t>Operátor 2</t>
  </si>
  <si>
    <t>Operátor 3</t>
  </si>
  <si>
    <t>Operátor 4</t>
  </si>
  <si>
    <t>Szerelés (mp)</t>
  </si>
  <si>
    <t>Adminisztráció (mp)</t>
  </si>
  <si>
    <t>Sétaidő (mp)</t>
  </si>
  <si>
    <t>Csomagolás (mp)</t>
  </si>
  <si>
    <t>OP1 összesen (perc)</t>
  </si>
  <si>
    <t>OP2 összesen (perc)</t>
  </si>
  <si>
    <t>OP3 összesen (perc)</t>
  </si>
  <si>
    <t>OP4 összesen (perc)</t>
  </si>
  <si>
    <t>Összesített</t>
  </si>
  <si>
    <t>Leíró statisztikai mutatók</t>
  </si>
  <si>
    <t>OP1</t>
  </si>
  <si>
    <t>OP2</t>
  </si>
  <si>
    <t>OP3</t>
  </si>
  <si>
    <t>OP4</t>
  </si>
  <si>
    <t>Sarokcsiszoló</t>
  </si>
  <si>
    <t>Mintanagyság [db]</t>
  </si>
  <si>
    <t>Átlag [sec]</t>
  </si>
  <si>
    <t>Szórás [sec]</t>
  </si>
  <si>
    <t>Minimum [sec]</t>
  </si>
  <si>
    <t>Maximum [sec]</t>
  </si>
  <si>
    <t>Terjedelem [sec]</t>
  </si>
  <si>
    <t>Statisztikai hiba [%]</t>
  </si>
  <si>
    <t>Megbízhatóság [%]</t>
  </si>
  <si>
    <t>Studen t paraméter [-]</t>
  </si>
  <si>
    <t>Szükséges mérések száma [db]</t>
  </si>
  <si>
    <t>Szerelés</t>
  </si>
  <si>
    <t>Adminisztráció</t>
  </si>
  <si>
    <t>Kiegésztő mérések</t>
  </si>
  <si>
    <t>Sétaidő</t>
  </si>
  <si>
    <t>Csomagolás</t>
  </si>
  <si>
    <t>Tevékenység</t>
  </si>
  <si>
    <t>Résztevékenység</t>
  </si>
  <si>
    <t>Tevékenységek megoszlása</t>
  </si>
  <si>
    <t>Összesen</t>
  </si>
  <si>
    <t>Átlagos perc</t>
  </si>
  <si>
    <t>Átlagos másodperc</t>
  </si>
  <si>
    <t>Szerelés (perc)</t>
  </si>
  <si>
    <t>Szétszerelés</t>
  </si>
  <si>
    <t>Adminisztráció (perc)</t>
  </si>
  <si>
    <t>Összeszerelés</t>
  </si>
  <si>
    <t>Sétaidő (perc)</t>
  </si>
  <si>
    <t>Munkalap megnyitása</t>
  </si>
  <si>
    <t>Kibocsátási idő</t>
  </si>
  <si>
    <t>Csomagolás (perc)</t>
  </si>
  <si>
    <t>Új alkatrész "kiírása" raktárból</t>
  </si>
  <si>
    <t>Ellenőrzés</t>
  </si>
  <si>
    <t>0,75</t>
  </si>
  <si>
    <t>Munkalap lezárása, számla megírása</t>
  </si>
  <si>
    <t>Segédtáblázatok:</t>
  </si>
  <si>
    <t>Séta a raktárba</t>
  </si>
  <si>
    <t>Kibocsátási ütem:</t>
  </si>
  <si>
    <t>perc/db</t>
  </si>
  <si>
    <t>Séta szervizen belül</t>
  </si>
  <si>
    <t>Csomagolás (sec)/op</t>
  </si>
  <si>
    <t>Ellenőrzési idő (sec)/op:</t>
  </si>
  <si>
    <t>Csomagolás + Ellenőrzés</t>
  </si>
  <si>
    <t>megtakarított idő</t>
  </si>
  <si>
    <t>Adminisztráció (Ell. nélkül)</t>
  </si>
  <si>
    <t>Alkatrészbesz</t>
  </si>
  <si>
    <t>Alkbesz+szétsz</t>
  </si>
  <si>
    <t>Alkbesz+összeszer</t>
  </si>
  <si>
    <t>Anyagmozgatás</t>
  </si>
  <si>
    <t>Szerviz ciklusideje</t>
  </si>
  <si>
    <t>Kibocsátási ütem</t>
  </si>
  <si>
    <t>másodperc</t>
  </si>
  <si>
    <t>perc</t>
  </si>
  <si>
    <t>Adatok</t>
  </si>
  <si>
    <t>1. hónap</t>
  </si>
  <si>
    <t>2. hónap</t>
  </si>
  <si>
    <t>3. hónap</t>
  </si>
  <si>
    <t>4. hónap</t>
  </si>
  <si>
    <t>Tapasztalt operátor normál teljesítmény</t>
  </si>
  <si>
    <t>Új operátor javítás hossza (perc)</t>
  </si>
  <si>
    <t>Tapasztalt operátor teljesítmény betanításkor</t>
  </si>
  <si>
    <t>Tapasztalt operátor javítás hossza (perc)</t>
  </si>
  <si>
    <t>Tapasztalt operátor teljesítmény növekedése betanítás során</t>
  </si>
  <si>
    <t>Új operátor kibocsátás mennyisége/hó</t>
  </si>
  <si>
    <t>Új operátor teljesítménye belépéskor</t>
  </si>
  <si>
    <t>Tapasztalt operátor kibocsátás mennyisége/hó</t>
  </si>
  <si>
    <t>Új operátor teljesítmény növekedés havonta</t>
  </si>
  <si>
    <t>Sarokcsiszolóra szánt idő mennyisége/nap</t>
  </si>
  <si>
    <t>Munkanapok száma/hét</t>
  </si>
  <si>
    <t>Hetek száma/hó</t>
  </si>
  <si>
    <t xml:space="preserve">1. 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</si>
  <si>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</si>
  <si>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</si>
  <si>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</si>
  <si>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</si>
  <si>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</si>
  <si>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</si>
  <si>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</si>
  <si>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</si>
  <si>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</si>
  <si>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</si>
  <si>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</si>
  <si>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 év</t>
  </si>
  <si>
    <t>2 év</t>
  </si>
  <si>
    <t>Összes sarokcsiszolóra szánt idő</t>
  </si>
  <si>
    <t>perc/2 év</t>
  </si>
  <si>
    <t>Összes sarokcsiszoló</t>
  </si>
  <si>
    <t>db/2 év</t>
  </si>
  <si>
    <t>Ütemidő</t>
  </si>
  <si>
    <t>Vevői igények csúcsidőszakban</t>
  </si>
  <si>
    <t>nem</t>
  </si>
  <si>
    <t>Vevői igények csúcsidőszakon kívül</t>
  </si>
  <si>
    <t>igen</t>
  </si>
  <si>
    <t>5. hónap</t>
  </si>
  <si>
    <t>6. hónap</t>
  </si>
  <si>
    <t>7. hónap</t>
  </si>
  <si>
    <t>8. hónap</t>
  </si>
  <si>
    <t>9. hónap</t>
  </si>
  <si>
    <t>10. hónap</t>
  </si>
  <si>
    <t>11. hónap</t>
  </si>
  <si>
    <t>12. hónap</t>
  </si>
  <si>
    <t>Vevői igény</t>
  </si>
  <si>
    <t>Kiindulópont</t>
  </si>
  <si>
    <t>Összes kibocsátás</t>
  </si>
  <si>
    <t>db/év</t>
  </si>
  <si>
    <t>1.év</t>
  </si>
  <si>
    <t>db/hó</t>
  </si>
  <si>
    <t>2.év</t>
  </si>
  <si>
    <t>Fluktuáció</t>
  </si>
  <si>
    <t>OP5</t>
  </si>
  <si>
    <t>OP6</t>
  </si>
  <si>
    <t>OP7</t>
  </si>
  <si>
    <t>Teljesítményveszteség</t>
  </si>
  <si>
    <t>Százalékosan</t>
  </si>
  <si>
    <t>Év</t>
  </si>
  <si>
    <t>Hónap</t>
  </si>
  <si>
    <t>Sarokcsiszoló db</t>
  </si>
  <si>
    <t>Összes gép db</t>
  </si>
  <si>
    <t>Arány</t>
  </si>
  <si>
    <t>1. év</t>
  </si>
  <si>
    <t>Október</t>
  </si>
  <si>
    <t>November</t>
  </si>
  <si>
    <t>December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</si>
  <si>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</si>
  <si>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</si>
  <si>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</si>
  <si>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</si>
  <si>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</si>
  <si>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</si>
  <si>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</si>
  <si>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</si>
  <si>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</si>
  <si>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2. év</t>
  </si>
  <si>
    <t>Számítási segédtáblázatok:</t>
  </si>
  <si>
    <t>havonta</t>
  </si>
  <si>
    <t>Összes gép csúcsidőszakban:</t>
  </si>
  <si>
    <t>db</t>
  </si>
  <si>
    <t>Összes gép csúcsidőszakon kívül:</t>
  </si>
  <si>
    <t>Összes idő csúcsidőszakban:</t>
  </si>
  <si>
    <t>Összes idő csúcsidőszakon kívül:</t>
  </si>
  <si>
    <t>Ütemidő csúcsidőszakban:</t>
  </si>
  <si>
    <t>Ütemidő csúcsidőszakon kívül:</t>
  </si>
  <si>
    <t>Összefoglaló táblázat:</t>
  </si>
  <si>
    <t>Gépek száma naponta</t>
  </si>
  <si>
    <t>Jelenleg képes teljesíteni?:</t>
  </si>
  <si>
    <t>Átlagos sarokcsiszoló db/hó</t>
  </si>
  <si>
    <t>Átlagos sarokcsiszoló db/nap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</si>
</sst>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&quot; perc&quot;"/>
    <numFmt numFmtId="167" formatCode="0.0%"/>
  </numFmts>
  <fonts count="1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mbriaMath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CCF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BE7B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7CC57D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73C37C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9773"/>
        <bgColor rgb="FF000000"/>
      </patternFill>
    </fill>
    <fill>
      <patternFill patternType="solid">
        <fgColor rgb="FFFED980"/>
        <bgColor rgb="FF000000"/>
      </patternFill>
    </fill>
    <fill>
      <patternFill patternType="solid">
        <fgColor rgb="FFF87A6E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A9E75"/>
        <bgColor rgb="FF000000"/>
      </patternFill>
    </fill>
    <fill>
      <patternFill patternType="solid">
        <fgColor rgb="FFF98870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C32D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10" fontId="0" fillId="0" borderId="0" xfId="0" applyNumberFormat="1"/>
    <xf numFmtId="0" fontId="5" fillId="0" borderId="13" xfId="0" applyFont="1" applyBorder="1" applyAlignment="1">
      <alignment vertical="center"/>
    </xf>
    <xf numFmtId="0" fontId="5" fillId="0" borderId="13" xfId="0" applyFont="1" applyBorder="1"/>
    <xf numFmtId="0" fontId="7" fillId="0" borderId="1" xfId="0" applyFont="1" applyBorder="1"/>
    <xf numFmtId="0" fontId="7" fillId="0" borderId="8" xfId="0" applyFont="1" applyBorder="1"/>
    <xf numFmtId="0" fontId="7" fillId="0" borderId="3" xfId="0" applyFont="1" applyBorder="1"/>
    <xf numFmtId="10" fontId="7" fillId="0" borderId="3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32" xfId="0" applyNumberFormat="1" applyBorder="1"/>
    <xf numFmtId="9" fontId="0" fillId="0" borderId="30" xfId="0" applyNumberFormat="1" applyBorder="1"/>
    <xf numFmtId="9" fontId="0" fillId="0" borderId="31" xfId="0" applyNumberFormat="1" applyBorder="1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9" fontId="0" fillId="0" borderId="1" xfId="0" applyNumberForma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54" xfId="0" applyFont="1" applyBorder="1" applyAlignment="1">
      <alignment horizontal="center" vertical="center"/>
    </xf>
    <xf numFmtId="10" fontId="8" fillId="0" borderId="13" xfId="0" applyNumberFormat="1" applyFont="1" applyBorder="1"/>
    <xf numFmtId="0" fontId="9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1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64" fontId="0" fillId="32" borderId="1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10" fillId="30" borderId="1" xfId="0" applyFont="1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2" fontId="0" fillId="34" borderId="1" xfId="0" applyNumberFormat="1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2" fontId="0" fillId="35" borderId="1" xfId="0" applyNumberFormat="1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37" borderId="64" xfId="0" applyFill="1" applyBorder="1"/>
    <xf numFmtId="0" fontId="0" fillId="37" borderId="64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4" xfId="0" applyBorder="1"/>
    <xf numFmtId="2" fontId="0" fillId="0" borderId="64" xfId="0" applyNumberFormat="1" applyBorder="1" applyAlignment="1">
      <alignment horizontal="center"/>
    </xf>
    <xf numFmtId="2" fontId="0" fillId="0" borderId="66" xfId="0" applyNumberFormat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37" borderId="65" xfId="0" applyFill="1" applyBorder="1"/>
    <xf numFmtId="0" fontId="0" fillId="37" borderId="66" xfId="0" applyFill="1" applyBorder="1"/>
    <xf numFmtId="2" fontId="0" fillId="0" borderId="3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68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37" borderId="1" xfId="0" applyNumberFormat="1" applyFill="1" applyBorder="1" applyAlignment="1">
      <alignment horizontal="center"/>
    </xf>
    <xf numFmtId="0" fontId="0" fillId="38" borderId="67" xfId="0" applyFill="1" applyBorder="1"/>
    <xf numFmtId="2" fontId="0" fillId="34" borderId="15" xfId="0" applyNumberFormat="1" applyFill="1" applyBorder="1" applyAlignment="1">
      <alignment horizontal="center"/>
    </xf>
    <xf numFmtId="0" fontId="0" fillId="38" borderId="58" xfId="0" applyFill="1" applyBorder="1"/>
    <xf numFmtId="0" fontId="0" fillId="38" borderId="65" xfId="0" applyFill="1" applyBorder="1" applyAlignment="1">
      <alignment horizontal="center"/>
    </xf>
    <xf numFmtId="10" fontId="0" fillId="38" borderId="70" xfId="0" applyNumberForma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5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24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20" xfId="1" applyFon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2" borderId="1" xfId="0" applyNumberForma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2" fontId="0" fillId="29" borderId="6" xfId="0" applyNumberFormat="1" applyFill="1" applyBorder="1" applyAlignment="1">
      <alignment horizontal="center"/>
    </xf>
    <xf numFmtId="0" fontId="0" fillId="29" borderId="6" xfId="0" applyFill="1" applyBorder="1" applyAlignment="1">
      <alignment horizontal="center"/>
    </xf>
    <xf numFmtId="2" fontId="0" fillId="29" borderId="20" xfId="0" applyNumberFormat="1" applyFill="1" applyBorder="1" applyAlignment="1">
      <alignment horizontal="center"/>
    </xf>
    <xf numFmtId="0" fontId="0" fillId="0" borderId="46" xfId="0" applyBorder="1" applyAlignment="1">
      <alignment horizontal="center"/>
    </xf>
    <xf numFmtId="2" fontId="0" fillId="29" borderId="7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7" borderId="67" xfId="0" applyFill="1" applyBorder="1" applyAlignment="1">
      <alignment horizontal="center"/>
    </xf>
    <xf numFmtId="0" fontId="6" fillId="5" borderId="50" xfId="0" applyFont="1" applyFill="1" applyBorder="1" applyAlignment="1">
      <alignment horizontal="center"/>
    </xf>
    <xf numFmtId="0" fontId="6" fillId="5" borderId="51" xfId="0" applyFont="1" applyFill="1" applyBorder="1" applyAlignment="1">
      <alignment horizontal="center"/>
    </xf>
    <xf numFmtId="0" fontId="6" fillId="5" borderId="46" xfId="0" applyFont="1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/>
    </xf>
    <xf numFmtId="0" fontId="6" fillId="5" borderId="40" xfId="0" applyFont="1" applyFill="1" applyBorder="1" applyAlignment="1">
      <alignment horizontal="center"/>
    </xf>
    <xf numFmtId="0" fontId="6" fillId="5" borderId="41" xfId="0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center"/>
    </xf>
    <xf numFmtId="0" fontId="6" fillId="5" borderId="53" xfId="0" applyFont="1" applyFill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textRotation="255"/>
    </xf>
    <xf numFmtId="0" fontId="1" fillId="4" borderId="11" xfId="0" applyFont="1" applyFill="1" applyBorder="1" applyAlignment="1">
      <alignment horizontal="center" vertical="center" textRotation="255"/>
    </xf>
    <xf numFmtId="0" fontId="1" fillId="4" borderId="14" xfId="0" applyFont="1" applyFill="1" applyBorder="1" applyAlignment="1">
      <alignment horizontal="center" vertical="center" textRotation="255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7" fillId="39" borderId="1" xfId="0" applyFont="1" applyFill="1" applyBorder="1" applyAlignment="1">
      <alignment horizontal="center"/>
    </xf>
    <xf numFmtId="2" fontId="7" fillId="39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2" fontId="0" fillId="38" borderId="1" xfId="0" applyNumberFormat="1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2" fontId="0" fillId="40" borderId="1" xfId="0" applyNumberFormat="1" applyFill="1" applyBorder="1" applyAlignment="1">
      <alignment horizontal="center"/>
    </xf>
    <xf numFmtId="0" fontId="11" fillId="34" borderId="1" xfId="0" applyFont="1" applyFill="1" applyBorder="1" applyAlignment="1">
      <alignment horizontal="center"/>
    </xf>
    <xf numFmtId="0" fontId="12" fillId="39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40" borderId="1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4" borderId="2" xfId="0" applyFill="1" applyBorder="1" applyAlignment="1">
      <alignment horizontal="center"/>
    </xf>
    <xf numFmtId="2" fontId="0" fillId="39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41" borderId="64" xfId="0" applyFill="1" applyBorder="1"/>
    <xf numFmtId="0" fontId="0" fillId="41" borderId="64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7" borderId="8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20" borderId="1" xfId="0" applyFont="1" applyFill="1" applyBorder="1" applyAlignment="1">
      <alignment horizontal="center"/>
    </xf>
    <xf numFmtId="0" fontId="7" fillId="21" borderId="1" xfId="0" applyFont="1" applyFill="1" applyBorder="1" applyAlignment="1">
      <alignment horizontal="center"/>
    </xf>
    <xf numFmtId="0" fontId="7" fillId="22" borderId="1" xfId="0" applyFont="1" applyFill="1" applyBorder="1" applyAlignment="1">
      <alignment horizontal="center"/>
    </xf>
    <xf numFmtId="0" fontId="7" fillId="23" borderId="1" xfId="0" applyFont="1" applyFill="1" applyBorder="1" applyAlignment="1">
      <alignment horizontal="center"/>
    </xf>
    <xf numFmtId="0" fontId="7" fillId="24" borderId="1" xfId="0" applyFont="1" applyFill="1" applyBorder="1" applyAlignment="1">
      <alignment horizontal="center"/>
    </xf>
    <xf numFmtId="0" fontId="7" fillId="25" borderId="1" xfId="0" applyFont="1" applyFill="1" applyBorder="1" applyAlignment="1">
      <alignment horizontal="center"/>
    </xf>
    <xf numFmtId="0" fontId="7" fillId="26" borderId="1" xfId="0" applyFont="1" applyFill="1" applyBorder="1" applyAlignment="1">
      <alignment horizontal="center"/>
    </xf>
    <xf numFmtId="0" fontId="7" fillId="27" borderId="1" xfId="0" applyFont="1" applyFill="1" applyBorder="1" applyAlignment="1">
      <alignment horizontal="center"/>
    </xf>
    <xf numFmtId="0" fontId="7" fillId="28" borderId="15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C3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Operátor kiegyenlítettségi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'Sarokcsiszoló javítás-mérés'!$Y$87:$AB$87</c:f>
              <c:numCache>
                <c:formatCode>General</c:formatCode>
                <c:ptCount val="4"/>
                <c:pt idx="0">
                  <c:v>9.3260309462465294</c:v>
                </c:pt>
                <c:pt idx="1">
                  <c:v>10.645935524374998</c:v>
                </c:pt>
                <c:pt idx="2">
                  <c:v>2.7697916666666669</c:v>
                </c:pt>
                <c:pt idx="3">
                  <c:v>2.0646111098845958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D-4BB5-9FF0-774E95E2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336"/>
        <c:axId val="97268744"/>
      </c:barChart>
      <c:catAx>
        <c:axId val="18595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8744"/>
        <c:crosses val="autoZero"/>
        <c:auto val="1"/>
        <c:lblAlgn val="ctr"/>
        <c:lblOffset val="100"/>
        <c:noMultiLvlLbl val="0"/>
      </c:catAx>
      <c:valAx>
        <c:axId val="972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Operátor kiegyenlítettségi diagram</a:t>
            </a:r>
          </a:p>
        </c:rich>
      </c:tx>
      <c:layout>
        <c:manualLayout>
          <c:xMode val="edge"/>
          <c:yMode val="edge"/>
          <c:x val="0.23700328721045791"/>
          <c:y val="2.7330186631944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'Sarokcsiszoló javítás-mérés'!$Y$85:$AB$85</c:f>
              <c:strCache>
                <c:ptCount val="4"/>
                <c:pt idx="0">
                  <c:v>Operátor 1</c:v>
                </c:pt>
                <c:pt idx="1">
                  <c:v>Operátor 2</c:v>
                </c:pt>
                <c:pt idx="2">
                  <c:v>Operátor 3</c:v>
                </c:pt>
                <c:pt idx="3">
                  <c:v>Operátor 4</c:v>
                </c:pt>
              </c:strCache>
            </c:strRef>
          </c:cat>
          <c:val>
            <c:numRef>
              <c:f>'Sarokcsiszoló javítás-mérés'!$Y$86:$AB$86</c:f>
              <c:numCache>
                <c:formatCode>0.00</c:formatCode>
                <c:ptCount val="4"/>
                <c:pt idx="0">
                  <c:v>559.56185677479175</c:v>
                </c:pt>
                <c:pt idx="1">
                  <c:v>638.75613146249987</c:v>
                </c:pt>
                <c:pt idx="2">
                  <c:v>166.1875</c:v>
                </c:pt>
                <c:pt idx="3">
                  <c:v>123.87666659307575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0-4A3A-BDD5-09B488CDE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56264"/>
        <c:axId val="106658312"/>
      </c:barChart>
      <c:catAx>
        <c:axId val="10665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Operátor</a:t>
                </a:r>
              </a:p>
            </c:rich>
          </c:tx>
          <c:layout>
            <c:manualLayout>
              <c:xMode val="edge"/>
              <c:yMode val="edge"/>
              <c:x val="0.46922585875187933"/>
              <c:y val="0.89172837180345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8312"/>
        <c:crosses val="autoZero"/>
        <c:auto val="1"/>
        <c:lblAlgn val="ctr"/>
        <c:lblOffset val="100"/>
        <c:noMultiLvlLbl val="0"/>
      </c:catAx>
      <c:valAx>
        <c:axId val="1066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Másodperc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Tanulási görbe betanulási időszakban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Fluktuáció!$A$5</c:f>
              <c:strCache>
                <c:ptCount val="1"/>
                <c:pt idx="0">
                  <c:v>Új operátor javítás hossza (perc)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Fluktuáció!$B$4:$E$4</c:f>
              <c:strCache>
                <c:ptCount val="4"/>
                <c:pt idx="0">
                  <c:v>1. hónap</c:v>
                </c:pt>
                <c:pt idx="1">
                  <c:v>2. hónap</c:v>
                </c:pt>
                <c:pt idx="2">
                  <c:v>3. hónap</c:v>
                </c:pt>
                <c:pt idx="3">
                  <c:v>4. hónap</c:v>
                </c:pt>
              </c:strCache>
            </c:strRef>
          </c:cat>
          <c:val>
            <c:numRef>
              <c:f>Fluktuáció!$B$5:$E$5</c:f>
              <c:numCache>
                <c:formatCode>0.0</c:formatCode>
                <c:ptCount val="4"/>
                <c:pt idx="0" formatCode="General">
                  <c:v>45</c:v>
                </c:pt>
                <c:pt idx="1">
                  <c:v>41.860465116279073</c:v>
                </c:pt>
                <c:pt idx="2">
                  <c:v>38.939967550027049</c:v>
                </c:pt>
                <c:pt idx="3">
                  <c:v>36.223225627932138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9-C442-B328-50343DF54B37}"/>
            </c:ext>
          </c:extLst>
        </c:ser>
        <c:ser>
          <c:idx val="1"/>
          <c:order val="1"/>
          <c:tx>
            <c:strRef>
              <c:f>Fluktuáció!$A$6</c:f>
              <c:strCache>
                <c:ptCount val="1"/>
                <c:pt idx="0">
                  <c:v>Tapasztalt operátor javítás hossza (perc)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Fluktuáció!$B$4:$E$4</c:f>
              <c:strCache>
                <c:ptCount val="4"/>
                <c:pt idx="0">
                  <c:v>1. hónap</c:v>
                </c:pt>
                <c:pt idx="1">
                  <c:v>2. hónap</c:v>
                </c:pt>
                <c:pt idx="2">
                  <c:v>3. hónap</c:v>
                </c:pt>
                <c:pt idx="3">
                  <c:v>4. hónap</c:v>
                </c:pt>
              </c:strCache>
            </c:strRef>
          </c:cat>
          <c:val>
            <c:numRef>
              <c:f>Fluktuáció!$B$6:$E$6</c:f>
              <c:numCache>
                <c:formatCode>0.0</c:formatCode>
                <c:ptCount val="4"/>
                <c:pt idx="0">
                  <c:v>33.333333333333336</c:v>
                </c:pt>
                <c:pt idx="1">
                  <c:v>27.777777777777782</c:v>
                </c:pt>
                <c:pt idx="2">
                  <c:v>23.148148148148152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9-C442-B328-50343DF5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983407"/>
        <c:axId val="1820105167"/>
      </c:lineChart>
      <c:catAx>
        <c:axId val="18189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5167"/>
        <c:crosses val="autoZero"/>
        <c:auto val="1"/>
        <c:lblAlgn val="ctr"/>
        <c:lblOffset val="100"/>
        <c:noMultiLvlLbl val="0"/>
      </c:catAx>
      <c:valAx>
        <c:axId val="18201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Javításra beérkező</a:t>
            </a:r>
            <a:r>
              <a:rPr lang="hu-HU" baseline="0"/>
              <a:t> sarokcsiszolók havi bontásban (elmúlt 24 hónap)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[1]Munka1!$B$2:$B$26</c:f>
              <c:strCache>
                <c:ptCount val="25"/>
                <c:pt idx="0">
                  <c:v>Október</c:v>
                </c:pt>
                <c:pt idx="1">
                  <c:v>November</c:v>
                </c:pt>
                <c:pt idx="2">
                  <c:v>December</c:v>
                </c:pt>
                <c:pt idx="3">
                  <c:v>Január</c:v>
                </c:pt>
                <c:pt idx="4">
                  <c:v>Február</c:v>
                </c:pt>
                <c:pt idx="5">
                  <c:v>Március</c:v>
                </c:pt>
                <c:pt idx="6">
                  <c:v>Április</c:v>
                </c:pt>
                <c:pt idx="7">
                  <c:v>Május</c:v>
                </c:pt>
                <c:pt idx="8">
                  <c:v>Június</c:v>
                </c:pt>
                <c:pt idx="9">
                  <c:v>Július</c:v>
                </c:pt>
                <c:pt idx="10">
                  <c:v>Augusztus</c:v>
                </c:pt>
                <c:pt idx="11">
                  <c:v>Szeptember</c:v>
                </c:pt>
                <c:pt idx="12">
                  <c:v>Október</c:v>
                </c:pt>
                <c:pt idx="13">
                  <c:v>November</c:v>
                </c:pt>
                <c:pt idx="14">
                  <c:v>December</c:v>
                </c:pt>
                <c:pt idx="15">
                  <c:v>Január</c:v>
                </c:pt>
                <c:pt idx="16">
                  <c:v>Február</c:v>
                </c:pt>
                <c:pt idx="17">
                  <c:v>Március</c:v>
                </c:pt>
                <c:pt idx="18">
                  <c:v>Április</c:v>
                </c:pt>
                <c:pt idx="19">
                  <c:v>Május</c:v>
                </c:pt>
                <c:pt idx="20">
                  <c:v>Június</c:v>
                </c:pt>
                <c:pt idx="21">
                  <c:v>Július</c:v>
                </c:pt>
                <c:pt idx="22">
                  <c:v>Augusztus</c:v>
                </c:pt>
                <c:pt idx="23">
                  <c:v>Szeptember</c:v>
                </c:pt>
                <c:pt idx="24">
                  <c:v>Október</c:v>
                </c:pt>
              </c:strCache>
            </c:strRef>
          </c:cat>
          <c:val>
            <c:numRef>
              <c:f>'Sarokcsiszoló beérkezés'!$C$2:$C$25</c:f>
              <c:numCache>
                <c:formatCode>General</c:formatCode>
                <c:ptCount val="24"/>
                <c:pt idx="0">
                  <c:v>455</c:v>
                </c:pt>
                <c:pt idx="1">
                  <c:v>474</c:v>
                </c:pt>
                <c:pt idx="2">
                  <c:v>344</c:v>
                </c:pt>
                <c:pt idx="3">
                  <c:v>366</c:v>
                </c:pt>
                <c:pt idx="4">
                  <c:v>375</c:v>
                </c:pt>
                <c:pt idx="5">
                  <c:v>344</c:v>
                </c:pt>
                <c:pt idx="6">
                  <c:v>346</c:v>
                </c:pt>
                <c:pt idx="7">
                  <c:v>367</c:v>
                </c:pt>
                <c:pt idx="8">
                  <c:v>349</c:v>
                </c:pt>
                <c:pt idx="9">
                  <c:v>338</c:v>
                </c:pt>
                <c:pt idx="10">
                  <c:v>453</c:v>
                </c:pt>
                <c:pt idx="11">
                  <c:v>448</c:v>
                </c:pt>
                <c:pt idx="12">
                  <c:v>461</c:v>
                </c:pt>
                <c:pt idx="13">
                  <c:v>339</c:v>
                </c:pt>
                <c:pt idx="14">
                  <c:v>309</c:v>
                </c:pt>
                <c:pt idx="15">
                  <c:v>355</c:v>
                </c:pt>
                <c:pt idx="16">
                  <c:v>321</c:v>
                </c:pt>
                <c:pt idx="17">
                  <c:v>321</c:v>
                </c:pt>
                <c:pt idx="18">
                  <c:v>326</c:v>
                </c:pt>
                <c:pt idx="19">
                  <c:v>351</c:v>
                </c:pt>
                <c:pt idx="20">
                  <c:v>313</c:v>
                </c:pt>
                <c:pt idx="21">
                  <c:v>362</c:v>
                </c:pt>
                <c:pt idx="22">
                  <c:v>460</c:v>
                </c:pt>
                <c:pt idx="23">
                  <c:v>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3548-9DBF-096FB901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/>
              </a:solidFill>
              <a:round/>
            </a:ln>
            <a:effectLst/>
          </c:spPr>
        </c:dropLines>
        <c:smooth val="0"/>
        <c:axId val="1884430191"/>
        <c:axId val="1884431823"/>
      </c:lineChart>
      <c:catAx>
        <c:axId val="188443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31823"/>
        <c:crosses val="autoZero"/>
        <c:auto val="1"/>
        <c:lblAlgn val="ctr"/>
        <c:lblOffset val="100"/>
        <c:noMultiLvlLbl val="0"/>
      </c:catAx>
      <c:valAx>
        <c:axId val="18844318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914400</xdr:colOff>
      <xdr:row>88</xdr:row>
      <xdr:rowOff>76200</xdr:rowOff>
    </xdr:from>
    <xdr:to>
      <xdr:col>29</xdr:col>
      <xdr:colOff>600075</xdr:colOff>
      <xdr:row>102</xdr:row>
      <xdr:rowOff>152400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DBD47F75-C8BC-5E55-818F-A98772F60CD5}"/>
            </a:ext>
            <a:ext uri="{147F2762-F138-4A5C-976F-8EAC2B608ADB}">
              <a16:predDERef xmlns:a16="http://schemas.microsoft.com/office/drawing/2014/main" pred="{0497BE99-EB2F-20A3-A1A9-07881795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1685925</xdr:colOff>
      <xdr:row>88</xdr:row>
      <xdr:rowOff>161925</xdr:rowOff>
    </xdr:from>
    <xdr:to>
      <xdr:col>24</xdr:col>
      <xdr:colOff>409575</xdr:colOff>
      <xdr:row>103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A178A74-3640-42B4-8F89-976125B0A243}"/>
            </a:ext>
            <a:ext uri="{147F2762-F138-4A5C-976F-8EAC2B608ADB}">
              <a16:predDERef xmlns:a16="http://schemas.microsoft.com/office/drawing/2014/main" pred="{DBD47F75-C8BC-5E55-818F-A98772F6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9</xdr:row>
      <xdr:rowOff>120650</xdr:rowOff>
    </xdr:from>
    <xdr:to>
      <xdr:col>4</xdr:col>
      <xdr:colOff>342900</xdr:colOff>
      <xdr:row>23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EAC2B80-DA95-8B42-B52C-2184D8CA7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22225</xdr:rowOff>
    </xdr:from>
    <xdr:to>
      <xdr:col>11</xdr:col>
      <xdr:colOff>479425</xdr:colOff>
      <xdr:row>13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700AD83-E98D-3245-A72C-13CE8B8C9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ce/Documents/Corvinus/3.%20fe&#769;le&#769;v/E&#769;FM/E&#769;FM%20plusz%20feladat/sarokcsiszolo&#769;k%20bee&#769;rkeze&#769;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nka1"/>
    </sheetNames>
    <sheetDataSet>
      <sheetData sheetId="0">
        <row r="2">
          <cell r="B2" t="str">
            <v>Október</v>
          </cell>
        </row>
        <row r="3">
          <cell r="B3" t="str">
            <v>November</v>
          </cell>
        </row>
        <row r="4">
          <cell r="B4" t="str">
            <v>December</v>
          </cell>
        </row>
        <row r="5">
          <cell r="B5" t="str">
            <v>Január</v>
          </cell>
        </row>
        <row r="6">
          <cell r="B6" t="str">
            <v>Február</v>
          </cell>
        </row>
        <row r="7">
          <cell r="B7" t="str">
            <v>Március</v>
          </cell>
        </row>
        <row r="8">
          <cell r="B8" t="str">
            <v>Április</v>
          </cell>
        </row>
        <row r="9">
          <cell r="B9" t="str">
            <v>Május</v>
          </cell>
        </row>
        <row r="10">
          <cell r="B10" t="str">
            <v>Június</v>
          </cell>
        </row>
        <row r="11">
          <cell r="B11" t="str">
            <v>Július</v>
          </cell>
        </row>
        <row r="12">
          <cell r="B12" t="str">
            <v>Augusztus</v>
          </cell>
        </row>
        <row r="13">
          <cell r="B13" t="str">
            <v>Szeptember</v>
          </cell>
        </row>
        <row r="14">
          <cell r="B14" t="str">
            <v>Október</v>
          </cell>
        </row>
        <row r="15">
          <cell r="B15" t="str">
            <v>November</v>
          </cell>
        </row>
        <row r="16">
          <cell r="B16" t="str">
            <v>December</v>
          </cell>
        </row>
        <row r="17">
          <cell r="B17" t="str">
            <v>Január</v>
          </cell>
        </row>
        <row r="18">
          <cell r="B18" t="str">
            <v>Február</v>
          </cell>
        </row>
        <row r="19">
          <cell r="B19" t="str">
            <v>Március</v>
          </cell>
        </row>
        <row r="20">
          <cell r="B20" t="str">
            <v>Április</v>
          </cell>
        </row>
        <row r="21">
          <cell r="B21" t="str">
            <v>Május</v>
          </cell>
        </row>
        <row r="22">
          <cell r="B22" t="str">
            <v>Június</v>
          </cell>
        </row>
        <row r="23">
          <cell r="B23" t="str">
            <v>Július</v>
          </cell>
        </row>
        <row r="24">
          <cell r="B24" t="str">
            <v>Augusztus</v>
          </cell>
        </row>
        <row r="25">
          <cell r="B25" t="str">
            <v>Szeptember</v>
          </cell>
        </row>
        <row r="26">
          <cell r="B26" t="str">
            <v>Október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7B2A-082D-8744-AB1E-747CED67570F}">
  <dimension ref="A1:AO88"/>
  <sheetViews>
    <sheetView topLeftCell="U104" zoomScaleNormal="100" workbookViewId="0">
      <selection activeCell="Y95" sqref="Y95"/>
    </sheetView>
  </sheetViews>
  <sheetFormatPr defaultColWidth="11.25" defaultRowHeight="15.6"/>
  <cols>
    <col min="1" max="1" width="19" bestFit="1" customWidth="1"/>
    <col min="2" max="2" width="8.75" customWidth="1"/>
    <col min="3" max="3" width="22.25" bestFit="1" customWidth="1"/>
    <col min="4" max="4" width="24.25" bestFit="1" customWidth="1"/>
    <col min="5" max="5" width="28" customWidth="1"/>
    <col min="6" max="6" width="22.25" customWidth="1"/>
    <col min="7" max="7" width="17.75" bestFit="1" customWidth="1"/>
    <col min="8" max="8" width="19" bestFit="1" customWidth="1"/>
    <col min="9" max="9" width="22.25" bestFit="1" customWidth="1"/>
    <col min="10" max="11" width="22.25" customWidth="1"/>
    <col min="12" max="12" width="17.75" bestFit="1" customWidth="1"/>
    <col min="13" max="13" width="16.25" bestFit="1" customWidth="1"/>
    <col min="14" max="14" width="22.25" bestFit="1" customWidth="1"/>
    <col min="15" max="16" width="22.25" customWidth="1"/>
    <col min="17" max="17" width="17.75" bestFit="1" customWidth="1"/>
    <col min="18" max="18" width="16.25" bestFit="1" customWidth="1"/>
    <col min="19" max="19" width="22.25" bestFit="1" customWidth="1"/>
    <col min="20" max="21" width="22.25" customWidth="1"/>
    <col min="22" max="22" width="17.75" bestFit="1" customWidth="1"/>
    <col min="23" max="23" width="17.75" customWidth="1"/>
    <col min="24" max="24" width="23.375" bestFit="1" customWidth="1"/>
    <col min="25" max="25" width="12.75" customWidth="1"/>
    <col min="26" max="26" width="11.75" customWidth="1"/>
    <col min="27" max="27" width="14.375" customWidth="1"/>
    <col min="28" max="28" width="12.75" bestFit="1" customWidth="1"/>
    <col min="29" max="29" width="12.5" customWidth="1"/>
    <col min="30" max="30" width="16.875" bestFit="1" customWidth="1"/>
    <col min="31" max="31" width="15.25" bestFit="1" customWidth="1"/>
    <col min="32" max="32" width="9.75" customWidth="1"/>
    <col min="34" max="34" width="11.25" bestFit="1" customWidth="1"/>
  </cols>
  <sheetData>
    <row r="1" spans="1:33" ht="24" thickBot="1">
      <c r="A1" s="154" t="s">
        <v>0</v>
      </c>
      <c r="B1" s="157" t="s">
        <v>1</v>
      </c>
      <c r="C1" s="151" t="s">
        <v>2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2"/>
      <c r="U1" s="152"/>
      <c r="V1" s="153"/>
      <c r="W1" s="2"/>
      <c r="X1" s="2"/>
      <c r="Y1" s="2"/>
      <c r="Z1" s="2"/>
      <c r="AA1" s="2"/>
      <c r="AB1" s="2"/>
    </row>
    <row r="2" spans="1:33" ht="24" thickBot="1">
      <c r="A2" s="155"/>
      <c r="B2" s="158"/>
      <c r="C2" s="142" t="s">
        <v>3</v>
      </c>
      <c r="D2" s="143"/>
      <c r="E2" s="143"/>
      <c r="F2" s="143"/>
      <c r="G2" s="144"/>
      <c r="H2" s="142" t="s">
        <v>4</v>
      </c>
      <c r="I2" s="143"/>
      <c r="J2" s="143"/>
      <c r="K2" s="143"/>
      <c r="L2" s="144"/>
      <c r="M2" s="142" t="s">
        <v>5</v>
      </c>
      <c r="N2" s="143"/>
      <c r="O2" s="143"/>
      <c r="P2" s="143"/>
      <c r="Q2" s="144"/>
      <c r="R2" s="142" t="s">
        <v>6</v>
      </c>
      <c r="S2" s="143"/>
      <c r="T2" s="143"/>
      <c r="U2" s="143"/>
      <c r="V2" s="144"/>
      <c r="W2" s="2"/>
      <c r="X2" s="13"/>
      <c r="Y2" s="13"/>
      <c r="Z2" s="13"/>
      <c r="AA2" s="13"/>
      <c r="AB2" s="13"/>
      <c r="AC2" s="13"/>
      <c r="AD2" s="13"/>
      <c r="AE2" s="13"/>
      <c r="AF2" s="13"/>
    </row>
    <row r="3" spans="1:33" ht="16.149999999999999" thickBot="1">
      <c r="A3" s="156"/>
      <c r="B3" s="159"/>
      <c r="C3" s="103" t="s">
        <v>7</v>
      </c>
      <c r="D3" s="104" t="s">
        <v>8</v>
      </c>
      <c r="E3" s="104" t="s">
        <v>9</v>
      </c>
      <c r="F3" s="104" t="s">
        <v>10</v>
      </c>
      <c r="G3" s="105" t="s">
        <v>11</v>
      </c>
      <c r="H3" s="103" t="s">
        <v>7</v>
      </c>
      <c r="I3" s="104" t="s">
        <v>8</v>
      </c>
      <c r="J3" s="104" t="s">
        <v>9</v>
      </c>
      <c r="K3" s="104" t="s">
        <v>10</v>
      </c>
      <c r="L3" s="105" t="s">
        <v>12</v>
      </c>
      <c r="M3" s="103" t="s">
        <v>7</v>
      </c>
      <c r="N3" s="104" t="s">
        <v>8</v>
      </c>
      <c r="O3" s="104" t="s">
        <v>9</v>
      </c>
      <c r="P3" s="104" t="s">
        <v>10</v>
      </c>
      <c r="Q3" s="105" t="s">
        <v>13</v>
      </c>
      <c r="R3" s="103" t="s">
        <v>7</v>
      </c>
      <c r="S3" s="104" t="s">
        <v>8</v>
      </c>
      <c r="T3" s="104" t="s">
        <v>9</v>
      </c>
      <c r="U3" s="104" t="s">
        <v>10</v>
      </c>
      <c r="V3" s="105" t="s">
        <v>14</v>
      </c>
      <c r="W3" s="1"/>
      <c r="X3" s="139" t="s">
        <v>15</v>
      </c>
      <c r="Y3" s="136" t="s">
        <v>16</v>
      </c>
      <c r="Z3" s="137"/>
      <c r="AA3" s="138"/>
      <c r="AB3" s="24" t="s">
        <v>17</v>
      </c>
      <c r="AC3" s="25" t="s">
        <v>18</v>
      </c>
      <c r="AD3" s="25" t="s">
        <v>19</v>
      </c>
      <c r="AE3" s="26" t="s">
        <v>20</v>
      </c>
      <c r="AF3" s="13"/>
    </row>
    <row r="4" spans="1:33" ht="16.149999999999999" customHeight="1">
      <c r="A4" s="160" t="s">
        <v>21</v>
      </c>
      <c r="B4" s="106">
        <v>1</v>
      </c>
      <c r="C4" s="107">
        <v>440.16999999999996</v>
      </c>
      <c r="D4" s="108">
        <v>348.56</v>
      </c>
      <c r="E4" s="108">
        <v>71.900000000000006</v>
      </c>
      <c r="F4" s="109">
        <v>37</v>
      </c>
      <c r="G4" s="110">
        <f>SUM(C4:F4)/60</f>
        <v>14.9605</v>
      </c>
      <c r="H4" s="107">
        <v>969.88</v>
      </c>
      <c r="I4" s="108">
        <v>347.47</v>
      </c>
      <c r="J4" s="111">
        <v>131.97</v>
      </c>
      <c r="K4" s="80">
        <v>55</v>
      </c>
      <c r="L4" s="110">
        <f>SUM(H4:K4)/60</f>
        <v>25.071999999999999</v>
      </c>
      <c r="M4" s="107">
        <v>871.5</v>
      </c>
      <c r="N4" s="108">
        <v>168.6</v>
      </c>
      <c r="O4" s="108">
        <v>70.17</v>
      </c>
      <c r="P4" s="109">
        <v>59</v>
      </c>
      <c r="Q4" s="110">
        <f>SUM(M4:P4)/60</f>
        <v>19.487833333333334</v>
      </c>
      <c r="R4" s="107">
        <v>1667.2</v>
      </c>
      <c r="S4" s="108">
        <v>442.5</v>
      </c>
      <c r="T4" s="111">
        <v>167.44</v>
      </c>
      <c r="U4" s="112">
        <v>35</v>
      </c>
      <c r="V4" s="110">
        <f>SUM(R4:U4)/60</f>
        <v>38.535666666666664</v>
      </c>
      <c r="W4" s="12"/>
      <c r="X4" s="140"/>
      <c r="Y4" s="145" t="s">
        <v>22</v>
      </c>
      <c r="Z4" s="146"/>
      <c r="AA4" s="147"/>
      <c r="AB4" s="84">
        <v>60</v>
      </c>
      <c r="AC4" s="84">
        <v>60</v>
      </c>
      <c r="AD4" s="84">
        <v>60</v>
      </c>
      <c r="AE4" s="84">
        <v>60</v>
      </c>
      <c r="AF4" s="13"/>
    </row>
    <row r="5" spans="1:33">
      <c r="A5" s="161"/>
      <c r="B5" s="113">
        <v>2</v>
      </c>
      <c r="C5" s="114">
        <v>783.6</v>
      </c>
      <c r="D5" s="34">
        <v>248.87</v>
      </c>
      <c r="E5" s="108">
        <v>63.05</v>
      </c>
      <c r="F5" s="109">
        <v>59</v>
      </c>
      <c r="G5" s="110">
        <f t="shared" ref="G5:G33" si="0">SUM(C5:F5)/60</f>
        <v>19.242000000000001</v>
      </c>
      <c r="H5" s="114">
        <v>1888.1</v>
      </c>
      <c r="I5" s="34">
        <v>574.4</v>
      </c>
      <c r="J5" s="111">
        <v>101.41</v>
      </c>
      <c r="K5" s="30">
        <v>47</v>
      </c>
      <c r="L5" s="110">
        <f t="shared" ref="L5:L33" si="1">SUM(H5:K5)/60</f>
        <v>43.515166666666666</v>
      </c>
      <c r="M5" s="114">
        <v>537.4</v>
      </c>
      <c r="N5" s="34">
        <v>268.60000000000002</v>
      </c>
      <c r="O5" s="108">
        <v>114.61</v>
      </c>
      <c r="P5" s="109">
        <v>36</v>
      </c>
      <c r="Q5" s="110">
        <f t="shared" ref="Q5:Q33" si="2">SUM(M5:P5)/60</f>
        <v>15.9435</v>
      </c>
      <c r="R5" s="114">
        <v>2074.5</v>
      </c>
      <c r="S5" s="34">
        <v>388.62</v>
      </c>
      <c r="T5" s="111">
        <v>237.25</v>
      </c>
      <c r="U5" s="112">
        <v>57</v>
      </c>
      <c r="V5" s="110">
        <f t="shared" ref="V5:V33" si="3">SUM(R5:U5)/60</f>
        <v>45.956166666666668</v>
      </c>
      <c r="W5" s="12"/>
      <c r="X5" s="140"/>
      <c r="Y5" s="148" t="s">
        <v>23</v>
      </c>
      <c r="Z5" s="149"/>
      <c r="AA5" s="150"/>
      <c r="AB5" s="85">
        <f>AVERAGE(G4:G63)</f>
        <v>20.281358879513885</v>
      </c>
      <c r="AC5" s="85">
        <f>AVERAGE(L4:L63)</f>
        <v>39.228472937499987</v>
      </c>
      <c r="AD5" s="85">
        <f>AVERAGE(Q4:Q63)</f>
        <v>20.532237561635604</v>
      </c>
      <c r="AE5" s="85">
        <f>AVERAGE(V4:V63)</f>
        <v>39.9921953106006</v>
      </c>
      <c r="AF5" s="13"/>
    </row>
    <row r="6" spans="1:33">
      <c r="A6" s="161"/>
      <c r="B6" s="113">
        <v>3</v>
      </c>
      <c r="C6" s="114">
        <v>788.2</v>
      </c>
      <c r="D6" s="34">
        <v>221.89999999999998</v>
      </c>
      <c r="E6" s="108">
        <v>79.42</v>
      </c>
      <c r="F6" s="109">
        <v>34</v>
      </c>
      <c r="G6" s="110">
        <f t="shared" si="0"/>
        <v>18.725333333333332</v>
      </c>
      <c r="H6" s="114">
        <v>2851.59</v>
      </c>
      <c r="I6" s="34">
        <v>563.79999999999995</v>
      </c>
      <c r="J6" s="111">
        <v>229.89999999999998</v>
      </c>
      <c r="K6" s="30">
        <v>55</v>
      </c>
      <c r="L6" s="110">
        <f t="shared" si="1"/>
        <v>61.671500000000009</v>
      </c>
      <c r="M6" s="114">
        <v>996.6</v>
      </c>
      <c r="N6" s="34">
        <v>207.3</v>
      </c>
      <c r="O6" s="108">
        <v>65.38</v>
      </c>
      <c r="P6" s="109">
        <v>57</v>
      </c>
      <c r="Q6" s="110">
        <f t="shared" si="2"/>
        <v>22.10466666666667</v>
      </c>
      <c r="R6" s="114">
        <v>1588.7</v>
      </c>
      <c r="S6" s="34">
        <v>422.7</v>
      </c>
      <c r="T6" s="111">
        <v>202.36</v>
      </c>
      <c r="U6" s="112">
        <v>41</v>
      </c>
      <c r="V6" s="110">
        <f t="shared" si="3"/>
        <v>37.579333333333338</v>
      </c>
      <c r="W6" s="12"/>
      <c r="X6" s="140"/>
      <c r="Y6" s="148" t="s">
        <v>24</v>
      </c>
      <c r="Z6" s="149"/>
      <c r="AA6" s="150"/>
      <c r="AB6" s="85">
        <f>_xlfn.STDEV.P(G4:G63)</f>
        <v>2.4047146435185982</v>
      </c>
      <c r="AC6" s="85">
        <f>_xlfn.STDEV.P(L4:L63)</f>
        <v>6.4187322272076663</v>
      </c>
      <c r="AD6" s="85">
        <f>_xlfn.STDEV.P(Q4:Q63)</f>
        <v>2.521604243869672</v>
      </c>
      <c r="AE6" s="85">
        <f>_xlfn.STDEV.P(V4:V63)</f>
        <v>4.5759472060718283</v>
      </c>
      <c r="AF6" s="13"/>
    </row>
    <row r="7" spans="1:33">
      <c r="A7" s="161"/>
      <c r="B7" s="113">
        <v>4</v>
      </c>
      <c r="C7" s="114">
        <v>865.21</v>
      </c>
      <c r="D7" s="34">
        <v>367.4</v>
      </c>
      <c r="E7" s="108">
        <v>70.8</v>
      </c>
      <c r="F7" s="109">
        <v>49</v>
      </c>
      <c r="G7" s="110">
        <f t="shared" si="0"/>
        <v>22.540166666666668</v>
      </c>
      <c r="H7" s="114">
        <v>1245.4000000000001</v>
      </c>
      <c r="I7" s="34">
        <v>312.56</v>
      </c>
      <c r="J7" s="111">
        <v>108.4</v>
      </c>
      <c r="K7" s="30">
        <v>47</v>
      </c>
      <c r="L7" s="110">
        <f t="shared" si="1"/>
        <v>28.556000000000001</v>
      </c>
      <c r="M7" s="114">
        <v>715.4</v>
      </c>
      <c r="N7" s="34">
        <v>119.6</v>
      </c>
      <c r="O7" s="108">
        <v>90.800000000000011</v>
      </c>
      <c r="P7" s="109">
        <v>53</v>
      </c>
      <c r="Q7" s="110">
        <f t="shared" si="2"/>
        <v>16.313333333333333</v>
      </c>
      <c r="R7" s="114">
        <v>1520.5</v>
      </c>
      <c r="S7" s="34">
        <v>398.25</v>
      </c>
      <c r="T7" s="111">
        <v>268.39</v>
      </c>
      <c r="U7" s="112">
        <v>60</v>
      </c>
      <c r="V7" s="110">
        <f t="shared" si="3"/>
        <v>37.452333333333328</v>
      </c>
      <c r="W7" s="12"/>
      <c r="X7" s="140"/>
      <c r="Y7" s="148" t="s">
        <v>25</v>
      </c>
      <c r="Z7" s="149"/>
      <c r="AA7" s="150"/>
      <c r="AB7" s="85">
        <f>MIN(G4:G63)</f>
        <v>14.524908333333334</v>
      </c>
      <c r="AC7" s="85">
        <f>MIN(L4:L63)</f>
        <v>25.071999999999999</v>
      </c>
      <c r="AD7" s="85">
        <f>MIN(Q4:Q63)</f>
        <v>15.9435</v>
      </c>
      <c r="AE7" s="85">
        <f>MIN(V4:V63)</f>
        <v>33.335571048060551</v>
      </c>
      <c r="AF7" s="13"/>
    </row>
    <row r="8" spans="1:33">
      <c r="A8" s="161"/>
      <c r="B8" s="113">
        <v>5</v>
      </c>
      <c r="C8" s="114">
        <v>552.9</v>
      </c>
      <c r="D8" s="34">
        <v>441.9</v>
      </c>
      <c r="E8" s="108">
        <v>56.44</v>
      </c>
      <c r="F8" s="109">
        <v>60</v>
      </c>
      <c r="G8" s="110">
        <f t="shared" si="0"/>
        <v>18.520666666666667</v>
      </c>
      <c r="H8" s="114">
        <v>1870.6600000000003</v>
      </c>
      <c r="I8" s="34">
        <v>497.24</v>
      </c>
      <c r="J8" s="111">
        <v>178.2</v>
      </c>
      <c r="K8" s="30">
        <v>55</v>
      </c>
      <c r="L8" s="110">
        <f t="shared" si="1"/>
        <v>43.351666666666674</v>
      </c>
      <c r="M8" s="114">
        <v>812.4</v>
      </c>
      <c r="N8" s="34">
        <v>176</v>
      </c>
      <c r="O8" s="108">
        <v>80.88</v>
      </c>
      <c r="P8" s="109">
        <v>60</v>
      </c>
      <c r="Q8" s="110">
        <f t="shared" si="2"/>
        <v>18.821333333333332</v>
      </c>
      <c r="R8" s="114">
        <v>2093.1999999999998</v>
      </c>
      <c r="S8" s="34">
        <v>349.75800000000004</v>
      </c>
      <c r="T8" s="111">
        <v>168.36599999999999</v>
      </c>
      <c r="U8" s="112">
        <v>44</v>
      </c>
      <c r="V8" s="110">
        <f t="shared" si="3"/>
        <v>44.255399999999995</v>
      </c>
      <c r="W8" s="12"/>
      <c r="X8" s="140"/>
      <c r="Y8" s="148" t="s">
        <v>26</v>
      </c>
      <c r="Z8" s="149"/>
      <c r="AA8" s="150"/>
      <c r="AB8" s="85">
        <f>MAX(G4:G63)</f>
        <v>25.379883750000001</v>
      </c>
      <c r="AC8" s="85">
        <f>MAX(L4:L63)</f>
        <v>61.671500000000009</v>
      </c>
      <c r="AD8" s="85">
        <f>MAX(Q4:Q63)</f>
        <v>27.329332511895839</v>
      </c>
      <c r="AE8" s="85">
        <f>MAX(V4:V63)</f>
        <v>55.535488626041683</v>
      </c>
      <c r="AF8" s="13"/>
    </row>
    <row r="9" spans="1:33" ht="16.149999999999999" thickBot="1">
      <c r="A9" s="161"/>
      <c r="B9" s="113">
        <v>6</v>
      </c>
      <c r="C9" s="114">
        <v>619.6</v>
      </c>
      <c r="D9" s="34">
        <v>223.7</v>
      </c>
      <c r="E9" s="108">
        <v>87.05</v>
      </c>
      <c r="F9" s="109">
        <v>38</v>
      </c>
      <c r="G9" s="110">
        <f t="shared" si="0"/>
        <v>16.139166666666664</v>
      </c>
      <c r="H9" s="114">
        <v>1475.3000000000002</v>
      </c>
      <c r="I9" s="34">
        <v>307.11</v>
      </c>
      <c r="J9" s="111">
        <v>189.02999999999997</v>
      </c>
      <c r="K9" s="30">
        <v>32</v>
      </c>
      <c r="L9" s="110">
        <f t="shared" si="1"/>
        <v>33.390666666666668</v>
      </c>
      <c r="M9" s="114">
        <v>561.29999999999995</v>
      </c>
      <c r="N9" s="34">
        <v>280.60000000000002</v>
      </c>
      <c r="O9" s="108">
        <v>67.951999999999998</v>
      </c>
      <c r="P9" s="109">
        <v>50</v>
      </c>
      <c r="Q9" s="110">
        <f t="shared" si="2"/>
        <v>15.997533333333333</v>
      </c>
      <c r="R9" s="114">
        <v>1653.1</v>
      </c>
      <c r="S9" s="34">
        <v>380.43</v>
      </c>
      <c r="T9" s="111">
        <v>264.74549999999999</v>
      </c>
      <c r="U9" s="112">
        <v>41</v>
      </c>
      <c r="V9" s="110">
        <f t="shared" si="3"/>
        <v>38.987924999999997</v>
      </c>
      <c r="W9" s="12"/>
      <c r="X9" s="140"/>
      <c r="Y9" s="133" t="s">
        <v>27</v>
      </c>
      <c r="Z9" s="134"/>
      <c r="AA9" s="135"/>
      <c r="AB9" s="85">
        <f>AB8-AB7</f>
        <v>10.854975416666667</v>
      </c>
      <c r="AC9" s="85">
        <f t="shared" ref="AC9:AE9" si="4">AC8-AC7</f>
        <v>36.599500000000006</v>
      </c>
      <c r="AD9" s="85">
        <f>AD8-AD7</f>
        <v>11.385832511895838</v>
      </c>
      <c r="AE9" s="85">
        <f t="shared" si="4"/>
        <v>22.199917577981132</v>
      </c>
      <c r="AF9" s="13"/>
    </row>
    <row r="10" spans="1:33">
      <c r="A10" s="161"/>
      <c r="B10" s="113">
        <v>7</v>
      </c>
      <c r="C10" s="114">
        <v>898.91</v>
      </c>
      <c r="D10" s="34">
        <v>360.48</v>
      </c>
      <c r="E10" s="108">
        <v>98.169999999999987</v>
      </c>
      <c r="F10" s="109">
        <v>40</v>
      </c>
      <c r="G10" s="110">
        <f t="shared" si="0"/>
        <v>23.292666666666666</v>
      </c>
      <c r="H10" s="114">
        <v>1545.01</v>
      </c>
      <c r="I10" s="34">
        <v>374.69</v>
      </c>
      <c r="J10" s="111">
        <v>155.0685</v>
      </c>
      <c r="K10" s="30">
        <v>48</v>
      </c>
      <c r="L10" s="110">
        <f t="shared" si="1"/>
        <v>35.379474999999999</v>
      </c>
      <c r="M10" s="114">
        <v>1043.3</v>
      </c>
      <c r="N10" s="34">
        <v>206.7</v>
      </c>
      <c r="O10" s="108">
        <v>68.129000000000005</v>
      </c>
      <c r="P10" s="109">
        <v>45</v>
      </c>
      <c r="Q10" s="110">
        <f t="shared" si="2"/>
        <v>22.718816666666665</v>
      </c>
      <c r="R10" s="114">
        <v>2176.5</v>
      </c>
      <c r="S10" s="34">
        <v>358.42500000000001</v>
      </c>
      <c r="T10" s="111">
        <v>204.85199999999998</v>
      </c>
      <c r="U10" s="112">
        <v>57</v>
      </c>
      <c r="V10" s="110">
        <f t="shared" si="3"/>
        <v>46.612949999999998</v>
      </c>
      <c r="W10" s="12"/>
      <c r="X10" s="140"/>
      <c r="Y10" s="145" t="s">
        <v>28</v>
      </c>
      <c r="Z10" s="146"/>
      <c r="AA10" s="147"/>
      <c r="AB10" s="86">
        <v>0.1</v>
      </c>
      <c r="AC10" s="86">
        <v>0.1</v>
      </c>
      <c r="AD10" s="86">
        <v>0.1</v>
      </c>
      <c r="AE10" s="87">
        <v>0.1</v>
      </c>
      <c r="AF10" s="13"/>
    </row>
    <row r="11" spans="1:33">
      <c r="A11" s="161"/>
      <c r="B11" s="113">
        <v>8</v>
      </c>
      <c r="C11" s="114">
        <v>896.79</v>
      </c>
      <c r="D11" s="34">
        <v>306.5</v>
      </c>
      <c r="E11" s="108">
        <v>90.5</v>
      </c>
      <c r="F11" s="109">
        <v>44</v>
      </c>
      <c r="G11" s="110">
        <f t="shared" si="0"/>
        <v>22.296499999999998</v>
      </c>
      <c r="H11" s="114">
        <v>1460.6299999999999</v>
      </c>
      <c r="I11" s="34">
        <v>361</v>
      </c>
      <c r="J11" s="111">
        <v>131.62050000000002</v>
      </c>
      <c r="K11" s="30">
        <v>41</v>
      </c>
      <c r="L11" s="110">
        <f t="shared" si="1"/>
        <v>33.237508333333331</v>
      </c>
      <c r="M11" s="114">
        <v>748.1</v>
      </c>
      <c r="N11" s="34">
        <v>124.6</v>
      </c>
      <c r="O11" s="108">
        <v>62.021500000000003</v>
      </c>
      <c r="P11" s="109">
        <v>42</v>
      </c>
      <c r="Q11" s="110">
        <f t="shared" si="2"/>
        <v>16.278691666666667</v>
      </c>
      <c r="R11" s="114">
        <v>2217.9</v>
      </c>
      <c r="S11" s="34">
        <v>314.78220000000005</v>
      </c>
      <c r="T11" s="111">
        <v>275.85750000000002</v>
      </c>
      <c r="U11" s="112">
        <v>42</v>
      </c>
      <c r="V11" s="110">
        <f t="shared" si="3"/>
        <v>47.508995000000006</v>
      </c>
      <c r="W11" s="12"/>
      <c r="X11" s="140"/>
      <c r="Y11" s="148" t="s">
        <v>29</v>
      </c>
      <c r="Z11" s="149"/>
      <c r="AA11" s="150"/>
      <c r="AB11" s="88">
        <v>0.95</v>
      </c>
      <c r="AC11" s="88">
        <v>0.95</v>
      </c>
      <c r="AD11" s="88">
        <v>0.95</v>
      </c>
      <c r="AE11" s="89">
        <v>0.95</v>
      </c>
      <c r="AF11" s="13"/>
    </row>
    <row r="12" spans="1:33" ht="16.149999999999999" thickBot="1">
      <c r="A12" s="161"/>
      <c r="B12" s="113">
        <v>9</v>
      </c>
      <c r="C12" s="114">
        <v>481.89</v>
      </c>
      <c r="D12" s="34">
        <v>428.28999999999996</v>
      </c>
      <c r="E12" s="108">
        <v>104.61</v>
      </c>
      <c r="F12" s="109">
        <v>57</v>
      </c>
      <c r="G12" s="110">
        <f t="shared" si="0"/>
        <v>17.863166666666665</v>
      </c>
      <c r="H12" s="114">
        <v>1018.374</v>
      </c>
      <c r="I12" s="108">
        <v>364.84350000000006</v>
      </c>
      <c r="J12" s="111">
        <v>172.6</v>
      </c>
      <c r="K12" s="30">
        <v>41</v>
      </c>
      <c r="L12" s="110">
        <f t="shared" si="1"/>
        <v>26.613625000000003</v>
      </c>
      <c r="M12" s="114">
        <v>954.7</v>
      </c>
      <c r="N12" s="34">
        <v>183.8</v>
      </c>
      <c r="O12" s="108">
        <v>126.0185</v>
      </c>
      <c r="P12" s="109">
        <v>43</v>
      </c>
      <c r="Q12" s="110">
        <f t="shared" si="2"/>
        <v>21.791974999999997</v>
      </c>
      <c r="R12" s="114">
        <v>1620.8</v>
      </c>
      <c r="S12" s="34">
        <v>342.387</v>
      </c>
      <c r="T12" s="111">
        <v>138.947</v>
      </c>
      <c r="U12" s="112">
        <v>46</v>
      </c>
      <c r="V12" s="110">
        <f t="shared" si="3"/>
        <v>35.802233333333334</v>
      </c>
      <c r="W12" s="12"/>
      <c r="X12" s="140"/>
      <c r="Y12" s="133" t="s">
        <v>30</v>
      </c>
      <c r="Z12" s="134"/>
      <c r="AA12" s="135"/>
      <c r="AB12" s="90">
        <v>2.0449999999999999</v>
      </c>
      <c r="AC12" s="90">
        <v>2.0449999999999999</v>
      </c>
      <c r="AD12" s="90">
        <v>2.0449999999999999</v>
      </c>
      <c r="AE12" s="91">
        <v>2.0449999999999999</v>
      </c>
      <c r="AF12" s="13"/>
    </row>
    <row r="13" spans="1:33" ht="16.149999999999999" thickBot="1">
      <c r="A13" s="161"/>
      <c r="B13" s="113">
        <v>10</v>
      </c>
      <c r="C13" s="107">
        <v>462.17849999999999</v>
      </c>
      <c r="D13" s="34">
        <v>365.988</v>
      </c>
      <c r="E13" s="108">
        <v>109.46</v>
      </c>
      <c r="F13" s="109">
        <v>53</v>
      </c>
      <c r="G13" s="110">
        <f t="shared" si="0"/>
        <v>16.510441666666669</v>
      </c>
      <c r="H13" s="114">
        <v>1544.3</v>
      </c>
      <c r="I13" s="34">
        <v>613.20000000000005</v>
      </c>
      <c r="J13" s="111">
        <v>107.07</v>
      </c>
      <c r="K13" s="30">
        <v>57</v>
      </c>
      <c r="L13" s="110">
        <f t="shared" si="1"/>
        <v>38.692833333333333</v>
      </c>
      <c r="M13" s="114">
        <v>586.4</v>
      </c>
      <c r="N13" s="34">
        <v>293.7</v>
      </c>
      <c r="O13" s="108">
        <v>84.37</v>
      </c>
      <c r="P13" s="109">
        <v>54</v>
      </c>
      <c r="Q13" s="110">
        <f t="shared" si="2"/>
        <v>16.974499999999999</v>
      </c>
      <c r="R13" s="114">
        <v>1535.4</v>
      </c>
      <c r="S13" s="34">
        <v>322.58250000000004</v>
      </c>
      <c r="T13" s="111">
        <v>235.24849999999998</v>
      </c>
      <c r="U13" s="112">
        <v>49</v>
      </c>
      <c r="V13" s="110">
        <f t="shared" si="3"/>
        <v>35.703850000000003</v>
      </c>
      <c r="W13" s="12"/>
      <c r="X13" s="141"/>
      <c r="Y13" s="136" t="s">
        <v>31</v>
      </c>
      <c r="Z13" s="137"/>
      <c r="AA13" s="138"/>
      <c r="AB13" s="92">
        <f>((AB6*2.228)/(AB5*0.1))^2</f>
        <v>6.9785206686574659</v>
      </c>
      <c r="AC13" s="92">
        <f t="shared" ref="AC13:AE13" si="5">((AC6*2.228)/(AC5*0.1))^2</f>
        <v>13.29003378116426</v>
      </c>
      <c r="AD13" s="92">
        <f t="shared" si="5"/>
        <v>7.4870660682582217</v>
      </c>
      <c r="AE13" s="92">
        <f t="shared" si="5"/>
        <v>6.4989305213582043</v>
      </c>
      <c r="AF13" s="13"/>
      <c r="AG13" s="29"/>
    </row>
    <row r="14" spans="1:33" ht="16.149999999999999" thickBot="1">
      <c r="A14" s="161"/>
      <c r="B14" s="113">
        <v>11</v>
      </c>
      <c r="C14" s="107">
        <v>864.7</v>
      </c>
      <c r="D14" s="34">
        <v>261.31350000000003</v>
      </c>
      <c r="E14" s="108">
        <v>63.730000000000004</v>
      </c>
      <c r="F14" s="109">
        <v>40</v>
      </c>
      <c r="G14" s="110">
        <f t="shared" si="0"/>
        <v>20.495725</v>
      </c>
      <c r="H14" s="114">
        <v>2507.4630000000002</v>
      </c>
      <c r="I14" s="34">
        <v>602</v>
      </c>
      <c r="J14" s="111">
        <v>256.66050000000001</v>
      </c>
      <c r="K14" s="30">
        <v>44</v>
      </c>
      <c r="L14" s="110">
        <f t="shared" si="1"/>
        <v>56.835391666666666</v>
      </c>
      <c r="M14" s="114">
        <v>1092.5</v>
      </c>
      <c r="N14" s="34">
        <v>226.5</v>
      </c>
      <c r="O14" s="108">
        <v>74.531100000000009</v>
      </c>
      <c r="P14" s="109">
        <v>58</v>
      </c>
      <c r="Q14" s="110">
        <f t="shared" si="2"/>
        <v>24.192184999999998</v>
      </c>
      <c r="R14" s="114">
        <v>2048.6999999999998</v>
      </c>
      <c r="S14" s="34">
        <v>283.30398000000002</v>
      </c>
      <c r="T14" s="111">
        <v>201.36199999999999</v>
      </c>
      <c r="U14" s="112">
        <v>42</v>
      </c>
      <c r="V14" s="110">
        <f t="shared" si="3"/>
        <v>42.922766333333335</v>
      </c>
      <c r="W14" s="12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3" ht="16.149999999999999" thickBot="1">
      <c r="A15" s="161"/>
      <c r="B15" s="113">
        <v>12</v>
      </c>
      <c r="C15" s="107">
        <v>512.59950000000003</v>
      </c>
      <c r="D15" s="34">
        <v>232.99499999999998</v>
      </c>
      <c r="E15" s="108">
        <v>87.9</v>
      </c>
      <c r="F15" s="109">
        <v>38</v>
      </c>
      <c r="G15" s="110">
        <f t="shared" si="0"/>
        <v>14.524908333333334</v>
      </c>
      <c r="H15" s="114">
        <v>2268.6569999999997</v>
      </c>
      <c r="I15" s="34">
        <v>328.18799999999999</v>
      </c>
      <c r="J15" s="111">
        <v>212.55150000000003</v>
      </c>
      <c r="K15" s="30">
        <v>39</v>
      </c>
      <c r="L15" s="110">
        <f t="shared" si="1"/>
        <v>47.473274999999994</v>
      </c>
      <c r="M15" s="114">
        <v>782.5</v>
      </c>
      <c r="N15" s="34">
        <v>129.80000000000001</v>
      </c>
      <c r="O15" s="108">
        <v>121.10595000000001</v>
      </c>
      <c r="P15" s="109">
        <v>42</v>
      </c>
      <c r="Q15" s="110">
        <f t="shared" si="2"/>
        <v>17.923432499999997</v>
      </c>
      <c r="R15" s="114">
        <v>1791.9</v>
      </c>
      <c r="S15" s="34">
        <v>308.14830000000001</v>
      </c>
      <c r="T15" s="111">
        <v>252.46249999999998</v>
      </c>
      <c r="U15" s="112">
        <v>49</v>
      </c>
      <c r="V15" s="110">
        <f t="shared" si="3"/>
        <v>40.025179999999999</v>
      </c>
      <c r="W15" s="12"/>
      <c r="X15" s="139" t="s">
        <v>32</v>
      </c>
      <c r="Y15" s="136" t="s">
        <v>16</v>
      </c>
      <c r="Z15" s="137"/>
      <c r="AA15" s="138"/>
      <c r="AB15" s="24" t="s">
        <v>17</v>
      </c>
      <c r="AC15" s="25" t="s">
        <v>18</v>
      </c>
      <c r="AD15" s="25" t="s">
        <v>19</v>
      </c>
      <c r="AE15" s="26" t="s">
        <v>20</v>
      </c>
      <c r="AF15" s="13"/>
      <c r="AG15" s="29"/>
    </row>
    <row r="16" spans="1:33">
      <c r="A16" s="161"/>
      <c r="B16" s="113">
        <v>13</v>
      </c>
      <c r="C16" s="107">
        <v>908.47050000000013</v>
      </c>
      <c r="D16" s="34">
        <v>385.77</v>
      </c>
      <c r="E16" s="108">
        <v>97.7</v>
      </c>
      <c r="F16" s="109">
        <v>32</v>
      </c>
      <c r="G16" s="110">
        <f t="shared" si="0"/>
        <v>23.73234166666667</v>
      </c>
      <c r="H16" s="114">
        <v>1994.2</v>
      </c>
      <c r="I16" s="34">
        <v>522.10199999999998</v>
      </c>
      <c r="J16" s="111">
        <v>126.51149999999998</v>
      </c>
      <c r="K16" s="30">
        <v>36</v>
      </c>
      <c r="L16" s="110">
        <f t="shared" si="1"/>
        <v>44.646891666666669</v>
      </c>
      <c r="M16" s="114">
        <v>999.4</v>
      </c>
      <c r="N16" s="34">
        <v>192</v>
      </c>
      <c r="O16" s="108">
        <v>70.141575000000017</v>
      </c>
      <c r="P16" s="109">
        <v>53</v>
      </c>
      <c r="Q16" s="110">
        <f t="shared" si="2"/>
        <v>21.909026250000004</v>
      </c>
      <c r="R16" s="114">
        <v>1697.1</v>
      </c>
      <c r="S16" s="34">
        <v>290.32425000000006</v>
      </c>
      <c r="T16" s="111">
        <v>160.7457</v>
      </c>
      <c r="U16" s="112">
        <v>41</v>
      </c>
      <c r="V16" s="110">
        <f t="shared" si="3"/>
        <v>36.486165833333331</v>
      </c>
      <c r="W16" s="12"/>
      <c r="X16" s="140"/>
      <c r="Y16" s="145" t="s">
        <v>22</v>
      </c>
      <c r="Z16" s="146"/>
      <c r="AA16" s="147"/>
      <c r="AB16" s="84">
        <f>60</f>
        <v>60</v>
      </c>
      <c r="AC16" s="84">
        <f>60</f>
        <v>60</v>
      </c>
      <c r="AD16" s="84">
        <f>60</f>
        <v>60</v>
      </c>
      <c r="AE16" s="84">
        <f>60</f>
        <v>60</v>
      </c>
      <c r="AF16" s="13"/>
    </row>
    <row r="17" spans="1:32">
      <c r="A17" s="161"/>
      <c r="B17" s="113">
        <v>14</v>
      </c>
      <c r="C17" s="107">
        <v>565.20000000000005</v>
      </c>
      <c r="D17" s="34">
        <v>513.5</v>
      </c>
      <c r="E17" s="108">
        <v>64</v>
      </c>
      <c r="F17" s="109">
        <v>35</v>
      </c>
      <c r="G17" s="110">
        <f t="shared" si="0"/>
        <v>19.628333333333334</v>
      </c>
      <c r="H17" s="114">
        <v>1709</v>
      </c>
      <c r="I17" s="34">
        <v>422.5</v>
      </c>
      <c r="J17" s="111">
        <v>121.8</v>
      </c>
      <c r="K17" s="30">
        <v>57</v>
      </c>
      <c r="L17" s="110">
        <f t="shared" si="1"/>
        <v>38.505000000000003</v>
      </c>
      <c r="M17" s="114">
        <v>612.70000000000005</v>
      </c>
      <c r="N17" s="34">
        <v>307.8</v>
      </c>
      <c r="O17" s="108">
        <v>96.461925000000008</v>
      </c>
      <c r="P17" s="109">
        <v>35</v>
      </c>
      <c r="Q17" s="110">
        <f t="shared" si="2"/>
        <v>17.532698750000002</v>
      </c>
      <c r="R17" s="114">
        <v>2886.2074355625009</v>
      </c>
      <c r="S17" s="34">
        <v>254.97358200000002</v>
      </c>
      <c r="T17" s="111">
        <v>139.94829999999996</v>
      </c>
      <c r="U17" s="112">
        <v>51</v>
      </c>
      <c r="V17" s="110">
        <f t="shared" si="3"/>
        <v>55.535488626041683</v>
      </c>
      <c r="W17" s="12"/>
      <c r="X17" s="140"/>
      <c r="Y17" s="148" t="s">
        <v>23</v>
      </c>
      <c r="Z17" s="149"/>
      <c r="AA17" s="150"/>
      <c r="AB17" s="85">
        <f>AVERAGE(C4:C63)</f>
        <v>745.6147116041667</v>
      </c>
      <c r="AC17" s="85">
        <f>AVERAGE(H4:H63)</f>
        <v>1709.6757758333333</v>
      </c>
      <c r="AD17" s="85">
        <f>AVERAGE(M4:M63)</f>
        <v>882.22229288657445</v>
      </c>
      <c r="AE17" s="85">
        <f>AVERAGE(R4:R63)</f>
        <v>1848.921194060139</v>
      </c>
      <c r="AF17" s="13"/>
    </row>
    <row r="18" spans="1:32">
      <c r="A18" s="161"/>
      <c r="B18" s="113">
        <v>15</v>
      </c>
      <c r="C18" s="107">
        <v>650.58000000000004</v>
      </c>
      <c r="D18" s="34">
        <v>303.39999999999998</v>
      </c>
      <c r="E18" s="108">
        <v>66.202500000000015</v>
      </c>
      <c r="F18" s="109">
        <v>46</v>
      </c>
      <c r="G18" s="110">
        <f t="shared" si="0"/>
        <v>17.76970833333333</v>
      </c>
      <c r="H18" s="114">
        <v>1405.2</v>
      </c>
      <c r="I18" s="34">
        <v>393.42450000000002</v>
      </c>
      <c r="J18" s="111">
        <v>220.733</v>
      </c>
      <c r="K18" s="30">
        <v>33</v>
      </c>
      <c r="L18" s="110">
        <f t="shared" si="1"/>
        <v>34.205958333333335</v>
      </c>
      <c r="M18" s="114">
        <v>1144.0999999999999</v>
      </c>
      <c r="N18" s="34">
        <v>236.8</v>
      </c>
      <c r="O18" s="108">
        <v>86.225999999999999</v>
      </c>
      <c r="P18" s="109">
        <v>49</v>
      </c>
      <c r="Q18" s="110">
        <f t="shared" si="2"/>
        <v>25.268766666666661</v>
      </c>
      <c r="R18" s="114">
        <v>1866.2</v>
      </c>
      <c r="S18" s="34">
        <v>277.33347000000003</v>
      </c>
      <c r="T18" s="111">
        <v>233.23307499999999</v>
      </c>
      <c r="U18" s="112">
        <v>56</v>
      </c>
      <c r="V18" s="110">
        <f t="shared" si="3"/>
        <v>40.546109083333342</v>
      </c>
      <c r="W18" s="12"/>
      <c r="X18" s="140"/>
      <c r="Y18" s="148" t="s">
        <v>24</v>
      </c>
      <c r="Z18" s="149"/>
      <c r="AA18" s="150"/>
      <c r="AB18" s="93">
        <f>_xlfn.STDEV.P(C4:C63)</f>
        <v>142.23854994929178</v>
      </c>
      <c r="AC18" s="93">
        <f>_xlfn.STDEV.P(H4:H63)</f>
        <v>334.44577417409766</v>
      </c>
      <c r="AD18" s="93">
        <f>_xlfn.STDEV.P(M4:M63)</f>
        <v>151.82224101254465</v>
      </c>
      <c r="AE18" s="93">
        <f>_xlfn.STDEV.P(R4:R63)</f>
        <v>301.47836764016949</v>
      </c>
      <c r="AF18" s="13"/>
    </row>
    <row r="19" spans="1:32">
      <c r="A19" s="161"/>
      <c r="B19" s="113">
        <v>16</v>
      </c>
      <c r="C19" s="107">
        <v>943.85550000000001</v>
      </c>
      <c r="D19" s="34">
        <v>378.50400000000002</v>
      </c>
      <c r="E19" s="108">
        <v>83.391000000000005</v>
      </c>
      <c r="F19" s="109">
        <v>58</v>
      </c>
      <c r="G19" s="110">
        <f t="shared" si="0"/>
        <v>24.395841666666669</v>
      </c>
      <c r="H19" s="114">
        <v>1219.2</v>
      </c>
      <c r="I19" s="34">
        <v>374</v>
      </c>
      <c r="J19" s="111">
        <v>140.5</v>
      </c>
      <c r="K19" s="30">
        <v>31</v>
      </c>
      <c r="L19" s="110">
        <f t="shared" si="1"/>
        <v>29.411666666666669</v>
      </c>
      <c r="M19" s="114">
        <v>758.66112000000021</v>
      </c>
      <c r="N19" s="34">
        <v>135.30000000000001</v>
      </c>
      <c r="O19" s="108">
        <v>72.244830000000007</v>
      </c>
      <c r="P19" s="109">
        <v>41</v>
      </c>
      <c r="Q19" s="110">
        <f t="shared" si="2"/>
        <v>16.786765833333337</v>
      </c>
      <c r="R19" s="114">
        <v>2362</v>
      </c>
      <c r="S19" s="34">
        <v>261.29182500000007</v>
      </c>
      <c r="T19" s="111">
        <v>173.26194999999998</v>
      </c>
      <c r="U19" s="112">
        <v>36</v>
      </c>
      <c r="V19" s="110">
        <f t="shared" si="3"/>
        <v>47.20922958333334</v>
      </c>
      <c r="W19" s="12"/>
      <c r="X19" s="140"/>
      <c r="Y19" s="148" t="s">
        <v>25</v>
      </c>
      <c r="Z19" s="149"/>
      <c r="AA19" s="150"/>
      <c r="AB19" s="85">
        <f>MIN(C4:C63)</f>
        <v>440.16999999999996</v>
      </c>
      <c r="AC19" s="85">
        <f>MIN(H4:H63)</f>
        <v>969.88</v>
      </c>
      <c r="AD19" s="85">
        <f>MIN(M4:M63)</f>
        <v>537.4</v>
      </c>
      <c r="AE19" s="85">
        <f>MIN(R4:R63)</f>
        <v>1501.6012870418442</v>
      </c>
      <c r="AF19" s="13"/>
    </row>
    <row r="20" spans="1:32">
      <c r="A20" s="161"/>
      <c r="B20" s="113">
        <v>17</v>
      </c>
      <c r="C20" s="107">
        <v>941.62950000000001</v>
      </c>
      <c r="D20" s="34">
        <v>306.3</v>
      </c>
      <c r="E20" s="108">
        <v>63.819000000000003</v>
      </c>
      <c r="F20" s="109">
        <v>54</v>
      </c>
      <c r="G20" s="110">
        <f t="shared" si="0"/>
        <v>22.762474999999998</v>
      </c>
      <c r="H20" s="114">
        <v>1964.1930000000004</v>
      </c>
      <c r="I20" s="108">
        <v>330.09649999999999</v>
      </c>
      <c r="J20" s="111">
        <v>242.3595</v>
      </c>
      <c r="K20" s="30">
        <v>56</v>
      </c>
      <c r="L20" s="110">
        <f t="shared" si="1"/>
        <v>43.210816666666673</v>
      </c>
      <c r="M20" s="114">
        <v>986.38332187500009</v>
      </c>
      <c r="N20" s="34">
        <v>200.6</v>
      </c>
      <c r="O20" s="108">
        <v>72.339172500000004</v>
      </c>
      <c r="P20" s="109">
        <v>34</v>
      </c>
      <c r="Q20" s="110">
        <f t="shared" si="2"/>
        <v>21.555374906249998</v>
      </c>
      <c r="R20" s="114">
        <v>2030.5</v>
      </c>
      <c r="S20" s="34">
        <v>229.47622380000001</v>
      </c>
      <c r="T20" s="111">
        <v>233.55797499999997</v>
      </c>
      <c r="U20" s="112">
        <v>34</v>
      </c>
      <c r="V20" s="110">
        <f t="shared" si="3"/>
        <v>42.125569980000002</v>
      </c>
      <c r="W20" s="12"/>
      <c r="X20" s="140"/>
      <c r="Y20" s="148" t="s">
        <v>26</v>
      </c>
      <c r="Z20" s="149"/>
      <c r="AA20" s="150"/>
      <c r="AB20" s="85">
        <f>MAX(C4:C63)</f>
        <v>991.0482750000001</v>
      </c>
      <c r="AC20" s="85">
        <f>MAX(H4:H63)</f>
        <v>2851.59</v>
      </c>
      <c r="AD20" s="85">
        <f>MAX(M4:M63)</f>
        <v>1254.9727655325005</v>
      </c>
      <c r="AE20" s="85">
        <f>MAX(R4:R63)</f>
        <v>2886.2074355625009</v>
      </c>
      <c r="AF20" s="13"/>
    </row>
    <row r="21" spans="1:32" ht="16.149999999999999" thickBot="1">
      <c r="A21" s="161"/>
      <c r="B21" s="113">
        <v>18</v>
      </c>
      <c r="C21" s="107">
        <v>505.98450000000003</v>
      </c>
      <c r="D21" s="34">
        <v>449.7045</v>
      </c>
      <c r="E21" s="108">
        <v>59.262</v>
      </c>
      <c r="F21" s="109">
        <v>37</v>
      </c>
      <c r="G21" s="110">
        <f t="shared" si="0"/>
        <v>17.532516666666666</v>
      </c>
      <c r="H21" s="114">
        <v>1777.1270000000002</v>
      </c>
      <c r="I21" s="34">
        <v>735.63249999999994</v>
      </c>
      <c r="J21" s="111">
        <v>166.9485</v>
      </c>
      <c r="K21" s="30">
        <v>49</v>
      </c>
      <c r="L21" s="110">
        <f t="shared" si="1"/>
        <v>45.478466666666669</v>
      </c>
      <c r="M21" s="114">
        <v>580.3069938750001</v>
      </c>
      <c r="N21" s="34">
        <v>321.7</v>
      </c>
      <c r="O21" s="108">
        <v>66.689778750000016</v>
      </c>
      <c r="P21" s="109">
        <v>36</v>
      </c>
      <c r="Q21" s="110">
        <f t="shared" si="2"/>
        <v>16.744946210416668</v>
      </c>
      <c r="R21" s="114">
        <v>1944.7</v>
      </c>
      <c r="S21" s="34">
        <v>249.60012300000002</v>
      </c>
      <c r="T21" s="111">
        <v>154.33291499999999</v>
      </c>
      <c r="U21" s="112">
        <v>59</v>
      </c>
      <c r="V21" s="110">
        <f t="shared" si="3"/>
        <v>40.127217299999998</v>
      </c>
      <c r="W21" s="12"/>
      <c r="X21" s="140"/>
      <c r="Y21" s="133" t="s">
        <v>27</v>
      </c>
      <c r="Z21" s="134"/>
      <c r="AA21" s="135"/>
      <c r="AB21" s="85">
        <f>AB20-AB19</f>
        <v>550.87827500000014</v>
      </c>
      <c r="AC21" s="85">
        <f t="shared" ref="AC21:AE21" si="6">AC20-AC19</f>
        <v>1881.71</v>
      </c>
      <c r="AD21" s="85">
        <f t="shared" si="6"/>
        <v>717.57276553250051</v>
      </c>
      <c r="AE21" s="85">
        <f t="shared" si="6"/>
        <v>1384.6061485206567</v>
      </c>
      <c r="AF21" s="13"/>
    </row>
    <row r="22" spans="1:32">
      <c r="A22" s="161"/>
      <c r="B22" s="113">
        <v>19</v>
      </c>
      <c r="C22" s="107">
        <v>485.28742499999998</v>
      </c>
      <c r="D22" s="34">
        <v>384.28739999999999</v>
      </c>
      <c r="E22" s="108">
        <v>91.402499999999989</v>
      </c>
      <c r="F22" s="109">
        <v>60</v>
      </c>
      <c r="G22" s="110">
        <f t="shared" si="0"/>
        <v>17.016288749999998</v>
      </c>
      <c r="H22" s="114">
        <v>1549.0650000000003</v>
      </c>
      <c r="I22" s="34">
        <v>725.63849999999991</v>
      </c>
      <c r="J22" s="111">
        <v>162.53392500000001</v>
      </c>
      <c r="K22" s="30">
        <v>44</v>
      </c>
      <c r="L22" s="110">
        <f t="shared" si="1"/>
        <v>41.353957083333334</v>
      </c>
      <c r="M22" s="114">
        <v>1138.2972930000003</v>
      </c>
      <c r="N22" s="34">
        <v>247.7</v>
      </c>
      <c r="O22" s="108">
        <v>133.49744625</v>
      </c>
      <c r="P22" s="109">
        <v>48</v>
      </c>
      <c r="Q22" s="110">
        <f t="shared" si="2"/>
        <v>26.124912320833339</v>
      </c>
      <c r="R22" s="114">
        <v>2030.1</v>
      </c>
      <c r="S22" s="34">
        <v>235.16264250000006</v>
      </c>
      <c r="T22" s="111">
        <v>143.34768499999998</v>
      </c>
      <c r="U22" s="112">
        <v>31</v>
      </c>
      <c r="V22" s="110">
        <f t="shared" si="3"/>
        <v>40.660172125000003</v>
      </c>
      <c r="W22" s="12"/>
      <c r="X22" s="140"/>
      <c r="Y22" s="145" t="s">
        <v>28</v>
      </c>
      <c r="Z22" s="146"/>
      <c r="AA22" s="147"/>
      <c r="AB22" s="86">
        <v>0.1</v>
      </c>
      <c r="AC22" s="86">
        <v>0.1</v>
      </c>
      <c r="AD22" s="86">
        <v>0.1</v>
      </c>
      <c r="AE22" s="87">
        <v>0.1</v>
      </c>
      <c r="AF22" s="13"/>
    </row>
    <row r="23" spans="1:32">
      <c r="A23" s="161"/>
      <c r="B23" s="113">
        <v>20</v>
      </c>
      <c r="C23" s="107">
        <v>924.8</v>
      </c>
      <c r="D23" s="34">
        <v>274.37917500000003</v>
      </c>
      <c r="E23" s="108">
        <v>103.07850000000001</v>
      </c>
      <c r="F23" s="109">
        <v>59</v>
      </c>
      <c r="G23" s="110">
        <f t="shared" si="0"/>
        <v>22.687627916666667</v>
      </c>
      <c r="H23" s="114">
        <v>1401.5350000000001</v>
      </c>
      <c r="I23" s="34">
        <v>396.9</v>
      </c>
      <c r="J23" s="111">
        <v>141.6</v>
      </c>
      <c r="K23" s="30">
        <v>41</v>
      </c>
      <c r="L23" s="110">
        <f t="shared" si="1"/>
        <v>33.017249999999997</v>
      </c>
      <c r="M23" s="114">
        <v>796.59417600000029</v>
      </c>
      <c r="N23" s="34">
        <v>141.1</v>
      </c>
      <c r="O23" s="108">
        <v>89.955600000000004</v>
      </c>
      <c r="P23" s="109">
        <v>50</v>
      </c>
      <c r="Q23" s="110">
        <f t="shared" si="2"/>
        <v>17.960829600000004</v>
      </c>
      <c r="R23" s="114">
        <v>2182</v>
      </c>
      <c r="S23" s="34">
        <v>206.52860142000003</v>
      </c>
      <c r="T23" s="111">
        <v>222.11833624999997</v>
      </c>
      <c r="U23" s="112">
        <v>58</v>
      </c>
      <c r="V23" s="110">
        <f t="shared" si="3"/>
        <v>44.477448961166672</v>
      </c>
      <c r="W23" s="18"/>
      <c r="X23" s="140"/>
      <c r="Y23" s="148" t="s">
        <v>29</v>
      </c>
      <c r="Z23" s="149"/>
      <c r="AA23" s="150"/>
      <c r="AB23" s="88">
        <v>0.95</v>
      </c>
      <c r="AC23" s="88">
        <v>0.95</v>
      </c>
      <c r="AD23" s="88">
        <v>0.95</v>
      </c>
      <c r="AE23" s="89">
        <v>0.95</v>
      </c>
      <c r="AF23" s="13"/>
    </row>
    <row r="24" spans="1:32" ht="16.149999999999999" thickBot="1">
      <c r="A24" s="161"/>
      <c r="B24" s="113">
        <v>21</v>
      </c>
      <c r="C24" s="107">
        <v>538.22947500000009</v>
      </c>
      <c r="D24" s="34">
        <v>264.60000000000002</v>
      </c>
      <c r="E24" s="108">
        <v>98.1</v>
      </c>
      <c r="F24" s="109">
        <v>55</v>
      </c>
      <c r="G24" s="110">
        <f t="shared" si="0"/>
        <v>15.93215791666667</v>
      </c>
      <c r="H24" s="114">
        <v>1622.2605000000001</v>
      </c>
      <c r="I24" s="34">
        <v>472.37799999999999</v>
      </c>
      <c r="J24" s="111">
        <v>245.74034999999998</v>
      </c>
      <c r="K24" s="30">
        <v>41</v>
      </c>
      <c r="L24" s="110">
        <f t="shared" si="1"/>
        <v>39.6896475</v>
      </c>
      <c r="M24" s="114">
        <v>1035.7024879687501</v>
      </c>
      <c r="N24" s="34">
        <v>209.6</v>
      </c>
      <c r="O24" s="108">
        <v>70.973321499999997</v>
      </c>
      <c r="P24" s="109">
        <v>39</v>
      </c>
      <c r="Q24" s="110">
        <f t="shared" si="2"/>
        <v>22.587930157812501</v>
      </c>
      <c r="R24" s="114">
        <v>1726.9678511170321</v>
      </c>
      <c r="S24" s="34">
        <v>224.64011070000004</v>
      </c>
      <c r="T24" s="111">
        <v>172.15006999999997</v>
      </c>
      <c r="U24" s="112">
        <v>34</v>
      </c>
      <c r="V24" s="110">
        <f t="shared" si="3"/>
        <v>35.962633863617199</v>
      </c>
      <c r="W24" s="18"/>
      <c r="X24" s="140"/>
      <c r="Y24" s="133" t="s">
        <v>30</v>
      </c>
      <c r="Z24" s="134"/>
      <c r="AA24" s="135"/>
      <c r="AB24" s="90">
        <v>2.0449999999999999</v>
      </c>
      <c r="AC24" s="90">
        <v>2.0449999999999999</v>
      </c>
      <c r="AD24" s="90">
        <v>2.0449999999999999</v>
      </c>
      <c r="AE24" s="91">
        <v>2.0449999999999999</v>
      </c>
      <c r="AF24" s="13"/>
    </row>
    <row r="25" spans="1:32" ht="16.149999999999999" thickBot="1">
      <c r="A25" s="161"/>
      <c r="B25" s="113">
        <v>22</v>
      </c>
      <c r="C25" s="107">
        <v>953.89402500000017</v>
      </c>
      <c r="D25" s="34">
        <v>405.05849999999998</v>
      </c>
      <c r="E25" s="108">
        <v>109.84050000000001</v>
      </c>
      <c r="F25" s="109">
        <v>54</v>
      </c>
      <c r="G25" s="110">
        <f t="shared" si="0"/>
        <v>25.379883750000001</v>
      </c>
      <c r="H25" s="114">
        <v>1467.7594999999999</v>
      </c>
      <c r="I25" s="34">
        <v>391.8</v>
      </c>
      <c r="J25" s="111">
        <v>123</v>
      </c>
      <c r="K25" s="30">
        <v>33</v>
      </c>
      <c r="L25" s="110">
        <f t="shared" si="1"/>
        <v>33.592658333333333</v>
      </c>
      <c r="M25" s="114">
        <v>609.32234356875017</v>
      </c>
      <c r="N25" s="34">
        <v>336.8</v>
      </c>
      <c r="O25" s="108">
        <v>112.750581125</v>
      </c>
      <c r="P25" s="109">
        <v>40</v>
      </c>
      <c r="Q25" s="110">
        <f t="shared" si="2"/>
        <v>18.314548744895838</v>
      </c>
      <c r="R25" s="114">
        <v>1501.6012870418442</v>
      </c>
      <c r="S25" s="34">
        <v>211.64637825000005</v>
      </c>
      <c r="T25" s="111">
        <v>231.13972624999997</v>
      </c>
      <c r="U25" s="112">
        <v>60</v>
      </c>
      <c r="V25" s="110">
        <f t="shared" si="3"/>
        <v>33.406456525697401</v>
      </c>
      <c r="W25" s="18"/>
      <c r="X25" s="141"/>
      <c r="Y25" s="136" t="s">
        <v>31</v>
      </c>
      <c r="Z25" s="137"/>
      <c r="AA25" s="138"/>
      <c r="AB25" s="92">
        <f>((AB18*2.228)/(AB17*0.1))^2</f>
        <v>18.064921080426394</v>
      </c>
      <c r="AC25" s="92">
        <f t="shared" ref="AC25:AE25" si="7">((AC18*2.228)/(AC17*0.1))^2</f>
        <v>18.99565538934467</v>
      </c>
      <c r="AD25" s="92">
        <f t="shared" si="7"/>
        <v>14.700940260504256</v>
      </c>
      <c r="AE25" s="92">
        <f t="shared" si="7"/>
        <v>13.197931856682311</v>
      </c>
      <c r="AF25" s="13"/>
    </row>
    <row r="26" spans="1:32" ht="16.149999999999999" thickBot="1">
      <c r="A26" s="161"/>
      <c r="B26" s="113">
        <v>23</v>
      </c>
      <c r="C26" s="107">
        <v>678.3</v>
      </c>
      <c r="D26" s="34">
        <v>506.9</v>
      </c>
      <c r="E26" s="108">
        <v>114.93299999999999</v>
      </c>
      <c r="F26" s="109">
        <v>50</v>
      </c>
      <c r="G26" s="110">
        <f t="shared" si="0"/>
        <v>22.502216666666662</v>
      </c>
      <c r="H26" s="114">
        <v>1533.6614999999999</v>
      </c>
      <c r="I26" s="34">
        <v>466</v>
      </c>
      <c r="J26" s="111">
        <v>204.2</v>
      </c>
      <c r="K26" s="30">
        <v>36</v>
      </c>
      <c r="L26" s="110">
        <f t="shared" si="1"/>
        <v>37.331024999999997</v>
      </c>
      <c r="M26" s="114">
        <v>1195.2121576500003</v>
      </c>
      <c r="N26" s="34">
        <v>259</v>
      </c>
      <c r="O26" s="108">
        <v>69.659342687500015</v>
      </c>
      <c r="P26" s="109">
        <v>50</v>
      </c>
      <c r="Q26" s="110">
        <f t="shared" si="2"/>
        <v>26.231191672291672</v>
      </c>
      <c r="R26" s="114">
        <v>2431</v>
      </c>
      <c r="S26" s="34">
        <v>185.87574127800002</v>
      </c>
      <c r="T26" s="111">
        <v>129.48591674999997</v>
      </c>
      <c r="U26" s="112">
        <v>30</v>
      </c>
      <c r="V26" s="110">
        <f t="shared" si="3"/>
        <v>46.272694300466668</v>
      </c>
      <c r="W26" s="12"/>
      <c r="X26" s="94"/>
      <c r="Y26" s="13"/>
      <c r="Z26" s="13"/>
      <c r="AA26" s="13"/>
      <c r="AB26" s="13"/>
      <c r="AC26" s="13"/>
      <c r="AD26" s="13"/>
      <c r="AE26" s="13"/>
      <c r="AF26" s="13"/>
    </row>
    <row r="27" spans="1:32" ht="16.149999999999999" thickBot="1">
      <c r="A27" s="161"/>
      <c r="B27" s="113">
        <v>24</v>
      </c>
      <c r="C27" s="107">
        <v>683.10900000000004</v>
      </c>
      <c r="D27" s="34">
        <v>275.5</v>
      </c>
      <c r="E27" s="108">
        <v>66.916499999999999</v>
      </c>
      <c r="F27" s="109">
        <v>36</v>
      </c>
      <c r="G27" s="110">
        <f t="shared" si="0"/>
        <v>17.692091666666666</v>
      </c>
      <c r="H27" s="114">
        <v>1387.5984999999998</v>
      </c>
      <c r="I27" s="34">
        <v>447.9</v>
      </c>
      <c r="J27" s="111">
        <v>213.34507500000001</v>
      </c>
      <c r="K27" s="30">
        <v>49</v>
      </c>
      <c r="L27" s="110">
        <f t="shared" si="1"/>
        <v>34.964059583333331</v>
      </c>
      <c r="M27" s="114">
        <v>836.42388480000034</v>
      </c>
      <c r="N27" s="34">
        <v>147.19999999999999</v>
      </c>
      <c r="O27" s="108">
        <v>91.93386856250001</v>
      </c>
      <c r="P27" s="109">
        <v>60</v>
      </c>
      <c r="Q27" s="110">
        <f t="shared" si="2"/>
        <v>18.925962556041672</v>
      </c>
      <c r="R27" s="114">
        <v>1813.3162436728837</v>
      </c>
      <c r="S27" s="34">
        <v>202.17609963000004</v>
      </c>
      <c r="T27" s="111">
        <v>130.21297074999995</v>
      </c>
      <c r="U27" s="112">
        <v>30</v>
      </c>
      <c r="V27" s="110">
        <f t="shared" si="3"/>
        <v>36.261755234214732</v>
      </c>
      <c r="W27" s="12"/>
      <c r="X27" s="139" t="s">
        <v>33</v>
      </c>
      <c r="Y27" s="136" t="s">
        <v>16</v>
      </c>
      <c r="Z27" s="137"/>
      <c r="AA27" s="138"/>
      <c r="AB27" s="24" t="s">
        <v>17</v>
      </c>
      <c r="AC27" s="25" t="s">
        <v>18</v>
      </c>
      <c r="AD27" s="25" t="s">
        <v>19</v>
      </c>
      <c r="AE27" s="26" t="s">
        <v>20</v>
      </c>
      <c r="AF27" s="13"/>
    </row>
    <row r="28" spans="1:32">
      <c r="A28" s="161"/>
      <c r="B28" s="113">
        <v>25</v>
      </c>
      <c r="C28" s="107">
        <v>991.0482750000001</v>
      </c>
      <c r="D28" s="34">
        <v>397.42920000000004</v>
      </c>
      <c r="E28" s="108">
        <v>81.3</v>
      </c>
      <c r="F28" s="109">
        <v>37</v>
      </c>
      <c r="G28" s="110">
        <f t="shared" si="0"/>
        <v>25.112957916666669</v>
      </c>
      <c r="H28" s="114">
        <v>1069.2927</v>
      </c>
      <c r="I28" s="34">
        <v>346.60132500000003</v>
      </c>
      <c r="J28" s="111">
        <v>149.88307500000002</v>
      </c>
      <c r="K28" s="30">
        <v>51</v>
      </c>
      <c r="L28" s="110">
        <f t="shared" si="1"/>
        <v>26.946285</v>
      </c>
      <c r="M28" s="114">
        <v>1087.4876123671877</v>
      </c>
      <c r="N28" s="34">
        <v>219.1</v>
      </c>
      <c r="O28" s="108">
        <v>83.420555000000007</v>
      </c>
      <c r="P28" s="109">
        <v>45</v>
      </c>
      <c r="Q28" s="110">
        <f t="shared" si="2"/>
        <v>23.916802789453126</v>
      </c>
      <c r="R28" s="114">
        <v>1576.6813513939364</v>
      </c>
      <c r="S28" s="34">
        <v>190.48174042500005</v>
      </c>
      <c r="T28" s="111">
        <v>212.55569443749994</v>
      </c>
      <c r="U28" s="112">
        <v>38</v>
      </c>
      <c r="V28" s="110">
        <f t="shared" si="3"/>
        <v>33.628646437607273</v>
      </c>
      <c r="W28" s="18"/>
      <c r="X28" s="140"/>
      <c r="Y28" s="145" t="s">
        <v>22</v>
      </c>
      <c r="Z28" s="146"/>
      <c r="AA28" s="147"/>
      <c r="AB28" s="84">
        <v>60</v>
      </c>
      <c r="AC28" s="84">
        <v>60</v>
      </c>
      <c r="AD28" s="84">
        <v>60</v>
      </c>
      <c r="AE28" s="84">
        <v>60</v>
      </c>
      <c r="AF28" s="13"/>
    </row>
    <row r="29" spans="1:32">
      <c r="A29" s="161"/>
      <c r="B29" s="113">
        <v>26</v>
      </c>
      <c r="C29" s="107">
        <v>988.71097500000008</v>
      </c>
      <c r="D29" s="34">
        <v>284.7</v>
      </c>
      <c r="E29" s="108">
        <v>123.56399999999999</v>
      </c>
      <c r="F29" s="109">
        <v>41</v>
      </c>
      <c r="G29" s="110">
        <f t="shared" si="0"/>
        <v>23.966249583333333</v>
      </c>
      <c r="H29" s="114">
        <v>1367.5</v>
      </c>
      <c r="I29" s="34">
        <v>672.9</v>
      </c>
      <c r="J29" s="111">
        <v>199.2</v>
      </c>
      <c r="K29" s="30">
        <v>53</v>
      </c>
      <c r="L29" s="110">
        <f t="shared" si="1"/>
        <v>38.21</v>
      </c>
      <c r="M29" s="114">
        <v>639.78846074718774</v>
      </c>
      <c r="N29" s="34">
        <v>252.6</v>
      </c>
      <c r="O29" s="108">
        <v>69.081812575000001</v>
      </c>
      <c r="P29" s="109">
        <v>47</v>
      </c>
      <c r="Q29" s="110">
        <f t="shared" si="2"/>
        <v>16.80783788870313</v>
      </c>
      <c r="R29" s="114">
        <v>2508.1999999999998</v>
      </c>
      <c r="S29" s="34">
        <v>167.28816715020002</v>
      </c>
      <c r="T29" s="111">
        <v>173.41952649999999</v>
      </c>
      <c r="U29" s="112">
        <v>57</v>
      </c>
      <c r="V29" s="110">
        <f t="shared" si="3"/>
        <v>48.431794894169997</v>
      </c>
      <c r="W29" s="18"/>
      <c r="X29" s="140"/>
      <c r="Y29" s="148" t="s">
        <v>23</v>
      </c>
      <c r="Z29" s="149"/>
      <c r="AA29" s="150"/>
      <c r="AB29" s="85">
        <f>AVERAGE(D4:D63)</f>
        <v>348.39367950000002</v>
      </c>
      <c r="AC29" s="85">
        <f>AVERAGE(I4:I63)</f>
        <v>413.9398758333333</v>
      </c>
      <c r="AD29" s="85">
        <f>AVERAGE(N4:N63)</f>
        <v>221.58333333333337</v>
      </c>
      <c r="AE29" s="85">
        <f>AVERAGE(S4:S63)</f>
        <v>317.30666637230303</v>
      </c>
      <c r="AF29" s="13"/>
    </row>
    <row r="30" spans="1:32">
      <c r="A30" s="161"/>
      <c r="B30" s="113">
        <v>27</v>
      </c>
      <c r="C30" s="107">
        <v>531.283725</v>
      </c>
      <c r="D30" s="34">
        <v>472.18972500000001</v>
      </c>
      <c r="E30" s="108">
        <v>59.8</v>
      </c>
      <c r="F30" s="109">
        <v>51</v>
      </c>
      <c r="G30" s="110">
        <f t="shared" si="0"/>
        <v>18.571224166666664</v>
      </c>
      <c r="H30" s="114">
        <v>1478.2</v>
      </c>
      <c r="I30" s="34">
        <v>661.9</v>
      </c>
      <c r="J30" s="111">
        <v>230.11365000000001</v>
      </c>
      <c r="K30" s="30">
        <v>43</v>
      </c>
      <c r="L30" s="110">
        <f t="shared" si="1"/>
        <v>40.220227499999993</v>
      </c>
      <c r="M30" s="114">
        <v>1254.9727655325005</v>
      </c>
      <c r="N30" s="34">
        <v>271</v>
      </c>
      <c r="O30" s="108">
        <v>68.787185181249995</v>
      </c>
      <c r="P30" s="109">
        <v>45</v>
      </c>
      <c r="Q30" s="110">
        <f t="shared" si="2"/>
        <v>27.329332511895839</v>
      </c>
      <c r="R30" s="114">
        <v>1903.9820558565279</v>
      </c>
      <c r="S30" s="34">
        <v>181.95848966700004</v>
      </c>
      <c r="T30" s="111">
        <v>220.1023091875</v>
      </c>
      <c r="U30" s="112">
        <v>35</v>
      </c>
      <c r="V30" s="110">
        <f t="shared" si="3"/>
        <v>39.017380911850459</v>
      </c>
      <c r="W30" s="18"/>
      <c r="X30" s="140"/>
      <c r="Y30" s="148" t="s">
        <v>24</v>
      </c>
      <c r="Z30" s="149"/>
      <c r="AA30" s="150"/>
      <c r="AB30" s="95">
        <f>_xlfn.STDEV.P(D4:D63)</f>
        <v>61.368877759905587</v>
      </c>
      <c r="AC30" s="95">
        <f>_xlfn.STDEV.P(I4:I63)</f>
        <v>110.82348276407886</v>
      </c>
      <c r="AD30" s="95">
        <f>_xlfn.STDEV.P(N4:N63)</f>
        <v>47.497204011277084</v>
      </c>
      <c r="AE30" s="95">
        <f>_xlfn.STDEV.P(S4:S63)</f>
        <v>87.501559886348517</v>
      </c>
      <c r="AF30" s="13"/>
    </row>
    <row r="31" spans="1:32">
      <c r="A31" s="161"/>
      <c r="B31" s="113">
        <v>28</v>
      </c>
      <c r="C31" s="107">
        <v>509.55179625</v>
      </c>
      <c r="D31" s="34">
        <v>403.50177000000002</v>
      </c>
      <c r="E31" s="108">
        <v>79.900000000000006</v>
      </c>
      <c r="F31" s="109">
        <v>54</v>
      </c>
      <c r="G31" s="110">
        <f t="shared" si="0"/>
        <v>17.449226104166666</v>
      </c>
      <c r="H31" s="114">
        <v>1222.5</v>
      </c>
      <c r="I31" s="34">
        <v>311.77859999999998</v>
      </c>
      <c r="J31" s="111">
        <v>107.0565</v>
      </c>
      <c r="K31" s="30">
        <v>41</v>
      </c>
      <c r="L31" s="110">
        <f t="shared" si="1"/>
        <v>28.038918333333335</v>
      </c>
      <c r="M31" s="114">
        <v>878.24507904000041</v>
      </c>
      <c r="N31" s="34">
        <v>153.5</v>
      </c>
      <c r="O31" s="108">
        <v>66.846184821875013</v>
      </c>
      <c r="P31" s="109">
        <v>39</v>
      </c>
      <c r="Q31" s="110">
        <f t="shared" si="2"/>
        <v>18.959854397697924</v>
      </c>
      <c r="R31" s="114">
        <v>1655.5154189636332</v>
      </c>
      <c r="S31" s="34">
        <v>171.43356638250006</v>
      </c>
      <c r="T31" s="111">
        <v>130.18527753749999</v>
      </c>
      <c r="U31" s="112">
        <v>43</v>
      </c>
      <c r="V31" s="110">
        <f t="shared" si="3"/>
        <v>33.335571048060551</v>
      </c>
      <c r="W31" s="18"/>
      <c r="X31" s="140"/>
      <c r="Y31" s="148" t="s">
        <v>25</v>
      </c>
      <c r="Z31" s="149"/>
      <c r="AA31" s="150"/>
      <c r="AB31" s="85">
        <f>MIN(D4:D63)</f>
        <v>221.89999999999998</v>
      </c>
      <c r="AC31" s="85">
        <f>MIN(I4:I63)</f>
        <v>251</v>
      </c>
      <c r="AD31" s="85">
        <f>MIN(N4:N63)</f>
        <v>119.6</v>
      </c>
      <c r="AE31" s="85">
        <f>MIN(S4:S63)</f>
        <v>150.55935043518002</v>
      </c>
      <c r="AF31" s="13"/>
    </row>
    <row r="32" spans="1:32">
      <c r="A32" s="161"/>
      <c r="B32" s="113">
        <v>29</v>
      </c>
      <c r="C32" s="107">
        <v>970.1</v>
      </c>
      <c r="D32" s="34">
        <v>308.10000000000002</v>
      </c>
      <c r="E32" s="108">
        <v>75.448999999999998</v>
      </c>
      <c r="F32" s="109">
        <v>40</v>
      </c>
      <c r="G32" s="110">
        <f t="shared" si="0"/>
        <v>23.227483333333335</v>
      </c>
      <c r="H32" s="114">
        <v>2232.8000000000002</v>
      </c>
      <c r="I32" s="34">
        <v>495.99689999999993</v>
      </c>
      <c r="J32" s="111">
        <v>268.55947500000002</v>
      </c>
      <c r="K32" s="30">
        <v>35</v>
      </c>
      <c r="L32" s="110">
        <f t="shared" si="1"/>
        <v>50.539272916666668</v>
      </c>
      <c r="M32" s="114">
        <v>1141.8619929855472</v>
      </c>
      <c r="N32" s="34">
        <v>229.1</v>
      </c>
      <c r="O32" s="108">
        <v>125.67513699062501</v>
      </c>
      <c r="P32" s="109">
        <v>43</v>
      </c>
      <c r="Q32" s="110">
        <f t="shared" si="2"/>
        <v>25.660618832936205</v>
      </c>
      <c r="R32" s="114">
        <v>2683.6</v>
      </c>
      <c r="S32" s="34">
        <v>150.55935043518002</v>
      </c>
      <c r="T32" s="111">
        <v>132.49898971249996</v>
      </c>
      <c r="U32" s="112">
        <v>51</v>
      </c>
      <c r="V32" s="110">
        <f t="shared" si="3"/>
        <v>50.294305669128001</v>
      </c>
      <c r="W32" s="18"/>
      <c r="X32" s="140"/>
      <c r="Y32" s="148" t="s">
        <v>26</v>
      </c>
      <c r="Z32" s="149"/>
      <c r="AA32" s="150"/>
      <c r="AB32" s="85">
        <f>MAX(D4:D63)</f>
        <v>513.5</v>
      </c>
      <c r="AC32" s="85">
        <f>MAX(I4:I63)</f>
        <v>735.63249999999994</v>
      </c>
      <c r="AD32" s="85">
        <f>MAX(N4:N63)</f>
        <v>369.3</v>
      </c>
      <c r="AE32" s="85">
        <f>MAX(S4:S63)</f>
        <v>498</v>
      </c>
      <c r="AF32" s="13"/>
    </row>
    <row r="33" spans="1:32" ht="16.149999999999999" thickBot="1">
      <c r="A33" s="162"/>
      <c r="B33" s="115">
        <v>30</v>
      </c>
      <c r="C33" s="116">
        <v>765.1</v>
      </c>
      <c r="D33" s="117">
        <v>306.89999999999998</v>
      </c>
      <c r="E33" s="118">
        <v>77.7</v>
      </c>
      <c r="F33" s="119">
        <v>31</v>
      </c>
      <c r="G33" s="120">
        <f t="shared" si="0"/>
        <v>19.678333333333335</v>
      </c>
      <c r="H33" s="121">
        <v>2382.0898500000003</v>
      </c>
      <c r="I33" s="117">
        <v>306.34222499999998</v>
      </c>
      <c r="J33" s="122">
        <v>178.99792500000001</v>
      </c>
      <c r="K33" s="82">
        <v>51</v>
      </c>
      <c r="L33" s="120">
        <f t="shared" si="1"/>
        <v>48.640500000000003</v>
      </c>
      <c r="M33" s="121">
        <v>671.77788378454716</v>
      </c>
      <c r="N33" s="117">
        <v>369.3</v>
      </c>
      <c r="O33" s="118">
        <v>87.065282750000009</v>
      </c>
      <c r="P33" s="119">
        <v>45</v>
      </c>
      <c r="Q33" s="120">
        <f t="shared" si="2"/>
        <v>19.552386108909118</v>
      </c>
      <c r="R33" s="121">
        <v>2399.1999999999998</v>
      </c>
      <c r="S33" s="117">
        <v>163.76264070030004</v>
      </c>
      <c r="T33" s="122">
        <v>185.65407484062496</v>
      </c>
      <c r="U33" s="123">
        <v>42</v>
      </c>
      <c r="V33" s="120">
        <f t="shared" si="3"/>
        <v>46.510278592348747</v>
      </c>
      <c r="W33" s="18"/>
      <c r="X33" s="140"/>
      <c r="Y33" s="133" t="s">
        <v>27</v>
      </c>
      <c r="Z33" s="134"/>
      <c r="AA33" s="135"/>
      <c r="AB33" s="85">
        <f>AB32-AB31</f>
        <v>291.60000000000002</v>
      </c>
      <c r="AC33" s="85">
        <f t="shared" ref="AC33:AE33" si="8">AC32-AC31</f>
        <v>484.63249999999994</v>
      </c>
      <c r="AD33" s="85">
        <f t="shared" si="8"/>
        <v>249.70000000000002</v>
      </c>
      <c r="AE33" s="85">
        <f t="shared" si="8"/>
        <v>347.44064956481998</v>
      </c>
      <c r="AF33" s="13"/>
    </row>
    <row r="34" spans="1:32">
      <c r="A34" s="139" t="s">
        <v>34</v>
      </c>
      <c r="B34" s="124">
        <v>31</v>
      </c>
      <c r="C34" s="79">
        <v>679</v>
      </c>
      <c r="D34" s="80">
        <v>398</v>
      </c>
      <c r="E34" s="80">
        <v>90</v>
      </c>
      <c r="F34" s="80">
        <v>33</v>
      </c>
      <c r="G34" s="125">
        <f>SUM(C34:F34)/60</f>
        <v>20</v>
      </c>
      <c r="H34" s="79">
        <v>1839</v>
      </c>
      <c r="I34" s="80">
        <v>474</v>
      </c>
      <c r="J34" s="80">
        <v>166</v>
      </c>
      <c r="K34" s="80">
        <v>25</v>
      </c>
      <c r="L34" s="125">
        <f>SUM(H34:K34)/60</f>
        <v>41.733333333333334</v>
      </c>
      <c r="M34" s="79">
        <v>920</v>
      </c>
      <c r="N34" s="80">
        <v>201</v>
      </c>
      <c r="O34" s="80">
        <v>80</v>
      </c>
      <c r="P34" s="80">
        <v>33</v>
      </c>
      <c r="Q34" s="126">
        <f>SUM(M34:P34)/60</f>
        <v>20.566666666666666</v>
      </c>
      <c r="R34" s="79">
        <v>1746</v>
      </c>
      <c r="S34" s="80">
        <v>386</v>
      </c>
      <c r="T34" s="80">
        <v>167</v>
      </c>
      <c r="U34" s="80">
        <v>48</v>
      </c>
      <c r="V34" s="126">
        <f>SUM(R34:U34)/60</f>
        <v>39.116666666666667</v>
      </c>
      <c r="X34" s="140"/>
      <c r="Y34" s="145" t="s">
        <v>28</v>
      </c>
      <c r="Z34" s="146"/>
      <c r="AA34" s="147"/>
      <c r="AB34" s="86">
        <v>0.1</v>
      </c>
      <c r="AC34" s="86">
        <v>0.1</v>
      </c>
      <c r="AD34" s="86">
        <v>0.1</v>
      </c>
      <c r="AE34" s="87">
        <v>0.1</v>
      </c>
      <c r="AF34" s="13"/>
    </row>
    <row r="35" spans="1:32">
      <c r="A35" s="140"/>
      <c r="B35" s="113">
        <v>32</v>
      </c>
      <c r="C35" s="83">
        <v>828</v>
      </c>
      <c r="D35" s="30">
        <v>305</v>
      </c>
      <c r="E35" s="30">
        <v>98</v>
      </c>
      <c r="F35" s="30">
        <v>42</v>
      </c>
      <c r="G35" s="127">
        <f>SUM(C35:F35)/60</f>
        <v>21.216666666666665</v>
      </c>
      <c r="H35" s="83">
        <v>1631</v>
      </c>
      <c r="I35" s="30">
        <v>299</v>
      </c>
      <c r="J35" s="30">
        <v>217</v>
      </c>
      <c r="K35" s="30">
        <v>33</v>
      </c>
      <c r="L35" s="127">
        <f>SUM(H35:K35)/60</f>
        <v>36.333333333333336</v>
      </c>
      <c r="M35" s="83">
        <v>899</v>
      </c>
      <c r="N35" s="30">
        <v>224</v>
      </c>
      <c r="O35" s="30">
        <v>92</v>
      </c>
      <c r="P35" s="30">
        <v>25</v>
      </c>
      <c r="Q35" s="127">
        <f>SUM(M35:P35)/60</f>
        <v>20.666666666666668</v>
      </c>
      <c r="R35" s="83">
        <v>1518</v>
      </c>
      <c r="S35" s="30">
        <v>420</v>
      </c>
      <c r="T35" s="30">
        <v>185</v>
      </c>
      <c r="U35" s="30">
        <v>56</v>
      </c>
      <c r="V35" s="127">
        <f>SUM(R35:U35)/60</f>
        <v>36.31666666666667</v>
      </c>
      <c r="W35" s="12"/>
      <c r="X35" s="140"/>
      <c r="Y35" s="148" t="s">
        <v>29</v>
      </c>
      <c r="Z35" s="149"/>
      <c r="AA35" s="150"/>
      <c r="AB35" s="88">
        <v>0.95</v>
      </c>
      <c r="AC35" s="88">
        <v>0.95</v>
      </c>
      <c r="AD35" s="88">
        <v>0.95</v>
      </c>
      <c r="AE35" s="89">
        <v>0.95</v>
      </c>
      <c r="AF35" s="13"/>
    </row>
    <row r="36" spans="1:32" ht="16.149999999999999" thickBot="1">
      <c r="A36" s="140"/>
      <c r="B36" s="115">
        <v>33</v>
      </c>
      <c r="C36" s="83">
        <v>837</v>
      </c>
      <c r="D36" s="30">
        <v>339</v>
      </c>
      <c r="E36" s="30">
        <v>71</v>
      </c>
      <c r="F36" s="30">
        <v>33</v>
      </c>
      <c r="G36" s="127">
        <f t="shared" ref="G36:G63" si="9">SUM(C36:F36)/60</f>
        <v>21.333333333333332</v>
      </c>
      <c r="H36" s="83">
        <v>1830</v>
      </c>
      <c r="I36" s="30">
        <v>460</v>
      </c>
      <c r="J36" s="30">
        <v>223</v>
      </c>
      <c r="K36" s="30">
        <v>50</v>
      </c>
      <c r="L36" s="127">
        <f t="shared" ref="L36:L63" si="10">SUM(H36:K36)/60</f>
        <v>42.716666666666669</v>
      </c>
      <c r="M36" s="83">
        <v>865</v>
      </c>
      <c r="N36" s="30">
        <v>248</v>
      </c>
      <c r="O36" s="30">
        <v>73</v>
      </c>
      <c r="P36" s="30">
        <v>67</v>
      </c>
      <c r="Q36" s="127">
        <f t="shared" ref="Q36:Q63" si="11">SUM(M36:P36)/60</f>
        <v>20.883333333333333</v>
      </c>
      <c r="R36" s="83">
        <v>1971</v>
      </c>
      <c r="S36" s="30">
        <v>361</v>
      </c>
      <c r="T36" s="30">
        <v>172</v>
      </c>
      <c r="U36" s="30">
        <v>54</v>
      </c>
      <c r="V36" s="127">
        <f t="shared" ref="V36:V63" si="12">SUM(R36:U36)/60</f>
        <v>42.633333333333333</v>
      </c>
      <c r="W36" s="18"/>
      <c r="X36" s="140"/>
      <c r="Y36" s="133" t="s">
        <v>30</v>
      </c>
      <c r="Z36" s="134"/>
      <c r="AA36" s="135"/>
      <c r="AB36" s="90">
        <v>2.0449999999999999</v>
      </c>
      <c r="AC36" s="90">
        <v>2.0449999999999999</v>
      </c>
      <c r="AD36" s="90">
        <v>2.0449999999999999</v>
      </c>
      <c r="AE36" s="91">
        <v>2.0449999999999999</v>
      </c>
      <c r="AF36" s="13"/>
    </row>
    <row r="37" spans="1:32" ht="16.149999999999999" thickBot="1">
      <c r="A37" s="140"/>
      <c r="B37" s="113">
        <v>34</v>
      </c>
      <c r="C37" s="83">
        <v>824</v>
      </c>
      <c r="D37" s="30">
        <v>378</v>
      </c>
      <c r="E37" s="30">
        <v>79</v>
      </c>
      <c r="F37" s="30">
        <v>40</v>
      </c>
      <c r="G37" s="127">
        <f t="shared" si="9"/>
        <v>22.016666666666666</v>
      </c>
      <c r="H37" s="83">
        <v>1989</v>
      </c>
      <c r="I37" s="30">
        <v>251</v>
      </c>
      <c r="J37" s="30">
        <v>168</v>
      </c>
      <c r="K37" s="30">
        <v>57</v>
      </c>
      <c r="L37" s="127">
        <f t="shared" si="10"/>
        <v>41.083333333333336</v>
      </c>
      <c r="M37" s="83">
        <v>915</v>
      </c>
      <c r="N37" s="30">
        <v>225</v>
      </c>
      <c r="O37" s="30">
        <v>69</v>
      </c>
      <c r="P37" s="30">
        <v>54</v>
      </c>
      <c r="Q37" s="127">
        <f t="shared" si="11"/>
        <v>21.05</v>
      </c>
      <c r="R37" s="83">
        <v>1692</v>
      </c>
      <c r="S37" s="30">
        <v>295</v>
      </c>
      <c r="T37" s="30">
        <v>218</v>
      </c>
      <c r="U37" s="30">
        <v>52</v>
      </c>
      <c r="V37" s="127">
        <f t="shared" si="12"/>
        <v>37.616666666666667</v>
      </c>
      <c r="W37" s="18"/>
      <c r="X37" s="141"/>
      <c r="Y37" s="136" t="s">
        <v>31</v>
      </c>
      <c r="Z37" s="137"/>
      <c r="AA37" s="138"/>
      <c r="AB37" s="92">
        <f>((AB30*2.228)/(AB29*0.1))^2</f>
        <v>15.402322088878778</v>
      </c>
      <c r="AC37" s="92">
        <f t="shared" ref="AC37:AE37" si="13">((AC30*2.228)/(AC29*0.1))^2</f>
        <v>35.581105009461403</v>
      </c>
      <c r="AD37" s="92">
        <f t="shared" si="13"/>
        <v>22.808266589969456</v>
      </c>
      <c r="AE37" s="92">
        <f t="shared" si="13"/>
        <v>37.748836535575236</v>
      </c>
      <c r="AF37" s="13"/>
    </row>
    <row r="38" spans="1:32" ht="16.149999999999999" thickBot="1">
      <c r="A38" s="140"/>
      <c r="B38" s="113">
        <v>35</v>
      </c>
      <c r="C38" s="83">
        <v>746</v>
      </c>
      <c r="D38" s="30">
        <v>349</v>
      </c>
      <c r="E38" s="30">
        <v>66</v>
      </c>
      <c r="F38" s="30">
        <v>70</v>
      </c>
      <c r="G38" s="127">
        <f t="shared" si="9"/>
        <v>20.516666666666666</v>
      </c>
      <c r="H38" s="83">
        <v>1595</v>
      </c>
      <c r="I38" s="30">
        <v>277</v>
      </c>
      <c r="J38" s="30">
        <v>180</v>
      </c>
      <c r="K38" s="30">
        <v>36</v>
      </c>
      <c r="L38" s="127">
        <f t="shared" si="10"/>
        <v>34.799999999999997</v>
      </c>
      <c r="M38" s="83">
        <v>933</v>
      </c>
      <c r="N38" s="30">
        <v>233</v>
      </c>
      <c r="O38" s="30">
        <v>53</v>
      </c>
      <c r="P38" s="30">
        <v>66</v>
      </c>
      <c r="Q38" s="127">
        <f t="shared" si="11"/>
        <v>21.416666666666668</v>
      </c>
      <c r="R38" s="83">
        <v>1753</v>
      </c>
      <c r="S38" s="30">
        <v>498</v>
      </c>
      <c r="T38" s="30">
        <v>218</v>
      </c>
      <c r="U38" s="30">
        <v>20</v>
      </c>
      <c r="V38" s="127">
        <f t="shared" si="12"/>
        <v>41.483333333333334</v>
      </c>
      <c r="W38" s="12"/>
      <c r="X38" s="96"/>
      <c r="Y38" s="13"/>
      <c r="Z38" s="13"/>
      <c r="AA38" s="13"/>
      <c r="AB38" s="13"/>
      <c r="AC38" s="13"/>
      <c r="AD38" s="13"/>
      <c r="AE38" s="13"/>
      <c r="AF38" s="13"/>
    </row>
    <row r="39" spans="1:32" ht="16.149999999999999" thickBot="1">
      <c r="A39" s="140"/>
      <c r="B39" s="115">
        <v>36</v>
      </c>
      <c r="C39" s="83">
        <v>823</v>
      </c>
      <c r="D39" s="30">
        <v>395</v>
      </c>
      <c r="E39" s="30">
        <v>70</v>
      </c>
      <c r="F39" s="30">
        <v>24</v>
      </c>
      <c r="G39" s="127">
        <f t="shared" si="9"/>
        <v>21.866666666666667</v>
      </c>
      <c r="H39" s="83">
        <v>1620</v>
      </c>
      <c r="I39" s="30">
        <v>372</v>
      </c>
      <c r="J39" s="30">
        <v>196</v>
      </c>
      <c r="K39" s="30">
        <v>20</v>
      </c>
      <c r="L39" s="127">
        <f t="shared" si="10"/>
        <v>36.799999999999997</v>
      </c>
      <c r="M39" s="83">
        <v>928</v>
      </c>
      <c r="N39" s="30">
        <v>245</v>
      </c>
      <c r="O39" s="30">
        <v>99</v>
      </c>
      <c r="P39" s="30">
        <v>66</v>
      </c>
      <c r="Q39" s="127">
        <f t="shared" si="11"/>
        <v>22.3</v>
      </c>
      <c r="R39" s="83">
        <v>1958</v>
      </c>
      <c r="S39" s="30">
        <v>283</v>
      </c>
      <c r="T39" s="30">
        <v>151</v>
      </c>
      <c r="U39" s="30">
        <v>54</v>
      </c>
      <c r="V39" s="127">
        <f t="shared" si="12"/>
        <v>40.766666666666666</v>
      </c>
      <c r="W39" s="12"/>
      <c r="X39" s="139" t="s">
        <v>35</v>
      </c>
      <c r="Y39" s="136" t="s">
        <v>16</v>
      </c>
      <c r="Z39" s="137"/>
      <c r="AA39" s="138"/>
      <c r="AB39" s="24" t="s">
        <v>17</v>
      </c>
      <c r="AC39" s="25" t="s">
        <v>18</v>
      </c>
      <c r="AD39" s="25" t="s">
        <v>19</v>
      </c>
      <c r="AE39" s="26" t="s">
        <v>20</v>
      </c>
      <c r="AF39" s="13"/>
    </row>
    <row r="40" spans="1:32">
      <c r="A40" s="140"/>
      <c r="B40" s="113">
        <v>37</v>
      </c>
      <c r="C40" s="83">
        <v>737</v>
      </c>
      <c r="D40" s="30">
        <v>314</v>
      </c>
      <c r="E40" s="30">
        <v>52</v>
      </c>
      <c r="F40" s="30">
        <v>28</v>
      </c>
      <c r="G40" s="127">
        <f t="shared" si="9"/>
        <v>18.850000000000001</v>
      </c>
      <c r="H40" s="83">
        <v>1876</v>
      </c>
      <c r="I40" s="30">
        <v>350</v>
      </c>
      <c r="J40" s="30">
        <v>195</v>
      </c>
      <c r="K40" s="30">
        <v>58</v>
      </c>
      <c r="L40" s="127">
        <f t="shared" si="10"/>
        <v>41.31666666666667</v>
      </c>
      <c r="M40" s="83">
        <v>948</v>
      </c>
      <c r="N40" s="30">
        <v>231</v>
      </c>
      <c r="O40" s="30">
        <v>67</v>
      </c>
      <c r="P40" s="30">
        <v>33</v>
      </c>
      <c r="Q40" s="127">
        <f t="shared" si="11"/>
        <v>21.316666666666666</v>
      </c>
      <c r="R40" s="83">
        <v>1981</v>
      </c>
      <c r="S40" s="30">
        <v>342</v>
      </c>
      <c r="T40" s="30">
        <v>157</v>
      </c>
      <c r="U40" s="30">
        <v>29</v>
      </c>
      <c r="V40" s="127">
        <f t="shared" si="12"/>
        <v>41.81666666666667</v>
      </c>
      <c r="W40" s="18"/>
      <c r="X40" s="140"/>
      <c r="Y40" s="145" t="s">
        <v>22</v>
      </c>
      <c r="Z40" s="146"/>
      <c r="AA40" s="147"/>
      <c r="AB40" s="84">
        <v>60</v>
      </c>
      <c r="AC40" s="84">
        <v>60</v>
      </c>
      <c r="AD40" s="84">
        <v>60</v>
      </c>
      <c r="AE40" s="84">
        <v>60</v>
      </c>
      <c r="AF40" s="13"/>
    </row>
    <row r="41" spans="1:32">
      <c r="A41" s="140"/>
      <c r="B41" s="113">
        <v>38</v>
      </c>
      <c r="C41" s="83">
        <v>759</v>
      </c>
      <c r="D41" s="30">
        <v>396</v>
      </c>
      <c r="E41" s="30">
        <v>80</v>
      </c>
      <c r="F41" s="30">
        <v>61</v>
      </c>
      <c r="G41" s="127">
        <f t="shared" si="9"/>
        <v>21.6</v>
      </c>
      <c r="H41" s="83">
        <v>1729</v>
      </c>
      <c r="I41" s="30">
        <v>430</v>
      </c>
      <c r="J41" s="30">
        <v>225</v>
      </c>
      <c r="K41" s="30">
        <v>61</v>
      </c>
      <c r="L41" s="127">
        <f t="shared" si="10"/>
        <v>40.75</v>
      </c>
      <c r="M41" s="83">
        <v>866</v>
      </c>
      <c r="N41" s="30">
        <v>224</v>
      </c>
      <c r="O41" s="30">
        <v>67</v>
      </c>
      <c r="P41" s="30">
        <v>39</v>
      </c>
      <c r="Q41" s="127">
        <f t="shared" si="11"/>
        <v>19.933333333333334</v>
      </c>
      <c r="R41" s="83">
        <v>1621</v>
      </c>
      <c r="S41" s="30">
        <v>258</v>
      </c>
      <c r="T41" s="30">
        <v>152</v>
      </c>
      <c r="U41" s="30">
        <v>44</v>
      </c>
      <c r="V41" s="127">
        <f t="shared" si="12"/>
        <v>34.583333333333336</v>
      </c>
      <c r="W41" s="18"/>
      <c r="X41" s="140"/>
      <c r="Y41" s="148" t="s">
        <v>23</v>
      </c>
      <c r="Z41" s="149"/>
      <c r="AA41" s="150"/>
      <c r="AB41" s="85">
        <f>AVERAGE(E4:E63)</f>
        <v>78.956474999999998</v>
      </c>
      <c r="AC41" s="85">
        <f>AVERAGE(J4:J63)</f>
        <v>184.99272458333331</v>
      </c>
      <c r="AD41" s="85">
        <f>AVERAGE(O4:O63)</f>
        <v>81.911960811562494</v>
      </c>
      <c r="AE41" s="85">
        <f>AVERAGE(T4:T63)</f>
        <v>188.75385820359375</v>
      </c>
      <c r="AF41" s="13"/>
    </row>
    <row r="42" spans="1:32">
      <c r="A42" s="140"/>
      <c r="B42" s="115">
        <v>39</v>
      </c>
      <c r="C42" s="83">
        <v>822</v>
      </c>
      <c r="D42" s="30">
        <v>384</v>
      </c>
      <c r="E42" s="30">
        <v>73</v>
      </c>
      <c r="F42" s="30">
        <v>54</v>
      </c>
      <c r="G42" s="127">
        <f t="shared" si="9"/>
        <v>22.216666666666665</v>
      </c>
      <c r="H42" s="83">
        <v>1546</v>
      </c>
      <c r="I42" s="30">
        <v>451</v>
      </c>
      <c r="J42" s="30">
        <v>199</v>
      </c>
      <c r="K42" s="30">
        <v>61</v>
      </c>
      <c r="L42" s="127">
        <f t="shared" si="10"/>
        <v>37.616666666666667</v>
      </c>
      <c r="M42" s="83">
        <v>856</v>
      </c>
      <c r="N42" s="30">
        <v>226</v>
      </c>
      <c r="O42" s="30">
        <v>69</v>
      </c>
      <c r="P42" s="30">
        <v>48</v>
      </c>
      <c r="Q42" s="127">
        <f t="shared" si="11"/>
        <v>19.983333333333334</v>
      </c>
      <c r="R42" s="83">
        <v>1596</v>
      </c>
      <c r="S42" s="30">
        <v>392</v>
      </c>
      <c r="T42" s="30">
        <v>155</v>
      </c>
      <c r="U42" s="30">
        <v>35</v>
      </c>
      <c r="V42" s="127">
        <f t="shared" si="12"/>
        <v>36.299999999999997</v>
      </c>
      <c r="W42" s="18"/>
      <c r="X42" s="140"/>
      <c r="Y42" s="148" t="s">
        <v>24</v>
      </c>
      <c r="Z42" s="149"/>
      <c r="AA42" s="150"/>
      <c r="AB42" s="95">
        <f>_xlfn.STDEV.P(E4:E63)</f>
        <v>16.467745693583659</v>
      </c>
      <c r="AC42" s="95">
        <f>_xlfn.STDEV.P(J4:J63)</f>
        <v>39.138938045600803</v>
      </c>
      <c r="AD42" s="95">
        <f>_xlfn.STDEV.P(O4:O63)</f>
        <v>17.778387810046873</v>
      </c>
      <c r="AE42" s="95">
        <f>_xlfn.STDEV.P(T4:T63)</f>
        <v>35.905834956340492</v>
      </c>
      <c r="AF42" s="13"/>
    </row>
    <row r="43" spans="1:32">
      <c r="A43" s="140"/>
      <c r="B43" s="113">
        <v>40</v>
      </c>
      <c r="C43" s="83">
        <v>712</v>
      </c>
      <c r="D43" s="30">
        <v>329</v>
      </c>
      <c r="E43" s="30">
        <v>58</v>
      </c>
      <c r="F43" s="30">
        <v>64</v>
      </c>
      <c r="G43" s="127">
        <f t="shared" si="9"/>
        <v>19.383333333333333</v>
      </c>
      <c r="H43" s="83">
        <v>1891</v>
      </c>
      <c r="I43" s="30">
        <v>361</v>
      </c>
      <c r="J43" s="30">
        <v>204</v>
      </c>
      <c r="K43" s="30">
        <v>62</v>
      </c>
      <c r="L43" s="127">
        <f t="shared" si="10"/>
        <v>41.966666666666669</v>
      </c>
      <c r="M43" s="83">
        <v>873</v>
      </c>
      <c r="N43" s="30">
        <v>224</v>
      </c>
      <c r="O43" s="30">
        <v>86</v>
      </c>
      <c r="P43" s="30">
        <v>31</v>
      </c>
      <c r="Q43" s="127">
        <f t="shared" si="11"/>
        <v>20.233333333333334</v>
      </c>
      <c r="R43" s="83">
        <v>1770</v>
      </c>
      <c r="S43" s="30">
        <v>368</v>
      </c>
      <c r="T43" s="30">
        <v>220</v>
      </c>
      <c r="U43" s="30">
        <v>49</v>
      </c>
      <c r="V43" s="127">
        <f t="shared" si="12"/>
        <v>40.116666666666667</v>
      </c>
      <c r="W43" s="18"/>
      <c r="X43" s="140"/>
      <c r="Y43" s="148" t="s">
        <v>25</v>
      </c>
      <c r="Z43" s="149"/>
      <c r="AA43" s="150"/>
      <c r="AB43" s="85">
        <f>MIN(E4:E63)</f>
        <v>52</v>
      </c>
      <c r="AC43" s="85">
        <f>MIN(J4:J63)</f>
        <v>101.41</v>
      </c>
      <c r="AD43" s="85">
        <f>MIN(O4:O63)</f>
        <v>53</v>
      </c>
      <c r="AE43" s="85">
        <f>MIN(T4:T63)</f>
        <v>129.48591674999997</v>
      </c>
      <c r="AF43" s="13"/>
    </row>
    <row r="44" spans="1:32">
      <c r="A44" s="140"/>
      <c r="B44" s="113">
        <v>41</v>
      </c>
      <c r="C44" s="83">
        <v>743</v>
      </c>
      <c r="D44" s="30">
        <v>359</v>
      </c>
      <c r="E44" s="30">
        <v>54</v>
      </c>
      <c r="F44" s="30">
        <v>39</v>
      </c>
      <c r="G44" s="127">
        <f t="shared" si="9"/>
        <v>19.916666666666668</v>
      </c>
      <c r="H44" s="83">
        <v>1540</v>
      </c>
      <c r="I44" s="30">
        <v>279</v>
      </c>
      <c r="J44" s="30">
        <v>172</v>
      </c>
      <c r="K44" s="30">
        <v>24</v>
      </c>
      <c r="L44" s="127">
        <f t="shared" si="10"/>
        <v>33.583333333333336</v>
      </c>
      <c r="M44" s="83">
        <v>851</v>
      </c>
      <c r="N44" s="30">
        <v>242</v>
      </c>
      <c r="O44" s="30">
        <v>93</v>
      </c>
      <c r="P44" s="30">
        <v>40</v>
      </c>
      <c r="Q44" s="127">
        <f t="shared" si="11"/>
        <v>20.433333333333334</v>
      </c>
      <c r="R44" s="83">
        <v>1782</v>
      </c>
      <c r="S44" s="30">
        <v>422</v>
      </c>
      <c r="T44" s="30">
        <v>221</v>
      </c>
      <c r="U44" s="30">
        <v>46</v>
      </c>
      <c r="V44" s="127">
        <f t="shared" si="12"/>
        <v>41.18333333333333</v>
      </c>
      <c r="W44" s="18"/>
      <c r="X44" s="140"/>
      <c r="Y44" s="148" t="s">
        <v>26</v>
      </c>
      <c r="Z44" s="149"/>
      <c r="AA44" s="150"/>
      <c r="AB44" s="85">
        <f>MAX(E4:E63)</f>
        <v>123.56399999999999</v>
      </c>
      <c r="AC44" s="85">
        <f>MAX(J4:J63)</f>
        <v>268.55947500000002</v>
      </c>
      <c r="AD44" s="85">
        <f>MAX(O4:O63)</f>
        <v>133.49744625</v>
      </c>
      <c r="AE44" s="85">
        <f>MAX(T4:T63)</f>
        <v>275.85750000000002</v>
      </c>
      <c r="AF44" s="13"/>
    </row>
    <row r="45" spans="1:32" ht="16.149999999999999" thickBot="1">
      <c r="A45" s="140"/>
      <c r="B45" s="115">
        <v>42</v>
      </c>
      <c r="C45" s="83">
        <v>747</v>
      </c>
      <c r="D45" s="30">
        <v>361</v>
      </c>
      <c r="E45" s="30">
        <v>89</v>
      </c>
      <c r="F45" s="30">
        <v>31</v>
      </c>
      <c r="G45" s="127">
        <f t="shared" si="9"/>
        <v>20.466666666666665</v>
      </c>
      <c r="H45" s="83">
        <v>1750</v>
      </c>
      <c r="I45" s="30">
        <v>388</v>
      </c>
      <c r="J45" s="30">
        <v>220</v>
      </c>
      <c r="K45" s="30">
        <v>58</v>
      </c>
      <c r="L45" s="127">
        <f t="shared" si="10"/>
        <v>40.266666666666666</v>
      </c>
      <c r="M45" s="83">
        <v>904</v>
      </c>
      <c r="N45" s="30">
        <v>212</v>
      </c>
      <c r="O45" s="30">
        <v>90</v>
      </c>
      <c r="P45" s="30">
        <v>65</v>
      </c>
      <c r="Q45" s="127">
        <f t="shared" si="11"/>
        <v>21.183333333333334</v>
      </c>
      <c r="R45" s="83">
        <v>1683</v>
      </c>
      <c r="S45" s="30">
        <v>319</v>
      </c>
      <c r="T45" s="30">
        <v>185</v>
      </c>
      <c r="U45" s="30">
        <v>53</v>
      </c>
      <c r="V45" s="127">
        <f t="shared" si="12"/>
        <v>37.333333333333336</v>
      </c>
      <c r="W45" s="18"/>
      <c r="X45" s="140"/>
      <c r="Y45" s="133" t="s">
        <v>27</v>
      </c>
      <c r="Z45" s="134"/>
      <c r="AA45" s="135"/>
      <c r="AB45" s="85">
        <f>AB44-AB43</f>
        <v>71.563999999999993</v>
      </c>
      <c r="AC45" s="85">
        <f t="shared" ref="AC45:AE45" si="14">AC44-AC43</f>
        <v>167.14947500000002</v>
      </c>
      <c r="AD45" s="85">
        <f t="shared" si="14"/>
        <v>80.497446249999996</v>
      </c>
      <c r="AE45" s="85">
        <f t="shared" si="14"/>
        <v>146.37158325000004</v>
      </c>
      <c r="AF45" s="13"/>
    </row>
    <row r="46" spans="1:32">
      <c r="A46" s="140"/>
      <c r="B46" s="113">
        <v>43</v>
      </c>
      <c r="C46" s="83">
        <v>847</v>
      </c>
      <c r="D46" s="30">
        <v>354</v>
      </c>
      <c r="E46" s="30">
        <v>73</v>
      </c>
      <c r="F46" s="30">
        <v>41</v>
      </c>
      <c r="G46" s="127">
        <f t="shared" si="9"/>
        <v>21.916666666666668</v>
      </c>
      <c r="H46" s="83">
        <v>1847</v>
      </c>
      <c r="I46" s="30">
        <v>370</v>
      </c>
      <c r="J46" s="30">
        <v>210</v>
      </c>
      <c r="K46" s="30">
        <v>40</v>
      </c>
      <c r="L46" s="127">
        <f t="shared" si="10"/>
        <v>41.116666666666667</v>
      </c>
      <c r="M46" s="83">
        <v>928</v>
      </c>
      <c r="N46" s="30">
        <v>234</v>
      </c>
      <c r="O46" s="30">
        <v>59</v>
      </c>
      <c r="P46" s="30">
        <v>41</v>
      </c>
      <c r="Q46" s="127">
        <f t="shared" si="11"/>
        <v>21.033333333333335</v>
      </c>
      <c r="R46" s="83">
        <v>1606</v>
      </c>
      <c r="S46" s="30">
        <v>379</v>
      </c>
      <c r="T46" s="30">
        <v>200</v>
      </c>
      <c r="U46" s="30">
        <v>27</v>
      </c>
      <c r="V46" s="127">
        <f t="shared" si="12"/>
        <v>36.866666666666667</v>
      </c>
      <c r="W46" s="18"/>
      <c r="X46" s="140"/>
      <c r="Y46" s="145" t="s">
        <v>28</v>
      </c>
      <c r="Z46" s="146"/>
      <c r="AA46" s="147"/>
      <c r="AB46" s="86">
        <v>0.1</v>
      </c>
      <c r="AC46" s="86">
        <v>0.1</v>
      </c>
      <c r="AD46" s="86">
        <v>0.1</v>
      </c>
      <c r="AE46" s="87">
        <v>0.1</v>
      </c>
      <c r="AF46" s="13"/>
    </row>
    <row r="47" spans="1:32">
      <c r="A47" s="140"/>
      <c r="B47" s="113">
        <v>44</v>
      </c>
      <c r="C47" s="83">
        <v>685</v>
      </c>
      <c r="D47" s="30">
        <v>326</v>
      </c>
      <c r="E47" s="30">
        <v>65</v>
      </c>
      <c r="F47" s="30">
        <v>21</v>
      </c>
      <c r="G47" s="127">
        <f t="shared" si="9"/>
        <v>18.283333333333335</v>
      </c>
      <c r="H47" s="83">
        <v>1940</v>
      </c>
      <c r="I47" s="30">
        <v>308</v>
      </c>
      <c r="J47" s="30">
        <v>210</v>
      </c>
      <c r="K47" s="30">
        <v>67</v>
      </c>
      <c r="L47" s="127">
        <f t="shared" si="10"/>
        <v>42.083333333333336</v>
      </c>
      <c r="M47" s="83">
        <v>882</v>
      </c>
      <c r="N47" s="30">
        <v>215</v>
      </c>
      <c r="O47" s="30">
        <v>100</v>
      </c>
      <c r="P47" s="30">
        <v>34</v>
      </c>
      <c r="Q47" s="127">
        <f t="shared" si="11"/>
        <v>20.516666666666666</v>
      </c>
      <c r="R47" s="83">
        <v>1935</v>
      </c>
      <c r="S47" s="30">
        <v>431</v>
      </c>
      <c r="T47" s="30">
        <v>177</v>
      </c>
      <c r="U47" s="30">
        <v>53</v>
      </c>
      <c r="V47" s="127">
        <f t="shared" si="12"/>
        <v>43.266666666666666</v>
      </c>
      <c r="W47" s="12"/>
      <c r="X47" s="140"/>
      <c r="Y47" s="148" t="s">
        <v>29</v>
      </c>
      <c r="Z47" s="149"/>
      <c r="AA47" s="150"/>
      <c r="AB47" s="88">
        <v>0.95</v>
      </c>
      <c r="AC47" s="88">
        <v>0.95</v>
      </c>
      <c r="AD47" s="88">
        <v>0.95</v>
      </c>
      <c r="AE47" s="89">
        <v>0.95</v>
      </c>
      <c r="AF47" s="13"/>
    </row>
    <row r="48" spans="1:32" ht="16.149999999999999" thickBot="1">
      <c r="A48" s="140"/>
      <c r="B48" s="115">
        <v>45</v>
      </c>
      <c r="C48" s="83">
        <v>801</v>
      </c>
      <c r="D48" s="30">
        <v>395</v>
      </c>
      <c r="E48" s="30">
        <v>94</v>
      </c>
      <c r="F48" s="30">
        <v>46</v>
      </c>
      <c r="G48" s="127">
        <f t="shared" si="9"/>
        <v>22.266666666666666</v>
      </c>
      <c r="H48" s="83">
        <v>1965</v>
      </c>
      <c r="I48" s="30">
        <v>294</v>
      </c>
      <c r="J48" s="30">
        <v>224</v>
      </c>
      <c r="K48" s="30">
        <v>65</v>
      </c>
      <c r="L48" s="127">
        <f t="shared" si="10"/>
        <v>42.466666666666669</v>
      </c>
      <c r="M48" s="83">
        <v>880</v>
      </c>
      <c r="N48" s="30">
        <v>217</v>
      </c>
      <c r="O48" s="30">
        <v>92</v>
      </c>
      <c r="P48" s="30">
        <v>55</v>
      </c>
      <c r="Q48" s="127">
        <f t="shared" si="11"/>
        <v>20.733333333333334</v>
      </c>
      <c r="R48" s="83">
        <v>1659</v>
      </c>
      <c r="S48" s="30">
        <v>336</v>
      </c>
      <c r="T48" s="30">
        <v>180</v>
      </c>
      <c r="U48" s="30">
        <v>42</v>
      </c>
      <c r="V48" s="127">
        <f t="shared" si="12"/>
        <v>36.950000000000003</v>
      </c>
      <c r="W48" s="12"/>
      <c r="X48" s="140"/>
      <c r="Y48" s="133" t="s">
        <v>30</v>
      </c>
      <c r="Z48" s="134"/>
      <c r="AA48" s="135"/>
      <c r="AB48" s="90">
        <v>2.0449999999999999</v>
      </c>
      <c r="AC48" s="90">
        <v>2.0449999999999999</v>
      </c>
      <c r="AD48" s="90">
        <v>2.0449999999999999</v>
      </c>
      <c r="AE48" s="91">
        <v>2.0449999999999999</v>
      </c>
      <c r="AF48" s="13"/>
    </row>
    <row r="49" spans="1:32" ht="16.149999999999999" thickBot="1">
      <c r="A49" s="140"/>
      <c r="B49" s="113">
        <v>46</v>
      </c>
      <c r="C49" s="83">
        <v>736</v>
      </c>
      <c r="D49" s="30">
        <v>303</v>
      </c>
      <c r="E49" s="30">
        <v>81</v>
      </c>
      <c r="F49" s="30">
        <v>45</v>
      </c>
      <c r="G49" s="127">
        <f t="shared" si="9"/>
        <v>19.416666666666668</v>
      </c>
      <c r="H49" s="83">
        <v>1661</v>
      </c>
      <c r="I49" s="30">
        <v>315</v>
      </c>
      <c r="J49" s="30">
        <v>151</v>
      </c>
      <c r="K49" s="30">
        <v>37</v>
      </c>
      <c r="L49" s="127">
        <f t="shared" si="10"/>
        <v>36.06666666666667</v>
      </c>
      <c r="M49" s="83">
        <v>871</v>
      </c>
      <c r="N49" s="30">
        <v>248</v>
      </c>
      <c r="O49" s="30">
        <v>97</v>
      </c>
      <c r="P49" s="30">
        <v>67</v>
      </c>
      <c r="Q49" s="127">
        <f t="shared" si="11"/>
        <v>21.383333333333333</v>
      </c>
      <c r="R49" s="83">
        <v>1715</v>
      </c>
      <c r="S49" s="30">
        <v>381</v>
      </c>
      <c r="T49" s="30">
        <v>195</v>
      </c>
      <c r="U49" s="30">
        <v>33</v>
      </c>
      <c r="V49" s="127">
        <f t="shared" si="12"/>
        <v>38.733333333333334</v>
      </c>
      <c r="W49" s="18"/>
      <c r="X49" s="141"/>
      <c r="Y49" s="136" t="s">
        <v>31</v>
      </c>
      <c r="Z49" s="137"/>
      <c r="AA49" s="138"/>
      <c r="AB49" s="92">
        <f>((AB42*2.228)/(AB41*0.1))^2</f>
        <v>21.593506623954017</v>
      </c>
      <c r="AC49" s="92">
        <f t="shared" ref="AC49:AE49" si="15">((AC42*2.228)/(AC41*0.1))^2</f>
        <v>22.219749120836589</v>
      </c>
      <c r="AD49" s="92">
        <f t="shared" si="15"/>
        <v>23.384090305788575</v>
      </c>
      <c r="AE49" s="92">
        <f t="shared" si="15"/>
        <v>17.962581783895015</v>
      </c>
      <c r="AF49" s="13"/>
    </row>
    <row r="50" spans="1:32" ht="16.149999999999999" thickBot="1">
      <c r="A50" s="140"/>
      <c r="B50" s="113">
        <v>47</v>
      </c>
      <c r="C50" s="83">
        <v>827</v>
      </c>
      <c r="D50" s="30">
        <v>366</v>
      </c>
      <c r="E50" s="30">
        <v>68</v>
      </c>
      <c r="F50" s="30">
        <v>44</v>
      </c>
      <c r="G50" s="127">
        <f t="shared" si="9"/>
        <v>21.75</v>
      </c>
      <c r="H50" s="83">
        <v>1852</v>
      </c>
      <c r="I50" s="30">
        <v>404</v>
      </c>
      <c r="J50" s="30">
        <v>192</v>
      </c>
      <c r="K50" s="30">
        <v>44</v>
      </c>
      <c r="L50" s="127">
        <f t="shared" si="10"/>
        <v>41.533333333333331</v>
      </c>
      <c r="M50" s="83">
        <v>871</v>
      </c>
      <c r="N50" s="30">
        <v>226</v>
      </c>
      <c r="O50" s="30">
        <v>80</v>
      </c>
      <c r="P50" s="30">
        <v>25</v>
      </c>
      <c r="Q50" s="127">
        <f t="shared" si="11"/>
        <v>20.033333333333335</v>
      </c>
      <c r="R50" s="83">
        <v>1612</v>
      </c>
      <c r="S50" s="30">
        <v>366</v>
      </c>
      <c r="T50" s="30">
        <v>158</v>
      </c>
      <c r="U50" s="30">
        <v>55</v>
      </c>
      <c r="V50" s="127">
        <f t="shared" si="12"/>
        <v>36.516666666666666</v>
      </c>
      <c r="W50" s="12"/>
      <c r="X50" s="96"/>
      <c r="Y50" s="13"/>
      <c r="Z50" s="13"/>
      <c r="AA50" s="13"/>
      <c r="AB50" s="13"/>
      <c r="AC50" s="13"/>
      <c r="AD50" s="13"/>
      <c r="AE50" s="13"/>
      <c r="AF50" s="13"/>
    </row>
    <row r="51" spans="1:32" ht="16.149999999999999" thickBot="1">
      <c r="A51" s="140"/>
      <c r="B51" s="115">
        <v>48</v>
      </c>
      <c r="C51" s="83">
        <v>843</v>
      </c>
      <c r="D51" s="30">
        <v>383</v>
      </c>
      <c r="E51" s="30">
        <v>86</v>
      </c>
      <c r="F51" s="30">
        <v>32</v>
      </c>
      <c r="G51" s="127">
        <f t="shared" si="9"/>
        <v>22.4</v>
      </c>
      <c r="H51" s="83">
        <v>1951</v>
      </c>
      <c r="I51" s="30">
        <v>313</v>
      </c>
      <c r="J51" s="30">
        <v>206</v>
      </c>
      <c r="K51" s="30">
        <v>30</v>
      </c>
      <c r="L51" s="127">
        <f t="shared" si="10"/>
        <v>41.666666666666664</v>
      </c>
      <c r="M51" s="83">
        <v>911</v>
      </c>
      <c r="N51" s="30">
        <v>236</v>
      </c>
      <c r="O51" s="30">
        <v>61</v>
      </c>
      <c r="P51" s="30">
        <v>46</v>
      </c>
      <c r="Q51" s="127">
        <f t="shared" si="11"/>
        <v>20.9</v>
      </c>
      <c r="R51" s="83">
        <v>1568</v>
      </c>
      <c r="S51" s="30">
        <v>250</v>
      </c>
      <c r="T51" s="30">
        <v>165</v>
      </c>
      <c r="U51" s="30">
        <v>64</v>
      </c>
      <c r="V51" s="127">
        <f t="shared" si="12"/>
        <v>34.116666666666667</v>
      </c>
      <c r="W51" s="12"/>
      <c r="X51" s="139" t="s">
        <v>36</v>
      </c>
      <c r="Y51" s="136" t="s">
        <v>16</v>
      </c>
      <c r="Z51" s="137"/>
      <c r="AA51" s="138"/>
      <c r="AB51" s="24" t="s">
        <v>17</v>
      </c>
      <c r="AC51" s="25" t="s">
        <v>18</v>
      </c>
      <c r="AD51" s="25" t="s">
        <v>19</v>
      </c>
      <c r="AE51" s="26" t="s">
        <v>20</v>
      </c>
      <c r="AF51" s="13"/>
    </row>
    <row r="52" spans="1:32">
      <c r="A52" s="140"/>
      <c r="B52" s="113">
        <v>49</v>
      </c>
      <c r="C52" s="83">
        <v>717</v>
      </c>
      <c r="D52" s="30">
        <v>320</v>
      </c>
      <c r="E52" s="30">
        <v>79</v>
      </c>
      <c r="F52" s="30">
        <v>46</v>
      </c>
      <c r="G52" s="127">
        <f t="shared" si="9"/>
        <v>19.366666666666667</v>
      </c>
      <c r="H52" s="83">
        <v>1855</v>
      </c>
      <c r="I52" s="30">
        <v>450</v>
      </c>
      <c r="J52" s="30">
        <v>171</v>
      </c>
      <c r="K52" s="30">
        <v>67</v>
      </c>
      <c r="L52" s="127">
        <f t="shared" si="10"/>
        <v>42.383333333333333</v>
      </c>
      <c r="M52" s="83">
        <v>923</v>
      </c>
      <c r="N52" s="30">
        <v>202</v>
      </c>
      <c r="O52" s="30">
        <v>89</v>
      </c>
      <c r="P52" s="30">
        <v>44</v>
      </c>
      <c r="Q52" s="127">
        <f t="shared" si="11"/>
        <v>20.966666666666665</v>
      </c>
      <c r="R52" s="83">
        <v>1685</v>
      </c>
      <c r="S52" s="30">
        <v>255</v>
      </c>
      <c r="T52" s="30">
        <v>215</v>
      </c>
      <c r="U52" s="30">
        <v>29</v>
      </c>
      <c r="V52" s="127">
        <f t="shared" si="12"/>
        <v>36.4</v>
      </c>
      <c r="W52" s="18"/>
      <c r="X52" s="140"/>
      <c r="Y52" s="145" t="s">
        <v>22</v>
      </c>
      <c r="Z52" s="146"/>
      <c r="AA52" s="147"/>
      <c r="AB52" s="84">
        <v>60</v>
      </c>
      <c r="AC52" s="84">
        <v>60</v>
      </c>
      <c r="AD52" s="84">
        <v>60</v>
      </c>
      <c r="AE52" s="84">
        <v>60</v>
      </c>
      <c r="AF52" s="13"/>
    </row>
    <row r="53" spans="1:32">
      <c r="A53" s="140"/>
      <c r="B53" s="113">
        <v>50</v>
      </c>
      <c r="C53" s="83">
        <v>839</v>
      </c>
      <c r="D53" s="30">
        <v>333</v>
      </c>
      <c r="E53" s="30">
        <v>82</v>
      </c>
      <c r="F53" s="30">
        <v>32</v>
      </c>
      <c r="G53" s="127">
        <f t="shared" si="9"/>
        <v>21.433333333333334</v>
      </c>
      <c r="H53" s="83">
        <v>1620</v>
      </c>
      <c r="I53" s="30">
        <v>349</v>
      </c>
      <c r="J53" s="30">
        <v>189</v>
      </c>
      <c r="K53" s="30">
        <v>50</v>
      </c>
      <c r="L53" s="127">
        <f t="shared" si="10"/>
        <v>36.799999999999997</v>
      </c>
      <c r="M53" s="83">
        <v>872</v>
      </c>
      <c r="N53" s="30">
        <v>214</v>
      </c>
      <c r="O53" s="30">
        <v>66</v>
      </c>
      <c r="P53" s="30">
        <v>35</v>
      </c>
      <c r="Q53" s="127">
        <f t="shared" si="11"/>
        <v>19.783333333333335</v>
      </c>
      <c r="R53" s="83">
        <v>1972</v>
      </c>
      <c r="S53" s="30">
        <v>497</v>
      </c>
      <c r="T53" s="30">
        <v>151</v>
      </c>
      <c r="U53" s="30">
        <v>47</v>
      </c>
      <c r="V53" s="127">
        <f t="shared" si="12"/>
        <v>44.45</v>
      </c>
      <c r="W53" s="18"/>
      <c r="X53" s="140"/>
      <c r="Y53" s="148" t="s">
        <v>23</v>
      </c>
      <c r="Z53" s="149"/>
      <c r="AA53" s="150"/>
      <c r="AB53" s="85">
        <f>AVERAGE(F4:F63)</f>
        <v>43.916666666666664</v>
      </c>
      <c r="AC53" s="85">
        <f>AVERAGE(K4:K63)</f>
        <v>45.1</v>
      </c>
      <c r="AD53" s="85">
        <f>AVERAGE(P4:P63)</f>
        <v>46.216666666666669</v>
      </c>
      <c r="AE53" s="85">
        <f>AVERAGE(U4:U63)</f>
        <v>44.55</v>
      </c>
      <c r="AF53" s="13"/>
    </row>
    <row r="54" spans="1:32">
      <c r="A54" s="140"/>
      <c r="B54" s="115">
        <v>51</v>
      </c>
      <c r="C54" s="83">
        <v>670</v>
      </c>
      <c r="D54" s="30">
        <v>341</v>
      </c>
      <c r="E54" s="30">
        <v>85</v>
      </c>
      <c r="F54" s="30">
        <v>58</v>
      </c>
      <c r="G54" s="127">
        <f t="shared" si="9"/>
        <v>19.233333333333334</v>
      </c>
      <c r="H54" s="83">
        <v>1715</v>
      </c>
      <c r="I54" s="30">
        <v>329</v>
      </c>
      <c r="J54" s="30">
        <v>213</v>
      </c>
      <c r="K54" s="30">
        <v>41</v>
      </c>
      <c r="L54" s="127">
        <f t="shared" si="10"/>
        <v>38.299999999999997</v>
      </c>
      <c r="M54" s="83">
        <v>903</v>
      </c>
      <c r="N54" s="30">
        <v>208</v>
      </c>
      <c r="O54" s="30">
        <v>69</v>
      </c>
      <c r="P54" s="30">
        <v>56</v>
      </c>
      <c r="Q54" s="127">
        <f t="shared" si="11"/>
        <v>20.6</v>
      </c>
      <c r="R54" s="83">
        <v>1511</v>
      </c>
      <c r="S54" s="30">
        <v>359</v>
      </c>
      <c r="T54" s="30">
        <v>182</v>
      </c>
      <c r="U54" s="30">
        <v>70</v>
      </c>
      <c r="V54" s="127">
        <f t="shared" si="12"/>
        <v>35.366666666666667</v>
      </c>
      <c r="W54" s="18"/>
      <c r="X54" s="140"/>
      <c r="Y54" s="148" t="s">
        <v>24</v>
      </c>
      <c r="Z54" s="149"/>
      <c r="AA54" s="150"/>
      <c r="AB54" s="95">
        <f>_xlfn.STDEV.P(F4:F63)</f>
        <v>12.254647644420009</v>
      </c>
      <c r="AC54" s="95">
        <f>_xlfn.STDEV.P(K4:K63)</f>
        <v>12.321661143422721</v>
      </c>
      <c r="AD54" s="95">
        <f>_xlfn.STDEV.P(P4:P63)</f>
        <v>11.047008141976219</v>
      </c>
      <c r="AE54" s="95">
        <f>_xlfn.STDEV.P(U4:U63)</f>
        <v>11.879148398208798</v>
      </c>
      <c r="AF54" s="13"/>
    </row>
    <row r="55" spans="1:32">
      <c r="A55" s="140"/>
      <c r="B55" s="113">
        <v>52</v>
      </c>
      <c r="C55" s="83">
        <v>693</v>
      </c>
      <c r="D55" s="30">
        <v>327</v>
      </c>
      <c r="E55" s="30">
        <v>60</v>
      </c>
      <c r="F55" s="30">
        <v>66</v>
      </c>
      <c r="G55" s="127">
        <f t="shared" si="9"/>
        <v>19.100000000000001</v>
      </c>
      <c r="H55" s="83">
        <v>1617</v>
      </c>
      <c r="I55" s="30">
        <v>490</v>
      </c>
      <c r="J55" s="30">
        <v>169</v>
      </c>
      <c r="K55" s="30">
        <v>62</v>
      </c>
      <c r="L55" s="127">
        <f t="shared" si="10"/>
        <v>38.966666666666669</v>
      </c>
      <c r="M55" s="83">
        <v>925</v>
      </c>
      <c r="N55" s="30">
        <v>228</v>
      </c>
      <c r="O55" s="30">
        <v>82</v>
      </c>
      <c r="P55" s="30">
        <v>45</v>
      </c>
      <c r="Q55" s="127">
        <f t="shared" si="11"/>
        <v>21.333333333333332</v>
      </c>
      <c r="R55" s="83">
        <v>1698</v>
      </c>
      <c r="S55" s="30">
        <v>428</v>
      </c>
      <c r="T55" s="30">
        <v>156</v>
      </c>
      <c r="U55" s="30">
        <v>20</v>
      </c>
      <c r="V55" s="127">
        <f t="shared" si="12"/>
        <v>38.366666666666667</v>
      </c>
      <c r="W55" s="18"/>
      <c r="X55" s="140"/>
      <c r="Y55" s="148" t="s">
        <v>25</v>
      </c>
      <c r="Z55" s="149"/>
      <c r="AA55" s="150"/>
      <c r="AB55" s="85">
        <f>MIN(F4:F63)</f>
        <v>20</v>
      </c>
      <c r="AC55" s="85">
        <f>MIN(K4:K63)</f>
        <v>20</v>
      </c>
      <c r="AD55" s="85">
        <f>MIN(P4:P63)</f>
        <v>25</v>
      </c>
      <c r="AE55" s="85">
        <f>MIN(U4:U63)</f>
        <v>20</v>
      </c>
      <c r="AF55" s="13"/>
    </row>
    <row r="56" spans="1:32">
      <c r="A56" s="140"/>
      <c r="B56" s="113">
        <v>53</v>
      </c>
      <c r="C56" s="83">
        <v>653</v>
      </c>
      <c r="D56" s="30">
        <v>325</v>
      </c>
      <c r="E56" s="30">
        <v>57</v>
      </c>
      <c r="F56" s="30">
        <v>70</v>
      </c>
      <c r="G56" s="127">
        <f t="shared" si="9"/>
        <v>18.416666666666668</v>
      </c>
      <c r="H56" s="83">
        <v>1669</v>
      </c>
      <c r="I56" s="30">
        <v>417</v>
      </c>
      <c r="J56" s="30">
        <v>194</v>
      </c>
      <c r="K56" s="30">
        <v>67</v>
      </c>
      <c r="L56" s="127">
        <f t="shared" si="10"/>
        <v>39.116666666666667</v>
      </c>
      <c r="M56" s="83">
        <v>927</v>
      </c>
      <c r="N56" s="30">
        <v>211</v>
      </c>
      <c r="O56" s="30">
        <v>95</v>
      </c>
      <c r="P56" s="30">
        <v>62</v>
      </c>
      <c r="Q56" s="127">
        <f t="shared" si="11"/>
        <v>21.583333333333332</v>
      </c>
      <c r="R56" s="83">
        <v>1558</v>
      </c>
      <c r="S56" s="30">
        <v>434</v>
      </c>
      <c r="T56" s="30">
        <v>167</v>
      </c>
      <c r="U56" s="30">
        <v>51</v>
      </c>
      <c r="V56" s="127">
        <f t="shared" si="12"/>
        <v>36.833333333333336</v>
      </c>
      <c r="W56" s="18"/>
      <c r="X56" s="140"/>
      <c r="Y56" s="148" t="s">
        <v>26</v>
      </c>
      <c r="Z56" s="149"/>
      <c r="AA56" s="150"/>
      <c r="AB56" s="85">
        <f>MAX(F4:F63)</f>
        <v>70</v>
      </c>
      <c r="AC56" s="85">
        <f>MAX(K4:K63)</f>
        <v>67</v>
      </c>
      <c r="AD56" s="85">
        <f>MAX(P4:P63)</f>
        <v>67</v>
      </c>
      <c r="AE56" s="85">
        <f>MAX(U4:U63)</f>
        <v>70</v>
      </c>
      <c r="AF56" s="13"/>
    </row>
    <row r="57" spans="1:32" ht="16.149999999999999" thickBot="1">
      <c r="A57" s="140"/>
      <c r="B57" s="115">
        <v>54</v>
      </c>
      <c r="C57" s="83">
        <v>736</v>
      </c>
      <c r="D57" s="30">
        <v>377</v>
      </c>
      <c r="E57" s="30">
        <v>63</v>
      </c>
      <c r="F57" s="30">
        <v>36</v>
      </c>
      <c r="G57" s="127">
        <f t="shared" si="9"/>
        <v>20.2</v>
      </c>
      <c r="H57" s="83">
        <v>1848</v>
      </c>
      <c r="I57" s="30">
        <v>338</v>
      </c>
      <c r="J57" s="30">
        <v>167</v>
      </c>
      <c r="K57" s="30">
        <v>31</v>
      </c>
      <c r="L57" s="127">
        <f t="shared" si="10"/>
        <v>39.733333333333334</v>
      </c>
      <c r="M57" s="83">
        <v>878</v>
      </c>
      <c r="N57" s="30">
        <v>220</v>
      </c>
      <c r="O57" s="30">
        <v>75</v>
      </c>
      <c r="P57" s="30">
        <v>30</v>
      </c>
      <c r="Q57" s="127">
        <f t="shared" si="11"/>
        <v>20.05</v>
      </c>
      <c r="R57" s="83">
        <v>1523</v>
      </c>
      <c r="S57" s="30">
        <v>334</v>
      </c>
      <c r="T57" s="30">
        <v>201</v>
      </c>
      <c r="U57" s="30">
        <v>30</v>
      </c>
      <c r="V57" s="127">
        <f t="shared" si="12"/>
        <v>34.799999999999997</v>
      </c>
      <c r="W57" s="18"/>
      <c r="X57" s="140"/>
      <c r="Y57" s="133" t="s">
        <v>27</v>
      </c>
      <c r="Z57" s="134"/>
      <c r="AA57" s="135"/>
      <c r="AB57" s="85">
        <f>AB56-AB55</f>
        <v>50</v>
      </c>
      <c r="AC57" s="85">
        <f t="shared" ref="AC57:AE57" si="16">AC56-AC55</f>
        <v>47</v>
      </c>
      <c r="AD57" s="85">
        <f t="shared" si="16"/>
        <v>42</v>
      </c>
      <c r="AE57" s="85">
        <f t="shared" si="16"/>
        <v>50</v>
      </c>
      <c r="AF57" s="13"/>
    </row>
    <row r="58" spans="1:32">
      <c r="A58" s="140"/>
      <c r="B58" s="113">
        <v>55</v>
      </c>
      <c r="C58" s="83">
        <v>790</v>
      </c>
      <c r="D58" s="30">
        <v>366</v>
      </c>
      <c r="E58" s="30">
        <v>86</v>
      </c>
      <c r="F58" s="30">
        <v>21</v>
      </c>
      <c r="G58" s="127">
        <f t="shared" si="9"/>
        <v>21.05</v>
      </c>
      <c r="H58" s="83">
        <v>1942</v>
      </c>
      <c r="I58" s="30">
        <v>402</v>
      </c>
      <c r="J58" s="30">
        <v>215</v>
      </c>
      <c r="K58" s="30">
        <v>23</v>
      </c>
      <c r="L58" s="127">
        <f t="shared" si="10"/>
        <v>43.033333333333331</v>
      </c>
      <c r="M58" s="83">
        <v>907</v>
      </c>
      <c r="N58" s="30">
        <v>235</v>
      </c>
      <c r="O58" s="30">
        <v>65</v>
      </c>
      <c r="P58" s="30">
        <v>35</v>
      </c>
      <c r="Q58" s="127">
        <f t="shared" si="11"/>
        <v>20.7</v>
      </c>
      <c r="R58" s="83">
        <v>1705</v>
      </c>
      <c r="S58" s="30">
        <v>272</v>
      </c>
      <c r="T58" s="30">
        <v>187</v>
      </c>
      <c r="U58" s="30">
        <v>24</v>
      </c>
      <c r="V58" s="127">
        <f t="shared" si="12"/>
        <v>36.466666666666669</v>
      </c>
      <c r="W58" s="18"/>
      <c r="X58" s="140"/>
      <c r="Y58" s="145" t="s">
        <v>28</v>
      </c>
      <c r="Z58" s="146"/>
      <c r="AA58" s="147"/>
      <c r="AB58" s="86">
        <v>0.1</v>
      </c>
      <c r="AC58" s="86">
        <v>0.1</v>
      </c>
      <c r="AD58" s="86">
        <v>0.1</v>
      </c>
      <c r="AE58" s="87">
        <v>0.1</v>
      </c>
      <c r="AF58" s="13"/>
    </row>
    <row r="59" spans="1:32">
      <c r="A59" s="140"/>
      <c r="B59" s="113">
        <v>56</v>
      </c>
      <c r="C59" s="83">
        <v>829</v>
      </c>
      <c r="D59" s="30">
        <v>324</v>
      </c>
      <c r="E59" s="30">
        <v>100</v>
      </c>
      <c r="F59" s="30">
        <v>20</v>
      </c>
      <c r="G59" s="127">
        <f t="shared" si="9"/>
        <v>21.216666666666665</v>
      </c>
      <c r="H59" s="83">
        <v>1807</v>
      </c>
      <c r="I59" s="30">
        <v>338</v>
      </c>
      <c r="J59" s="30">
        <v>215</v>
      </c>
      <c r="K59" s="30">
        <v>31</v>
      </c>
      <c r="L59" s="127">
        <f t="shared" si="10"/>
        <v>39.85</v>
      </c>
      <c r="M59" s="83">
        <v>863</v>
      </c>
      <c r="N59" s="30">
        <v>220</v>
      </c>
      <c r="O59" s="30">
        <v>67</v>
      </c>
      <c r="P59" s="30">
        <v>36</v>
      </c>
      <c r="Q59" s="127">
        <f t="shared" si="11"/>
        <v>19.766666666666666</v>
      </c>
      <c r="R59" s="83">
        <v>1777</v>
      </c>
      <c r="S59" s="30">
        <v>424</v>
      </c>
      <c r="T59" s="30">
        <v>202</v>
      </c>
      <c r="U59" s="30">
        <v>42</v>
      </c>
      <c r="V59" s="127">
        <f t="shared" si="12"/>
        <v>40.75</v>
      </c>
      <c r="W59" s="18"/>
      <c r="X59" s="140"/>
      <c r="Y59" s="148" t="s">
        <v>29</v>
      </c>
      <c r="Z59" s="149"/>
      <c r="AA59" s="150"/>
      <c r="AB59" s="88">
        <v>0.95</v>
      </c>
      <c r="AC59" s="88">
        <v>0.95</v>
      </c>
      <c r="AD59" s="88">
        <v>0.95</v>
      </c>
      <c r="AE59" s="89">
        <v>0.95</v>
      </c>
      <c r="AF59" s="13"/>
    </row>
    <row r="60" spans="1:32" ht="16.149999999999999" thickBot="1">
      <c r="A60" s="140"/>
      <c r="B60" s="115">
        <v>57</v>
      </c>
      <c r="C60" s="83">
        <v>760</v>
      </c>
      <c r="D60" s="30">
        <v>354</v>
      </c>
      <c r="E60" s="30">
        <v>68</v>
      </c>
      <c r="F60" s="30">
        <v>40</v>
      </c>
      <c r="G60" s="127">
        <f t="shared" si="9"/>
        <v>20.366666666666667</v>
      </c>
      <c r="H60" s="83">
        <v>1801</v>
      </c>
      <c r="I60" s="30">
        <v>409</v>
      </c>
      <c r="J60" s="30">
        <v>213</v>
      </c>
      <c r="K60" s="30">
        <v>50</v>
      </c>
      <c r="L60" s="127">
        <f t="shared" si="10"/>
        <v>41.216666666666669</v>
      </c>
      <c r="M60" s="83">
        <v>851</v>
      </c>
      <c r="N60" s="30">
        <v>220</v>
      </c>
      <c r="O60" s="30">
        <v>78</v>
      </c>
      <c r="P60" s="30">
        <v>38</v>
      </c>
      <c r="Q60" s="127">
        <f t="shared" si="11"/>
        <v>19.783333333333335</v>
      </c>
      <c r="R60" s="83">
        <v>1987</v>
      </c>
      <c r="S60" s="30">
        <v>288</v>
      </c>
      <c r="T60" s="30">
        <v>200</v>
      </c>
      <c r="U60" s="30">
        <v>69</v>
      </c>
      <c r="V60" s="127">
        <f t="shared" si="12"/>
        <v>42.4</v>
      </c>
      <c r="W60" s="12"/>
      <c r="X60" s="140"/>
      <c r="Y60" s="133" t="s">
        <v>30</v>
      </c>
      <c r="Z60" s="134"/>
      <c r="AA60" s="135"/>
      <c r="AB60" s="90">
        <v>2.0449999999999999</v>
      </c>
      <c r="AC60" s="90">
        <v>2.0449999999999999</v>
      </c>
      <c r="AD60" s="90">
        <v>2.0449999999999999</v>
      </c>
      <c r="AE60" s="91">
        <v>2.0449999999999999</v>
      </c>
      <c r="AF60" s="13"/>
    </row>
    <row r="61" spans="1:32" ht="16.149999999999999" thickBot="1">
      <c r="A61" s="140"/>
      <c r="B61" s="113">
        <v>58</v>
      </c>
      <c r="C61" s="83">
        <v>750</v>
      </c>
      <c r="D61" s="30">
        <v>361</v>
      </c>
      <c r="E61" s="30">
        <v>82</v>
      </c>
      <c r="F61" s="30">
        <v>51</v>
      </c>
      <c r="G61" s="127">
        <f t="shared" si="9"/>
        <v>20.733333333333334</v>
      </c>
      <c r="H61" s="83">
        <v>1889</v>
      </c>
      <c r="I61" s="30">
        <v>431</v>
      </c>
      <c r="J61" s="30">
        <v>206</v>
      </c>
      <c r="K61" s="30">
        <v>26</v>
      </c>
      <c r="L61" s="127">
        <f t="shared" si="10"/>
        <v>42.533333333333331</v>
      </c>
      <c r="M61" s="83">
        <v>876</v>
      </c>
      <c r="N61" s="30">
        <v>200</v>
      </c>
      <c r="O61" s="30">
        <v>61</v>
      </c>
      <c r="P61" s="30">
        <v>67</v>
      </c>
      <c r="Q61" s="127">
        <f t="shared" si="11"/>
        <v>20.066666666666666</v>
      </c>
      <c r="R61" s="83">
        <v>1625</v>
      </c>
      <c r="S61" s="30">
        <v>315</v>
      </c>
      <c r="T61" s="30">
        <v>185</v>
      </c>
      <c r="U61" s="30">
        <v>26</v>
      </c>
      <c r="V61" s="127">
        <f t="shared" si="12"/>
        <v>35.85</v>
      </c>
      <c r="W61" s="18"/>
      <c r="X61" s="141"/>
      <c r="Y61" s="136" t="s">
        <v>31</v>
      </c>
      <c r="Z61" s="137"/>
      <c r="AA61" s="138"/>
      <c r="AB61" s="92">
        <f>((AB54*2.228)/(AB53*0.1))^2</f>
        <v>38.652117565540522</v>
      </c>
      <c r="AC61" s="92">
        <f t="shared" ref="AC61:AE61" si="17">((AC54*2.228)/(AC53*0.1))^2</f>
        <v>37.05235458494959</v>
      </c>
      <c r="AD61" s="92">
        <f t="shared" si="17"/>
        <v>28.361061577425613</v>
      </c>
      <c r="AE61" s="92">
        <f t="shared" si="17"/>
        <v>35.294381173332859</v>
      </c>
      <c r="AF61" s="13"/>
    </row>
    <row r="62" spans="1:32">
      <c r="A62" s="140"/>
      <c r="B62" s="113">
        <v>59</v>
      </c>
      <c r="C62" s="83">
        <v>828</v>
      </c>
      <c r="D62" s="30">
        <v>302</v>
      </c>
      <c r="E62" s="30">
        <v>56</v>
      </c>
      <c r="F62" s="30">
        <v>38</v>
      </c>
      <c r="G62" s="127">
        <f t="shared" si="9"/>
        <v>20.399999999999999</v>
      </c>
      <c r="H62" s="83">
        <v>1649</v>
      </c>
      <c r="I62" s="30">
        <v>413</v>
      </c>
      <c r="J62" s="30">
        <v>199</v>
      </c>
      <c r="K62" s="30">
        <v>30</v>
      </c>
      <c r="L62" s="127">
        <f t="shared" si="10"/>
        <v>38.18333333333333</v>
      </c>
      <c r="M62" s="83">
        <v>942</v>
      </c>
      <c r="N62" s="30">
        <v>202</v>
      </c>
      <c r="O62" s="30">
        <v>94</v>
      </c>
      <c r="P62" s="30">
        <v>35</v>
      </c>
      <c r="Q62" s="127">
        <f t="shared" si="11"/>
        <v>21.216666666666665</v>
      </c>
      <c r="R62" s="83">
        <v>1747</v>
      </c>
      <c r="S62" s="30">
        <v>401</v>
      </c>
      <c r="T62" s="30">
        <v>206</v>
      </c>
      <c r="U62" s="30">
        <v>45</v>
      </c>
      <c r="V62" s="127">
        <f t="shared" si="12"/>
        <v>39.983333333333334</v>
      </c>
      <c r="W62" s="12"/>
      <c r="X62" s="97"/>
      <c r="Y62" s="13"/>
      <c r="Z62" s="13"/>
      <c r="AA62" s="13"/>
      <c r="AB62" s="13"/>
      <c r="AC62" s="13"/>
      <c r="AD62" s="13"/>
      <c r="AE62" s="13"/>
      <c r="AF62" s="13"/>
    </row>
    <row r="63" spans="1:32" ht="16.149999999999999" thickBot="1">
      <c r="A63" s="141"/>
      <c r="B63" s="128">
        <v>60</v>
      </c>
      <c r="C63" s="81">
        <v>774</v>
      </c>
      <c r="D63" s="82">
        <v>311</v>
      </c>
      <c r="E63" s="82">
        <v>73</v>
      </c>
      <c r="F63" s="82">
        <v>30</v>
      </c>
      <c r="G63" s="129">
        <f t="shared" si="9"/>
        <v>19.8</v>
      </c>
      <c r="H63" s="81">
        <v>1688</v>
      </c>
      <c r="I63" s="82">
        <v>354</v>
      </c>
      <c r="J63" s="82">
        <v>173</v>
      </c>
      <c r="K63" s="82">
        <v>59</v>
      </c>
      <c r="L63" s="129">
        <f t="shared" si="10"/>
        <v>37.9</v>
      </c>
      <c r="M63" s="81">
        <v>896</v>
      </c>
      <c r="N63" s="82">
        <v>208</v>
      </c>
      <c r="O63" s="82">
        <v>87</v>
      </c>
      <c r="P63" s="82">
        <v>57</v>
      </c>
      <c r="Q63" s="129">
        <f t="shared" si="11"/>
        <v>20.8</v>
      </c>
      <c r="R63" s="81">
        <v>1794</v>
      </c>
      <c r="S63" s="82">
        <v>378</v>
      </c>
      <c r="T63" s="82">
        <v>202</v>
      </c>
      <c r="U63" s="82">
        <v>57</v>
      </c>
      <c r="V63" s="129">
        <f t="shared" si="12"/>
        <v>40.516666666666666</v>
      </c>
      <c r="W63" s="12"/>
      <c r="X63" s="13"/>
      <c r="Y63" s="13"/>
      <c r="Z63" s="13"/>
      <c r="AA63" s="13"/>
      <c r="AB63" s="13"/>
      <c r="AC63" s="13"/>
      <c r="AD63" s="13"/>
      <c r="AE63" s="13"/>
      <c r="AF63" s="13"/>
    </row>
    <row r="64" spans="1:32" ht="16.149999999999999" thickBot="1">
      <c r="B64" s="13"/>
      <c r="C64" s="13"/>
      <c r="D64" s="13"/>
      <c r="E64" s="13"/>
      <c r="F64" s="13"/>
      <c r="G64" s="130">
        <f>AVERAGE(G4:G63)</f>
        <v>20.281358879513885</v>
      </c>
      <c r="H64" s="101"/>
      <c r="I64" s="101"/>
      <c r="J64" s="101"/>
      <c r="K64" s="101"/>
      <c r="L64" s="130">
        <f t="shared" ref="L64:Q64" si="18">AVERAGE(L4:L63)</f>
        <v>39.228472937499987</v>
      </c>
      <c r="M64" s="101"/>
      <c r="N64" s="101"/>
      <c r="O64" s="101"/>
      <c r="P64" s="101"/>
      <c r="Q64" s="130">
        <f t="shared" si="18"/>
        <v>20.532237561635604</v>
      </c>
      <c r="R64" s="101"/>
      <c r="S64" s="101"/>
      <c r="T64" s="101"/>
      <c r="U64" s="101"/>
      <c r="V64" s="130">
        <f>AVERAGE(V4:V63)</f>
        <v>39.9921953106006</v>
      </c>
      <c r="X64" s="4" t="s">
        <v>37</v>
      </c>
      <c r="Y64" s="4" t="s">
        <v>17</v>
      </c>
      <c r="Z64" s="4" t="s">
        <v>18</v>
      </c>
      <c r="AA64" s="4" t="s">
        <v>19</v>
      </c>
      <c r="AB64" s="4" t="s">
        <v>20</v>
      </c>
      <c r="AC64" s="13"/>
      <c r="AD64" s="13"/>
      <c r="AE64" s="13"/>
      <c r="AF64" s="13"/>
    </row>
    <row r="65" spans="1:41" ht="16.149999999999999" thickBot="1">
      <c r="A65" s="24" t="s">
        <v>37</v>
      </c>
      <c r="B65" s="174" t="s">
        <v>38</v>
      </c>
      <c r="C65" s="174"/>
      <c r="D65" s="25" t="s">
        <v>39</v>
      </c>
      <c r="E65" s="26" t="s">
        <v>40</v>
      </c>
      <c r="F65" s="32" t="s">
        <v>41</v>
      </c>
      <c r="G65" s="32" t="s">
        <v>42</v>
      </c>
      <c r="X65" s="4" t="s">
        <v>43</v>
      </c>
      <c r="Y65" s="34">
        <f>AVERAGE(C$4:C$63)/60</f>
        <v>12.426911860069445</v>
      </c>
      <c r="Z65" s="34">
        <f>AVERAGE(H$4:H$63)/60</f>
        <v>28.494596263888887</v>
      </c>
      <c r="AA65" s="34">
        <f>AVERAGE(M$4:M$63)/60</f>
        <v>14.703704881442908</v>
      </c>
      <c r="AB65" s="34">
        <f>AVERAGE(R$4:R$63)/60</f>
        <v>30.81535323433565</v>
      </c>
      <c r="AC65" s="34">
        <f>AVERAGE(Y65:AB65)</f>
        <v>21.610141559934224</v>
      </c>
      <c r="AD65" s="13"/>
      <c r="AE65" s="13"/>
      <c r="AF65" s="13"/>
    </row>
    <row r="66" spans="1:41">
      <c r="A66" s="139" t="s">
        <v>32</v>
      </c>
      <c r="B66" s="169" t="s">
        <v>44</v>
      </c>
      <c r="C66" s="170"/>
      <c r="D66" s="21">
        <v>0.67</v>
      </c>
      <c r="E66" s="171">
        <f>SUM(D66:D67)</f>
        <v>1</v>
      </c>
      <c r="F66" s="32">
        <f>D66*$AC$65</f>
        <v>14.478794845155932</v>
      </c>
      <c r="G66" s="32">
        <f t="shared" ref="G66:G74" si="19">F66*60</f>
        <v>868.7276907093559</v>
      </c>
      <c r="X66" s="4" t="s">
        <v>45</v>
      </c>
      <c r="Y66" s="34">
        <f>AVERAGE(D$4:D$63)/60</f>
        <v>5.8065613250000006</v>
      </c>
      <c r="Z66" s="34">
        <f>AVERAGE(I$4:I$63)/60</f>
        <v>6.8989979305555549</v>
      </c>
      <c r="AA66" s="34">
        <f>AVERAGE(N$4:N$63)/60</f>
        <v>3.693055555555556</v>
      </c>
      <c r="AB66" s="34">
        <f>AVERAGE(S$4:S$63)/60</f>
        <v>5.2884444395383836</v>
      </c>
      <c r="AC66" s="34">
        <f>AVERAGE(Y66:AB66)</f>
        <v>5.4217648126623743</v>
      </c>
      <c r="AD66" s="13"/>
      <c r="AE66" s="13"/>
      <c r="AF66" s="13"/>
    </row>
    <row r="67" spans="1:41" ht="16.149999999999999" thickBot="1">
      <c r="A67" s="140"/>
      <c r="B67" s="167" t="s">
        <v>46</v>
      </c>
      <c r="C67" s="168"/>
      <c r="D67" s="22">
        <v>0.33</v>
      </c>
      <c r="E67" s="172"/>
      <c r="F67" s="32">
        <f>D67*$AC$65</f>
        <v>7.1313467147782941</v>
      </c>
      <c r="G67" s="32">
        <f t="shared" si="19"/>
        <v>427.88080288669767</v>
      </c>
      <c r="X67" s="4" t="s">
        <v>47</v>
      </c>
      <c r="Y67" s="34">
        <f>AVERAGE(E$4:E$63)/60</f>
        <v>1.3159412500000001</v>
      </c>
      <c r="Z67" s="34">
        <f>AVERAGE(J$4:J$63)/60</f>
        <v>3.0832120763888886</v>
      </c>
      <c r="AA67" s="34">
        <f>AVERAGE(O$4:O$63)/60</f>
        <v>1.3651993468593748</v>
      </c>
      <c r="AB67" s="34">
        <f>AVERAGE(T$4:T$63)/60</f>
        <v>3.1458976367265623</v>
      </c>
      <c r="AC67" s="34">
        <f>AVERAGE(Y67:AB67)</f>
        <v>2.2275625774937065</v>
      </c>
      <c r="AD67" s="101"/>
      <c r="AE67" s="13"/>
      <c r="AF67" s="13"/>
    </row>
    <row r="68" spans="1:41" ht="16.149999999999999" thickBot="1">
      <c r="A68" s="139" t="s">
        <v>33</v>
      </c>
      <c r="B68" s="169" t="s">
        <v>48</v>
      </c>
      <c r="C68" s="170"/>
      <c r="D68" s="21">
        <v>0.3</v>
      </c>
      <c r="E68" s="171">
        <f>SUM(D68:D71)</f>
        <v>1</v>
      </c>
      <c r="F68" s="32">
        <f>D68*$AC$66</f>
        <v>1.6265294437987123</v>
      </c>
      <c r="G68" s="32">
        <f t="shared" si="19"/>
        <v>97.591766627922738</v>
      </c>
      <c r="N68" s="30" t="s">
        <v>49</v>
      </c>
      <c r="X68" s="98" t="s">
        <v>50</v>
      </c>
      <c r="Y68" s="34">
        <f>AVERAGE(F$4:F$63)/60</f>
        <v>0.7319444444444444</v>
      </c>
      <c r="Z68" s="34">
        <f>AVERAGE(K$4:K$63)/60</f>
        <v>0.75166666666666671</v>
      </c>
      <c r="AA68" s="34">
        <f>AVERAGE(P$4:P$63)/60</f>
        <v>0.77027777777777784</v>
      </c>
      <c r="AB68" s="34">
        <f>AVERAGE(U$4:U$63)/60</f>
        <v>0.74249999999999994</v>
      </c>
      <c r="AC68" s="34">
        <f>AVERAGE(Y68:AB68)</f>
        <v>0.7490972222222223</v>
      </c>
      <c r="AD68" s="13"/>
      <c r="AE68" s="13"/>
      <c r="AF68" s="13"/>
    </row>
    <row r="69" spans="1:41">
      <c r="A69" s="140"/>
      <c r="B69" s="165" t="s">
        <v>51</v>
      </c>
      <c r="C69" s="166"/>
      <c r="D69" s="23">
        <v>0.15</v>
      </c>
      <c r="E69" s="173"/>
      <c r="F69" s="32">
        <f>D69*$AC$66</f>
        <v>0.81326472189935617</v>
      </c>
      <c r="G69" s="32">
        <f t="shared" si="19"/>
        <v>48.795883313961369</v>
      </c>
      <c r="N69" s="102">
        <f>AVERAGE(G64,L64,Q64,V64)</f>
        <v>30.00856617231252</v>
      </c>
      <c r="X69" s="99" t="s">
        <v>40</v>
      </c>
      <c r="Y69" s="100">
        <f>SUM(Y65:Y68)</f>
        <v>20.281358879513892</v>
      </c>
      <c r="Z69" s="100">
        <f t="shared" ref="Z69:AB69" si="20">SUM(Z65:Z68)</f>
        <v>39.228472937499994</v>
      </c>
      <c r="AA69" s="100">
        <f t="shared" si="20"/>
        <v>20.532237561635615</v>
      </c>
      <c r="AB69" s="100">
        <f t="shared" si="20"/>
        <v>39.992195310600593</v>
      </c>
      <c r="AC69" s="13"/>
      <c r="AD69" s="13"/>
      <c r="AE69" s="13"/>
      <c r="AF69" s="13"/>
    </row>
    <row r="70" spans="1:41">
      <c r="A70" s="140"/>
      <c r="B70" s="165" t="s">
        <v>52</v>
      </c>
      <c r="C70" s="166"/>
      <c r="D70" s="23">
        <v>0.25</v>
      </c>
      <c r="E70" s="173"/>
      <c r="F70" s="32">
        <f>D70*$AC$66</f>
        <v>1.3554412031655936</v>
      </c>
      <c r="G70" s="32">
        <f t="shared" si="19"/>
        <v>81.326472189935615</v>
      </c>
      <c r="X70" s="13"/>
      <c r="Y70" s="13"/>
      <c r="Z70" s="13"/>
      <c r="AA70" s="13"/>
      <c r="AB70" s="13"/>
      <c r="AC70" s="13"/>
      <c r="AD70" s="13"/>
      <c r="AE70" s="30" t="s">
        <v>53</v>
      </c>
      <c r="AF70" s="13"/>
    </row>
    <row r="71" spans="1:41" ht="16.149999999999999" thickBot="1">
      <c r="A71" s="140"/>
      <c r="B71" s="167" t="s">
        <v>54</v>
      </c>
      <c r="C71" s="168"/>
      <c r="D71" s="22">
        <v>0.3</v>
      </c>
      <c r="E71" s="172"/>
      <c r="F71" s="32">
        <f>D71*$AC$66</f>
        <v>1.6265294437987123</v>
      </c>
      <c r="G71" s="32">
        <f t="shared" si="19"/>
        <v>97.591766627922738</v>
      </c>
      <c r="X71" s="30" t="s">
        <v>55</v>
      </c>
      <c r="Y71" s="13"/>
      <c r="Z71" s="13"/>
      <c r="AA71" s="13"/>
      <c r="AB71" s="13"/>
      <c r="AC71" s="13"/>
      <c r="AD71" s="13"/>
      <c r="AE71" s="13"/>
      <c r="AF71" s="13"/>
    </row>
    <row r="72" spans="1:41">
      <c r="A72" s="139" t="s">
        <v>35</v>
      </c>
      <c r="B72" s="169" t="s">
        <v>56</v>
      </c>
      <c r="C72" s="170"/>
      <c r="D72" s="21">
        <v>0.75</v>
      </c>
      <c r="E72" s="171">
        <f>SUM(D72:D73)</f>
        <v>1</v>
      </c>
      <c r="F72" s="32">
        <f>D72*$AC$67</f>
        <v>1.6706719331202797</v>
      </c>
      <c r="G72" s="32">
        <f>F72*60</f>
        <v>100.24031598721679</v>
      </c>
      <c r="X72" s="30" t="s">
        <v>57</v>
      </c>
      <c r="Y72" s="32">
        <f>AVERAGE(Y69:AB69)</f>
        <v>30.008566172312523</v>
      </c>
      <c r="Z72" s="30" t="s">
        <v>58</v>
      </c>
      <c r="AA72" s="13"/>
      <c r="AB72" s="13"/>
      <c r="AC72" s="13"/>
      <c r="AD72" s="13"/>
      <c r="AE72" s="13"/>
      <c r="AF72" s="13"/>
    </row>
    <row r="73" spans="1:41" ht="16.149999999999999" thickBot="1">
      <c r="A73" s="140"/>
      <c r="B73" s="167" t="s">
        <v>59</v>
      </c>
      <c r="C73" s="168"/>
      <c r="D73" s="22">
        <v>0.25</v>
      </c>
      <c r="E73" s="172"/>
      <c r="F73" s="32">
        <f>D73*$AC$67</f>
        <v>0.55689064437342661</v>
      </c>
      <c r="G73" s="32">
        <f t="shared" si="19"/>
        <v>33.413438662405596</v>
      </c>
      <c r="X73" s="30" t="s">
        <v>60</v>
      </c>
      <c r="Y73" s="32">
        <f>Y68*60</f>
        <v>43.916666666666664</v>
      </c>
      <c r="Z73" s="32">
        <f>Z68*60</f>
        <v>45.1</v>
      </c>
      <c r="AA73" s="32">
        <f>AA68*60</f>
        <v>46.216666666666669</v>
      </c>
      <c r="AB73" s="32">
        <f>AB68*60</f>
        <v>44.55</v>
      </c>
      <c r="AC73" s="13"/>
      <c r="AD73" s="13"/>
      <c r="AE73" s="13"/>
      <c r="AF73" s="13"/>
    </row>
    <row r="74" spans="1:41" ht="16.149999999999999" thickBot="1">
      <c r="A74" s="27" t="s">
        <v>36</v>
      </c>
      <c r="B74" s="163" t="s">
        <v>36</v>
      </c>
      <c r="C74" s="164"/>
      <c r="D74" s="19">
        <v>1</v>
      </c>
      <c r="E74" s="20">
        <f>D74</f>
        <v>1</v>
      </c>
      <c r="F74" s="32">
        <f>D74*$AC$68</f>
        <v>0.7490972222222223</v>
      </c>
      <c r="G74" s="32">
        <f t="shared" si="19"/>
        <v>44.94583333333334</v>
      </c>
      <c r="X74" s="30" t="s">
        <v>61</v>
      </c>
      <c r="Y74" s="32">
        <f>Y66*$D$70*60</f>
        <v>87.098419875000005</v>
      </c>
      <c r="Z74" s="32">
        <f>Z66*$D$70*60</f>
        <v>103.48496895833333</v>
      </c>
      <c r="AA74" s="32">
        <f>AA66*$D$70*60</f>
        <v>55.395833333333343</v>
      </c>
      <c r="AB74" s="32">
        <f>AB66*$D$70*60</f>
        <v>79.326666593075757</v>
      </c>
      <c r="AC74" s="13"/>
      <c r="AD74" s="13"/>
      <c r="AE74" s="13"/>
      <c r="AF74" s="13"/>
    </row>
    <row r="75" spans="1:41" ht="15.75">
      <c r="X75" s="31" t="s">
        <v>62</v>
      </c>
      <c r="Y75" s="68">
        <f>Y73+Y74</f>
        <v>131.01508654166668</v>
      </c>
      <c r="Z75" s="68">
        <f>Z73+Z74</f>
        <v>148.58496895833332</v>
      </c>
      <c r="AA75" s="68">
        <f>AA73+AA74</f>
        <v>101.61250000000001</v>
      </c>
      <c r="AB75" s="189">
        <f>AB73+AB74</f>
        <v>123.87666659307575</v>
      </c>
      <c r="AC75" s="13"/>
      <c r="AD75" s="199" t="s">
        <v>63</v>
      </c>
      <c r="AE75" s="13"/>
      <c r="AF75" s="13"/>
    </row>
    <row r="76" spans="1:41">
      <c r="X76" s="31" t="s">
        <v>64</v>
      </c>
      <c r="Y76" s="68">
        <f>Y66*0.75*60</f>
        <v>261.29525962500003</v>
      </c>
      <c r="Z76" s="68">
        <f>Z66*0.75*60</f>
        <v>310.45490687499995</v>
      </c>
      <c r="AA76" s="187">
        <f>AA66*0.75*60</f>
        <v>166.1875</v>
      </c>
      <c r="AB76" s="68">
        <f>AB66*0.75*60</f>
        <v>237.97999977922726</v>
      </c>
      <c r="AC76" s="13"/>
      <c r="AD76" s="200">
        <v>64.181417999999994</v>
      </c>
      <c r="AE76" s="13"/>
      <c r="AF76" s="13"/>
    </row>
    <row r="77" spans="1:41">
      <c r="X77" s="197" t="s">
        <v>33</v>
      </c>
      <c r="Y77" s="198">
        <f>Y66*60</f>
        <v>348.39367950000002</v>
      </c>
      <c r="Z77" s="198">
        <f>Z66*60</f>
        <v>413.9398758333333</v>
      </c>
      <c r="AA77" s="198">
        <f>AA66*60</f>
        <v>221.58333333333337</v>
      </c>
      <c r="AB77" s="198">
        <f>AB66*60</f>
        <v>317.30666637230303</v>
      </c>
      <c r="AC77" s="13"/>
      <c r="AD77" s="13"/>
      <c r="AE77" s="13"/>
      <c r="AF77" s="13"/>
      <c r="AG77" s="179"/>
      <c r="AH77" s="179"/>
      <c r="AI77" s="179"/>
      <c r="AJ77" s="179"/>
      <c r="AK77" s="179"/>
      <c r="AL77" s="179"/>
      <c r="AM77" s="179"/>
      <c r="AN77" s="179"/>
      <c r="AO77" s="179"/>
    </row>
    <row r="78" spans="1:41">
      <c r="X78" s="30" t="s">
        <v>65</v>
      </c>
      <c r="Y78" s="32">
        <f>+Y67*0.75*60</f>
        <v>59.217356250000009</v>
      </c>
      <c r="Z78" s="32">
        <f>+Z67*0.75*60</f>
        <v>138.74454343749997</v>
      </c>
      <c r="AA78" s="32">
        <f t="shared" ref="AA78:AB78" si="21">+AA67*0.75*60</f>
        <v>61.433970608671871</v>
      </c>
      <c r="AB78" s="32">
        <f t="shared" si="21"/>
        <v>141.56539365269529</v>
      </c>
      <c r="AC78" s="13"/>
      <c r="AD78" s="13"/>
      <c r="AE78" s="13"/>
      <c r="AF78" s="13"/>
      <c r="AG78" s="180"/>
      <c r="AH78" s="180"/>
      <c r="AI78" s="180"/>
      <c r="AJ78" s="180"/>
      <c r="AK78" s="180"/>
      <c r="AL78" s="179"/>
      <c r="AM78" s="180"/>
      <c r="AN78" s="180"/>
      <c r="AO78" s="179"/>
    </row>
    <row r="79" spans="1:41" ht="15.75">
      <c r="X79" s="30" t="s">
        <v>46</v>
      </c>
      <c r="Y79" s="32">
        <f>+Y65*0.33*60</f>
        <v>246.05285482937501</v>
      </c>
      <c r="Z79" s="32">
        <f t="shared" ref="Z79:AB79" si="22">+Z65*0.33*60</f>
        <v>564.19300602499993</v>
      </c>
      <c r="AA79" s="32">
        <f t="shared" si="22"/>
        <v>291.1333566525696</v>
      </c>
      <c r="AB79" s="32">
        <f t="shared" si="22"/>
        <v>610.14399403984589</v>
      </c>
      <c r="AC79" s="13"/>
      <c r="AD79" s="13"/>
      <c r="AE79" s="13"/>
      <c r="AF79" s="13"/>
      <c r="AG79" s="180"/>
      <c r="AH79" s="180"/>
      <c r="AI79" s="181"/>
      <c r="AJ79" s="180"/>
      <c r="AK79" s="180"/>
      <c r="AL79" s="180"/>
      <c r="AM79" s="180"/>
      <c r="AN79" s="180"/>
      <c r="AO79" s="179"/>
    </row>
    <row r="80" spans="1:41" ht="15.75">
      <c r="X80" s="31" t="s">
        <v>44</v>
      </c>
      <c r="Y80" s="47">
        <f>+Y65*0.67*60</f>
        <v>499.56185677479175</v>
      </c>
      <c r="Z80" s="68">
        <f t="shared" ref="Z80:AB80" si="23">+Z65*0.67*60</f>
        <v>1145.4827698083334</v>
      </c>
      <c r="AA80" s="68">
        <f t="shared" si="23"/>
        <v>591.0889362340049</v>
      </c>
      <c r="AB80" s="68">
        <f t="shared" si="23"/>
        <v>1238.7772000202931</v>
      </c>
      <c r="AC80" s="13"/>
      <c r="AD80" s="13"/>
      <c r="AE80" s="13"/>
      <c r="AF80" s="13"/>
      <c r="AG80" s="180"/>
      <c r="AH80" s="182"/>
      <c r="AI80" s="183"/>
      <c r="AJ80" s="182"/>
      <c r="AK80" s="182"/>
      <c r="AL80" s="180"/>
      <c r="AM80" s="182"/>
      <c r="AN80" s="182"/>
      <c r="AO80" s="179"/>
    </row>
    <row r="81" spans="24:41" ht="15.75">
      <c r="X81" s="30" t="s">
        <v>66</v>
      </c>
      <c r="Y81" s="32">
        <f>+Y78+Y80</f>
        <v>558.77921302479172</v>
      </c>
      <c r="Z81" s="32">
        <f t="shared" ref="Z81:AB81" si="24">+Z78+Z80</f>
        <v>1284.2273132458333</v>
      </c>
      <c r="AA81" s="32">
        <f t="shared" si="24"/>
        <v>652.52290684267678</v>
      </c>
      <c r="AB81" s="32">
        <f t="shared" si="24"/>
        <v>1380.3425936729884</v>
      </c>
      <c r="AC81" s="13"/>
      <c r="AD81" s="13"/>
      <c r="AE81" s="13"/>
      <c r="AF81" s="13"/>
      <c r="AG81" s="180"/>
      <c r="AH81" s="180"/>
      <c r="AI81" s="181"/>
      <c r="AJ81" s="180"/>
      <c r="AK81" s="180"/>
      <c r="AL81" s="180"/>
      <c r="AM81" s="180"/>
      <c r="AN81" s="180"/>
      <c r="AO81" s="179"/>
    </row>
    <row r="82" spans="24:41">
      <c r="X82" s="194" t="s">
        <v>67</v>
      </c>
      <c r="Y82" s="68">
        <f>+Y78+Y79</f>
        <v>305.27021107937503</v>
      </c>
      <c r="Z82" s="196">
        <f>+Z78+Z79-AD76</f>
        <v>638.75613146249987</v>
      </c>
      <c r="AA82" s="68">
        <f t="shared" ref="AA82:AB82" si="25">+AA78+AA79</f>
        <v>352.56732726124147</v>
      </c>
      <c r="AB82" s="68">
        <f t="shared" si="25"/>
        <v>751.70938769254121</v>
      </c>
      <c r="AC82" s="13"/>
      <c r="AD82" s="13"/>
      <c r="AE82" s="13"/>
      <c r="AF82" s="13"/>
      <c r="AG82" s="179"/>
      <c r="AH82" s="179"/>
      <c r="AI82" s="179"/>
      <c r="AJ82" s="179"/>
      <c r="AK82" s="179"/>
      <c r="AL82" s="179"/>
      <c r="AM82" s="179"/>
      <c r="AN82" s="179"/>
      <c r="AO82" s="179"/>
    </row>
    <row r="83" spans="24:41">
      <c r="X83" s="60" t="s">
        <v>68</v>
      </c>
      <c r="Y83" s="195">
        <v>60</v>
      </c>
      <c r="Z83" s="101"/>
      <c r="AA83" s="13"/>
      <c r="AB83" s="13"/>
      <c r="AC83" s="13"/>
      <c r="AD83" s="13"/>
      <c r="AE83" s="13"/>
      <c r="AF83" s="13"/>
      <c r="AG83" s="179"/>
      <c r="AH83" s="179"/>
      <c r="AI83" s="179"/>
      <c r="AJ83" s="179"/>
      <c r="AK83" s="179"/>
      <c r="AL83" s="179"/>
      <c r="AM83" s="179"/>
      <c r="AN83" s="179"/>
      <c r="AO83" s="179"/>
    </row>
    <row r="84" spans="24:41">
      <c r="Z84" s="13"/>
      <c r="AA84" s="13"/>
      <c r="AB84" s="13"/>
      <c r="AD84" s="13"/>
      <c r="AE84" s="13"/>
      <c r="AF84" s="13"/>
      <c r="AG84" s="179"/>
      <c r="AH84" s="179"/>
      <c r="AI84" s="179"/>
      <c r="AJ84" s="179"/>
      <c r="AK84" s="179"/>
      <c r="AL84" s="179"/>
      <c r="AM84" s="179"/>
      <c r="AN84" s="179"/>
      <c r="AO84" s="179"/>
    </row>
    <row r="85" spans="24:41" ht="15.75">
      <c r="X85" s="13"/>
      <c r="Y85" s="190" t="s">
        <v>3</v>
      </c>
      <c r="Z85" s="191" t="s">
        <v>4</v>
      </c>
      <c r="AA85" s="192" t="s">
        <v>5</v>
      </c>
      <c r="AB85" s="193" t="s">
        <v>6</v>
      </c>
      <c r="AC85" s="13"/>
      <c r="AD85" s="30" t="s">
        <v>69</v>
      </c>
      <c r="AE85" s="30" t="s">
        <v>70</v>
      </c>
      <c r="AF85" s="13"/>
      <c r="AG85" s="179"/>
      <c r="AH85" s="179"/>
      <c r="AI85" s="179"/>
      <c r="AJ85" s="179"/>
      <c r="AK85" s="179"/>
      <c r="AL85" s="179"/>
      <c r="AM85" s="179"/>
      <c r="AN85" s="179"/>
      <c r="AO85" s="179"/>
    </row>
    <row r="86" spans="24:41" ht="15.75">
      <c r="X86" s="30" t="s">
        <v>71</v>
      </c>
      <c r="Y86" s="47">
        <f>+Y80+Y83</f>
        <v>559.56185677479175</v>
      </c>
      <c r="Z86" s="185">
        <f>+Z82</f>
        <v>638.75613146249987</v>
      </c>
      <c r="AA86" s="187">
        <f>+AA76</f>
        <v>166.1875</v>
      </c>
      <c r="AB86" s="189">
        <f>+AB75</f>
        <v>123.87666659307575</v>
      </c>
      <c r="AC86" s="13"/>
      <c r="AD86" s="32">
        <f>+SUM(Y86:AB86)</f>
        <v>1488.3821548303672</v>
      </c>
      <c r="AE86" s="32">
        <f>+Z86</f>
        <v>638.75613146249987</v>
      </c>
      <c r="AF86" s="13"/>
      <c r="AG86" s="179"/>
      <c r="AH86" s="179"/>
      <c r="AI86" s="179"/>
      <c r="AJ86" s="179"/>
      <c r="AK86" s="179"/>
      <c r="AL86" s="179"/>
      <c r="AM86" s="179"/>
      <c r="AN86" s="179"/>
      <c r="AO86" s="179"/>
    </row>
    <row r="87" spans="24:41" ht="15.75">
      <c r="X87" s="30" t="s">
        <v>72</v>
      </c>
      <c r="Y87" s="46">
        <f>Y86/60</f>
        <v>9.3260309462465294</v>
      </c>
      <c r="Z87" s="184">
        <f>Z86/60</f>
        <v>10.645935524374998</v>
      </c>
      <c r="AA87" s="186">
        <f>AA86/60</f>
        <v>2.7697916666666669</v>
      </c>
      <c r="AB87" s="188">
        <f>AB86/60</f>
        <v>2.0646111098845958</v>
      </c>
      <c r="AC87" s="13"/>
      <c r="AD87" s="30">
        <f>+SUM(Y87:AB87)</f>
        <v>24.806369247172789</v>
      </c>
      <c r="AE87" s="30">
        <f>+Z87</f>
        <v>10.645935524374998</v>
      </c>
      <c r="AF87" s="13"/>
      <c r="AG87" s="179"/>
      <c r="AH87" s="179"/>
      <c r="AI87" s="179"/>
      <c r="AJ87" s="179"/>
      <c r="AK87" s="179"/>
      <c r="AL87" s="179"/>
      <c r="AM87" s="179"/>
      <c r="AN87" s="179"/>
      <c r="AO87" s="179"/>
    </row>
    <row r="88" spans="24:41">
      <c r="X88" s="13"/>
      <c r="Y88" s="13"/>
      <c r="Z88" s="13"/>
      <c r="AA88" s="13"/>
      <c r="AB88" s="13"/>
      <c r="AC88" s="13"/>
      <c r="AD88" s="13"/>
      <c r="AE88" s="13"/>
      <c r="AF88" s="13"/>
      <c r="AG88" s="179"/>
      <c r="AH88" s="179"/>
      <c r="AI88" s="179"/>
      <c r="AJ88" s="179"/>
      <c r="AK88" s="179"/>
      <c r="AL88" s="179"/>
      <c r="AM88" s="179"/>
      <c r="AN88" s="179"/>
      <c r="AO88" s="179"/>
    </row>
  </sheetData>
  <mergeCells count="85">
    <mergeCell ref="E66:E67"/>
    <mergeCell ref="E68:E71"/>
    <mergeCell ref="E72:E73"/>
    <mergeCell ref="B65:C65"/>
    <mergeCell ref="B66:C66"/>
    <mergeCell ref="B67:C67"/>
    <mergeCell ref="B68:C68"/>
    <mergeCell ref="B69:C69"/>
    <mergeCell ref="A66:A67"/>
    <mergeCell ref="A68:A71"/>
    <mergeCell ref="A72:A73"/>
    <mergeCell ref="B74:C74"/>
    <mergeCell ref="B70:C70"/>
    <mergeCell ref="B71:C71"/>
    <mergeCell ref="B72:C72"/>
    <mergeCell ref="B73:C73"/>
    <mergeCell ref="Y7:AA7"/>
    <mergeCell ref="Y5:AA5"/>
    <mergeCell ref="Y4:AA4"/>
    <mergeCell ref="Y3:AA3"/>
    <mergeCell ref="Y6:AA6"/>
    <mergeCell ref="C1:V1"/>
    <mergeCell ref="A1:A3"/>
    <mergeCell ref="B1:B3"/>
    <mergeCell ref="A4:A33"/>
    <mergeCell ref="Y8:AA8"/>
    <mergeCell ref="Y15:AA15"/>
    <mergeCell ref="Y16:AA16"/>
    <mergeCell ref="Y17:AA17"/>
    <mergeCell ref="Y9:AA9"/>
    <mergeCell ref="Y10:AA10"/>
    <mergeCell ref="X3:X13"/>
    <mergeCell ref="Y11:AA11"/>
    <mergeCell ref="Y12:AA12"/>
    <mergeCell ref="Y13:AA13"/>
    <mergeCell ref="Y22:AA22"/>
    <mergeCell ref="Y23:AA23"/>
    <mergeCell ref="Y24:AA24"/>
    <mergeCell ref="Y25:AA25"/>
    <mergeCell ref="Y18:AA18"/>
    <mergeCell ref="Y19:AA19"/>
    <mergeCell ref="Y20:AA20"/>
    <mergeCell ref="Y21:AA21"/>
    <mergeCell ref="Y31:AA31"/>
    <mergeCell ref="Y32:AA32"/>
    <mergeCell ref="Y33:AA33"/>
    <mergeCell ref="Y34:AA34"/>
    <mergeCell ref="Y35:AA35"/>
    <mergeCell ref="X15:X25"/>
    <mergeCell ref="X51:X61"/>
    <mergeCell ref="Y51:AA51"/>
    <mergeCell ref="Y52:AA52"/>
    <mergeCell ref="Y53:AA53"/>
    <mergeCell ref="Y54:AA54"/>
    <mergeCell ref="Y55:AA55"/>
    <mergeCell ref="Y56:AA56"/>
    <mergeCell ref="Y57:AA57"/>
    <mergeCell ref="Y58:AA58"/>
    <mergeCell ref="Y59:AA59"/>
    <mergeCell ref="X27:X37"/>
    <mergeCell ref="Y27:AA27"/>
    <mergeCell ref="Y28:AA28"/>
    <mergeCell ref="Y29:AA29"/>
    <mergeCell ref="Y30:AA30"/>
    <mergeCell ref="Y45:AA45"/>
    <mergeCell ref="Y46:AA46"/>
    <mergeCell ref="Y47:AA47"/>
    <mergeCell ref="Y48:AA48"/>
    <mergeCell ref="Y49:AA49"/>
    <mergeCell ref="Y60:AA60"/>
    <mergeCell ref="Y61:AA61"/>
    <mergeCell ref="A34:A63"/>
    <mergeCell ref="C2:G2"/>
    <mergeCell ref="H2:L2"/>
    <mergeCell ref="M2:Q2"/>
    <mergeCell ref="R2:V2"/>
    <mergeCell ref="Y36:AA36"/>
    <mergeCell ref="Y37:AA37"/>
    <mergeCell ref="X39:X49"/>
    <mergeCell ref="Y39:AA39"/>
    <mergeCell ref="Y40:AA40"/>
    <mergeCell ref="Y41:AA41"/>
    <mergeCell ref="Y42:AA42"/>
    <mergeCell ref="Y43:AA43"/>
    <mergeCell ref="Y44:AA44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7158-7843-1747-A6B6-F7CEA7DCD6B5}">
  <dimension ref="A3:Z26"/>
  <sheetViews>
    <sheetView topLeftCell="G1" workbookViewId="0">
      <selection activeCell="M26" sqref="M26"/>
    </sheetView>
  </sheetViews>
  <sheetFormatPr defaultColWidth="11.25" defaultRowHeight="15.6"/>
  <cols>
    <col min="1" max="1" width="40" bestFit="1" customWidth="1"/>
    <col min="2" max="6" width="8.25" bestFit="1" customWidth="1"/>
    <col min="7" max="7" width="52" bestFit="1" customWidth="1"/>
    <col min="8" max="8" width="24.25" bestFit="1" customWidth="1"/>
    <col min="9" max="9" width="3.875" bestFit="1" customWidth="1"/>
    <col min="10" max="12" width="2.375" bestFit="1" customWidth="1"/>
    <col min="13" max="13" width="30.375" bestFit="1" customWidth="1"/>
    <col min="14" max="14" width="15.25" bestFit="1" customWidth="1"/>
    <col min="15" max="15" width="8.75" bestFit="1" customWidth="1"/>
    <col min="16" max="24" width="5.875" bestFit="1" customWidth="1"/>
  </cols>
  <sheetData>
    <row r="3" spans="1:26">
      <c r="H3" s="13" t="s">
        <v>73</v>
      </c>
    </row>
    <row r="4" spans="1:26">
      <c r="B4" t="s">
        <v>74</v>
      </c>
      <c r="C4" t="s">
        <v>75</v>
      </c>
      <c r="D4" t="s">
        <v>76</v>
      </c>
      <c r="E4" t="s">
        <v>77</v>
      </c>
      <c r="G4" t="s">
        <v>78</v>
      </c>
      <c r="H4" s="16">
        <v>20</v>
      </c>
    </row>
    <row r="5" spans="1:26">
      <c r="A5" t="s">
        <v>79</v>
      </c>
      <c r="B5">
        <f>H7</f>
        <v>45</v>
      </c>
      <c r="C5" s="3">
        <f>B5/(1+$H8)</f>
        <v>41.860465116279073</v>
      </c>
      <c r="D5" s="3">
        <f>C5/(1+$H8)</f>
        <v>38.939967550027049</v>
      </c>
      <c r="E5" s="3">
        <f>D5/(1+$H8)</f>
        <v>36.223225627932138</v>
      </c>
      <c r="F5" s="3"/>
      <c r="G5" t="s">
        <v>80</v>
      </c>
      <c r="H5" s="14">
        <v>0.6</v>
      </c>
    </row>
    <row r="6" spans="1:26">
      <c r="A6" t="s">
        <v>81</v>
      </c>
      <c r="B6" s="3">
        <f>$H$4/$H$5</f>
        <v>33.333333333333336</v>
      </c>
      <c r="C6" s="3">
        <f>B6/(1+$H6)</f>
        <v>27.777777777777782</v>
      </c>
      <c r="D6" s="3">
        <f>C6/(1+$H6)</f>
        <v>23.148148148148152</v>
      </c>
      <c r="E6" s="3">
        <v>20</v>
      </c>
      <c r="F6" s="3"/>
      <c r="G6" t="s">
        <v>82</v>
      </c>
      <c r="H6" s="14">
        <v>0.2</v>
      </c>
    </row>
    <row r="7" spans="1:26">
      <c r="A7" t="s">
        <v>83</v>
      </c>
      <c r="B7" s="3">
        <f>$H9/B5*$H10*$H11</f>
        <v>66.666666666666671</v>
      </c>
      <c r="C7" s="3">
        <f>$H9/C5*$H10*$H11</f>
        <v>71.666666666666657</v>
      </c>
      <c r="D7" s="3">
        <f>$H9/D5*$H10*$H11</f>
        <v>77.041666666666643</v>
      </c>
      <c r="E7" s="3">
        <f>$H9/E5*$H10*$H11</f>
        <v>82.81979166666666</v>
      </c>
      <c r="F7" s="3"/>
      <c r="G7" t="s">
        <v>84</v>
      </c>
      <c r="H7" s="16">
        <v>45</v>
      </c>
    </row>
    <row r="8" spans="1:26">
      <c r="A8" t="s">
        <v>85</v>
      </c>
      <c r="B8" s="3">
        <f>$H9/B6*$H10*$H11</f>
        <v>90</v>
      </c>
      <c r="C8" s="3">
        <f>$H9/C6*$H10*$H11</f>
        <v>107.99999999999999</v>
      </c>
      <c r="D8" s="3">
        <f>$H9/D6*$H10*$H11</f>
        <v>129.59999999999997</v>
      </c>
      <c r="E8" s="3">
        <f>$H9/E6*$H10*$H11</f>
        <v>150</v>
      </c>
      <c r="F8" s="3"/>
      <c r="G8" t="s">
        <v>86</v>
      </c>
      <c r="H8" s="17">
        <v>7.4999999999999997E-2</v>
      </c>
    </row>
    <row r="9" spans="1:26">
      <c r="G9" t="s">
        <v>87</v>
      </c>
      <c r="H9" s="16">
        <v>150</v>
      </c>
    </row>
    <row r="10" spans="1:26">
      <c r="B10" s="3"/>
      <c r="C10" s="3"/>
      <c r="D10" s="3"/>
      <c r="E10" s="3"/>
      <c r="F10" s="3"/>
      <c r="G10" t="s">
        <v>88</v>
      </c>
      <c r="H10" s="15">
        <v>5</v>
      </c>
    </row>
    <row r="11" spans="1:26">
      <c r="B11" s="12"/>
      <c r="C11" s="12"/>
      <c r="D11" s="12"/>
      <c r="E11" s="12"/>
      <c r="F11" s="12"/>
      <c r="G11" t="s">
        <v>89</v>
      </c>
      <c r="H11" s="15">
        <v>4</v>
      </c>
    </row>
    <row r="13" spans="1:26">
      <c r="M13" s="30" t="s">
        <v>90</v>
      </c>
      <c r="N13" s="30" t="s">
        <v>91</v>
      </c>
      <c r="O13" s="30" t="s">
        <v>92</v>
      </c>
      <c r="P13" s="30" t="s">
        <v>93</v>
      </c>
      <c r="Q13" s="30" t="s">
        <v>94</v>
      </c>
      <c r="R13" s="30" t="s">
        <v>95</v>
      </c>
      <c r="S13" s="30" t="s">
        <v>96</v>
      </c>
      <c r="T13" s="30" t="s">
        <v>97</v>
      </c>
      <c r="U13" s="30" t="s">
        <v>98</v>
      </c>
      <c r="V13" s="30" t="s">
        <v>99</v>
      </c>
      <c r="W13" s="30" t="s">
        <v>100</v>
      </c>
      <c r="X13" s="30" t="s">
        <v>101</v>
      </c>
      <c r="Y13" s="30" t="s">
        <v>102</v>
      </c>
      <c r="Z13" s="30" t="s">
        <v>103</v>
      </c>
    </row>
    <row r="14" spans="1:26">
      <c r="M14" s="30">
        <f>$H$9*$H$10*$H$11*4</f>
        <v>12000</v>
      </c>
      <c r="N14" s="30">
        <f t="shared" ref="N14:X14" si="0">$H$9*$H$10*$H$11*4</f>
        <v>12000</v>
      </c>
      <c r="O14" s="30">
        <f>$H$9*$H$10*$H$11*4</f>
        <v>12000</v>
      </c>
      <c r="P14" s="30">
        <f t="shared" si="0"/>
        <v>12000</v>
      </c>
      <c r="Q14" s="30">
        <f t="shared" si="0"/>
        <v>12000</v>
      </c>
      <c r="R14" s="30">
        <f t="shared" si="0"/>
        <v>12000</v>
      </c>
      <c r="S14" s="30">
        <f t="shared" si="0"/>
        <v>12000</v>
      </c>
      <c r="T14" s="30">
        <f t="shared" si="0"/>
        <v>12000</v>
      </c>
      <c r="U14" s="30">
        <f t="shared" si="0"/>
        <v>12000</v>
      </c>
      <c r="V14" s="30">
        <f t="shared" si="0"/>
        <v>12000</v>
      </c>
      <c r="W14" s="30">
        <f t="shared" si="0"/>
        <v>12000</v>
      </c>
      <c r="X14" s="30">
        <f t="shared" si="0"/>
        <v>12000</v>
      </c>
      <c r="Y14" s="30">
        <f>SUM(M14:X14)</f>
        <v>144000</v>
      </c>
      <c r="Z14" s="30">
        <f>Y14*2</f>
        <v>288000</v>
      </c>
    </row>
    <row r="16" spans="1:26">
      <c r="M16" s="30" t="s">
        <v>104</v>
      </c>
      <c r="N16" s="30">
        <f>Z14</f>
        <v>288000</v>
      </c>
      <c r="O16" s="30" t="s">
        <v>105</v>
      </c>
    </row>
    <row r="17" spans="13:17">
      <c r="M17" s="30" t="s">
        <v>106</v>
      </c>
      <c r="N17" s="30">
        <f>SUM('Sarokcsiszoló beérkezés'!C2:C25)</f>
        <v>9019</v>
      </c>
      <c r="O17" s="30" t="s">
        <v>107</v>
      </c>
    </row>
    <row r="19" spans="13:17">
      <c r="M19" s="31" t="s">
        <v>108</v>
      </c>
      <c r="N19" s="32">
        <f>N16/N17</f>
        <v>31.932586761281737</v>
      </c>
      <c r="O19" s="30" t="s">
        <v>58</v>
      </c>
    </row>
    <row r="21" spans="13:17">
      <c r="M21" s="31" t="s">
        <v>70</v>
      </c>
      <c r="N21" s="32">
        <f>'Sarokcsiszoló javítás-mérés'!N69</f>
        <v>30.00856617231252</v>
      </c>
      <c r="O21" s="30" t="s">
        <v>58</v>
      </c>
    </row>
    <row r="23" spans="13:17">
      <c r="M23" s="33" t="s">
        <v>109</v>
      </c>
      <c r="N23" s="32">
        <f>'Sarokcsiszoló beérkezés'!H21</f>
        <v>27.180067950169875</v>
      </c>
      <c r="O23" s="30" t="s">
        <v>58</v>
      </c>
      <c r="Q23" s="31" t="s">
        <v>110</v>
      </c>
    </row>
    <row r="24" spans="13:17">
      <c r="M24" s="13"/>
    </row>
    <row r="25" spans="13:17">
      <c r="M25" s="30" t="s">
        <v>111</v>
      </c>
      <c r="N25" s="32">
        <f>'Sarokcsiszoló beérkezés'!L21</f>
        <v>34.991798797156918</v>
      </c>
      <c r="O25" s="30" t="s">
        <v>58</v>
      </c>
      <c r="Q25" s="31" t="s">
        <v>112</v>
      </c>
    </row>
    <row r="26" spans="13:17">
      <c r="M26" s="13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AC0B-A890-46E4-9A12-26F452F92870}">
  <dimension ref="E4:R39"/>
  <sheetViews>
    <sheetView tabSelected="1" topLeftCell="E1" workbookViewId="0">
      <selection activeCell="G36" sqref="G36"/>
    </sheetView>
  </sheetViews>
  <sheetFormatPr defaultRowHeight="15.6"/>
  <cols>
    <col min="5" max="5" width="53.25" bestFit="1" customWidth="1"/>
    <col min="6" max="6" width="19.625" bestFit="1" customWidth="1"/>
    <col min="7" max="8" width="8.25" bestFit="1" customWidth="1"/>
    <col min="9" max="9" width="15.75" bestFit="1" customWidth="1"/>
    <col min="10" max="10" width="11.875" bestFit="1" customWidth="1"/>
    <col min="11" max="11" width="8.125" bestFit="1" customWidth="1"/>
    <col min="12" max="12" width="8.25" bestFit="1" customWidth="1"/>
    <col min="13" max="13" width="12" bestFit="1" customWidth="1"/>
    <col min="14" max="14" width="8.25" bestFit="1" customWidth="1"/>
    <col min="15" max="15" width="9.25" bestFit="1" customWidth="1"/>
    <col min="16" max="16" width="9.875" bestFit="1" customWidth="1"/>
    <col min="17" max="17" width="10.875" bestFit="1" customWidth="1"/>
  </cols>
  <sheetData>
    <row r="4" spans="5:18">
      <c r="E4" s="30"/>
      <c r="F4" s="30" t="s">
        <v>74</v>
      </c>
      <c r="G4" s="30" t="s">
        <v>75</v>
      </c>
      <c r="H4" s="30" t="s">
        <v>76</v>
      </c>
      <c r="I4" s="30" t="s">
        <v>77</v>
      </c>
      <c r="J4" s="30" t="s">
        <v>113</v>
      </c>
      <c r="K4" s="30" t="s">
        <v>114</v>
      </c>
      <c r="L4" s="30" t="s">
        <v>115</v>
      </c>
      <c r="M4" s="30" t="s">
        <v>116</v>
      </c>
      <c r="N4" s="30" t="s">
        <v>117</v>
      </c>
      <c r="O4" s="30" t="s">
        <v>118</v>
      </c>
      <c r="P4" s="30" t="s">
        <v>119</v>
      </c>
      <c r="Q4" s="30" t="s">
        <v>120</v>
      </c>
    </row>
    <row r="5" spans="5:18">
      <c r="E5" s="30" t="s">
        <v>79</v>
      </c>
      <c r="F5" s="34">
        <v>45</v>
      </c>
      <c r="G5" s="34">
        <v>41.860465116279073</v>
      </c>
      <c r="H5" s="34">
        <v>38.939967550027049</v>
      </c>
      <c r="I5" s="32">
        <v>36.223225627932138</v>
      </c>
      <c r="J5" s="32">
        <f>I5/$H$10</f>
        <v>33.696023839936871</v>
      </c>
      <c r="K5" s="32">
        <f t="shared" ref="K5:Q5" si="0">J5/$H$10</f>
        <v>31.34513845575523</v>
      </c>
      <c r="L5" s="32">
        <f>K5/$H$10</f>
        <v>29.158268330935098</v>
      </c>
      <c r="M5" s="32">
        <f t="shared" si="0"/>
        <v>27.123970540404745</v>
      </c>
      <c r="N5" s="32">
        <f t="shared" si="0"/>
        <v>25.23160050270209</v>
      </c>
      <c r="O5" s="32">
        <f t="shared" si="0"/>
        <v>23.47125628158334</v>
      </c>
      <c r="P5" s="32">
        <f t="shared" si="0"/>
        <v>21.8337267735659</v>
      </c>
      <c r="Q5" s="32">
        <f t="shared" si="0"/>
        <v>20.310443510293862</v>
      </c>
    </row>
    <row r="6" spans="5:18">
      <c r="E6" s="30" t="s">
        <v>81</v>
      </c>
      <c r="F6" s="34">
        <v>33.333333333333336</v>
      </c>
      <c r="G6" s="34">
        <v>27.777777777777782</v>
      </c>
      <c r="H6" s="34">
        <v>23.148148148148152</v>
      </c>
      <c r="I6" s="32">
        <v>20</v>
      </c>
      <c r="J6" s="32">
        <v>20</v>
      </c>
      <c r="K6" s="32">
        <v>20</v>
      </c>
      <c r="L6" s="32">
        <v>20</v>
      </c>
      <c r="M6" s="32">
        <v>20</v>
      </c>
      <c r="N6" s="32">
        <v>20</v>
      </c>
      <c r="O6" s="32">
        <v>20</v>
      </c>
      <c r="P6" s="32">
        <v>20</v>
      </c>
      <c r="Q6" s="32">
        <v>20</v>
      </c>
    </row>
    <row r="7" spans="5:18">
      <c r="E7" s="30" t="s">
        <v>83</v>
      </c>
      <c r="F7" s="34">
        <v>66.666666666666671</v>
      </c>
      <c r="G7" s="34">
        <v>71.666666666666657</v>
      </c>
      <c r="H7" s="34">
        <v>77.041666666666643</v>
      </c>
      <c r="I7" s="32">
        <v>82.81979166666666</v>
      </c>
      <c r="J7" s="32">
        <f>I7*$H$12</f>
        <v>89.031276041666644</v>
      </c>
      <c r="K7" s="32">
        <f t="shared" ref="K7:Q7" si="1">J7*$H$12</f>
        <v>95.708621744791614</v>
      </c>
      <c r="L7" s="32">
        <f t="shared" si="1"/>
        <v>102.88676837565096</v>
      </c>
      <c r="M7" s="32">
        <f>L7*$H$12</f>
        <v>110.60327600382476</v>
      </c>
      <c r="N7" s="32">
        <f t="shared" si="1"/>
        <v>118.89852170411159</v>
      </c>
      <c r="O7" s="32">
        <f t="shared" si="1"/>
        <v>127.81591083191992</v>
      </c>
      <c r="P7" s="32">
        <f t="shared" si="1"/>
        <v>137.40210414431388</v>
      </c>
      <c r="Q7" s="32">
        <f t="shared" si="1"/>
        <v>147.7072619551374</v>
      </c>
    </row>
    <row r="8" spans="5:18">
      <c r="E8" s="30" t="s">
        <v>85</v>
      </c>
      <c r="F8" s="34">
        <v>90</v>
      </c>
      <c r="G8" s="34">
        <v>107.99999999999999</v>
      </c>
      <c r="H8" s="34">
        <v>129.59999999999997</v>
      </c>
      <c r="I8" s="34">
        <v>150</v>
      </c>
      <c r="J8" s="34">
        <v>150</v>
      </c>
      <c r="K8" s="34">
        <v>150</v>
      </c>
      <c r="L8" s="34">
        <v>150</v>
      </c>
      <c r="M8" s="34">
        <v>150</v>
      </c>
      <c r="N8" s="34">
        <v>150</v>
      </c>
      <c r="O8" s="34">
        <v>150</v>
      </c>
      <c r="P8" s="34">
        <v>150</v>
      </c>
      <c r="Q8" s="34">
        <v>150</v>
      </c>
    </row>
    <row r="10" spans="5:18">
      <c r="E10" s="30" t="s">
        <v>78</v>
      </c>
      <c r="F10" s="35">
        <v>20</v>
      </c>
      <c r="H10" s="30">
        <f>F5/G5</f>
        <v>1.075</v>
      </c>
      <c r="I10" s="30">
        <f>G5/H5</f>
        <v>1.075</v>
      </c>
      <c r="J10" s="30">
        <f>H5/I5</f>
        <v>1.075</v>
      </c>
      <c r="L10" s="12">
        <f t="shared" ref="L10:P10" si="2">$F$15/L5*$F$16*$F$17</f>
        <v>102.88676837565103</v>
      </c>
      <c r="M10" s="12">
        <f t="shared" si="2"/>
        <v>110.60327600382485</v>
      </c>
      <c r="N10" s="12">
        <f t="shared" si="2"/>
        <v>118.89852170411169</v>
      </c>
      <c r="O10" s="12">
        <f t="shared" si="2"/>
        <v>127.81591083192006</v>
      </c>
      <c r="P10" s="12">
        <f t="shared" si="2"/>
        <v>137.40210414431405</v>
      </c>
      <c r="Q10" s="12">
        <f>$F$15/Q5*$F$16*$F$17</f>
        <v>147.70726195513762</v>
      </c>
      <c r="R10" t="s">
        <v>52</v>
      </c>
    </row>
    <row r="11" spans="5:18">
      <c r="E11" s="30" t="s">
        <v>80</v>
      </c>
      <c r="F11" s="36">
        <v>0.6</v>
      </c>
      <c r="H11" s="30">
        <f>F6/$G$6</f>
        <v>1.2</v>
      </c>
      <c r="I11" s="30">
        <f>G6/H6</f>
        <v>1.2</v>
      </c>
      <c r="J11" s="30">
        <f>H6/I6</f>
        <v>1.1574074074074077</v>
      </c>
    </row>
    <row r="12" spans="5:18">
      <c r="E12" s="30" t="s">
        <v>82</v>
      </c>
      <c r="F12" s="36">
        <v>0.2</v>
      </c>
      <c r="H12" s="30">
        <f>G7/F7</f>
        <v>1.0749999999999997</v>
      </c>
      <c r="I12" s="30">
        <f>H7/G7</f>
        <v>1.0749999999999997</v>
      </c>
      <c r="J12" s="30">
        <f>I7/H7</f>
        <v>1.0750000000000002</v>
      </c>
    </row>
    <row r="13" spans="5:18">
      <c r="E13" s="30" t="s">
        <v>84</v>
      </c>
      <c r="F13" s="35">
        <v>45</v>
      </c>
      <c r="H13" s="30">
        <f>G8/F8</f>
        <v>1.1999999999999997</v>
      </c>
      <c r="I13" s="30">
        <f t="shared" ref="I13:J13" si="3">H8/G8</f>
        <v>1.1999999999999997</v>
      </c>
      <c r="J13" s="30">
        <f t="shared" si="3"/>
        <v>1.1574074074074077</v>
      </c>
    </row>
    <row r="14" spans="5:18">
      <c r="E14" s="30" t="s">
        <v>86</v>
      </c>
      <c r="F14" s="37">
        <v>7.4999999999999997E-2</v>
      </c>
    </row>
    <row r="15" spans="5:18">
      <c r="E15" s="30" t="s">
        <v>87</v>
      </c>
      <c r="F15" s="35">
        <v>150</v>
      </c>
    </row>
    <row r="16" spans="5:18">
      <c r="E16" s="30" t="s">
        <v>88</v>
      </c>
      <c r="F16" s="38">
        <v>5</v>
      </c>
    </row>
    <row r="17" spans="5:18">
      <c r="E17" s="30" t="s">
        <v>89</v>
      </c>
      <c r="F17" s="38">
        <v>4</v>
      </c>
    </row>
    <row r="18" spans="5:18">
      <c r="M18" s="50" t="s">
        <v>121</v>
      </c>
    </row>
    <row r="19" spans="5:18">
      <c r="E19" s="41" t="s">
        <v>122</v>
      </c>
      <c r="F19" s="71" t="s">
        <v>17</v>
      </c>
      <c r="G19" s="69">
        <f>SUM(F8:Q8)</f>
        <v>1677.6</v>
      </c>
      <c r="H19" s="70">
        <f>G19/12</f>
        <v>139.79999999999998</v>
      </c>
      <c r="I19" s="72" t="s">
        <v>123</v>
      </c>
      <c r="J19" s="68">
        <f>SUM(G19:G22)</f>
        <v>5811.6970649361674</v>
      </c>
      <c r="K19" s="31" t="s">
        <v>124</v>
      </c>
      <c r="M19" s="30" t="s">
        <v>125</v>
      </c>
      <c r="N19" s="30">
        <f>SUM('Sarokcsiszoló beérkezés'!C2:C13)</f>
        <v>4659</v>
      </c>
      <c r="O19" s="30" t="s">
        <v>124</v>
      </c>
    </row>
    <row r="20" spans="5:18">
      <c r="F20" s="39" t="s">
        <v>18</v>
      </c>
      <c r="G20" s="67">
        <f>SUM(F8:Q8)</f>
        <v>1677.6</v>
      </c>
      <c r="H20" s="67">
        <f t="shared" ref="H20:H22" si="4">G20/12</f>
        <v>139.79999999999998</v>
      </c>
      <c r="J20" s="68">
        <f>J19/12</f>
        <v>484.30808874468062</v>
      </c>
      <c r="K20" s="68" t="s">
        <v>126</v>
      </c>
      <c r="M20" s="30" t="s">
        <v>127</v>
      </c>
      <c r="N20" s="30">
        <f>SUM('Sarokcsiszoló beérkezés'!C14:C25)</f>
        <v>4360</v>
      </c>
      <c r="O20" s="30" t="s">
        <v>124</v>
      </c>
    </row>
    <row r="21" spans="5:18">
      <c r="F21" s="40" t="s">
        <v>19</v>
      </c>
      <c r="G21" s="32">
        <f>SUM(F7:Q7)</f>
        <v>1228.2485324680836</v>
      </c>
      <c r="H21" s="32">
        <f t="shared" si="4"/>
        <v>102.3540443723403</v>
      </c>
    </row>
    <row r="22" spans="5:18">
      <c r="F22" s="40" t="s">
        <v>20</v>
      </c>
      <c r="G22" s="32">
        <f>SUM(F7:Q7)</f>
        <v>1228.2485324680836</v>
      </c>
      <c r="H22" s="32">
        <f t="shared" si="4"/>
        <v>102.3540443723403</v>
      </c>
    </row>
    <row r="23" spans="5:18">
      <c r="G23" s="73" t="s">
        <v>124</v>
      </c>
      <c r="H23" s="73" t="s">
        <v>126</v>
      </c>
    </row>
    <row r="25" spans="5:18">
      <c r="F25" s="13"/>
      <c r="G25" s="30" t="s">
        <v>74</v>
      </c>
      <c r="H25" s="30" t="s">
        <v>75</v>
      </c>
      <c r="I25" s="30" t="s">
        <v>76</v>
      </c>
      <c r="J25" s="30" t="s">
        <v>77</v>
      </c>
      <c r="K25" s="30" t="s">
        <v>113</v>
      </c>
      <c r="L25" s="30" t="s">
        <v>114</v>
      </c>
      <c r="M25" s="30" t="s">
        <v>115</v>
      </c>
      <c r="N25" s="30" t="s">
        <v>116</v>
      </c>
      <c r="O25" s="30" t="s">
        <v>117</v>
      </c>
      <c r="P25" s="30" t="s">
        <v>118</v>
      </c>
      <c r="Q25" s="30" t="s">
        <v>119</v>
      </c>
      <c r="R25" s="30" t="s">
        <v>120</v>
      </c>
    </row>
    <row r="26" spans="5:18">
      <c r="E26" s="48" t="s">
        <v>128</v>
      </c>
      <c r="F26" s="39" t="s">
        <v>17</v>
      </c>
      <c r="G26" s="42">
        <v>90</v>
      </c>
      <c r="H26" s="42">
        <v>107.99999999999999</v>
      </c>
      <c r="I26" s="42">
        <v>129.59999999999997</v>
      </c>
      <c r="J26" s="44"/>
      <c r="K26" s="44"/>
      <c r="L26" s="44"/>
      <c r="M26" s="44"/>
      <c r="N26" s="44"/>
      <c r="O26" s="44"/>
      <c r="P26" s="44"/>
      <c r="Q26" s="44"/>
      <c r="R26" s="44"/>
    </row>
    <row r="27" spans="5:18">
      <c r="F27" s="39" t="s">
        <v>18</v>
      </c>
      <c r="G27" s="42">
        <v>90</v>
      </c>
      <c r="H27" s="42">
        <v>107.99999999999999</v>
      </c>
      <c r="I27" s="42">
        <v>129.59999999999997</v>
      </c>
      <c r="J27" s="31">
        <f>150*0.6</f>
        <v>90</v>
      </c>
      <c r="K27" s="31">
        <f>J27*1.2</f>
        <v>108</v>
      </c>
      <c r="L27" s="31">
        <f>K27*1.2</f>
        <v>129.6</v>
      </c>
      <c r="M27" s="45"/>
      <c r="N27" s="45"/>
      <c r="O27" s="45"/>
      <c r="P27" s="45"/>
      <c r="Q27" s="45"/>
      <c r="R27" s="45"/>
    </row>
    <row r="28" spans="5:18">
      <c r="F28" s="40" t="s">
        <v>19</v>
      </c>
      <c r="G28" s="34">
        <v>66.666666666666671</v>
      </c>
      <c r="H28" s="34">
        <v>71.666666666666657</v>
      </c>
      <c r="I28" s="34">
        <v>77.041666666666643</v>
      </c>
      <c r="J28" s="32">
        <v>82.81979166666666</v>
      </c>
      <c r="K28" s="32">
        <f>J28*$H$12</f>
        <v>89.031276041666644</v>
      </c>
      <c r="L28" s="32">
        <f>K28*$H$12</f>
        <v>95.708621744791614</v>
      </c>
      <c r="M28" s="43">
        <f>L28*$H$12*0.6</f>
        <v>61.732061025390571</v>
      </c>
      <c r="N28" s="43">
        <f>M28*1.2</f>
        <v>74.078473230468688</v>
      </c>
      <c r="O28" s="43">
        <f>N28*1.2</f>
        <v>88.89416787656242</v>
      </c>
      <c r="P28" s="44"/>
      <c r="Q28" s="44"/>
      <c r="R28" s="44"/>
    </row>
    <row r="29" spans="5:18">
      <c r="F29" s="40" t="s">
        <v>20</v>
      </c>
      <c r="G29" s="34">
        <v>66.666666666666671</v>
      </c>
      <c r="H29" s="34">
        <v>71.666666666666657</v>
      </c>
      <c r="I29" s="34">
        <v>77.041666666666643</v>
      </c>
      <c r="J29" s="32">
        <v>82.81979166666666</v>
      </c>
      <c r="K29" s="32">
        <f>J29*$H$12</f>
        <v>89.031276041666644</v>
      </c>
      <c r="L29" s="32">
        <f t="shared" ref="L29:R31" si="5">K29*$H$12</f>
        <v>95.708621744791614</v>
      </c>
      <c r="M29" s="32">
        <f t="shared" si="5"/>
        <v>102.88676837565096</v>
      </c>
      <c r="N29" s="32">
        <f t="shared" si="5"/>
        <v>110.60327600382476</v>
      </c>
      <c r="O29" s="32">
        <f t="shared" si="5"/>
        <v>118.89852170411159</v>
      </c>
      <c r="P29" s="46">
        <f>O29*$H$12*0.6</f>
        <v>76.689546499151945</v>
      </c>
      <c r="Q29" s="46">
        <f>P29*1.2</f>
        <v>92.027455798982331</v>
      </c>
      <c r="R29" s="46">
        <f>Q29*1.2</f>
        <v>110.4329469587788</v>
      </c>
    </row>
    <row r="30" spans="5:18">
      <c r="F30" s="31" t="s">
        <v>129</v>
      </c>
      <c r="G30" s="44"/>
      <c r="H30" s="44"/>
      <c r="I30" s="44"/>
      <c r="J30" s="34">
        <v>66.666666666666671</v>
      </c>
      <c r="K30" s="34">
        <v>71.666666666666657</v>
      </c>
      <c r="L30" s="34">
        <v>77.041666666666643</v>
      </c>
      <c r="M30" s="32">
        <f>L30*$H$12</f>
        <v>82.819791666666617</v>
      </c>
      <c r="N30" s="32">
        <f t="shared" ref="N30:O30" si="6">M30*$H$12</f>
        <v>89.031276041666587</v>
      </c>
      <c r="O30" s="32">
        <f t="shared" si="6"/>
        <v>95.708621744791557</v>
      </c>
      <c r="P30" s="32">
        <f>O30*$H$12</f>
        <v>102.8867683756509</v>
      </c>
      <c r="Q30" s="32">
        <f t="shared" si="5"/>
        <v>110.60327600382469</v>
      </c>
      <c r="R30" s="32">
        <f t="shared" si="5"/>
        <v>118.89852170411152</v>
      </c>
    </row>
    <row r="31" spans="5:18">
      <c r="F31" s="43" t="s">
        <v>130</v>
      </c>
      <c r="G31" s="44"/>
      <c r="H31" s="44"/>
      <c r="I31" s="44"/>
      <c r="J31" s="44"/>
      <c r="K31" s="44"/>
      <c r="L31" s="44"/>
      <c r="M31" s="34">
        <v>66.666666666666671</v>
      </c>
      <c r="N31" s="34">
        <v>71.666666666666657</v>
      </c>
      <c r="O31" s="34">
        <v>77.041666666666643</v>
      </c>
      <c r="P31" s="32">
        <v>82.81979166666666</v>
      </c>
      <c r="Q31" s="32">
        <f>P31*$H$12</f>
        <v>89.031276041666644</v>
      </c>
      <c r="R31" s="32">
        <f t="shared" si="5"/>
        <v>95.708621744791614</v>
      </c>
    </row>
    <row r="32" spans="5:18">
      <c r="F32" s="46" t="s">
        <v>131</v>
      </c>
      <c r="G32" s="44"/>
      <c r="H32" s="44"/>
      <c r="I32" s="44"/>
      <c r="J32" s="44"/>
      <c r="K32" s="44"/>
      <c r="L32" s="44"/>
      <c r="M32" s="44"/>
      <c r="N32" s="44"/>
      <c r="O32" s="44"/>
      <c r="P32" s="34">
        <v>66.666666666666671</v>
      </c>
      <c r="Q32" s="34">
        <v>71.666666666666657</v>
      </c>
      <c r="R32" s="34">
        <v>77.041666666666643</v>
      </c>
    </row>
    <row r="34" spans="6:8">
      <c r="F34" s="48" t="s">
        <v>123</v>
      </c>
      <c r="G34" s="49">
        <f>SUM(G26:I26,G27:L27,G28:O28,G29:R29,J30:R30,M31:R31,P32:R32)</f>
        <v>4298.5455413690088</v>
      </c>
      <c r="H34" s="48" t="s">
        <v>124</v>
      </c>
    </row>
    <row r="35" spans="6:8">
      <c r="G35" s="49">
        <f>G34/12</f>
        <v>358.2121284474174</v>
      </c>
      <c r="H35" s="49" t="s">
        <v>126</v>
      </c>
    </row>
    <row r="36" spans="6:8">
      <c r="F36" s="46" t="s">
        <v>132</v>
      </c>
      <c r="G36" s="47">
        <f>J19-G34</f>
        <v>1513.1515235671586</v>
      </c>
      <c r="H36" s="46" t="s">
        <v>124</v>
      </c>
    </row>
    <row r="37" spans="6:8">
      <c r="G37" s="75">
        <f>G36/12</f>
        <v>126.09596029726322</v>
      </c>
      <c r="H37" s="75" t="s">
        <v>126</v>
      </c>
    </row>
    <row r="38" spans="6:8">
      <c r="F38" s="77" t="s">
        <v>133</v>
      </c>
      <c r="G38" s="78">
        <f>1-(G34/J19)</f>
        <v>0.26036311023444203</v>
      </c>
      <c r="H38" s="76"/>
    </row>
    <row r="39" spans="6:8">
      <c r="G39" s="78">
        <f>1-(G35/J20)</f>
        <v>0.26036311023444203</v>
      </c>
      <c r="H39" s="7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45D8-5F4A-1E43-B66E-8209016A5543}">
  <dimension ref="A1:N33"/>
  <sheetViews>
    <sheetView topLeftCell="A3" workbookViewId="0">
      <selection activeCell="F15" sqref="F15"/>
    </sheetView>
  </sheetViews>
  <sheetFormatPr defaultColWidth="11.25" defaultRowHeight="15.6"/>
  <cols>
    <col min="2" max="2" width="19.125" bestFit="1" customWidth="1"/>
    <col min="3" max="3" width="14.25" bestFit="1" customWidth="1"/>
    <col min="4" max="4" width="12.75" bestFit="1" customWidth="1"/>
    <col min="7" max="7" width="26.625" bestFit="1" customWidth="1"/>
    <col min="10" max="10" width="12.75" customWidth="1"/>
    <col min="11" max="11" width="30" bestFit="1" customWidth="1"/>
  </cols>
  <sheetData>
    <row r="1" spans="1:14" ht="16.149999999999999" thickBot="1">
      <c r="A1" s="9" t="s">
        <v>134</v>
      </c>
      <c r="B1" s="9" t="s">
        <v>135</v>
      </c>
      <c r="C1" s="9" t="s">
        <v>136</v>
      </c>
      <c r="D1" s="9" t="s">
        <v>137</v>
      </c>
      <c r="E1" s="9" t="s">
        <v>138</v>
      </c>
    </row>
    <row r="2" spans="1:14">
      <c r="A2" s="175" t="s">
        <v>139</v>
      </c>
      <c r="B2" s="10" t="s">
        <v>140</v>
      </c>
      <c r="C2" s="202">
        <v>455</v>
      </c>
      <c r="D2" s="10">
        <v>645</v>
      </c>
      <c r="E2" s="11">
        <f>C2/D2</f>
        <v>0.70542635658914732</v>
      </c>
    </row>
    <row r="3" spans="1:14">
      <c r="A3" s="176"/>
      <c r="B3" s="8" t="s">
        <v>141</v>
      </c>
      <c r="C3" s="203">
        <v>474</v>
      </c>
      <c r="D3" s="8">
        <v>631</v>
      </c>
      <c r="E3" s="11">
        <f t="shared" ref="E3:E25" si="0">C3/D3</f>
        <v>0.75118858954041201</v>
      </c>
    </row>
    <row r="4" spans="1:14">
      <c r="A4" s="176"/>
      <c r="B4" s="8" t="s">
        <v>142</v>
      </c>
      <c r="C4" s="204">
        <v>344</v>
      </c>
      <c r="D4" s="8">
        <v>457</v>
      </c>
      <c r="E4" s="11">
        <f t="shared" si="0"/>
        <v>0.75273522975929974</v>
      </c>
    </row>
    <row r="5" spans="1:14">
      <c r="A5" s="176"/>
      <c r="B5" s="8" t="s">
        <v>143</v>
      </c>
      <c r="C5" s="205">
        <v>366</v>
      </c>
      <c r="D5" s="8">
        <v>564</v>
      </c>
      <c r="E5" s="11">
        <f t="shared" si="0"/>
        <v>0.64893617021276595</v>
      </c>
    </row>
    <row r="6" spans="1:14">
      <c r="A6" s="176"/>
      <c r="B6" s="8" t="s">
        <v>144</v>
      </c>
      <c r="C6" s="206">
        <v>375</v>
      </c>
      <c r="D6" s="8">
        <v>461</v>
      </c>
      <c r="E6" s="11">
        <f t="shared" si="0"/>
        <v>0.81344902386117135</v>
      </c>
    </row>
    <row r="7" spans="1:14">
      <c r="A7" s="176"/>
      <c r="B7" s="8" t="s">
        <v>145</v>
      </c>
      <c r="C7" s="207">
        <v>344</v>
      </c>
      <c r="D7" s="8">
        <v>478</v>
      </c>
      <c r="E7" s="11">
        <f t="shared" si="0"/>
        <v>0.71966527196652719</v>
      </c>
    </row>
    <row r="8" spans="1:14">
      <c r="A8" s="176"/>
      <c r="B8" s="8" t="s">
        <v>146</v>
      </c>
      <c r="C8" s="208">
        <v>346</v>
      </c>
      <c r="D8" s="8">
        <v>461</v>
      </c>
      <c r="E8" s="11">
        <f t="shared" si="0"/>
        <v>0.75054229934924077</v>
      </c>
    </row>
    <row r="9" spans="1:14">
      <c r="A9" s="176"/>
      <c r="B9" s="8" t="s">
        <v>147</v>
      </c>
      <c r="C9" s="209">
        <v>367</v>
      </c>
      <c r="D9" s="8">
        <v>480</v>
      </c>
      <c r="E9" s="11">
        <f t="shared" si="0"/>
        <v>0.76458333333333328</v>
      </c>
    </row>
    <row r="10" spans="1:14">
      <c r="A10" s="176"/>
      <c r="B10" s="8" t="s">
        <v>148</v>
      </c>
      <c r="C10" s="210">
        <v>349</v>
      </c>
      <c r="D10" s="8">
        <v>415</v>
      </c>
      <c r="E10" s="11">
        <f t="shared" si="0"/>
        <v>0.84096385542168672</v>
      </c>
    </row>
    <row r="11" spans="1:14">
      <c r="A11" s="176"/>
      <c r="B11" s="8" t="s">
        <v>149</v>
      </c>
      <c r="C11" s="211">
        <v>338</v>
      </c>
      <c r="D11" s="8">
        <v>440</v>
      </c>
      <c r="E11" s="11">
        <f t="shared" si="0"/>
        <v>0.76818181818181819</v>
      </c>
    </row>
    <row r="12" spans="1:14">
      <c r="A12" s="176"/>
      <c r="B12" s="8" t="s">
        <v>150</v>
      </c>
      <c r="C12" s="212">
        <v>453</v>
      </c>
      <c r="D12" s="8">
        <v>550</v>
      </c>
      <c r="E12" s="11">
        <f t="shared" si="0"/>
        <v>0.82363636363636361</v>
      </c>
    </row>
    <row r="13" spans="1:14" ht="16.149999999999999" thickBot="1">
      <c r="A13" s="177"/>
      <c r="B13" s="9" t="s">
        <v>151</v>
      </c>
      <c r="C13" s="213">
        <v>448</v>
      </c>
      <c r="D13" s="9">
        <v>526</v>
      </c>
      <c r="E13" s="11">
        <f t="shared" si="0"/>
        <v>0.85171102661596954</v>
      </c>
    </row>
    <row r="14" spans="1:14">
      <c r="A14" s="175" t="s">
        <v>152</v>
      </c>
      <c r="B14" s="10" t="s">
        <v>140</v>
      </c>
      <c r="C14" s="214">
        <v>461</v>
      </c>
      <c r="D14" s="10">
        <v>574</v>
      </c>
      <c r="E14" s="11">
        <f t="shared" si="0"/>
        <v>0.80313588850174211</v>
      </c>
    </row>
    <row r="15" spans="1:14">
      <c r="A15" s="176"/>
      <c r="B15" s="8" t="s">
        <v>141</v>
      </c>
      <c r="C15" s="215">
        <v>339</v>
      </c>
      <c r="D15" s="8">
        <v>484</v>
      </c>
      <c r="E15" s="11">
        <f t="shared" si="0"/>
        <v>0.70041322314049592</v>
      </c>
      <c r="G15" s="58" t="s">
        <v>153</v>
      </c>
      <c r="H15" s="51"/>
      <c r="I15" s="51"/>
      <c r="J15" s="51"/>
      <c r="K15" s="51"/>
      <c r="L15" s="51"/>
      <c r="M15" s="52"/>
    </row>
    <row r="16" spans="1:14">
      <c r="A16" s="176"/>
      <c r="B16" s="8" t="s">
        <v>142</v>
      </c>
      <c r="C16" s="216">
        <v>309</v>
      </c>
      <c r="D16" s="8">
        <v>398</v>
      </c>
      <c r="E16" s="11">
        <f t="shared" si="0"/>
        <v>0.77638190954773867</v>
      </c>
      <c r="G16" s="53"/>
      <c r="J16" s="30" t="s">
        <v>154</v>
      </c>
      <c r="N16" s="30" t="s">
        <v>154</v>
      </c>
    </row>
    <row r="17" spans="1:14">
      <c r="A17" s="176"/>
      <c r="B17" s="8" t="s">
        <v>143</v>
      </c>
      <c r="C17" s="217">
        <v>355</v>
      </c>
      <c r="D17" s="8">
        <v>435</v>
      </c>
      <c r="E17" s="11">
        <f t="shared" si="0"/>
        <v>0.81609195402298851</v>
      </c>
      <c r="G17" s="59" t="s">
        <v>155</v>
      </c>
      <c r="H17" s="60">
        <f>SUM(C2:C3,C12:C15,C24:C25)</f>
        <v>3532</v>
      </c>
      <c r="I17" s="131" t="s">
        <v>156</v>
      </c>
      <c r="J17" s="225">
        <f>H17/8</f>
        <v>441.5</v>
      </c>
      <c r="K17" s="132" t="s">
        <v>157</v>
      </c>
      <c r="L17" s="60">
        <f>SUM(C4:C11,C16:C23)</f>
        <v>5487</v>
      </c>
      <c r="M17" s="131" t="s">
        <v>156</v>
      </c>
      <c r="N17" s="225">
        <f>L17/16</f>
        <v>342.9375</v>
      </c>
    </row>
    <row r="18" spans="1:14">
      <c r="A18" s="176"/>
      <c r="B18" s="8" t="s">
        <v>144</v>
      </c>
      <c r="C18" s="218">
        <v>321</v>
      </c>
      <c r="D18" s="8">
        <v>432</v>
      </c>
      <c r="E18" s="11">
        <f t="shared" si="0"/>
        <v>0.74305555555555558</v>
      </c>
      <c r="G18" s="53"/>
      <c r="M18" s="54"/>
    </row>
    <row r="19" spans="1:14">
      <c r="A19" s="176"/>
      <c r="B19" s="8" t="s">
        <v>145</v>
      </c>
      <c r="C19" s="218">
        <v>321</v>
      </c>
      <c r="D19" s="8">
        <v>414</v>
      </c>
      <c r="E19" s="11">
        <f t="shared" si="0"/>
        <v>0.77536231884057971</v>
      </c>
      <c r="G19" s="59" t="s">
        <v>158</v>
      </c>
      <c r="H19" s="60">
        <f>8*12000</f>
        <v>96000</v>
      </c>
      <c r="I19" s="60" t="s">
        <v>72</v>
      </c>
      <c r="K19" s="59" t="s">
        <v>159</v>
      </c>
      <c r="L19" s="60">
        <f>16*12000</f>
        <v>192000</v>
      </c>
      <c r="M19" s="60" t="s">
        <v>72</v>
      </c>
    </row>
    <row r="20" spans="1:14">
      <c r="A20" s="176"/>
      <c r="B20" s="8" t="s">
        <v>146</v>
      </c>
      <c r="C20" s="219">
        <v>326</v>
      </c>
      <c r="D20" s="8">
        <v>405</v>
      </c>
      <c r="E20" s="11">
        <f t="shared" si="0"/>
        <v>0.80493827160493825</v>
      </c>
      <c r="G20" s="53"/>
      <c r="M20" s="54"/>
    </row>
    <row r="21" spans="1:14">
      <c r="A21" s="176"/>
      <c r="B21" s="8" t="s">
        <v>147</v>
      </c>
      <c r="C21" s="220">
        <v>351</v>
      </c>
      <c r="D21" s="8">
        <v>460</v>
      </c>
      <c r="E21" s="11">
        <f t="shared" si="0"/>
        <v>0.7630434782608696</v>
      </c>
      <c r="G21" s="59" t="s">
        <v>160</v>
      </c>
      <c r="H21" s="62">
        <f>H19/H17</f>
        <v>27.180067950169875</v>
      </c>
      <c r="I21" s="60" t="s">
        <v>58</v>
      </c>
      <c r="K21" s="59" t="s">
        <v>161</v>
      </c>
      <c r="L21" s="62">
        <f>L19/L17</f>
        <v>34.991798797156918</v>
      </c>
      <c r="M21" s="60" t="s">
        <v>58</v>
      </c>
    </row>
    <row r="22" spans="1:14">
      <c r="A22" s="176"/>
      <c r="B22" s="8" t="s">
        <v>148</v>
      </c>
      <c r="C22" s="221">
        <v>313</v>
      </c>
      <c r="D22" s="8">
        <v>425</v>
      </c>
      <c r="E22" s="11">
        <f t="shared" si="0"/>
        <v>0.7364705882352941</v>
      </c>
      <c r="G22" s="57"/>
      <c r="H22" s="55"/>
      <c r="I22" s="55"/>
      <c r="J22" s="55"/>
      <c r="K22" s="55"/>
      <c r="L22" s="55"/>
      <c r="M22" s="56"/>
    </row>
    <row r="23" spans="1:14">
      <c r="A23" s="176"/>
      <c r="B23" s="8" t="s">
        <v>149</v>
      </c>
      <c r="C23" s="222">
        <v>362</v>
      </c>
      <c r="D23" s="8">
        <v>459</v>
      </c>
      <c r="E23" s="11">
        <f t="shared" si="0"/>
        <v>0.78867102396514166</v>
      </c>
    </row>
    <row r="24" spans="1:14" ht="15.75">
      <c r="A24" s="176"/>
      <c r="B24" s="8" t="s">
        <v>150</v>
      </c>
      <c r="C24" s="223">
        <v>460</v>
      </c>
      <c r="D24" s="8">
        <v>495</v>
      </c>
      <c r="E24" s="11">
        <f t="shared" si="0"/>
        <v>0.92929292929292928</v>
      </c>
      <c r="G24" s="58" t="s">
        <v>162</v>
      </c>
      <c r="H24" s="51"/>
      <c r="I24" s="52"/>
    </row>
    <row r="25" spans="1:14" ht="15.75">
      <c r="A25" s="177"/>
      <c r="B25" s="9" t="s">
        <v>151</v>
      </c>
      <c r="C25" s="224">
        <v>442</v>
      </c>
      <c r="D25" s="9">
        <v>557</v>
      </c>
      <c r="E25" s="11">
        <f t="shared" si="0"/>
        <v>0.79353680430879714</v>
      </c>
      <c r="G25" s="53"/>
      <c r="I25" s="54"/>
    </row>
    <row r="26" spans="1:14" ht="15.75">
      <c r="A26" s="6"/>
      <c r="B26" s="7"/>
      <c r="C26" s="201">
        <f>SUM(C2:C25)</f>
        <v>9019</v>
      </c>
      <c r="D26" s="7"/>
      <c r="E26" s="28"/>
      <c r="G26" s="65" t="s">
        <v>57</v>
      </c>
      <c r="H26" s="62">
        <f>'Sarokcsiszoló javítás-mérés'!Y72</f>
        <v>30.008566172312523</v>
      </c>
      <c r="I26" s="60" t="s">
        <v>58</v>
      </c>
    </row>
    <row r="27" spans="1:14" ht="15.75">
      <c r="E27" s="5"/>
      <c r="G27" s="66" t="s">
        <v>160</v>
      </c>
      <c r="H27" s="63">
        <f>H21</f>
        <v>27.180067950169875</v>
      </c>
      <c r="I27" s="64" t="s">
        <v>58</v>
      </c>
    </row>
    <row r="28" spans="1:14" ht="15.75">
      <c r="B28" s="178" t="s">
        <v>163</v>
      </c>
      <c r="C28" s="32">
        <f>C26/480</f>
        <v>18.789583333333333</v>
      </c>
      <c r="E28" s="5"/>
      <c r="G28" s="58" t="s">
        <v>164</v>
      </c>
      <c r="H28" s="62" t="str">
        <f>IF(H26&gt;H27,"Nem","Igen")</f>
        <v>Nem</v>
      </c>
      <c r="I28" s="61"/>
    </row>
    <row r="29" spans="1:14">
      <c r="E29" s="5"/>
      <c r="G29" s="58" t="s">
        <v>161</v>
      </c>
      <c r="H29" s="62">
        <f>L21</f>
        <v>34.991798797156918</v>
      </c>
      <c r="I29" s="60" t="s">
        <v>58</v>
      </c>
    </row>
    <row r="30" spans="1:14">
      <c r="G30" s="58" t="s">
        <v>164</v>
      </c>
      <c r="H30" s="62" t="str">
        <f>IF(H26&gt;H29,"Nem","Igen")</f>
        <v>Igen</v>
      </c>
      <c r="I30" s="61"/>
    </row>
    <row r="32" spans="1:14">
      <c r="G32" t="s">
        <v>165</v>
      </c>
      <c r="H32" s="12">
        <f>AVERAGE(C2:C25)</f>
        <v>375.79166666666669</v>
      </c>
    </row>
    <row r="33" spans="7:8">
      <c r="G33" t="s">
        <v>166</v>
      </c>
      <c r="H33" s="12">
        <f>H32/20</f>
        <v>18.789583333333333</v>
      </c>
    </row>
  </sheetData>
  <mergeCells count="2">
    <mergeCell ref="A2:A13"/>
    <mergeCell ref="A14:A25"/>
  </mergeCells>
  <conditionalFormatting sqref="C2: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3fb0c9-1960-4f67-91be-c81220ceb2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C82C16CB59AB4699922B3D48467505" ma:contentTypeVersion="12" ma:contentTypeDescription="Create a new document." ma:contentTypeScope="" ma:versionID="3fb5156e194136fb0210a91aaed053f2">
  <xsd:schema xmlns:xsd="http://www.w3.org/2001/XMLSchema" xmlns:xs="http://www.w3.org/2001/XMLSchema" xmlns:p="http://schemas.microsoft.com/office/2006/metadata/properties" xmlns:ns3="073fb0c9-1960-4f67-91be-c81220ceb2d7" xmlns:ns4="5258b2ce-7388-4984-aef1-477e90843d20" targetNamespace="http://schemas.microsoft.com/office/2006/metadata/properties" ma:root="true" ma:fieldsID="7940937a5d3a20adf764647b4473cb89" ns3:_="" ns4:_="">
    <xsd:import namespace="073fb0c9-1960-4f67-91be-c81220ceb2d7"/>
    <xsd:import namespace="5258b2ce-7388-4984-aef1-477e90843d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fb0c9-1960-4f67-91be-c81220ceb2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58b2ce-7388-4984-aef1-477e90843d2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FF424-B88C-4E1D-BB58-4C4F1C1E67D0}"/>
</file>

<file path=customXml/itemProps2.xml><?xml version="1.0" encoding="utf-8"?>
<ds:datastoreItem xmlns:ds="http://schemas.openxmlformats.org/officeDocument/2006/customXml" ds:itemID="{94812BE3-63F8-43C2-A121-ECCD40A740F1}"/>
</file>

<file path=customXml/itemProps3.xml><?xml version="1.0" encoding="utf-8"?>
<ds:datastoreItem xmlns:ds="http://schemas.openxmlformats.org/officeDocument/2006/customXml" ds:itemID="{8DCC046E-13C8-49C1-879D-2674AF747C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2020-10-15T23:31:29Z</dcterms:created>
  <dcterms:modified xsi:type="dcterms:W3CDTF">2024-03-10T16:24:22Z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0x0101007FC82C16CB59AB4699922B3D48467505</vt:lpwstr>
  </property>
</Properties>
</file>